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<sst xmlns="http://schemas.openxmlformats.org/spreadsheetml/2006/main" count="8271" uniqueCount="6880">
  <si>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</si>
  <si>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</si>
  <si>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</si>
  <si>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</si>
  <si>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</si>
  <si>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</si>
  <si>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</si>
  <si>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</si>
  <si>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</si>
  <si>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</si>
  <si>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</si>
  <si>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</si>
  <si>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</si>
  <si>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</si>
  <si>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</si>
  <si>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</si>
  <si>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</si>
  <si>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</si>
  <si>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</si>
  <si>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</si>
  <si>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</si>
  <si>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</si>
  <si>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</si>
  <si>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</si>
  <si>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</si>
  <si>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</si>
  <si>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</si>
  <si>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</si>
  <si>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</si>
  <si>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</si>
  <si>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</si>
  <si>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</si>
  <si>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</si>
  <si>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</si>
  <si>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</si>
  <si>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</si>
  <si>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</si>
  <si>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</si>
  <si>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</si>
  <si>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</si>
  <si>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</si>
  <si>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</si>
  <si>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</si>
  <si>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</si>
  <si>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</si>
  <si>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</si>
  <si>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</si>
  <si>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</si>
  <si>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</si>
  <si>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</si>
  <si>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</si>
  <si>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</si>
  <si>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</si>
  <si>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</si>
  <si>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</si>
  <si>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</si>
  <si>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</si>
  <si>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</si>
  <si>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</si>
  <si>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</si>
  <si>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</si>
  <si>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</si>
  <si>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</si>
  <si>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</si>
  <si>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</si>
  <si>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</si>
  <si>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</si>
  <si>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</si>
  <si>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</si>
  <si>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</si>
  <si>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</si>
  <si>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</si>
  <si>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</si>
  <si>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</si>
  <si>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</si>
  <si>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</si>
  <si>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</si>
  <si>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</si>
  <si>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</si>
  <si>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</si>
  <si>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</si>
  <si>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</si>
  <si>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</si>
  <si>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</si>
  <si>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</si>
  <si>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</si>
  <si>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</si>
  <si>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</si>
  <si>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</si>
  <si>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</si>
  <si>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</si>
  <si>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</si>
  <si>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</si>
  <si>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</si>
  <si>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</si>
  <si>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</si>
  <si>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</si>
  <si>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</si>
  <si>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</si>
  <si>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</si>
  <si>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</si>
  <si>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</si>
  <si>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</si>
  <si>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</si>
  <si>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</si>
  <si>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</si>
  <si>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</si>
  <si>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</si>
  <si>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</si>
  <si>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</si>
  <si>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</si>
  <si>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</si>
  <si>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</si>
  <si>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</si>
  <si>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</si>
  <si>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</si>
  <si>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</si>
  <si>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</si>
  <si>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</si>
  <si>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</si>
  <si>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</si>
  <si>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</si>
  <si>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</si>
  <si>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</si>
  <si>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</si>
  <si>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</si>
  <si>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</si>
  <si>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</si>
  <si>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</si>
  <si>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</si>
  <si>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</si>
  <si>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</si>
  <si>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</si>
  <si>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</si>
  <si>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</si>
  <si>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</si>
  <si>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</si>
  <si>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</si>
  <si>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</si>
  <si>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</si>
  <si>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</si>
  <si>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</si>
  <si>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</si>
  <si>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</si>
  <si>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</si>
  <si>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</si>
  <si>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</si>
  <si>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</si>
  <si>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</si>
  <si>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</si>
  <si>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</si>
  <si>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</si>
  <si>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</si>
  <si>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</si>
  <si>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</si>
  <si>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</si>
  <si>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</si>
  <si>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</si>
  <si>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</si>
  <si>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</si>
  <si>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</si>
  <si>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</si>
  <si>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</si>
  <si>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</si>
  <si>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</si>
  <si>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</si>
  <si>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</si>
  <si>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</si>
  <si>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</si>
  <si>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</si>
  <si>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</si>
  <si>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</si>
  <si>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</si>
  <si>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</si>
  <si>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</si>
  <si>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</si>
  <si>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</si>
  <si>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</si>
  <si>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</si>
  <si>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</si>
  <si>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</si>
  <si>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</si>
  <si>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</si>
  <si>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</si>
  <si>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</si>
  <si>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</si>
  <si>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</si>
  <si>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</si>
  <si>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</si>
  <si>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</si>
  <si>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</si>
  <si>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</si>
  <si>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</si>
  <si>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</si>
  <si>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</si>
  <si>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</si>
  <si>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</si>
  <si>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</si>
  <si>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</si>
  <si>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</si>
  <si>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</si>
  <si>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</si>
  <si>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</si>
  <si>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</si>
  <si>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</si>
  <si>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</si>
  <si>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</si>
  <si>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</si>
  <si>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</si>
  <si>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</si>
  <si>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</si>
  <si>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</si>
  <si>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B、maltesey、AndyJango、IntenseLag、Nian Sprout
如未經過許可，請勿私自轉載</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</si>
  <si>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</si>
  <si>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</si>
  <si>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</si>
  <si>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</si>
  <si>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</si>
  <si>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</si>
  <si>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</si>
  <si>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</si>
  <si>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</si>
  <si>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</si>
  <si>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</si>
  <si>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</si>
  <si>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</si>
  <si>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</si>
  <si>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</si>
  <si>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</si>
  <si>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</si>
  <si>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</si>
  <si>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</si>
  <si>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</si>
  <si>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</si>
  <si>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</si>
  <si>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</si>
  <si>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</si>
  <si>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</si>
  <si>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</si>
  <si>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</si>
  <si>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</si>
  <si>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</si>
  <si>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</si>
  <si>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</si>
  <si>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</si>
  <si>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</si>
  <si>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</si>
  <si>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</si>
  <si>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</si>
  <si>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</si>
  <si>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</si>
  <si>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</si>
  <si>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</si>
  <si>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</si>
  <si>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</si>
  <si>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</si>
  <si>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</si>
  <si>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</si>
  <si>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</si>
  <si>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</si>
  <si>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</si>
  <si>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</si>
  <si>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</si>
  <si>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</si>
  <si>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</si>
  <si>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</si>
  <si>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</si>
  <si>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</si>
  <si>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</si>
  <si>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</si>
  <si>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</si>
  <si>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</si>
  <si>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</si>
  <si>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</si>
  <si>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</si>
  <si>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</si>
  <si>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</si>
  <si>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</si>
  <si>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</si>
  <si>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</si>
  <si>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</si>
  <si>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</si>
  <si>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</si>
  <si>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</si>
  <si>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</si>
  <si>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</si>
  <si>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</si>
  <si>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</si>
  <si>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</si>
  <si>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</si>
  <si>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</si>
  <si>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</si>
  <si>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</si>
  <si>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</si>
  <si>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</si>
  <si>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</si>
  <si>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</si>
  <si>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</si>
  <si>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</si>
  <si>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</si>
  <si>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</si>
  <si>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</si>
  <si>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</si>
  <si>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</si>
  <si>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</si>
  <si>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</si>
  <si>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</si>
  <si>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</si>
  <si>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</si>
  <si>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</si>
  <si>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</si>
  <si>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</si>
  <si>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</si>
  <si>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</si>
  <si>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</si>
  <si>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</si>
  <si>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</si>
  <si>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</si>
  <si>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</si>
  <si>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</si>
  <si>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</si>
  <si>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</si>
  <si>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</si>
  <si>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</si>
  <si>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</si>
  <si>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</si>
  <si>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</si>
  <si>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</si>
  <si>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</si>
  <si>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</si>
  <si>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</si>
  <si>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</si>
  <si>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</si>
  <si>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</si>
  <si>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</si>
  <si>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</si>
  <si>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</si>
  <si>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</si>
  <si>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</si>
  <si>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</si>
  <si>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</si>
  <si>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</si>
  <si>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</si>
  <si>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</si>
  <si>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</si>
  <si>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</si>
  <si>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</si>
  <si>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</si>
  <si>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</si>
  <si>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</si>
  <si>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</si>
  <si>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</si>
  <si>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</si>
  <si>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</si>
  <si>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</si>
  <si>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</si>
  <si>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</si>
  <si>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</si>
  <si>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</si>
  <si>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</si>
  <si>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</si>
  <si>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</si>
  <si>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</si>
  <si>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</si>
  <si>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</si>
  <si>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</si>
  <si>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</si>
  <si>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</si>
  <si>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</si>
  <si>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</si>
  <si>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</si>
  <si>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</si>
  <si>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</si>
  <si>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</si>
  <si>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</si>
  <si>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</si>
  <si>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</si>
  <si>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</si>
  <si>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</si>
  <si>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</si>
  <si>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</si>
  <si>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</si>
  <si>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</si>
  <si>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</si>
  <si>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</si>
  <si>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</si>
  <si>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</si>
  <si>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</si>
  <si>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</si>
  <si>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</si>
  <si>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</si>
  <si>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</si>
  <si>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</si>
  <si>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</si>
  <si>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</si>
  <si>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</si>
  <si>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</si>
  <si>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</si>
  <si>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</si>
  <si>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</si>
  <si>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</si>
  <si>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</si>
  <si>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</si>
  <si>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</si>
  <si>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</si>
  <si>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</si>
  <si>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</si>
  <si>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</si>
  <si>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</si>
  <si>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</si>
  <si>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</si>
  <si>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</si>
  <si>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</si>
  <si>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</si>
  <si>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</si>
  <si>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</si>
  <si>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</si>
  <si>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</si>
  <si>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</si>
  <si>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</si>
  <si>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</si>
  <si>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</si>
  <si>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</si>
  <si>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</si>
  <si>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</si>
  <si>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</si>
  <si>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</si>
  <si>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</si>
  <si>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</si>
  <si>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</si>
  <si>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</si>
  <si>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</si>
  <si>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</si>
  <si>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</si>
  <si>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</si>
  <si>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</si>
  <si>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</si>
  <si>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</si>
  <si>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</si>
  <si>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</si>
  <si>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</si>
  <si>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</si>
  <si>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</si>
  <si>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</si>
  <si>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</si>
  <si>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</si>
  <si>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</si>
  <si>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</si>
  <si>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</si>
  <si>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</si>
  <si>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</si>
  <si>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</si>
  <si>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</si>
  <si>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</si>
  <si>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</si>
  <si>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</si>
  <si>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</si>
  <si>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</si>
  <si>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</si>
  <si>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</si>
  <si>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</si>
  <si>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</si>
  <si>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</si>
  <si>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</si>
  <si>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</si>
  <si>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</si>
  <si>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</si>
  <si>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</si>
  <si>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</si>
  <si>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</si>
  <si>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</si>
  <si>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</si>
  <si>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</si>
  <si>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</si>
  <si>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</si>
  <si>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</si>
  <si>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</si>
  <si>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</si>
  <si>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</si>
  <si>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</si>
  <si>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</si>
  <si>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</si>
  <si>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</si>
  <si>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</si>
  <si>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</si>
  <si>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</si>
  <si>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</si>
  <si>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</si>
  <si>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</si>
  <si>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</si>
  <si>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</si>
  <si>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</si>
  <si>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</si>
  <si>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</si>
  <si>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</si>
  <si>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</si>
  <si>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</si>
  <si>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</si>
  <si>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</si>
  <si>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</si>
  <si>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</si>
  <si>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</si>
  <si>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</si>
  <si>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</si>
  <si>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</si>
  <si>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</si>
  <si>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</si>
  <si>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</si>
  <si>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</si>
  <si>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</si>
  <si>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</si>
  <si>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</si>
  <si>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</si>
  <si>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</si>
  <si>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</si>
  <si>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</si>
  <si>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</si>
  <si>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</si>
  <si>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</si>
  <si>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</si>
  <si>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</si>
  <si>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</si>
  <si>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</si>
  <si>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</si>
  <si>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</si>
  <si>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</si>
  <si>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</si>
  <si>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</si>
  <si>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</si>
  <si>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</si>
  <si>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</si>
  <si>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</si>
  <si>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</si>
  <si>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</si>
  <si>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</si>
  <si>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</si>
  <si>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</si>
  <si>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</si>
  <si>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</si>
  <si>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</si>
  <si>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</si>
  <si>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</si>
  <si>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</si>
  <si>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</si>
  <si>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</si>
  <si>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</si>
  <si>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</si>
  <si>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</si>
  <si>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</si>
  <si>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</si>
  <si>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</si>
  <si>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</si>
  <si>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</si>
  <si>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</si>
  <si>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</si>
  <si>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</si>
  <si>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</si>
  <si>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</si>
  <si>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</si>
  <si>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</si>
  <si>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</si>
  <si>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</si>
  <si>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</si>
  <si>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</si>
  <si>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</si>
  <si>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</si>
  <si>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</si>
  <si>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</si>
  <si>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</si>
  <si>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</si>
  <si>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</si>
  <si>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</si>
  <si>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</si>
  <si>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</si>
  <si>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</si>
  <si>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</si>
  <si>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</si>
  <si>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</si>
  <si>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</si>
  <si>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</si>
  <si>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</si>
  <si>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</si>
  <si>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</si>
  <si>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</si>
  <si>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</si>
  <si>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</si>
  <si>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</si>
  <si>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</si>
  <si>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</si>
  <si>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</si>
  <si>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</si>
  <si>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</si>
  <si>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</si>
  <si>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</si>
  <si>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</si>
  <si>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</si>
  <si>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</si>
  <si>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</si>
  <si>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</si>
  <si>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</si>
  <si>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</si>
  <si>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</si>
  <si>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</si>
  <si>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</si>
  <si>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</si>
  <si>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</si>
  <si>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</si>
  <si>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</si>
  <si>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</si>
  <si>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</si>
  <si>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</si>
  <si>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</si>
  <si>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</si>
  <si>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</si>
  <si>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</si>
  <si>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</si>
  <si>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</si>
  <si>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</si>
  <si>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</si>
  <si>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</si>
  <si>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</si>
  <si>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</si>
  <si>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</si>
  <si>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</si>
  <si>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</si>
  <si>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</si>
  <si>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</si>
  <si>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</si>
  <si>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</si>
  <si>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</si>
  <si>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</si>
  <si>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</si>
  <si>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</si>
  <si>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</si>
  <si>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</si>
  <si>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</si>
  <si>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</si>
  <si>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</si>
  <si>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</si>
  <si>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</si>
  <si>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</si>
  <si>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</si>
  <si>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</si>
  <si>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</si>
  <si>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</si>
  <si>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</si>
  <si>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</si>
  <si>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</si>
  <si>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</si>
  <si>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</si>
  <si>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</si>
  <si>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</si>
  <si>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</si>
  <si>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</si>
  <si>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</si>
  <si>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</si>
  <si>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</si>
  <si>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</si>
  <si>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</si>
  <si>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</si>
  <si>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</si>
  <si>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</si>
  <si>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</si>
  <si>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</si>
  <si>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</si>
  <si>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</si>
  <si>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</si>
  <si>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</si>
  <si>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</si>
  <si>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</si>
  <si>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</si>
  <si>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</si>
  <si>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</si>
  <si>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</si>
  <si>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</si>
  <si>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</si>
  <si>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</si>
  <si>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</si>
  <si>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</si>
  <si>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</si>
  <si>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</si>
  <si>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</si>
  <si>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</si>
  <si>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</si>
  <si>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</si>
  <si>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</si>
  <si>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</si>
  <si>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</si>
  <si>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</si>
  <si>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</si>
  <si>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</si>
  <si>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</si>
  <si>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</si>
  <si>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</si>
  <si>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</si>
  <si>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</si>
  <si>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</si>
  <si>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</si>
  <si>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</si>
  <si>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</si>
  <si>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</si>
  <si>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</si>
  <si>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</si>
  <si>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</si>
  <si>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</si>
  <si>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</si>
  <si>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</si>
  <si>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</si>
  <si>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</si>
  <si>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</si>
  <si>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</si>
  <si>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</si>
  <si>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</si>
  <si>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</si>
  <si>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</si>
  <si>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</si>
  <si>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</si>
  <si>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</si>
  <si>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</si>
  <si>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</si>
  <si>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</si>
  <si>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</si>
  <si>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</si>
  <si>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</si>
  <si>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</si>
  <si>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</si>
  <si>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</si>
  <si>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</si>
  <si>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</si>
  <si>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</si>
  <si>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</si>
  <si>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</si>
  <si>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</si>
  <si>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</si>
  <si>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</si>
  <si>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</si>
  <si>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</si>
  <si>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</si>
  <si>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</si>
  <si>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</si>
  <si>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</si>
  <si>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</si>
  <si>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</si>
  <si>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</si>
  <si>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</si>
  <si>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</si>
  <si>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</si>
  <si>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</si>
  <si>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</si>
  <si>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</si>
  <si>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</si>
  <si>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</si>
  <si>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</si>
  <si>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</si>
  <si>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</si>
  <si>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</si>
  <si>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</si>
  <si>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</si>
  <si>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</si>
  <si>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</si>
  <si>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</si>
  <si>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</si>
  <si>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</si>
  <si>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</si>
  <si>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</si>
  <si>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</si>
  <si>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</si>
  <si>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</si>
  <si>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</si>
  <si>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</si>
  <si>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</si>
  <si>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</si>
  <si>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</si>
  <si>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</si>
  <si>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</si>
  <si>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</si>
  <si>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</si>
  <si>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</si>
  <si>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</si>
  <si>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</si>
  <si>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</si>
  <si>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</si>
  <si>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</si>
  <si>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</si>
  <si>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</si>
  <si>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</si>
  <si>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</si>
  <si>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</si>
  <si>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</si>
  <si>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</si>
  <si>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</si>
  <si>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</si>
  <si>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</si>
  <si>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</si>
  <si>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</si>
  <si>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</si>
  <si>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</si>
  <si>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</si>
  <si>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</si>
  <si>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</si>
  <si>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</si>
  <si>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</si>
  <si>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</si>
  <si>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</si>
  <si>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</si>
  <si>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</si>
  <si>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</si>
  <si>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</si>
  <si>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</si>
  <si>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</si>
  <si>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</si>
  <si>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</si>
  <si>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</si>
  <si>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</si>
  <si>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</si>
  <si>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</si>
  <si>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</si>
  <si>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</si>
  <si>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</si>
  <si>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</si>
  <si>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</si>
  <si>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</si>
  <si>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</si>
  <si>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</si>
  <si>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</si>
  <si>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</si>
  <si>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</si>
  <si>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</si>
  <si>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</si>
  <si>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</si>
  <si>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</si>
  <si>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</si>
  <si>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</si>
  <si>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</si>
  <si>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</si>
  <si>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</si>
  <si>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</si>
  <si>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</si>
  <si>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</si>
  <si>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</si>
  <si>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</si>
  <si>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</si>
  <si>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</si>
  <si>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</si>
  <si>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</si>
  <si>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</si>
  <si>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</si>
  <si>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</si>
  <si>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</si>
  <si>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</si>
  <si>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</si>
  <si>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</si>
  <si>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</si>
  <si>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</si>
  <si>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</si>
  <si>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</si>
  <si>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</si>
  <si>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</si>
  <si>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</si>
  <si>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</si>
  <si>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</si>
  <si>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</si>
  <si>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</si>
  <si>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</si>
  <si>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</si>
  <si>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</si>
  <si>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</si>
  <si>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</si>
  <si>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</si>
  <si>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</si>
  <si>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</si>
  <si>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</si>
  <si>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</si>
  <si>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</si>
  <si>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</si>
  <si>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</si>
  <si>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</si>
  <si>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</si>
  <si>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</si>
  <si>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</si>
  <si>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</si>
  <si>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</si>
  <si>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</si>
  <si>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</si>
  <si>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</si>
  <si>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</si>
  <si>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</si>
  <si>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</si>
  <si>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</si>
  <si>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</si>
  <si>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</si>
  <si>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</si>
  <si>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</si>
  <si>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</si>
  <si>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</si>
  <si>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</si>
  <si>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</si>
  <si>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</si>
  <si>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</si>
  <si>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</si>
  <si>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</si>
  <si>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</si>
  <si>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</si>
  <si>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</si>
  <si>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</si>
  <si>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</si>
  <si>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</si>
  <si>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</si>
  <si>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</si>
  <si>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</si>
  <si>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</si>
  <si>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</si>
  <si>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</si>
  <si>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</si>
  <si>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</si>
  <si>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</si>
  <si>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</si>
  <si>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</si>
  <si>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</si>
  <si>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</si>
  <si>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</si>
  <si>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</si>
  <si>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</si>
  <si>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</si>
  <si>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</si>
  <si>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</si>
  <si>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</si>
  <si>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</si>
  <si>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</si>
  <si>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</si>
  <si>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</si>
  <si>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</si>
  <si>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</si>
  <si>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</si>
  <si>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</si>
  <si>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</si>
  <si>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</si>
  <si>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</si>
  <si>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</si>
  <si>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</si>
  <si>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</si>
  <si>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</si>
  <si>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</si>
  <si>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</si>
  <si>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</si>
  <si>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</si>
  <si>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</si>
  <si>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</si>
  <si>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</si>
  <si>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</si>
  <si>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</si>
  <si>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</si>
  <si>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</si>
  <si>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</si>
  <si>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</si>
  <si>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</si>
  <si>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</si>
  <si>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</si>
  <si>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</si>
  <si>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</si>
  <si>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</si>
  <si>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</si>
  <si>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</si>
  <si>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</si>
  <si>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</si>
  <si>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</si>
  <si>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</si>
  <si>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</si>
  <si>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</si>
  <si>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</si>
  <si>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</si>
  <si>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</si>
  <si>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</si>
  <si>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</si>
  <si>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</si>
  <si>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</si>
  <si>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</si>
  <si>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</si>
  <si>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</si>
  <si>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</si>
  <si>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</si>
  <si>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</si>
  <si>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</si>
  <si>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</si>
  <si>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</si>
  <si>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</si>
  <si>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</si>
  <si>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</si>
  <si>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</si>
  <si>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</si>
  <si>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</si>
  <si>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</si>
  <si>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</si>
  <si>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</si>
  <si>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</si>
  <si>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</si>
  <si>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</si>
  <si>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</si>
  <si>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</si>
  <si>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</si>
  <si>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</si>
  <si>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</si>
  <si>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</si>
  <si>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</si>
  <si>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</si>
  <si>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</si>
  <si>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</si>
  <si>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</si>
  <si>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</si>
  <si>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</si>
  <si>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</si>
  <si>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</si>
  <si>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</si>
  <si>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</si>
  <si>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</si>
  <si>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</si>
  <si>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</si>
  <si>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</si>
  <si>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</si>
  <si>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</si>
  <si>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</si>
  <si>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</si>
  <si>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</si>
  <si>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</si>
  <si>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</si>
  <si>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</si>
  <si>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</si>
  <si>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</si>
  <si>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</si>
  <si>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</si>
  <si>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</si>
  <si>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</si>
  <si>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</si>
  <si>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</si>
  <si>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</si>
  <si>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</si>
  <si>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</si>
  <si>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</si>
  <si>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</si>
  <si>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</si>
  <si>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</si>
  <si>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</si>
  <si>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</si>
  <si>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</si>
  <si>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</si>
  <si>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</si>
  <si>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</si>
  <si>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</si>
  <si>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</si>
  <si>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</si>
  <si>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</si>
  <si>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</si>
  <si>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</si>
  <si>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</si>
  <si>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</si>
  <si>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</si>
  <si>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</si>
  <si>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</si>
  <si>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</si>
  <si>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</si>
  <si>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</si>
  <si>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</si>
  <si>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</si>
  <si>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</si>
  <si>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</si>
  <si>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</si>
  <si>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</si>
  <si>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</si>
  <si>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</si>
  <si>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</si>
  <si>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</si>
  <si>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</si>
  <si>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</si>
  <si>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</si>
  <si>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</si>
  <si>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</si>
  <si>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</si>
  <si>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</si>
  <si>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</si>
  <si>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</si>
  <si>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</si>
  <si>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</si>
  <si>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</si>
  <si>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</si>
  <si>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</si>
  <si>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</si>
  <si>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</si>
  <si>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</si>
  <si>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</si>
  <si>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</si>
  <si>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</si>
  <si>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</si>
  <si>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</si>
  <si>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</si>
  <si>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</si>
  <si>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</si>
  <si>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</si>
  <si>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</si>
  <si>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</si>
  <si>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</si>
  <si>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</si>
  <si>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</si>
  <si>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</si>
  <si>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</si>
  <si>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</si>
  <si>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</si>
  <si>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</si>
  <si>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</si>
  <si>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</si>
  <si>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</si>
  <si>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</si>
  <si>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</si>
  <si>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</si>
  <si>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</si>
  <si>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</si>
  <si>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</si>
  <si>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</si>
  <si>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</si>
  <si>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</si>
  <si>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</si>
  <si>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</si>
  <si>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</si>
  <si>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</si>
  <si>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</si>
  <si>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</si>
  <si>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</si>
  <si>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</si>
  <si>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</si>
  <si>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</si>
  <si>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</si>
  <si>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</si>
  <si>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</si>
  <si>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</si>
  <si>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</si>
  <si>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</si>
  <si>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</si>
  <si>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</si>
  <si>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</si>
  <si>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</si>
  <si>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</si>
  <si>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</si>
  <si>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</si>
  <si>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</si>
  <si>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</si>
  <si>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</si>
  <si>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</si>
  <si>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</si>
  <si>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</si>
  <si>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</si>
  <si>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</si>
  <si>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</si>
  <si>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</si>
  <si>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</si>
  <si>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</si>
  <si>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</si>
  <si>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</si>
  <si>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</si>
  <si>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</si>
  <si>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</si>
  <si>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</si>
  <si>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</si>
  <si>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</si>
  <si>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</si>
  <si>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</si>
  <si>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</si>
  <si>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</si>
  <si>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</si>
  <si>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</si>
  <si>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</si>
  <si>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</si>
  <si>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</si>
  <si>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</si>
  <si>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</si>
  <si>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</si>
  <si>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</si>
  <si>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</si>
  <si>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</si>
  <si>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</si>
  <si>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</si>
  <si>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</si>
  <si>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</si>
  <si>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</si>
  <si>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</si>
  <si>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</si>
  <si>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</si>
  <si>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</si>
  <si>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</si>
  <si>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</si>
  <si>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</si>
  <si>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</si>
  <si>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</si>
  <si>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</si>
  <si>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</si>
  <si>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</si>
  <si>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</si>
  <si>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</si>
  <si>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</si>
  <si>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</si>
  <si>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</si>
  <si>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</si>
  <si>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</si>
  <si>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</si>
  <si>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</si>
  <si>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</si>
  <si>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</si>
  <si>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</si>
  <si>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</si>
  <si>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</si>
  <si>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</si>
  <si>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</si>
  <si>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</si>
  <si>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</si>
  <si>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</si>
  <si>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</si>
  <si>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</si>
  <si>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</si>
  <si>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</si>
  <si>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</si>
  <si>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</si>
  <si>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</si>
  <si>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</si>
  <si>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</si>
  <si>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</si>
  <si>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</si>
  <si>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</si>
  <si>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</si>
  <si>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</si>
  <si>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</si>
  <si>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</si>
  <si>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</si>
  <si>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</si>
  <si>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</si>
  <si>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</si>
  <si>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</si>
  <si>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</si>
  <si>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</si>
  <si>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</si>
  <si>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</si>
  <si>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</si>
  <si>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</si>
  <si>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</si>
  <si>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</si>
  <si>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</si>
  <si>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</si>
  <si>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</si>
  <si>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</si>
  <si>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</si>
  <si>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</si>
  <si>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</si>
  <si>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</si>
  <si>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</si>
  <si>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</si>
  <si>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</si>
  <si>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</si>
  <si>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</si>
  <si>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</si>
  <si>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</si>
  <si>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</si>
  <si>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</si>
  <si>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</si>
  <si>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</si>
  <si>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</si>
  <si>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</si>
  <si>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</si>
  <si>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</si>
  <si>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</si>
  <si>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</si>
  <si>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</si>
  <si>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</si>
  <si>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</si>
  <si>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</si>
  <si>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</si>
  <si>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</si>
  <si>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</si>
  <si>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</si>
  <si>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</si>
  <si>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</si>
  <si>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</si>
  <si>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</si>
  <si>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</si>
  <si>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</si>
  <si>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</si>
  <si>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</si>
  <si>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</si>
  <si>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</si>
  <si>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</si>
  <si>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</si>
  <si>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</si>
  <si>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</si>
  <si>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</si>
  <si>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</si>
  <si>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</si>
  <si>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</si>
  <si>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</si>
  <si>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</si>
  <si>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</si>
  <si>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</si>
  <si>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</si>
  <si>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</si>
  <si>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</si>
  <si>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</si>
  <si>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</si>
  <si>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</si>
  <si>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</si>
  <si>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</si>
  <si>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</si>
  <si>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</si>
  <si>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</si>
  <si>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</si>
  <si>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</si>
  <si>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</si>
  <si>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</si>
  <si>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</si>
  <si>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</si>
  <si>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</si>
  <si>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</si>
  <si>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</si>
  <si>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</si>
  <si>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</si>
  <si>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</si>
  <si>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</si>
  <si>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</si>
  <si>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</si>
  <si>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</si>
  <si>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</si>
  <si>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</si>
  <si>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</si>
  <si>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</si>
  <si>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</si>
  <si>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</si>
  <si>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</si>
  <si>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</si>
  <si>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</si>
  <si>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</si>
  <si>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</si>
  <si>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</si>
  <si>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</si>
  <si>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</si>
  <si>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</si>
  <si>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</si>
  <si>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</si>
  <si>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</si>
  <si>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</si>
  <si>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</si>
  <si>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</si>
  <si>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</si>
  <si>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</si>
  <si>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</si>
  <si>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</si>
  <si>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</si>
  <si>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</si>
  <si>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</si>
  <si>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</si>
  <si>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</si>
  <si>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</si>
  <si>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</si>
  <si>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</si>
  <si>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</si>
  <si>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</si>
  <si>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</si>
  <si>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</si>
  <si>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</si>
  <si>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</si>
  <si>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</si>
  <si>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</si>
  <si>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</si>
  <si>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</si>
  <si>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</si>
  <si>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</si>
  <si>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</si>
  <si>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</si>
  <si>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</si>
  <si>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</si>
  <si>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</si>
  <si>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</si>
  <si>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</si>
  <si>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</si>
  <si>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</si>
  <si>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</si>
  <si>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</si>
  <si>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</si>
  <si>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</si>
  <si>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</si>
  <si>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</si>
  <si>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</si>
  <si>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</si>
  <si>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</si>
  <si>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</si>
  <si>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</si>
  <si>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</si>
  <si>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</si>
  <si>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</si>
  <si>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</si>
  <si>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</si>
  <si>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</si>
  <si>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</si>
  <si>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</si>
  <si>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</si>
  <si>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</si>
  <si>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</si>
  <si>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</si>
  <si>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</si>
  <si>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</si>
  <si>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</si>
  <si>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</si>
  <si>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</si>
  <si>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</si>
  <si>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</si>
  <si>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</si>
  <si>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</si>
  <si>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</si>
  <si>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</si>
  <si>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</si>
  <si>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</si>
  <si>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</si>
  <si>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</si>
  <si>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</si>
  <si>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</si>
  <si>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</si>
  <si>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</si>
  <si>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</si>
  <si>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</si>
  <si>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</si>
  <si>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</si>
  <si>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</si>
  <si>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</si>
  <si>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</si>
  <si>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</si>
  <si>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</si>
  <si>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</si>
  <si>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</si>
  <si>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</si>
  <si>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</si>
  <si>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</si>
  <si>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</si>
  <si>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</si>
  <si>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</si>
  <si>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</si>
  <si>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</si>
  <si>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</si>
  <si>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</si>
  <si>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</si>
  <si>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</si>
  <si>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</si>
  <si>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</si>
  <si>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</si>
  <si>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</si>
  <si>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</si>
  <si>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</si>
  <si>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</si>
  <si>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</si>
  <si>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</si>
  <si>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</si>
  <si>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</si>
  <si>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</si>
  <si>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</si>
  <si>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</si>
  <si>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</si>
  <si>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</si>
  <si>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</si>
  <si>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</si>
  <si>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</si>
  <si>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</si>
  <si>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</si>
  <si>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</si>
  <si>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</si>
  <si>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</si>
  <si>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</si>
  <si>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</si>
  <si>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</si>
  <si>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</si>
  <si>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</si>
  <si>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</si>
  <si>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</si>
  <si>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</si>
  <si>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</si>
  <si>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</si>
  <si>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</si>
  <si>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</si>
  <si>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</si>
  <si>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</si>
  <si>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</si>
  <si>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</si>
  <si>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</si>
  <si>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</si>
  <si>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</si>
  <si>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</si>
  <si>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</si>
  <si>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</si>
  <si>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</si>
  <si>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</si>
  <si>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</si>
  <si>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</si>
  <si>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</si>
  <si>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</si>
  <si>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</si>
  <si>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</si>
  <si>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</si>
  <si>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</si>
  <si>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</si>
  <si>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</si>
  <si>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</si>
  <si>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</si>
  <si>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</si>
  <si>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</si>
  <si>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</si>
  <si>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</si>
  <si>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</si>
  <si>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</si>
  <si>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</si>
  <si>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</si>
  <si>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</si>
  <si>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</si>
  <si>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</si>
  <si>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</si>
  <si>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</si>
  <si>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</si>
  <si>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</si>
  <si>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</si>
  <si>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</si>
  <si>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</si>
  <si>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</si>
  <si>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</si>
  <si>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</si>
  <si>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</si>
  <si>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</si>
  <si>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</si>
  <si>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</si>
  <si>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</si>
  <si>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</si>
  <si>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</si>
  <si>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</si>
  <si>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</si>
  <si>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</si>
  <si>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</si>
  <si>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</si>
  <si>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</si>
  <si>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</si>
  <si>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</si>
  <si>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</si>
  <si>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</si>
  <si>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</si>
  <si>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</si>
  <si>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</si>
  <si>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</si>
  <si>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</si>
  <si>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</si>
  <si>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</si>
  <si>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</si>
  <si>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</si>
  <si>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</si>
  <si>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</si>
  <si>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</si>
  <si>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</si>
  <si>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</si>
  <si>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</si>
  <si>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</si>
  <si>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</si>
  <si>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</si>
  <si>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</si>
  <si>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</si>
  <si>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</si>
  <si>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</si>
  <si>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</si>
  <si>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</si>
  <si>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</si>
  <si>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</si>
  <si>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</si>
  <si>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</si>
  <si>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</si>
  <si>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</si>
  <si>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</si>
  <si>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</si>
  <si>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</si>
  <si>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</si>
  <si>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</si>
  <si>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</si>
  <si>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</si>
  <si>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</si>
  <si>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</si>
  <si>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</si>
  <si>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</si>
  <si>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</si>
  <si>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</si>
  <si>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</si>
  <si>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</si>
  <si>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</si>
  <si>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</si>
  <si>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</si>
  <si>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</si>
  <si>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</si>
  <si>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</si>
  <si>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</si>
  <si>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</si>
  <si>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</si>
  <si>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</si>
  <si>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</si>
  <si>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</si>
  <si>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</si>
  <si>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</si>
  <si>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</si>
  <si>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</si>
  <si>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</si>
  <si>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</si>
  <si>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</si>
  <si>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</si>
  <si>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</si>
  <si>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</si>
  <si>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</si>
  <si>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</si>
  <si>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</si>
  <si>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</si>
  <si>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</si>
  <si>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</si>
  <si>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</si>
  <si>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</si>
  <si>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</si>
  <si>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</si>
  <si>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</si>
  <si>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</si>
  <si>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</si>
  <si>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</si>
  <si>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</si>
  <si>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</si>
  <si>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</si>
  <si>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</si>
  <si>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</si>
  <si>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</si>
  <si>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</si>
  <si>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</si>
  <si>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</si>
  <si>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</si>
  <si>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</si>
  <si>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</si>
  <si>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</si>
  <si>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</si>
  <si>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</si>
  <si>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</si>
  <si>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</si>
  <si>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</si>
  <si>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</si>
  <si>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</si>
  <si>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</si>
  <si>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</si>
  <si>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</si>
  <si>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</si>
  <si>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</si>
  <si>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</si>
  <si>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</si>
  <si>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</si>
  <si>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</si>
  <si>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</si>
  <si>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</si>
  <si>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</si>
  <si>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</si>
  <si>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</si>
  <si>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</si>
  <si>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</si>
  <si>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</si>
  <si>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</si>
  <si>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</si>
  <si>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</si>
  <si>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</si>
  <si>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</si>
  <si>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</si>
  <si>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</si>
  <si>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</si>
  <si>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</si>
  <si>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</si>
  <si>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</si>
  <si>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</si>
  <si>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</si>
  <si>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</si>
  <si>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</si>
  <si>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</si>
  <si>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</si>
  <si>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</si>
  <si>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</si>
  <si>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</si>
  <si>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</si>
  <si>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</si>
  <si>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</si>
  <si>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</si>
  <si>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</si>
  <si>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</si>
  <si>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</si>
  <si>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</si>
  <si>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</si>
  <si>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</si>
  <si>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</si>
  <si>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</si>
  <si>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</si>
  <si>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</si>
  <si>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</si>
  <si>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</si>
  <si>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</si>
  <si>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</si>
  <si>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</si>
  <si>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</si>
  <si>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</si>
  <si>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</si>
  <si>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</si>
  <si>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</si>
  <si>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</si>
  <si>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</si>
  <si>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</si>
  <si>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</si>
  <si>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</si>
  <si>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</si>
  <si>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</si>
  <si>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</si>
  <si>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</si>
  <si>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</si>
  <si>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</si>
  <si>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</si>
  <si>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</si>
  <si>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</si>
  <si>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</si>
  <si>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</si>
  <si>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</si>
  <si>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</si>
  <si>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</si>
  <si>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</si>
  <si>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</si>
  <si>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</si>
  <si>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</si>
  <si>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</si>
  <si>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</si>
  <si>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</si>
  <si>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</si>
  <si>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</si>
  <si>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</si>
  <si>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</si>
  <si>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</si>
  <si>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</si>
  <si>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</si>
  <si>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</si>
  <si>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</si>
  <si>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</si>
  <si>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</si>
  <si>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</si>
  <si>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</si>
  <si>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</si>
  <si>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</si>
  <si>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</si>
  <si>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</si>
  <si>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</si>
  <si>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</si>
  <si>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</si>
  <si>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</si>
  <si>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</si>
  <si>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</si>
  <si>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</si>
  <si>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</si>
  <si>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</si>
  <si>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</si>
  <si>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</si>
  <si>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</si>
  <si>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</si>
  <si>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</si>
  <si>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</si>
  <si>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</si>
  <si>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</si>
  <si>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</si>
  <si>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</si>
  <si>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</si>
  <si>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</si>
  <si>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</si>
  <si>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</si>
  <si>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</si>
  <si>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</si>
  <si>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</si>
  <si>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</si>
  <si>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</si>
  <si>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</si>
  <si>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</si>
  <si>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</si>
  <si>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</si>
  <si>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</si>
  <si>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</si>
  <si>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</si>
  <si>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</si>
  <si>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</si>
  <si>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</si>
  <si>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</si>
  <si>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</si>
  <si>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</si>
  <si>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</si>
  <si>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</si>
  <si>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</si>
  <si>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</si>
  <si>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</si>
  <si>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</si>
  <si>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</si>
  <si>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</si>
  <si>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</si>
  <si>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</si>
  <si>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</si>
  <si>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</si>
  <si>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</si>
  <si>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</si>
  <si>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</si>
  <si>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</si>
  <si>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</si>
  <si>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</si>
  <si>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</si>
  <si>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</si>
  <si>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</si>
  <si>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</si>
  <si>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</si>
  <si>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</si>
  <si>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</si>
  <si>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</si>
  <si>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</si>
  <si>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</si>
  <si>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</si>
  <si>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</si>
  <si>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</si>
  <si>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</si>
  <si>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</si>
  <si>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</si>
  <si>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</si>
  <si>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</si>
  <si>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</si>
  <si>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</si>
  <si>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</si>
  <si>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</si>
  <si>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</si>
  <si>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</si>
  <si>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</si>
  <si>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</si>
  <si>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</si>
  <si>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</si>
  <si>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</si>
  <si>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</si>
  <si>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</si>
  <si>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</si>
  <si>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</si>
  <si>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</si>
  <si>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</si>
  <si>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</si>
  <si>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</si>
  <si>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</si>
  <si>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</si>
  <si>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</si>
  <si>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</si>
  <si>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</si>
  <si>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</si>
  <si>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</si>
  <si>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</si>
  <si>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</si>
  <si>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</si>
  <si>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</si>
  <si>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</si>
  <si>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</si>
  <si>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</si>
  <si>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</si>
  <si>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</si>
  <si>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</si>
  <si>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</si>
  <si>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</si>
  <si>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</si>
  <si>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</si>
  <si>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</si>
  <si>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</si>
  <si>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</si>
  <si>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</si>
  <si>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</si>
  <si>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</si>
  <si>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</si>
  <si>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</si>
  <si>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</si>
  <si>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</si>
  <si>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</si>
  <si>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</si>
  <si>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</si>
  <si>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</si>
  <si>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</si>
  <si>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</si>
  <si>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</si>
  <si>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</si>
  <si>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</si>
  <si>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</si>
  <si>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</si>
  <si>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</si>
  <si>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</si>
  <si>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</si>
  <si>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</si>
  <si>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</si>
  <si>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</si>
  <si>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</si>
  <si>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</si>
  <si>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</si>
  <si>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</si>
  <si>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</si>
  <si>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</si>
  <si>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</si>
  <si>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</si>
  <si>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</si>
  <si>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</si>
  <si>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</si>
  <si>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</si>
  <si>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</si>
  <si>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</si>
  <si>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</si>
  <si>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</si>
  <si>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</si>
  <si>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</si>
  <si>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</si>
  <si>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</si>
  <si>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</si>
  <si>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</si>
  <si>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</si>
  <si>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</si>
  <si>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</si>
  <si>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</si>
  <si>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</si>
  <si>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</si>
  <si>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</si>
  <si>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</si>
  <si>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</si>
  <si>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</si>
  <si>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</si>
  <si>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</si>
  <si>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</si>
  <si>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</si>
  <si>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</si>
  <si>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</si>
  <si>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</si>
  <si>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</si>
  <si>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</si>
  <si>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</si>
  <si>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</si>
  <si>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</si>
  <si>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</si>
  <si>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</si>
  <si>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</si>
  <si>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</si>
  <si>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</si>
  <si>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</si>
  <si>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</si>
  <si>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</si>
  <si>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</si>
  <si>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</si>
  <si>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</si>
  <si>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</si>
  <si>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</si>
  <si>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</si>
  <si>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</si>
  <si>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</si>
  <si>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</si>
  <si>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</si>
  <si>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</si>
  <si>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</si>
  <si>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</si>
  <si>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</si>
  <si>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</si>
  <si>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</si>
  <si>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</si>
  <si>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</si>
  <si>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</si>
  <si>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</si>
  <si>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</si>
  <si>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</si>
  <si>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</si>
  <si>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</si>
  <si>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</si>
  <si>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</si>
  <si>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</si>
  <si>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</si>
  <si>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</si>
  <si>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</si>
  <si>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</si>
  <si>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</si>
  <si>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</si>
  <si>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</si>
  <si>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</si>
  <si>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</si>
  <si>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</si>
  <si>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</si>
  <si>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</si>
  <si>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</si>
  <si>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</si>
  <si>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</si>
  <si>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</si>
  <si>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</si>
  <si>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</si>
  <si>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</si>
  <si>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</si>
  <si>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</si>
  <si>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</si>
  <si>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</si>
  <si>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</si>
  <si>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</si>
  <si>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</si>
  <si>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</si>
  <si>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</si>
  <si>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</si>
  <si>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</si>
  <si>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</si>
  <si>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</si>
  <si>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</si>
  <si>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</si>
  <si>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</si>
  <si>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</si>
  <si>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</si>
  <si>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</si>
  <si>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</si>
  <si>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</si>
  <si>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</si>
  <si>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</si>
  <si>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</si>
  <si>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</si>
  <si>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</si>
  <si>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</si>
  <si>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</si>
  <si>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</si>
  <si>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</si>
  <si>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</si>
  <si>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</si>
  <si>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</si>
  <si>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</si>
  <si>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</si>
  <si>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</si>
  <si>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</si>
  <si>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</si>
  <si>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</si>
  <si>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</si>
  <si>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</si>
  <si>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</si>
  <si>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</si>
  <si>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</si>
  <si>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</si>
  <si>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</si>
  <si>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</si>
  <si>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</si>
  <si>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</si>
  <si>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</si>
  <si>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</si>
  <si>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</si>
  <si>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</si>
  <si>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</si>
  <si>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</si>
  <si>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</si>
  <si>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</si>
  <si>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</si>
  <si>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</si>
  <si>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</si>
  <si>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</si>
  <si>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</si>
  <si>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</si>
  <si>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</si>
  <si>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</si>
  <si>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</si>
  <si>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</si>
  <si>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</si>
  <si>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</si>
  <si>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</si>
  <si>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</si>
  <si>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</si>
  <si>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</si>
  <si>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</si>
  <si>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</si>
  <si>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</si>
  <si>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</si>
  <si>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</si>
  <si>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</si>
  <si>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</si>
  <si>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</si>
  <si>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</si>
  <si>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</si>
  <si>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</si>
  <si>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</si>
  <si>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</si>
  <si>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</si>
  <si>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</si>
  <si>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</si>
  <si>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</si>
  <si>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</si>
  <si>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</si>
  <si>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</si>
  <si>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</si>
  <si>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</si>
  <si>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</si>
  <si>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</si>
  <si>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</si>
  <si>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</si>
  <si>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</si>
  <si>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</si>
  <si>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</si>
  <si>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</si>
  <si>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</si>
  <si>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</si>
  <si>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</si>
  <si>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</si>
  <si>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</si>
  <si>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</si>
  <si>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</si>
  <si>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</si>
  <si>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</si>
  <si>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</si>
  <si>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</si>
  <si>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</si>
  <si>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</si>
  <si>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</si>
  <si>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</si>
  <si>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</si>
  <si>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</si>
  <si>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</si>
  <si>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</si>
  <si>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</si>
  <si>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</si>
  <si>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</si>
  <si>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</si>
  <si>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</si>
  <si>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</si>
  <si>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</si>
  <si>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</si>
  <si>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</si>
  <si>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</si>
  <si>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</si>
  <si>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</si>
  <si>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</si>
  <si>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</si>
  <si>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</si>
  <si>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</si>
  <si>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</si>
  <si>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</si>
  <si>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</si>
  <si>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</si>
  <si>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</si>
  <si>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</si>
  <si>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</si>
  <si>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</si>
  <si>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</si>
  <si>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</si>
  <si>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</si>
  <si>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</si>
  <si>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</si>
  <si>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</si>
  <si>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</si>
  <si>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</si>
  <si>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</si>
  <si>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</si>
  <si>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</si>
  <si>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</si>
  <si>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</si>
  <si>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</si>
  <si>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</si>
  <si>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</si>
  <si>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</si>
  <si>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</si>
  <si>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</si>
  <si>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</si>
  <si>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</si>
  <si>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</si>
  <si>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</si>
  <si>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</si>
  <si>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</si>
  <si>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</si>
  <si>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</si>
  <si>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</si>
  <si>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</si>
  <si>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</si>
  <si>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</si>
  <si>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</si>
  <si>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</si>
  <si>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</si>
  <si>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</si>
  <si>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</si>
  <si>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</si>
  <si>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</si>
  <si>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</si>
  <si>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</si>
  <si>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</si>
  <si>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</si>
  <si>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</si>
  <si>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</si>
  <si>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</si>
  <si>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</si>
  <si>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</si>
  <si>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</si>
  <si>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</si>
  <si>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</si>
  <si>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</si>
  <si>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</si>
  <si>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</si>
  <si>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</si>
  <si>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</si>
  <si>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</si>
  <si>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</si>
  <si>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</si>
  <si>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</si>
  <si>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</si>
  <si>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</si>
  <si>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</si>
  <si>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</si>
  <si>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</si>
  <si>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</si>
  <si>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</si>
  <si>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</si>
  <si>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</si>
  <si>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</si>
  <si>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</si>
  <si>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</si>
  <si>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</si>
  <si>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</si>
  <si>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</si>
  <si>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</si>
  <si>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</si>
  <si>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</si>
  <si>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</si>
  <si>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</si>
  <si>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</si>
  <si>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</si>
  <si>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</si>
  <si>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</si>
  <si>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</si>
  <si>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</si>
  <si>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</si>
  <si>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</si>
  <si>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</si>
  <si>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</si>
  <si>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</si>
  <si>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</si>
  <si>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</si>
  <si>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</si>
  <si>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</si>
  <si>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</si>
  <si>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</si>
  <si>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</si>
  <si>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</si>
  <si>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</si>
  <si>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</si>
  <si>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</si>
  <si>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</si>
  <si>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</si>
  <si>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</si>
  <si>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</si>
  <si>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</si>
  <si>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</si>
  <si>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</si>
  <si>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</si>
  <si>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</si>
  <si>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</si>
  <si>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</si>
  <si>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</si>
  <si>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</si>
  <si>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</si>
  <si>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</si>
  <si>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</si>
  <si>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</si>
  <si>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</si>
  <si>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</si>
  <si>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</si>
  <si>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</si>
  <si>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</si>
  <si>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</si>
  <si>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</si>
  <si>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</si>
  <si>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</si>
  <si>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</si>
  <si>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</si>
  <si>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</si>
  <si>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</si>
  <si>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</si>
  <si>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</si>
  <si>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</si>
  <si>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</si>
  <si>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</si>
  <si>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</si>
  <si>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</si>
  <si>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</si>
  <si>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</si>
  <si>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</si>
  <si>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</si>
  <si>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</si>
  <si>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</si>
  <si>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</si>
  <si>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</si>
  <si>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</si>
  <si>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</si>
  <si>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</si>
  <si>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</si>
  <si>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</si>
  <si>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</si>
  <si>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</si>
  <si>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</si>
  <si>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</si>
  <si>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</si>
  <si>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</si>
  <si>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</si>
  <si>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</si>
  <si>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</si>
  <si>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</si>
  <si>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</si>
  <si>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</si>
  <si>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</si>
  <si>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</si>
  <si>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</si>
  <si>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</si>
  <si>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</si>
  <si>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</si>
  <si>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</si>
  <si>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</si>
  <si>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</si>
  <si>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</si>
  <si>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</si>
  <si>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</si>
  <si>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</si>
  <si>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</si>
  <si>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</si>
  <si>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</si>
  <si>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</si>
  <si>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</si>
  <si>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</si>
  <si>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</si>
  <si>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</si>
  <si>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</si>
  <si>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</si>
  <si>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</si>
  <si>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</si>
  <si>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</si>
  <si>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</si>
  <si>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</si>
  <si>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</si>
  <si>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</si>
  <si>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</si>
  <si>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</si>
  <si>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</si>
  <si>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</si>
  <si>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</si>
  <si>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</si>
  <si>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</si>
  <si>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</si>
  <si>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</si>
  <si>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</si>
  <si>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</si>
  <si>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</si>
  <si>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</si>
  <si>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</si>
  <si>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</si>
  <si>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</si>
  <si>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</si>
  <si>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</si>
  <si>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</si>
  <si>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</si>
  <si>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</si>
  <si>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</si>
  <si>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</si>
  <si>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</si>
  <si>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</si>
  <si>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</si>
  <si>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</si>
  <si>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</si>
  <si>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</si>
  <si>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</si>
  <si>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</si>
  <si>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</si>
  <si>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</si>
  <si>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</si>
  <si>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</si>
  <si>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</si>
  <si>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</si>
  <si>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</si>
  <si>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</si>
  <si>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</si>
  <si>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</si>
  <si>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</si>
  <si>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</si>
  <si>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</si>
  <si>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</si>
  <si>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</si>
  <si>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</si>
  <si>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</si>
  <si>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</si>
  <si>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</si>
  <si>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</si>
  <si>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</si>
  <si>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</si>
  <si>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</si>
  <si>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</si>
  <si>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</si>
  <si>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</si>
  <si>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</si>
  <si>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</si>
  <si>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</si>
  <si>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</si>
  <si>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</si>
  <si>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</si>
  <si>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</si>
  <si>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</si>
  <si>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</si>
  <si>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</si>
  <si>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</si>
  <si>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</si>
  <si>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</si>
  <si>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</si>
  <si>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</si>
  <si>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</si>
  <si>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</si>
  <si>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</si>
  <si>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</si>
  <si>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</si>
  <si>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</si>
  <si>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</si>
  <si>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</si>
  <si>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</si>
  <si>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</si>
  <si>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</si>
  <si>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</si>
  <si>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</si>
  <si>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</si>
  <si>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</si>
  <si>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</si>
  <si>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</si>
  <si>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</si>
  <si>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</si>
  <si>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</si>
  <si>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</si>
  <si>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</si>
  <si>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</si>
  <si>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</si>
  <si>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</si>
  <si>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</si>
  <si>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</si>
  <si>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</si>
  <si>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</si>
  <si>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</si>
  <si>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</si>
  <si>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</si>
  <si>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</si>
  <si>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</si>
  <si>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</si>
  <si>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</si>
  <si>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</si>
  <si>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</si>
  <si>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</si>
  <si>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</si>
  <si>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</si>
  <si>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</si>
  <si>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</si>
  <si>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</si>
  <si>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</si>
  <si>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</si>
  <si>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</si>
  <si>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</si>
  <si>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</si>
  <si>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</si>
  <si>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</si>
  <si>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</si>
  <si>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</si>
  <si>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</si>
  <si>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</si>
  <si>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</si>
  <si>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</si>
  <si>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</si>
  <si>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</si>
  <si>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</si>
  <si>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</si>
  <si>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</si>
  <si>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</si>
  <si>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</si>
  <si>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</si>
  <si>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</si>
  <si>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</si>
  <si>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</si>
  <si>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</si>
  <si>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</si>
  <si>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</si>
  <si>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</si>
  <si>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</si>
  <si>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</si>
  <si>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</si>
  <si>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</si>
  <si>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</si>
  <si>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</si>
  <si>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</si>
  <si>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</si>
  <si>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</si>
  <si>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</si>
  <si>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</si>
  <si>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</si>
  <si>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</si>
  <si>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</si>
  <si>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</si>
  <si>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</si>
  <si>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</si>
  <si>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</si>
  <si>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</si>
  <si>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</si>
  <si>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</si>
  <si>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</si>
  <si>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</si>
  <si>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</si>
  <si>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</si>
  <si>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</si>
  <si>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</si>
  <si>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</si>
  <si>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</si>
  <si>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</si>
  <si>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</si>
  <si>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</si>
  <si>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</si>
  <si>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</si>
  <si>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</si>
  <si>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</si>
  <si>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</si>
  <si>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</si>
  <si>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</si>
  <si>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</si>
  <si>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</si>
  <si>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</si>
  <si>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</si>
  <si>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</si>
  <si>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</si>
  <si>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</si>
  <si>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</si>
  <si>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</si>
  <si>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</si>
  <si>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</si>
  <si>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</si>
  <si>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</si>
  <si>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</si>
  <si>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</si>
  <si>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</si>
  <si>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</si>
  <si>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</si>
  <si>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</si>
  <si>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</si>
  <si>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</si>
  <si>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</si>
  <si>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</si>
  <si>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</si>
  <si>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</si>
  <si>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</si>
  <si>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</si>
  <si>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</si>
  <si>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</si>
  <si>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</si>
  <si>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</si>
  <si>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</si>
  <si>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</si>
  <si>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</si>
  <si>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</si>
  <si>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</si>
  <si>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</si>
  <si>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</si>
  <si>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</si>
  <si>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</si>
  <si>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</si>
  <si>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</si>
  <si>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</si>
  <si>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</si>
  <si>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</si>
  <si>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</si>
  <si>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</si>
  <si>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</si>
  <si>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</si>
  <si>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</si>
  <si>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</si>
  <si>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</si>
  <si>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</si>
  <si>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</si>
  <si>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</si>
  <si>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</si>
  <si>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</si>
  <si>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</si>
  <si>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</si>
  <si>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</si>
  <si>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</si>
  <si>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</si>
  <si>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</si>
  <si>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</si>
  <si>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</si>
  <si>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</si>
  <si>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</si>
  <si>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</si>
  <si>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</si>
  <si>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</si>
  <si>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</si>
  <si>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</si>
  <si>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</si>
  <si>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</si>
  <si>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</si>
  <si>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</si>
  <si>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</si>
  <si>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</si>
  <si>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</si>
  <si>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</si>
  <si>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</si>
  <si>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</si>
  <si>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</si>
  <si>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</si>
  <si>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</si>
  <si>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</si>
  <si>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</si>
  <si>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</si>
  <si>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</si>
  <si>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</si>
  <si>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</si>
  <si>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</si>
  <si>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</si>
  <si>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</si>
  <si>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</si>
  <si>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</si>
  <si>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</si>
  <si>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</si>
  <si>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</si>
  <si>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</si>
  <si>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</si>
  <si>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</si>
  <si>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</si>
  <si>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</si>
  <si>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</si>
  <si>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</si>
  <si>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</si>
  <si>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</si>
  <si>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</si>
  <si>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</si>
  <si>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</si>
  <si>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</si>
  <si>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</si>
  <si>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</si>
  <si>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</si>
  <si>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</si>
  <si>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</si>
  <si>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</si>
  <si>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</si>
  <si>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</si>
  <si>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</si>
  <si>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</si>
  <si>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</si>
  <si>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</si>
  <si>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</si>
  <si>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</si>
  <si>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</si>
  <si>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</si>
  <si>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</si>
  <si>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</si>
  <si>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</si>
  <si>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</si>
  <si>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</si>
  <si>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</si>
  <si>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</si>
  <si>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</si>
  <si>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</si>
  <si>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</si>
  <si>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</si>
  <si>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</si>
  <si>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</si>
  <si>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</si>
  <si>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</si>
  <si>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</si>
  <si>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</si>
  <si>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</si>
  <si>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</si>
  <si>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</si>
  <si>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</si>
  <si>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</si>
  <si>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</si>
  <si>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</si>
  <si>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</si>
  <si>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</si>
  <si>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</si>
  <si>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</si>
  <si>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</si>
  <si>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</si>
  <si>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</si>
  <si>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</si>
  <si>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</si>
  <si>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</si>
  <si>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</si>
  <si>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</si>
  <si>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</si>
  <si>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</si>
  <si>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</si>
  <si>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</si>
  <si>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</si>
  <si>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</si>
  <si>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</si>
  <si>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</si>
  <si>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</si>
  <si>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</si>
  <si>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</si>
  <si>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</si>
  <si>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</si>
  <si>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</si>
  <si>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</si>
  <si>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</si>
  <si>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</si>
  <si>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</si>
  <si>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</si>
  <si>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</si>
  <si>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</si>
  <si>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</si>
  <si>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</si>
  <si>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</si>
  <si>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</si>
  <si>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</si>
  <si>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</si>
  <si>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</si>
  <si>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</si>
  <si>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</si>
  <si>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</si>
  <si>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</si>
  <si>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</si>
  <si>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</si>
  <si>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</si>
  <si>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</si>
  <si>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</si>
  <si>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</si>
  <si>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</si>
  <si>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</si>
  <si>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</si>
  <si>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</si>
  <si>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</si>
  <si>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</si>
  <si>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</si>
  <si>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</si>
  <si>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</si>
  <si>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</si>
  <si>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</si>
  <si>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</si>
  <si>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</si>
  <si>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</si>
  <si>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</si>
  <si>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</si>
  <si>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</si>
  <si>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</si>
  <si>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</si>
  <si>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</si>
  <si>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</si>
  <si>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</si>
  <si>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</si>
  <si>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</si>
  <si>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</si>
  <si>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</si>
  <si>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</si>
  <si>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</si>
  <si>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</si>
  <si>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</si>
  <si>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</si>
  <si>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</si>
  <si>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</si>
  <si>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</si>
  <si>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</si>
  <si>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</si>
  <si>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</si>
  <si>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</si>
  <si>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</si>
  <si>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</si>
  <si>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</si>
  <si>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</si>
  <si>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</si>
  <si>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</si>
  <si>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</si>
  <si>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</si>
  <si>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</si>
  <si>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</si>
  <si>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</si>
  <si>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</si>
  <si>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</si>
  <si>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</si>
  <si>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</si>
  <si>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</si>
  <si>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</si>
  <si>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</si>
  <si>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</si>
  <si>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</si>
  <si>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</si>
  <si>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</si>
  <si>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</si>
  <si>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</si>
  <si>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</si>
  <si>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</si>
  <si>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</si>
  <si>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</si>
  <si>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</si>
  <si>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</si>
  <si>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</si>
  <si>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</si>
  <si>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</si>
  <si>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</si>
  <si>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</si>
  <si>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</si>
  <si>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</si>
  <si>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</si>
  <si>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</si>
  <si>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</si>
  <si>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</si>
  <si>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</si>
  <si>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</si>
  <si>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</si>
  <si>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</si>
  <si>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</si>
  <si>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</si>
  <si>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</si>
  <si>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</si>
  <si>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</si>
  <si>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</si>
  <si>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</si>
  <si>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</si>
  <si>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</si>
  <si>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</si>
  <si>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</si>
  <si>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</si>
  <si>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</si>
  <si>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</si>
  <si>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</si>
  <si>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</si>
  <si>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</si>
  <si>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</si>
  <si>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</si>
  <si>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</si>
  <si>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</si>
  <si>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</si>
  <si>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</si>
  <si>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</si>
  <si>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</si>
  <si>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</si>
  <si>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</si>
  <si>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</si>
  <si>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</si>
  <si>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</si>
  <si>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</si>
  <si>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</si>
  <si>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</si>
  <si>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</si>
  <si>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</si>
  <si>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</si>
  <si>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</si>
  <si>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</si>
  <si>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</si>
  <si>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</si>
  <si>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</si>
  <si>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</si>
  <si>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</si>
  <si>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</si>
  <si>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</si>
  <si>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</si>
  <si>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</si>
  <si>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</si>
  <si>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</si>
  <si>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</si>
  <si>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</si>
  <si>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</si>
  <si>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</si>
  <si>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</si>
  <si>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</si>
  <si>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</si>
  <si>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</si>
  <si>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</si>
  <si>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</si>
  <si>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</si>
  <si>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</si>
  <si>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</si>
  <si>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</si>
  <si>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</si>
  <si>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</si>
  <si>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</si>
  <si>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</si>
  <si>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</si>
  <si>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</si>
  <si>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</si>
  <si>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</si>
  <si>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</si>
  <si>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</si>
  <si>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</si>
  <si>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</si>
  <si>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</si>
  <si>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</si>
  <si>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</si>
  <si>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</si>
  <si>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</si>
  <si>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</si>
  <si>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</si>
  <si>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</si>
  <si>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</si>
  <si>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</si>
  <si>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</si>
  <si>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</si>
  <si>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</si>
  <si>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</si>
  <si>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</si>
  <si>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</si>
  <si>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</si>
  <si>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</si>
  <si>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</si>
  <si>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</si>
  <si>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</si>
  <si>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</si>
  <si>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</si>
  <si>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</si>
  <si>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</si>
  <si>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</si>
  <si>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</si>
  <si>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</si>
  <si>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</si>
  <si>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</si>
  <si>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</si>
  <si>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</si>
  <si>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</si>
  <si>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</si>
  <si>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</si>
  <si>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</si>
  <si>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</si>
  <si>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</si>
  <si>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</si>
  <si>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</si>
  <si>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</si>
  <si>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</si>
  <si>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</si>
  <si>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</si>
  <si>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</si>
  <si>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</si>
  <si>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</si>
  <si>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</si>
  <si>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</si>
  <si>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</si>
  <si>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</si>
  <si>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</si>
  <si>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</si>
  <si>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</si>
  <si>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</si>
  <si>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</si>
  <si>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</si>
  <si>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</si>
  <si>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</si>
  <si>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</si>
  <si>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</si>
  <si>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</si>
  <si>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</si>
  <si>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</si>
  <si>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</si>
  <si>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</si>
  <si>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</si>
  <si>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</si>
  <si>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</si>
  <si>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</si>
  <si>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</si>
  <si>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</si>
  <si>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</si>
  <si>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</si>
  <si>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</si>
  <si>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</si>
  <si>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</si>
  <si>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</si>
  <si>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</si>
  <si>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</si>
  <si>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</si>
  <si>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</si>
  <si>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</si>
  <si>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</si>
  <si>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</si>
  <si>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</si>
  <si>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</si>
  <si>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</si>
  <si>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</si>
  <si>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</si>
  <si>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</si>
  <si>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</si>
  <si>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</si>
  <si>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</si>
  <si>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</si>
  <si>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</si>
  <si>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</si>
  <si>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</si>
  <si>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</si>
  <si>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</si>
  <si>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</si>
  <si>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</si>
  <si>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</si>
  <si>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</si>
  <si>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</si>
  <si>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</si>
  <si>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</si>
  <si>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</si>
  <si>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</si>
  <si>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</si>
  <si>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</si>
  <si>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</si>
  <si>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</si>
  <si>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</si>
  <si>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</si>
  <si>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</si>
  <si>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</si>
  <si>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</si>
  <si>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</si>
  <si>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</si>
  <si>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</si>
  <si>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</si>
  <si>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</si>
  <si>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</si>
  <si>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</si>
  <si>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</si>
  <si>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</si>
  <si>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</si>
  <si>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</si>
  <si>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</si>
  <si>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</si>
  <si>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</si>
  <si>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</si>
  <si>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</si>
  <si>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</si>
  <si>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</si>
  <si>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</si>
  <si>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</si>
  <si>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</si>
  <si>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</si>
  <si>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</si>
  <si>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</si>
  <si>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</si>
  <si>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</si>
  <si>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</si>
  <si>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</si>
  <si>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</si>
  <si>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</si>
  <si>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</si>
  <si>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</si>
  <si>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</si>
  <si>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</si>
  <si>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</si>
  <si>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</si>
  <si>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</si>
  <si>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</si>
  <si>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</si>
  <si>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</si>
  <si>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</si>
  <si>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</si>
  <si>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</si>
  <si>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</si>
  <si>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</si>
  <si>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</si>
  <si>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</si>
  <si>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</si>
  <si>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</si>
  <si>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</si>
  <si>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</si>
  <si>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</si>
  <si>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</si>
  <si>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</si>
  <si>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</si>
  <si>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</si>
  <si>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</si>
  <si>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</si>
  <si>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</si>
  <si>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</si>
  <si>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</si>
  <si>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</si>
  <si>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</si>
  <si>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</si>
  <si>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</si>
  <si>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</si>
  <si>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</si>
  <si>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</si>
  <si>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</si>
  <si>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</si>
  <si>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</si>
  <si>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</si>
  <si>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</si>
  <si>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</si>
  <si>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</si>
  <si>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</si>
  <si>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</si>
  <si>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</si>
  <si>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</si>
  <si>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</si>
  <si>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</si>
  <si>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</si>
  <si>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</si>
  <si>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</si>
  <si>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</si>
  <si>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</si>
  <si>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</si>
  <si>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</si>
  <si>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</si>
  <si>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</si>
  <si>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</si>
  <si>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</si>
  <si>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</si>
  <si>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</si>
  <si>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</si>
  <si>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</si>
  <si>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</si>
  <si>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</si>
  <si>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</si>
  <si>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</si>
  <si>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</si>
  <si>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</si>
  <si>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</si>
  <si>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</si>
  <si>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</si>
  <si>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</si>
  <si>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</si>
  <si>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</si>
  <si>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</si>
  <si>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</si>
  <si>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</si>
  <si>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</si>
  <si>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</si>
  <si>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</si>
  <si>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</si>
  <si>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</si>
  <si>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</si>
  <si>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</si>
  <si>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</si>
  <si>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</si>
  <si>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</si>
  <si>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</si>
  <si>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</si>
  <si>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</si>
  <si>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</si>
  <si>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</si>
  <si>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</si>
  <si>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</si>
  <si>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</si>
  <si>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</si>
  <si>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</si>
  <si>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</si>
  <si>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</si>
  <si>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</si>
  <si>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</si>
  <si>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</si>
  <si>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</si>
  <si>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</si>
  <si>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</si>
  <si>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</si>
  <si>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</si>
  <si>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</si>
  <si>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</si>
  <si>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</si>
  <si>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</si>
  <si>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</si>
  <si>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</si>
  <si>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</si>
  <si>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</si>
  <si>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</si>
  <si>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</si>
  <si>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</si>
  <si>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</si>
  <si>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</si>
  <si>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</si>
  <si>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</si>
  <si>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</si>
  <si>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</si>
  <si>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</si>
  <si>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</si>
  <si>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</si>
  <si>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</si>
  <si>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</si>
  <si>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</si>
  <si>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</si>
  <si>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</si>
  <si>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</si>
  <si>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</si>
  <si>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</si>
  <si>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</si>
  <si>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</si>
  <si>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</si>
  <si>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</si>
  <si>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</si>
  <si>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</si>
  <si>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</si>
  <si>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</si>
  <si>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</si>
  <si>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</si>
  <si>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</si>
  <si>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</si>
  <si>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</si>
  <si>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</si>
  <si>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</si>
  <si>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</si>
  <si>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</si>
  <si>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</si>
  <si>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</si>
  <si>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</si>
  <si>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</si>
  <si>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</si>
  <si>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</si>
  <si>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</si>
  <si>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</si>
  <si>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</si>
  <si>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</si>
  <si>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</si>
  <si>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</si>
  <si>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</si>
  <si>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</si>
  <si>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</si>
  <si>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</si>
  <si>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</si>
  <si>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</si>
  <si>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</si>
  <si>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</si>
  <si>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</si>
  <si>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</si>
  <si>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</si>
  <si>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</si>
  <si>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</si>
  <si>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</si>
  <si>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</si>
  <si>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</si>
  <si>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</si>
  <si>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</si>
  <si>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</si>
  <si>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</si>
  <si>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</si>
  <si>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</si>
  <si>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</si>
  <si>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</si>
  <si>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</si>
  <si>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</si>
  <si>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</si>
  <si>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</si>
  <si>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</si>
  <si>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</si>
  <si>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</si>
  <si>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</si>
  <si>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</si>
  <si>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</si>
  <si>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</si>
  <si>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</si>
  <si>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</si>
  <si>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</si>
  <si>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</si>
  <si>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</si>
  <si>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</si>
  <si>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</si>
  <si>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</si>
  <si>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</si>
  <si>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</si>
  <si>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</si>
  <si>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</si>
  <si>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</si>
  <si>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</si>
  <si>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</si>
  <si>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</si>
  <si>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</si>
  <si>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</si>
  <si>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</si>
  <si>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</si>
  <si>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</si>
  <si>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</si>
  <si>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</si>
  <si>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</si>
  <si>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</si>
  <si>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</si>
  <si>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</si>
  <si>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</si>
  <si>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</si>
  <si>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</si>
  <si>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</si>
  <si>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</si>
  <si>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</si>
  <si>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</si>
  <si>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</si>
  <si>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</si>
  <si>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</si>
  <si>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</si>
  <si>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</si>
  <si>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</si>
  <si>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</si>
  <si>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</si>
  <si>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</si>
  <si>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</si>
  <si>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</si>
  <si>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</si>
  <si>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</si>
  <si>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</si>
  <si>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</si>
  <si>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</si>
  <si>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</si>
  <si>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</si>
  <si>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</si>
  <si>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</si>
  <si>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</si>
  <si>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</si>
  <si>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</si>
  <si>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</si>
  <si>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</si>
  <si>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</si>
  <si>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</si>
  <si>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</si>
  <si>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</si>
  <si>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</si>
  <si>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</si>
  <si>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</si>
  <si>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</si>
  <si>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</si>
  <si>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</si>
  <si>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</si>
  <si>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</si>
  <si>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</si>
  <si>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</si>
  <si>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</si>
  <si>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</si>
  <si>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</si>
  <si>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</si>
  <si>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</si>
  <si>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</si>
  <si>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</si>
  <si>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</si>
  <si>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</si>
  <si>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</si>
  <si>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</si>
  <si>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</si>
  <si>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</si>
  <si>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</si>
  <si>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</si>
  <si>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</si>
  <si>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</si>
  <si>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</si>
  <si>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</si>
  <si>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</si>
  <si>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</si>
  <si>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</si>
  <si>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</si>
  <si>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</si>
  <si>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</si>
  <si>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</si>
  <si>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</si>
  <si>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</si>
  <si>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</si>
  <si>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</si>
  <si>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</si>
  <si>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</si>
  <si>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</si>
  <si>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</si>
  <si>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</si>
  <si>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</si>
  <si>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</si>
  <si>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</si>
  <si>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</si>
  <si>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</si>
  <si>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</si>
  <si>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</si>
  <si>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</si>
  <si>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</si>
  <si>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</si>
  <si>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</si>
  <si>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</si>
  <si>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</si>
  <si>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</si>
  <si>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</si>
  <si>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</si>
  <si>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</si>
  <si>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</si>
  <si>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</si>
  <si>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</si>
  <si>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</si>
  <si>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</si>
  <si>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</si>
  <si>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</si>
  <si>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</si>
  <si>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</si>
  <si>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</si>
  <si>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</si>
  <si>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</si>
  <si>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</si>
  <si>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</si>
  <si>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</si>
  <si>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</si>
  <si>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</si>
  <si>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</si>
  <si>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</si>
  <si>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</si>
  <si>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</si>
  <si>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</si>
  <si>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</si>
  <si>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</si>
  <si>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</si>
  <si>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</si>
  <si>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</si>
  <si>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</si>
  <si>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</si>
  <si>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</si>
  <si>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</si>
  <si>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</si>
  <si>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</si>
  <si>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</si>
  <si>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</si>
  <si>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</si>
  <si>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</si>
  <si>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</si>
  <si>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</si>
  <si>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</si>
  <si>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</si>
  <si>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</si>
  <si>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</si>
  <si>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</si>
  <si>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</si>
  <si>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</si>
  <si>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</si>
  <si>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</si>
  <si>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</si>
  <si>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</si>
  <si>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</si>
  <si>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</si>
  <si>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</si>
  <si>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</si>
  <si>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</si>
  <si>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</si>
  <si>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</si>
  <si>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</si>
  <si>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</si>
  <si>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</si>
  <si>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</si>
  <si>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</si>
  <si>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</si>
  <si>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</si>
  <si>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</si>
  <si>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</si>
  <si>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</si>
  <si>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</si>
  <si>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</si>
  <si>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</si>
  <si>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</si>
  <si>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</si>
  <si>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</si>
  <si>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</si>
  <si>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</si>
  <si>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</si>
  <si>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</si>
  <si>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</si>
  <si>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</si>
  <si>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</si>
  <si>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</si>
  <si>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</si>
  <si>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</si>
  <si>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</si>
  <si>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</si>
  <si>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</si>
  <si>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</si>
  <si>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</si>
  <si>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</si>
  <si>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</si>
  <si>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</si>
  <si>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</si>
  <si>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</si>
  <si>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</si>
  <si>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</si>
  <si>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</si>
  <si>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</si>
  <si>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</si>
  <si>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</si>
  <si>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</si>
  <si>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</si>
  <si>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</si>
  <si>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</si>
  <si>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</si>
  <si>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</si>
  <si>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</si>
  <si>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</si>
  <si>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</si>
  <si>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</si>
  <si>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</si>
  <si>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</si>
  <si>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</si>
  <si>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</si>
  <si>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</si>
  <si>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</si>
  <si>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</si>
  <si>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</si>
  <si>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</si>
  <si>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</si>
  <si>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</si>
  <si>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</si>
  <si>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</si>
  <si>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</si>
  <si>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</si>
  <si>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</si>
  <si>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</si>
  <si>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</si>
  <si>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</si>
  <si>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</si>
  <si>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</si>
  <si>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</si>
  <si>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</si>
  <si>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</si>
  <si>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</si>
  <si>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</si>
  <si>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</si>
  <si>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</si>
  <si>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</si>
  <si>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</si>
  <si>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</si>
  <si>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</si>
  <si>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</si>
  <si>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</si>
  <si>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</si>
  <si>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</si>
  <si>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</si>
  <si>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</si>
  <si>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</si>
  <si>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</si>
  <si>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</si>
  <si>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</si>
  <si>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</si>
  <si>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</si>
  <si>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</si>
  <si>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</si>
  <si>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</si>
  <si>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</si>
  <si>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</si>
  <si>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</si>
  <si>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</si>
  <si>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</si>
  <si>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</si>
  <si>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</si>
  <si>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</si>
  <si>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</si>
  <si>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</si>
  <si>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</si>
  <si>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</si>
  <si>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</si>
  <si>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</si>
  <si>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</si>
  <si>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</si>
  <si>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</si>
  <si>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</si>
  <si>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</si>
  <si>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</si>
  <si>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</si>
  <si>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</si>
  <si>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</si>
  <si>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</si>
  <si>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</si>
  <si>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</si>
  <si>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</si>
  <si>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</si>
  <si>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</si>
  <si>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</si>
  <si>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</si>
  <si>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</si>
  <si>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</si>
  <si>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</si>
  <si>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</si>
  <si>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</si>
  <si>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</si>
  <si>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</si>
  <si>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</si>
  <si>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</si>
  <si>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</si>
  <si>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</si>
  <si>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</si>
  <si>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</si>
  <si>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</si>
  <si>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</si>
  <si>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</si>
  <si>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</si>
  <si>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</si>
  <si>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</si>
  <si>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</si>
  <si>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</si>
  <si>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</si>
  <si>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</si>
  <si>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</si>
  <si>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</si>
  <si>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</si>
  <si>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</si>
  <si>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</si>
  <si>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</si>
  <si>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</si>
  <si>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</si>
  <si>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</si>
  <si>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</si>
  <si>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</si>
  <si>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</si>
  <si>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</si>
  <si>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</si>
  <si>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</si>
  <si>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</si>
  <si>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</si>
  <si>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</si>
  <si>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</si>
  <si>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</si>
  <si>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</si>
  <si>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</si>
  <si>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</si>
  <si>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</si>
  <si>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</si>
  <si>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</si>
  <si>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</si>
  <si>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</si>
  <si>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</si>
  <si>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</si>
  <si>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</si>
  <si>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</si>
  <si>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</si>
  <si>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</si>
  <si>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</si>
  <si>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</si>
  <si>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</si>
  <si>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</si>
  <si>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</si>
  <si>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</si>
  <si>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</si>
  <si>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</si>
  <si>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</si>
  <si>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</si>
  <si>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</si>
  <si>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</si>
  <si>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</si>
  <si>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</si>
  <si>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</si>
  <si>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</si>
  <si>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</si>
  <si>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</si>
  <si>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</si>
  <si>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</si>
  <si>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</si>
  <si>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</si>
  <si>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</si>
  <si>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</si>
  <si>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</si>
  <si>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</si>
  <si>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</si>
  <si>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</si>
  <si>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</si>
  <si>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</si>
  <si>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</si>
  <si>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</si>
  <si>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</si>
  <si>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</si>
  <si>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</si>
  <si>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</si>
  <si>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</si>
  <si>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</si>
  <si>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</si>
  <si>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</si>
  <si>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</si>
  <si>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</si>
  <si>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</si>
  <si>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</si>
  <si>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</si>
  <si>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</si>
  <si>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</si>
  <si>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</si>
  <si>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</si>
  <si>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</si>
  <si>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</si>
  <si>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</si>
  <si>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</si>
  <si>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</si>
  <si>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</si>
  <si>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</si>
  <si>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</si>
  <si>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</si>
  <si>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</si>
  <si>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</si>
  <si>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</si>
  <si>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</si>
  <si>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</si>
  <si>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</si>
  <si>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</si>
  <si>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</si>
  <si>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</si>
  <si>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</si>
  <si>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</si>
  <si>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</si>
  <si>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</si>
  <si>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</si>
  <si>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</si>
  <si>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</si>
  <si>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</si>
  <si>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</si>
  <si>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</si>
  <si>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</si>
  <si>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</si>
  <si>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</si>
  <si>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</si>
  <si>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</si>
  <si>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</si>
  <si>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</si>
  <si>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</si>
  <si>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</si>
  <si>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</si>
  <si>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</si>
  <si>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</si>
  <si>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</si>
  <si>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</si>
  <si>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</si>
  <si>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</si>
  <si>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</si>
  <si>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</si>
  <si>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</si>
  <si>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</si>
  <si>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</si>
  <si>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</si>
  <si>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</si>
  <si>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</si>
  <si>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</si>
  <si>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</si>
  <si>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</si>
  <si>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</si>
  <si>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</si>
  <si>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</si>
  <si>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</si>
  <si>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</si>
  <si>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</si>
  <si>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</si>
  <si>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</si>
  <si>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</si>
  <si>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</si>
  <si>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</si>
  <si>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</si>
  <si>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</si>
  <si>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</si>
  <si>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</si>
  <si>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</si>
  <si>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</si>
  <si>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</si>
  <si>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</si>
  <si>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</si>
  <si>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</si>
  <si>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</si>
  <si>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</si>
  <si>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</si>
  <si>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</si>
  <si>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</si>
  <si>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</si>
  <si>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</si>
  <si>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</si>
  <si>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</si>
  <si>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</si>
  <si>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</si>
  <si>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</si>
  <si>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</si>
  <si>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</si>
  <si>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</si>
  <si>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</si>
  <si>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</si>
  <si>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</si>
  <si>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</si>
  <si>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</si>
  <si>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</si>
  <si>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</si>
  <si>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</si>
  <si>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</si>
  <si>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</si>
  <si>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</si>
  <si>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</si>
  <si>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</si>
  <si>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</si>
  <si>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</si>
  <si>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</si>
  <si>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</si>
  <si>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</si>
  <si>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</si>
  <si>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</si>
  <si>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</si>
  <si>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</si>
  <si>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</si>
  <si>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</si>
  <si>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</si>
  <si>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</si>
  <si>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</si>
  <si>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</si>
  <si>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</si>
  <si>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</si>
  <si>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</si>
  <si>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</si>
  <si>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</si>
  <si>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</si>
  <si>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</si>
  <si>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</si>
  <si>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</si>
  <si>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</si>
  <si>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</si>
  <si>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</si>
  <si>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</si>
  <si>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</si>
  <si>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</si>
  <si>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</si>
  <si>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</si>
  <si>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</si>
  <si>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</si>
  <si>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</si>
  <si>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</si>
  <si>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</si>
  <si>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</si>
  <si>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</si>
  <si>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</si>
  <si>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</si>
  <si>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</si>
  <si>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</si>
  <si>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</si>
  <si>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</si>
  <si>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</si>
  <si>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</si>
  <si>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</si>
  <si>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</si>
  <si>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</si>
  <si>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</si>
  <si>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</si>
  <si>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</si>
  <si>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</si>
  <si>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</si>
  <si>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</si>
  <si>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</si>
  <si>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</si>
  <si>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</si>
  <si>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</si>
  <si>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</si>
  <si>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</si>
  <si>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</si>
  <si>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</si>
  <si>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</si>
  <si>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</si>
  <si>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</si>
  <si>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</si>
  <si>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</si>
  <si>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</si>
  <si>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</si>
  <si>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</si>
  <si>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</si>
  <si>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</si>
  <si>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</si>
  <si>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</si>
  <si>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</si>
  <si>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</si>
  <si>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</si>
  <si>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</si>
  <si>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</si>
  <si>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</si>
  <si>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</si>
  <si>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</si>
  <si>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</si>
  <si>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</si>
  <si>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</si>
  <si>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</si>
  <si>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</si>
  <si>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</si>
  <si>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</si>
  <si>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</si>
  <si>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</si>
  <si>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</si>
  <si>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</si>
  <si>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</si>
  <si>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</si>
  <si>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</si>
  <si>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</si>
  <si>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</si>
  <si>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</si>
  <si>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</si>
  <si>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</si>
  <si>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</si>
  <si>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</si>
  <si>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</si>
  <si>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</si>
  <si>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</si>
  <si>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</si>
  <si>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</si>
  <si>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</si>
  <si>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</si>
  <si>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</si>
  <si>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</si>
  <si>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</si>
  <si>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</si>
  <si>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</si>
  <si>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</si>
  <si>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</si>
  <si>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</si>
  <si>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</si>
  <si>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</si>
  <si>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</si>
  <si>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</si>
  <si>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</si>
  <si>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</si>
  <si>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</si>
  <si>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</si>
  <si>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</si>
  <si>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</si>
  <si>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</si>
  <si>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</si>
  <si>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</si>
  <si>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</si>
  <si>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</si>
  <si>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</si>
  <si>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</si>
  <si>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</si>
  <si>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</si>
  <si>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</si>
  <si>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</si>
  <si>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</si>
  <si>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</si>
  <si>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</si>
  <si>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</si>
  <si>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</si>
  <si>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</si>
  <si>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</si>
  <si>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</si>
  <si>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</si>
  <si>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</si>
  <si>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</si>
  <si>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</si>
  <si>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</si>
  <si>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</si>
  <si>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</si>
  <si>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</si>
  <si>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</si>
  <si>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</si>
  <si>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</si>
  <si>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</si>
  <si>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</si>
  <si>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</si>
  <si>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</si>
  <si>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</si>
  <si>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</si>
  <si>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</si>
  <si>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</si>
  <si>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</si>
  <si>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</si>
  <si>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</si>
  <si>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</si>
  <si>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</si>
  <si>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</si>
  <si>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</si>
  <si>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</si>
  <si>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</si>
  <si>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</si>
  <si>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</si>
  <si>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</si>
  <si>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</si>
  <si>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</si>
  <si>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</si>
  <si>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</si>
  <si>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</si>
  <si>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</si>
  <si>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</si>
  <si>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</si>
  <si>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</si>
  <si>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</si>
  <si>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</si>
  <si>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</si>
  <si>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</si>
  <si>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</si>
  <si>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</si>
  <si>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</si>
  <si>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</si>
  <si>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</si>
  <si>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</si>
  <si>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</si>
  <si>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</si>
  <si>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</si>
  <si>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</si>
  <si>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</si>
  <si>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</si>
  <si>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</si>
  <si>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</si>
  <si>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</si>
  <si>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</si>
  <si>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</si>
  <si>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</si>
  <si>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</si>
  <si>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</si>
  <si>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</si>
  <si>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</si>
  <si>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</si>
  <si>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</si>
  <si>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</si>
  <si>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</si>
  <si>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</si>
  <si>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</si>
  <si>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</si>
  <si>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</si>
  <si>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</si>
  <si>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</si>
  <si>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</si>
  <si>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</si>
  <si>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</si>
  <si>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</si>
  <si>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</si>
  <si>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</si>
  <si>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</si>
  <si>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</si>
  <si>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</si>
  <si>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</si>
  <si>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</si>
  <si>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</si>
  <si>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</si>
  <si>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</si>
  <si>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</si>
  <si>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</si>
  <si>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</si>
  <si>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</si>
  <si>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</si>
  <si>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</si>
  <si>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</si>
  <si>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</si>
  <si>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</si>
  <si>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</si>
  <si>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</si>
  <si>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</si>
  <si>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</si>
  <si>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</si>
  <si>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</si>
  <si>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</si>
  <si>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</si>
  <si>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</si>
  <si>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</si>
  <si>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</si>
  <si>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</si>
  <si>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</si>
  <si>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</si>
  <si>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</si>
  <si>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</si>
  <si>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</si>
  <si>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</si>
  <si>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</si>
  <si>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</si>
  <si>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</si>
  <si>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</si>
  <si>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</si>
  <si>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</si>
  <si>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</si>
  <si>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</si>
  <si>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</si>
  <si>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</si>
  <si>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</si>
  <si>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</si>
  <si>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</si>
  <si>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</si>
  <si>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</si>
  <si>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</si>
  <si>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</si>
  <si>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</si>
  <si>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</si>
  <si>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</si>
  <si>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</si>
  <si>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</si>
  <si>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</si>
  <si>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</si>
  <si>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</si>
  <si>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</si>
  <si>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</si>
  <si>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</si>
  <si>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</si>
  <si>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</si>
  <si>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</si>
  <si>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</si>
  <si>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</si>
  <si>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</si>
  <si>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</si>
  <si>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</si>
  <si>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</si>
  <si>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</si>
  <si>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</si>
  <si>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</si>
  <si>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</si>
  <si>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</si>
  <si>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</si>
  <si>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</si>
  <si>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</si>
  <si>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</si>
  <si>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</si>
  <si>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</si>
  <si>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</si>
  <si>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</si>
  <si>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</si>
  <si>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</si>
  <si>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</si>
  <si>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</si>
  <si>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</si>
  <si>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</si>
  <si>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</si>
  <si>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</si>
  <si>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</si>
  <si>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</si>
  <si>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</si>
  <si>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</si>
  <si>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</si>
  <si>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</si>
  <si>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</si>
  <si>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</si>
  <si>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</si>
  <si>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</si>
  <si>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</si>
  <si>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</si>
  <si>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</si>
  <si>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</si>
  <si>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</si>
  <si>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</si>
  <si>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</si>
  <si>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</si>
  <si>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</si>
  <si>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</si>
  <si>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</si>
  <si>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</si>
  <si>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</si>
  <si>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</si>
  <si>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</si>
  <si>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</si>
  <si>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</si>
  <si>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</si>
  <si>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</si>
  <si>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</si>
  <si>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</si>
  <si>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</si>
  <si>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</si>
  <si>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</si>
  <si>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</si>
  <si>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</si>
  <si>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</si>
  <si>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</si>
  <si>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</si>
  <si>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</si>
  <si>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</si>
  <si>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</si>
  <si>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</si>
  <si>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</si>
  <si>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</si>
  <si>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</si>
  <si>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</si>
  <si>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</si>
  <si>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</si>
  <si>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</si>
  <si>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</si>
  <si>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</si>
  <si>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</si>
  <si>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</si>
  <si>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</si>
  <si>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</si>
  <si>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</si>
  <si>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</si>
  <si>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</si>
  <si>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</si>
  <si>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</si>
  <si>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</si>
  <si>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</si>
  <si>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</si>
  <si>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</si>
  <si>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</si>
  <si>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</si>
  <si>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</si>
  <si>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</si>
  <si>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</si>
  <si>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</si>
  <si>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</si>
  <si>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</si>
  <si>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</si>
  <si>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</si>
  <si>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</si>
  <si>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</si>
  <si>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</si>
  <si>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</si>
  <si>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</si>
  <si>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</si>
  <si>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</si>
  <si>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</si>
  <si>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</si>
  <si>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</si>
  <si>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</si>
  <si>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</si>
  <si>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</si>
  <si>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</si>
  <si>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</si>
  <si>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</si>
  <si>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</si>
  <si>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</si>
  <si>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</si>
  <si>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</si>
  <si>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</si>
  <si>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</si>
  <si>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</si>
  <si>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</si>
  <si>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</si>
  <si>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</si>
  <si>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</si>
  <si>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</si>
  <si>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</si>
  <si>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</si>
  <si>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</si>
  <si>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</si>
  <si>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</si>
  <si>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</si>
  <si>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</si>
  <si>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</si>
  <si>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</si>
  <si>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</si>
  <si>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</si>
  <si>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</si>
  <si>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</si>
  <si>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</si>
  <si>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</si>
  <si>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</si>
  <si>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</si>
  <si>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</si>
  <si>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</si>
  <si>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</si>
  <si>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</si>
  <si>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</si>
  <si>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</si>
  <si>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</si>
  <si>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</si>
  <si>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</si>
  <si>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</si>
  <si>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</si>
  <si>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</si>
  <si>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</si>
  <si>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</si>
  <si>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</si>
  <si>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</si>
  <si>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</si>
  <si>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</si>
  <si>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</si>
  <si>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</si>
  <si>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</si>
  <si>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</si>
  <si>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</si>
  <si>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</si>
  <si>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</si>
  <si>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</si>
  <si>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</si>
  <si>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</si>
  <si>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</si>
  <si>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</si>
  <si>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</si>
  <si>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</si>
  <si>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</si>
  <si>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</si>
  <si>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</si>
  <si>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</si>
  <si>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</si>
  <si>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</si>
  <si>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</si>
  <si>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</si>
  <si>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</si>
  <si>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</si>
  <si>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</si>
  <si>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</si>
  <si>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</si>
  <si>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</si>
  <si>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</si>
  <si>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</si>
  <si>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</si>
  <si>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</si>
  <si>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</si>
  <si>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</si>
  <si>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</si>
  <si>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</si>
  <si>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</si>
  <si>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</si>
  <si>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</si>
  <si>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</si>
  <si>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</si>
  <si>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</si>
  <si>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</si>
  <si>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</si>
  <si>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</si>
  <si>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</si>
  <si>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</si>
  <si>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</si>
  <si>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</si>
  <si>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</si>
  <si>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</si>
  <si>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</si>
  <si>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</si>
  <si>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</si>
  <si>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</si>
  <si>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</si>
  <si>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</si>
  <si>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</si>
  <si>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</si>
  <si>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</si>
  <si>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</si>
  <si>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</si>
  <si>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</si>
  <si>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</si>
  <si>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</si>
  <si>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</si>
  <si>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</si>
  <si>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</si>
  <si>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</si>
  <si>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</si>
  <si>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</si>
  <si>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</si>
  <si>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</si>
  <si>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</si>
  <si>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</si>
  <si>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</si>
  <si>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</si>
  <si>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</si>
  <si>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</si>
  <si>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</si>
  <si>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</si>
  <si>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</si>
  <si>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</si>
  <si>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</si>
  <si>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</si>
  <si>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</si>
  <si>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</si>
  <si>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</si>
  <si>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</si>
  <si>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</si>
  <si>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</si>
  <si>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</si>
  <si>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</si>
  <si>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</si>
  <si>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</si>
  <si>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</si>
  <si>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</si>
  <si>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</si>
  <si>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</si>
  <si>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</si>
  <si>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</si>
  <si>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</si>
  <si>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</si>
  <si>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</si>
  <si>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</si>
  <si>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</si>
  <si>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</si>
  <si>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</si>
  <si>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</si>
  <si>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</si>
  <si>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</si>
  <si>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</si>
  <si>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</si>
  <si>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</si>
  <si>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</si>
  <si>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</si>
  <si>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</si>
  <si>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</si>
  <si>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</si>
  <si>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</si>
  <si>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</si>
  <si>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</si>
  <si>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</si>
  <si>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</si>
  <si>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</si>
  <si>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</si>
  <si>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</si>
  <si>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</si>
  <si>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</si>
  <si>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</si>
  <si>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</si>
  <si>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</si>
  <si>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</si>
  <si>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</si>
  <si>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</si>
  <si>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</si>
  <si>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</si>
  <si>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</si>
  <si>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</si>
  <si>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</si>
  <si>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</si>
  <si>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</si>
  <si>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</si>
  <si>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</si>
  <si>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</si>
  <si>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</si>
  <si>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</si>
  <si>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</si>
  <si>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</si>
  <si>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</si>
  <si>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</si>
  <si>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</si>
  <si>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</si>
  <si>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</si>
  <si>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</si>
  <si>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</si>
  <si>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</si>
  <si>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</si>
  <si>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</si>
  <si>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</si>
  <si>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</si>
  <si>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</si>
  <si>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</si>
  <si>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</si>
  <si>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</si>
  <si>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</si>
  <si>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</si>
  <si>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</si>
  <si>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</si>
  <si>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</si>
  <si>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</si>
  <si>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</si>
  <si>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</si>
  <si>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</si>
  <si>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</si>
  <si>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</si>
  <si>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</si>
  <si>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</si>
  <si>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</si>
  <si>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</si>
  <si>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</si>
  <si>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</si>
  <si>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</si>
  <si>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</si>
  <si>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</si>
  <si>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</si>
  <si>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</si>
  <si>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</si>
  <si>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</si>
  <si>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</si>
  <si>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</si>
  <si>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</si>
  <si>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</si>
  <si>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</si>
  <si>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</si>
  <si>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</si>
  <si>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</si>
  <si>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</si>
  <si>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</si>
  <si>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</si>
  <si>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</si>
  <si>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</si>
  <si>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</si>
  <si>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</si>
  <si>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</si>
  <si>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</si>
  <si>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</si>
  <si>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</si>
  <si>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</si>
  <si>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</si>
  <si>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</si>
  <si>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</si>
  <si>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</si>
  <si>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</si>
  <si>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</si>
  <si>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</si>
  <si>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</si>
  <si>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</si>
  <si>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</si>
  <si>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</si>
  <si>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</si>
  <si>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</si>
  <si>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</si>
  <si>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</si>
  <si>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</si>
  <si>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</si>
  <si>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</si>
  <si>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</si>
  <si>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</si>
  <si>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</si>
  <si>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</si>
  <si>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</si>
  <si>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</si>
  <si>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</si>
  <si>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</si>
  <si>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</si>
  <si>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</si>
  <si>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</si>
  <si>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</si>
  <si>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</si>
  <si>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</si>
  <si>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</si>
  <si>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</si>
  <si>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</si>
  <si>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</si>
  <si>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</si>
  <si>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</si>
  <si>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</si>
  <si>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</si>
  <si>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</si>
  <si>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</si>
  <si>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</si>
  <si>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</si>
  <si>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</si>
  <si>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</si>
  <si>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</si>
  <si>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</si>
  <si>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</si>
  <si>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</si>
  <si>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</si>
  <si>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</si>
  <si>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</si>
  <si>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</si>
  <si>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</si>
  <si>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</si>
  <si>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</si>
  <si>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</si>
  <si>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</si>
  <si>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</si>
  <si>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</si>
  <si>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</si>
  <si>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</si>
  <si>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</si>
  <si>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</si>
  <si>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</si>
  <si>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</si>
  <si>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</si>
  <si>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</si>
  <si>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</si>
  <si>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</si>
  <si>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</si>
  <si>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</si>
  <si>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</si>
  <si>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</si>
  <si>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</si>
  <si>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</si>
  <si>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</si>
  <si>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</si>
  <si>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</si>
  <si>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</si>
  <si>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</si>
  <si>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</si>
  <si>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</si>
  <si>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</si>
  <si>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</si>
  <si>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</si>
  <si>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</si>
  <si>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</si>
  <si>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</si>
  <si>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</si>
  <si>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</si>
  <si>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</si>
  <si>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</si>
  <si>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</si>
  <si>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</si>
  <si>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</si>
  <si>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</si>
  <si>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</si>
  <si>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</si>
  <si>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</si>
  <si>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</si>
  <si>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</si>
  <si>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</si>
  <si>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</si>
  <si>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</si>
  <si>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</si>
  <si>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</si>
  <si>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</si>
  <si>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</si>
  <si>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</si>
  <si>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</si>
  <si>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</si>
  <si>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</si>
  <si>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</si>
  <si>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</si>
  <si>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</si>
  <si>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</si>
  <si>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</si>
  <si>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</si>
  <si>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</si>
  <si>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</si>
  <si>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</si>
  <si>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</si>
  <si>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</si>
  <si>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</si>
  <si>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</si>
  <si>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</si>
  <si>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</si>
  <si>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</si>
  <si>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</si>
  <si>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</si>
  <si>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</si>
  <si>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</si>
  <si>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</si>
  <si>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</si>
  <si>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</si>
  <si>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</si>
  <si>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</si>
  <si>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</si>
  <si>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</si>
  <si>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</si>
  <si>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</si>
  <si>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</si>
  <si>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</si>
  <si>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</si>
  <si>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</si>
  <si>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</si>
  <si>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</si>
  <si>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</si>
  <si>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</si>
  <si>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</si>
  <si>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</si>
  <si>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</si>
  <si>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</si>
  <si>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</si>
  <si>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</si>
  <si>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</si>
  <si>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</si>
  <si>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</si>
  <si>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</si>
  <si>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</si>
  <si>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</si>
  <si>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</si>
  <si>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</si>
  <si>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</si>
  <si>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</si>
  <si>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</si>
  <si>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</si>
  <si>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</si>
  <si>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</si>
  <si>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</si>
  <si>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</si>
  <si>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</si>
  <si>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</si>
  <si>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</si>
  <si>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</si>
  <si>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</si>
  <si>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</si>
  <si>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</si>
  <si>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</si>
  <si>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</si>
  <si>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</si>
  <si>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</si>
  <si>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</si>
  <si>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</si>
  <si>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</si>
  <si>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</si>
  <si>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</si>
  <si>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</si>
  <si>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</si>
  <si>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</si>
  <si>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</si>
  <si>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</si>
  <si>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</si>
  <si>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</si>
  <si>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</si>
  <si>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</si>
  <si>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</si>
  <si>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</si>
  <si>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</si>
  <si>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</si>
  <si>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</si>
  <si>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</si>
  <si>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</si>
  <si>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</si>
  <si>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</si>
  <si>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</si>
  <si>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</si>
  <si>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</si>
  <si>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</si>
  <si>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</si>
  <si>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</si>
  <si>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</si>
  <si>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</si>
  <si>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</si>
  <si>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</si>
  <si>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</si>
  <si>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</si>
  <si>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</si>
  <si>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</si>
  <si>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</si>
  <si>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</si>
  <si>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</si>
  <si>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</si>
  <si>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</si>
  <si>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</si>
  <si>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</si>
  <si>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</si>
  <si>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</si>
  <si>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</si>
  <si>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</si>
  <si>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</si>
  <si>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</si>
  <si>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</si>
  <si>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</si>
  <si>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</si>
  <si>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</si>
  <si>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</si>
  <si>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</si>
  <si>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</si>
  <si>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</si>
  <si>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</si>
  <si>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</si>
  <si>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</si>
  <si>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</si>
  <si>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</si>
  <si>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</si>
  <si>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</si>
  <si>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</si>
  <si>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</si>
  <si>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</si>
  <si>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</si>
  <si>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</si>
  <si>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</si>
  <si>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</si>
  <si>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</si>
  <si>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</si>
  <si>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</si>
  <si>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</si>
  <si>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</si>
  <si>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</si>
  <si>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</si>
  <si>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</si>
  <si>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</si>
  <si>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</si>
  <si>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</si>
  <si>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</si>
  <si>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</si>
  <si>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</si>
  <si>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</si>
  <si>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</si>
  <si>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</si>
  <si>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</si>
  <si>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</si>
  <si>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</si>
  <si>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</si>
  <si>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</si>
  <si>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</si>
  <si>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</si>
  <si>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</si>
  <si>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</si>
  <si>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</si>
  <si>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</si>
  <si>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</si>
  <si>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</si>
  <si>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</si>
  <si>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</si>
  <si>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</si>
  <si>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</si>
  <si>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</si>
  <si>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</si>
  <si>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</si>
  <si>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</si>
  <si>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</si>
  <si>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</si>
  <si>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</si>
  <si>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</si>
  <si>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</si>
  <si>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</si>
  <si>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</si>
  <si>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</si>
  <si>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</si>
  <si>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</si>
  <si>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</si>
  <si>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</si>
  <si>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</si>
  <si>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</si>
  <si>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</si>
  <si>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</si>
  <si>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</si>
  <si>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</si>
  <si>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</si>
  <si>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</si>
  <si>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</si>
  <si>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</si>
  <si>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</si>
  <si>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</si>
  <si>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</si>
  <si>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</si>
  <si>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</si>
  <si>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</si>
  <si>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</si>
  <si>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</si>
  <si>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</si>
  <si>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</si>
  <si>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</si>
  <si>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</si>
  <si>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</si>
  <si>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</si>
  <si>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</si>
  <si>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</si>
  <si>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</si>
  <si>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</si>
  <si>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</si>
  <si>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</si>
  <si>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</si>
  <si>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</si>
  <si>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</si>
  <si>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</si>
  <si>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</si>
  <si>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</si>
  <si>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</si>
  <si>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</si>
  <si>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</si>
  <si>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</si>
  <si>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</si>
  <si>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</si>
  <si>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</si>
  <si>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</si>
  <si>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</si>
  <si>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</si>
  <si>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</si>
  <si>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</si>
  <si>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</si>
  <si>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</si>
  <si>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</si>
  <si>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</si>
  <si>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</si>
  <si>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</si>
  <si>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</si>
  <si>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</si>
  <si>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</si>
  <si>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</si>
  <si>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</si>
  <si>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</si>
  <si>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</si>
  <si>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</si>
  <si>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</si>
  <si>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</si>
  <si>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</si>
  <si>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</si>
  <si>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</si>
  <si>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</si>
  <si>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</si>
  <si>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</si>
  <si>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</si>
  <si>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</si>
  <si>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</si>
  <si>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</si>
  <si>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</si>
  <si>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</si>
  <si>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</si>
  <si>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</si>
  <si>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</si>
  <si>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</si>
  <si>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</si>
  <si>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</si>
  <si>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</si>
  <si>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</si>
  <si>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</si>
  <si>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</si>
  <si>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</si>
  <si>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</si>
  <si>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</si>
  <si>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</si>
  <si>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</si>
  <si>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</si>
  <si>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</si>
  <si>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</si>
  <si>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</si>
  <si>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</si>
  <si>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</si>
  <si>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</si>
  <si>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</si>
  <si>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</si>
  <si>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</si>
  <si>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</si>
  <si>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</si>
  <si>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</si>
  <si>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</si>
  <si>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</si>
  <si>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</si>
  <si>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</si>
  <si>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</si>
  <si>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</si>
  <si>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</si>
  <si>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</si>
  <si>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</si>
  <si>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</si>
  <si>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</si>
  <si>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</si>
  <si>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</si>
  <si>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</si>
  <si>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</si>
  <si>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</si>
  <si>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</si>
  <si>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</si>
  <si>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</si>
  <si>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</si>
  <si>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</si>
  <si>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</si>
  <si>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</si>
  <si>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</si>
  <si>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</si>
  <si>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</si>
  <si>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</si>
  <si>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</si>
  <si>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</si>
  <si>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</si>
  <si>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</si>
  <si>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</si>
  <si>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</si>
  <si>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</si>
  <si>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</si>
  <si>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</si>
  <si>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</si>
  <si>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</si>
  <si>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</si>
  <si>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</si>
  <si>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</si>
  <si>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</si>
  <si>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</si>
  <si>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</si>
  <si>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</si>
  <si>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</si>
  <si>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</si>
  <si>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</si>
  <si>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</si>
  <si>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</si>
  <si>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</si>
  <si>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</si>
  <si>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</si>
  <si>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</si>
  <si>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</si>
  <si>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</si>
  <si>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</si>
  <si>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</si>
  <si>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</si>
  <si>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</si>
  <si>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</si>
  <si>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</si>
  <si>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</si>
  <si>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</si>
  <si>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</si>
  <si>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</si>
  <si>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</si>
  <si>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</si>
  <si>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</si>
  <si>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</si>
  <si>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</si>
  <si>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</si>
  <si>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</si>
  <si>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</si>
  <si>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</si>
  <si>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</si>
  <si>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</si>
  <si>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</si>
  <si>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</si>
  <si>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</si>
  <si>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</si>
  <si>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</si>
  <si>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</si>
  <si>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</si>
  <si>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</si>
  <si>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</si>
  <si>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</si>
  <si>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</si>
  <si>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</si>
  <si>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</si>
  <si>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</si>
  <si>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</si>
  <si>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</si>
  <si>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</si>
  <si>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</si>
  <si>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</si>
  <si>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</si>
  <si>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</si>
  <si>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</si>
  <si>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</si>
  <si>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</si>
  <si>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</si>
  <si>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</si>
  <si>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</si>
  <si>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</si>
  <si>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</si>
  <si>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</si>
  <si>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</si>
  <si>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</si>
  <si>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</si>
  <si>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</si>
  <si>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</si>
  <si>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</si>
  <si>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</si>
  <si>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</si>
  <si>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</si>
  <si>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</si>
  <si>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</si>
  <si>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</si>
  <si>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</si>
  <si>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</si>
  <si>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</si>
  <si>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</si>
  <si>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</si>
  <si>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</si>
  <si>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</si>
  <si>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</si>
  <si>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</si>
  <si>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</si>
  <si>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</si>
  <si>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</si>
  <si>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</si>
  <si>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</si>
  <si>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</si>
  <si>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</si>
  <si>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</si>
  <si>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</si>
  <si>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</si>
  <si>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</si>
  <si>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</si>
  <si>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</si>
  <si>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</si>
  <si>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</si>
  <si>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</si>
  <si>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</si>
  <si>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</si>
  <si>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</si>
  <si>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</si>
  <si>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</si>
  <si>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</si>
  <si>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</si>
  <si>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</si>
  <si>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</si>
  <si>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</si>
  <si>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</si>
  <si>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</si>
  <si>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</si>
  <si>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</si>
  <si>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</si>
  <si>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</si>
  <si>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</si>
  <si>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</si>
  <si>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</si>
  <si>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</si>
  <si>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</si>
  <si>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</si>
  <si>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</si>
  <si>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</si>
  <si>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</si>
  <si>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</si>
  <si>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</si>
  <si>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</si>
  <si>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</si>
  <si>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</si>
  <si>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</si>
  <si>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</si>
  <si>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</si>
  <si>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</si>
  <si>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</si>
  <si>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</si>
  <si>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</si>
  <si>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</si>
  <si>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</si>
  <si>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</si>
  <si>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</si>
  <si>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</si>
  <si>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</si>
  <si>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</si>
  <si>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</si>
  <si>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</si>
  <si>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</si>
  <si>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</si>
  <si>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</si>
  <si>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</si>
  <si>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</si>
  <si>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</si>
  <si>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</si>
  <si>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</si>
  <si>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</si>
  <si>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</si>
  <si>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</si>
  <si>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</si>
  <si>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</si>
  <si>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</si>
  <si>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</si>
  <si>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</si>
  <si>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</si>
  <si>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</si>
  <si>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</si>
  <si>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</si>
  <si>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</si>
  <si>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</si>
  <si>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</si>
  <si>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</si>
  <si>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</si>
  <si>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</si>
  <si>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</si>
  <si>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</si>
  <si>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</si>
  <si>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</si>
  <si>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</si>
  <si>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</si>
  <si>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</si>
  <si>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</si>
  <si>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</si>
  <si>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</si>
  <si>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</si>
  <si>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</si>
  <si>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</si>
  <si>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</si>
  <si>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</si>
  <si>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</si>
  <si>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</si>
  <si>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</si>
  <si>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</si>
  <si>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</si>
  <si>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</si>
  <si>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</si>
  <si>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</si>
  <si>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</si>
  <si>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</si>
  <si>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</si>
  <si>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</si>
  <si>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</si>
  <si>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</si>
  <si>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</si>
  <si>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</si>
  <si>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</si>
  <si>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</si>
  <si>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</si>
  <si>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</si>
  <si>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</si>
  <si>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</si>
  <si>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</si>
  <si>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</si>
  <si>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</si>
  <si>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</si>
  <si>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</si>
  <si>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</si>
  <si>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</si>
  <si>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</si>
  <si>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</si>
  <si>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</si>
  <si>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</si>
  <si>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</si>
  <si>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</si>
  <si>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</si>
  <si>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</si>
  <si>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</si>
  <si>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</si>
  <si>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</si>
  <si>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</si>
  <si>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</si>
  <si>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</si>
  <si>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</si>
  <si>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</si>
  <si>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</si>
  <si>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</si>
  <si>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</si>
  <si>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</si>
  <si>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</si>
  <si>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</si>
  <si>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</si>
  <si>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</si>
  <si>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</si>
  <si>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</si>
  <si>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</si>
  <si>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</si>
  <si>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</si>
  <si>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</si>
  <si>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</si>
  <si>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</si>
  <si>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</si>
  <si>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</si>
  <si>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</si>
  <si>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</si>
  <si>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</si>
  <si>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</si>
  <si>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</si>
  <si>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</si>
  <si>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</si>
  <si>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</si>
  <si>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</si>
  <si>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</si>
  <si>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</si>
  <si>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</si>
  <si>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</si>
  <si>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</si>
  <si>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</si>
  <si>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</si>
  <si>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</si>
  <si>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</si>
  <si>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</si>
  <si>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</si>
  <si>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</si>
  <si>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</si>
  <si>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</si>
  <si>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</si>
  <si>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</si>
  <si>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</si>
  <si>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</si>
  <si>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</si>
  <si>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</si>
  <si>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</si>
  <si>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</si>
  <si>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</si>
  <si>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</si>
  <si>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</si>
  <si>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</si>
  <si>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</si>
  <si>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</si>
  <si>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</si>
  <si>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</si>
  <si>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</si>
  <si>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</si>
  <si>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</si>
  <si>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</si>
  <si>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</si>
  <si>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</si>
  <si>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</si>
  <si>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</si>
  <si>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</si>
  <si>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</si>
  <si>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</si>
  <si>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</si>
  <si>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</si>
  <si>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</si>
  <si>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</si>
  <si>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</si>
  <si>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</si>
  <si>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</si>
  <si>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</si>
  <si>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</si>
  <si>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</si>
  <si>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</si>
  <si>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</si>
  <si>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</si>
  <si>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</si>
  <si>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</si>
  <si>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</si>
  <si>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</si>
  <si>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</si>
  <si>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</si>
  <si>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</si>
  <si>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</si>
  <si>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</si>
  <si>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</si>
  <si>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</si>
  <si>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</si>
  <si>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</si>
  <si>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</si>
  <si>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</si>
  <si>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</si>
  <si>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</si>
  <si>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</si>
  <si>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</si>
  <si>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</si>
  <si>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</si>
  <si>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</si>
  <si>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</si>
  <si>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</si>
  <si>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</si>
  <si>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</si>
  <si>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</si>
  <si>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</si>
  <si>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</si>
  <si>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</si>
  <si>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</si>
  <si>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</si>
  <si>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</si>
  <si>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</si>
  <si>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</si>
  <si>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</si>
  <si>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</si>
  <si>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</si>
  <si>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</si>
  <si>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</si>
  <si>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</si>
  <si>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</si>
  <si>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</si>
  <si>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</si>
  <si>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</si>
  <si>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</si>
  <si>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</si>
  <si>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</si>
  <si>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</si>
  <si>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</si>
  <si>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</si>
  <si>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</si>
  <si>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</si>
  <si>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</si>
  <si>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</si>
  <si>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</si>
  <si>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</si>
  <si>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</si>
  <si>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</si>
  <si>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</si>
  <si>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</si>
  <si>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</si>
  <si>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</si>
  <si>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</si>
  <si>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</si>
  <si>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</si>
  <si>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</si>
  <si>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</si>
  <si>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</si>
  <si>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</si>
  <si>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</si>
  <si>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</si>
  <si>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</si>
  <si>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</si>
  <si>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</si>
  <si>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</si>
  <si>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</si>
  <si>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</si>
  <si>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</si>
  <si>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</si>
  <si>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</si>
  <si>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</si>
  <si>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</si>
  <si>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</si>
  <si>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</si>
  <si>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</si>
  <si>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</si>
  <si>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</si>
  <si>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</si>
  <si>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</si>
  <si>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</si>
  <si>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</si>
  <si>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</si>
  <si>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</si>
  <si>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</si>
  <si>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</si>
  <si>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</si>
  <si>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</si>
  <si>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</si>
  <si>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</si>
  <si>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</si>
  <si>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</si>
  <si>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</si>
  <si>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</si>
  <si>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</si>
  <si>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</si>
  <si>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</si>
  <si>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</si>
  <si>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</si>
  <si>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</si>
  <si>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</si>
  <si>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</si>
  <si>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</si>
  <si>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</si>
  <si>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</si>
  <si>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</si>
  <si>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</si>
  <si>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</si>
  <si>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</si>
  <si>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</si>
  <si>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</si>
  <si>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</si>
  <si>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</si>
  <si>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</si>
  <si>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</si>
  <si>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</si>
  <si>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</si>
  <si>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</si>
  <si>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</si>
  <si>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</si>
  <si>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</si>
  <si>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</si>
  <si>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</si>
  <si>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</si>
  <si>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</si>
  <si>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</si>
  <si>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</si>
  <si>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</si>
  <si>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</si>
  <si>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</si>
  <si>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</si>
  <si>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</si>
  <si>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</si>
  <si>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</si>
  <si>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</si>
  <si>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</si>
  <si>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</si>
  <si>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</si>
  <si>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</si>
  <si>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</si>
  <si>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</si>
  <si>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</si>
  <si>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</si>
  <si>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</si>
  <si>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</si>
  <si>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</si>
  <si>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</si>
  <si>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</si>
  <si>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</si>
  <si>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</si>
  <si>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</si>
  <si>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</si>
  <si>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</si>
  <si>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</si>
  <si>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</si>
  <si>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</si>
  <si>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</si>
  <si>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</si>
  <si>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</si>
  <si>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</si>
  <si>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</si>
  <si>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</si>
  <si>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</si>
  <si>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</si>
  <si>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</si>
  <si>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</si>
  <si>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</si>
  <si>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</si>
  <si>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</si>
  <si>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</si>
  <si>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</si>
  <si>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</si>
  <si>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</si>
  <si>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</si>
  <si>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</si>
  <si>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</si>
  <si>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</si>
  <si>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</si>
  <si>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</si>
  <si>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</si>
  <si>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</si>
  <si>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</si>
  <si>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</si>
  <si>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</si>
  <si>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</si>
  <si>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</si>
  <si>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</si>
  <si>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</si>
  <si>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</si>
  <si>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</si>
  <si>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</si>
  <si>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</si>
  <si>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</si>
  <si>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</si>
  <si>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</si>
  <si>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</si>
  <si>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</si>
  <si>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</si>
  <si>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</si>
  <si>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</si>
  <si>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</si>
  <si>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</si>
  <si>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</si>
  <si>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</si>
  <si>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</si>
  <si>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</si>
  <si>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</si>
  <si>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</si>
  <si>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</si>
  <si>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</si>
  <si>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</si>
  <si>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</si>
  <si>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</si>
  <si>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</si>
  <si>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</si>
  <si>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</si>
  <si>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</si>
  <si>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</si>
  <si>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</si>
  <si>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</si>
  <si>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</si>
  <si>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</si>
  <si>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</si>
  <si>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</si>
  <si>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</si>
  <si>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</si>
  <si>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</si>
  <si>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</si>
  <si>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</si>
  <si>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</si>
  <si>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</si>
  <si>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</si>
  <si>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</si>
  <si>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</si>
  <si>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</si>
  <si>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</si>
  <si>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</si>
  <si>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</si>
  <si>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</si>
  <si>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</si>
  <si>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</si>
  <si>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</si>
  <si>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</si>
  <si>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</si>
  <si>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</si>
  <si>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</si>
  <si>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</si>
  <si>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</si>
  <si>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</si>
  <si>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</si>
  <si>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</si>
  <si>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</si>
  <si>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</si>
  <si>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</si>
  <si>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</si>
  <si>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</si>
  <si>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</si>
  <si>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</si>
  <si>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</si>
  <si>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</si>
  <si>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</si>
  <si>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</si>
  <si>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</si>
  <si>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</si>
  <si>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</si>
  <si>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</si>
  <si>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</si>
  <si>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</si>
  <si>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</si>
  <si>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</si>
  <si>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</si>
  <si>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</si>
  <si>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</si>
  <si>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</si>
  <si>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</si>
  <si>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</si>
  <si>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</si>
  <si>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</si>
  <si>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</si>
  <si>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</si>
  <si>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</si>
  <si>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</si>
  <si>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</si>
  <si>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</si>
  <si>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</si>
  <si>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</si>
  <si>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</si>
  <si>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</si>
  <si>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</si>
  <si>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</si>
  <si>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</si>
  <si>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</si>
  <si>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</si>
  <si>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</si>
  <si>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</si>
  <si>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</si>
  <si>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</si>
  <si>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</si>
  <si>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</si>
  <si>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</si>
  <si>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</si>
  <si>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</si>
  <si>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</si>
  <si>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</si>
  <si>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</si>
  <si>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</si>
  <si>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</si>
  <si>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</si>
  <si>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</si>
  <si>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</si>
  <si>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</si>
  <si>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</si>
  <si>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</si>
  <si>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</si>
  <si>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</si>
  <si>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</si>
  <si>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</si>
  <si>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</si>
  <si>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</si>
  <si>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</si>
  <si>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</si>
  <si>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</si>
  <si>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</si>
  <si>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</si>
  <si>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</si>
  <si>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</si>
  <si>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</si>
  <si>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</si>
  <si>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</si>
  <si>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</si>
  <si>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</si>
  <si>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</si>
  <si>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</si>
  <si>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</si>
  <si>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</si>
  <si>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</si>
  <si>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</si>
  <si>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</si>
  <si>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</si>
  <si>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</si>
  <si>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</si>
  <si>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</si>
  <si>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</si>
  <si>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</si>
  <si>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</si>
  <si>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</si>
  <si>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</si>
  <si>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</si>
  <si>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</si>
  <si>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</si>
  <si>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</si>
  <si>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</si>
  <si>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</si>
  <si>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</si>
  <si>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</si>
  <si>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</si>
  <si>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</si>
  <si>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</si>
  <si>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</si>
  <si>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</si>
  <si>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</si>
  <si>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</si>
  <si>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</si>
  <si>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</si>
  <si>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</si>
  <si>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</si>
  <si>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</si>
  <si>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</si>
  <si>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</si>
  <si>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</si>
  <si>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</si>
  <si>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</si>
  <si>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</si>
  <si>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</si>
  <si>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</si>
  <si>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</si>
  <si>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</si>
  <si>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</si>
  <si>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</si>
  <si>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</si>
  <si>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</si>
  <si>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</si>
  <si>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</si>
  <si>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</si>
  <si>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</si>
  <si>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</si>
  <si>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</si>
  <si>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</si>
  <si>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</si>
  <si>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</si>
  <si>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</si>
  <si>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</si>
  <si>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</si>
  <si>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</si>
  <si>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</si>
  <si>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</si>
  <si>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</si>
  <si>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</si>
  <si>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</si>
  <si>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</si>
  <si>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</si>
  <si>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</si>
  <si>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</si>
  <si>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</si>
  <si>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</si>
  <si>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</si>
  <si>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</si>
  <si>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</si>
  <si>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</si>
  <si>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</si>
  <si>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</si>
  <si>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</si>
  <si>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</si>
  <si>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</si>
  <si>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</si>
  <si>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</si>
  <si>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</si>
  <si>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</si>
  <si>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</si>
  <si>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</si>
  <si>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</si>
  <si>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</si>
  <si>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</si>
  <si>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</si>
  <si>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</si>
  <si>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</si>
  <si>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</si>
  <si>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</si>
  <si>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</si>
  <si>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</si>
  <si>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</si>
  <si>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</si>
  <si>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</si>
  <si>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</si>
  <si>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</si>
  <si>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</si>
  <si>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</si>
  <si>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</si>
  <si>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</si>
  <si>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</si>
  <si>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</si>
  <si>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</si>
  <si>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</si>
  <si>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</si>
  <si>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</si>
  <si>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</si>
  <si>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</si>
  <si>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</si>
  <si>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</si>
  <si>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</si>
  <si>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</si>
  <si>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</si>
  <si>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</si>
  <si>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</si>
  <si>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</si>
  <si>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</si>
  <si>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</si>
  <si>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</si>
  <si>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</si>
  <si>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</si>
  <si>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</si>
  <si>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</si>
  <si>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</si>
  <si>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</si>
  <si>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</si>
  <si>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</si>
  <si>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</si>
  <si>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</si>
  <si>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</si>
  <si>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</si>
  <si>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</si>
  <si>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</si>
  <si>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</si>
  <si>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</si>
  <si>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</si>
  <si>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</si>
  <si>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</si>
  <si>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</si>
  <si>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</si>
  <si>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</si>
  <si>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</si>
  <si>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</si>
  <si>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</si>
  <si>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</si>
  <si>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</si>
  <si>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</si>
  <si>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</si>
  <si>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</si>
  <si>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</si>
  <si>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</si>
  <si>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</si>
  <si>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</si>
  <si>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</si>
  <si>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</si>
  <si>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</si>
  <si>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</si>
  <si>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</si>
  <si>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</si>
  <si>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</si>
  <si>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</si>
  <si>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</si>
  <si>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</si>
  <si>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</si>
  <si>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</si>
  <si>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</si>
  <si>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</si>
  <si>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</si>
  <si>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</si>
  <si>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</si>
  <si>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</si>
  <si>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</si>
  <si>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</si>
  <si>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</si>
  <si>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</si>
  <si>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</si>
  <si>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</si>
  <si>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</si>
  <si>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</si>
  <si>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</si>
  <si>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</si>
  <si>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</si>
  <si>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</si>
  <si>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</si>
  <si>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</si>
  <si>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</si>
  <si>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</si>
  <si>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</si>
  <si>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</si>
  <si>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</si>
  <si>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</si>
  <si>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</si>
  <si>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</si>
  <si>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</si>
  <si>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</si>
  <si>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</si>
  <si>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</si>
  <si>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</si>
  <si>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</si>
  <si>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</si>
  <si>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</si>
  <si>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</si>
  <si>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</si>
  <si>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</si>
  <si>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</si>
  <si>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</si>
  <si>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</si>
  <si>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</si>
  <si>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</si>
  <si>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</si>
  <si>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</si>
  <si>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</si>
  <si>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</si>
  <si>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</si>
  <si>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</si>
  <si>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</si>
  <si>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</si>
  <si>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</si>
  <si>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</si>
  <si>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</si>
  <si>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</si>
  <si>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</si>
  <si>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</si>
  <si>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</si>
  <si>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</si>
  <si>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</si>
  <si>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</si>
  <si>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</si>
  <si>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</si>
  <si>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</si>
  <si>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</si>
  <si>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</si>
  <si>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</si>
  <si>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</si>
  <si>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</si>
  <si>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</si>
  <si>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</si>
  <si>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</si>
  <si>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</si>
  <si>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</si>
  <si>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</si>
  <si>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</si>
  <si>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</si>
  <si>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</si>
  <si>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</si>
  <si>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</si>
  <si>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</si>
  <si>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</si>
  <si>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</si>
  <si>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</si>
  <si>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</si>
  <si>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</si>
  <si>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</si>
  <si>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</si>
  <si>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</si>
  <si>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</si>
  <si>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</si>
  <si>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</si>
  <si>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</si>
  <si>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</si>
  <si>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</si>
  <si>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</si>
  <si>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</si>
  <si>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</si>
  <si>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</si>
  <si>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</si>
  <si>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</si>
  <si>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</si>
  <si>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</si>
  <si>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</si>
  <si>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</si>
  <si>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</si>
  <si>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</si>
  <si>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</si>
  <si>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</si>
  <si>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</si>
  <si>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</si>
  <si>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</si>
  <si>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</si>
  <si>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</si>
  <si>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</si>
  <si>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</si>
  <si>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</si>
  <si>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</si>
  <si>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</si>
  <si>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</si>
  <si>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</si>
  <si>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</si>
  <si>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</si>
  <si>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</si>
  <si>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</si>
  <si>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</si>
  <si>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</si>
  <si>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</si>
  <si>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</si>
  <si>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</si>
  <si>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</si>
  <si>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</si>
  <si>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</si>
  <si>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</si>
  <si>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</si>
  <si>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</si>
  <si>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</si>
  <si>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</si>
  <si>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</si>
  <si>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</si>
  <si>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</si>
  <si>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</si>
  <si>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</si>
  <si>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</si>
  <si>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</si>
  <si>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</si>
  <si>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</si>
  <si>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</si>
  <si>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</si>
  <si>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</si>
  <si>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</si>
  <si>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</si>
  <si>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</si>
  <si>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</si>
  <si>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</si>
  <si>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</si>
  <si>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</si>
  <si>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</si>
  <si>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</si>
  <si>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</si>
  <si>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</si>
  <si>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</si>
  <si>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</si>
  <si>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</si>
  <si>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</si>
  <si>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</si>
  <si>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</si>
  <si>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</si>
  <si>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</si>
  <si>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</si>
  <si>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</si>
  <si>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</si>
  <si>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</si>
  <si>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</si>
  <si>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</si>
  <si>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</si>
  <si>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</si>
  <si>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</si>
  <si>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</si>
  <si>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</si>
  <si>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</si>
  <si>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</si>
  <si>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</si>
  <si>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</si>
  <si>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</si>
  <si>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</si>
  <si>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</si>
  <si>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</si>
  <si>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</si>
  <si>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</si>
  <si>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</si>
  <si>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</si>
  <si>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</si>
  <si>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</si>
  <si>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</si>
  <si>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</si>
  <si>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</si>
  <si>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</si>
  <si>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</si>
  <si>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</si>
  <si>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</si>
  <si>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</si>
  <si>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</si>
  <si>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</si>
  <si>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</si>
  <si>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</si>
  <si>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</si>
  <si>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</si>
  <si>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</si>
  <si>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</si>
  <si>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</si>
  <si>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</si>
  <si>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</si>
  <si>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</si>
  <si>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</si>
  <si>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</si>
  <si>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</si>
  <si>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</si>
  <si>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</si>
  <si>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</si>
  <si>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</si>
  <si>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</si>
  <si>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</si>
  <si>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</si>
  <si>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</si>
  <si>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</si>
  <si>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</si>
  <si>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</si>
  <si>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</si>
  <si>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</si>
  <si>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</si>
  <si>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</si>
  <si>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</si>
  <si>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</si>
  <si>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</si>
  <si>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</si>
  <si>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</si>
  <si>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</si>
  <si>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</si>
  <si>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</si>
  <si>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</si>
  <si>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</si>
  <si>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</si>
  <si>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</si>
  <si>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</si>
  <si>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</si>
  <si>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</si>
  <si>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</si>
  <si>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</si>
  <si>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</si>
  <si>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</si>
  <si>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</si>
  <si>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</si>
  <si>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</si>
  <si>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</si>
  <si>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</si>
  <si>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</si>
  <si>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</si>
  <si>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</si>
  <si>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</si>
  <si>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</si>
  <si>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</si>
  <si>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</si>
  <si>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</si>
  <si>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</si>
  <si>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</si>
  <si>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</si>
  <si>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</si>
  <si>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</si>
  <si>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</si>
  <si>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</si>
  <si>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</si>
  <si>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</si>
  <si>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</si>
  <si>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</si>
  <si>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</si>
  <si>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</si>
  <si>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</si>
  <si>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</si>
  <si>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</si>
  <si>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</si>
  <si>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</si>
  <si>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</si>
  <si>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</si>
  <si>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</si>
  <si>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</si>
  <si>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</si>
  <si>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</si>
  <si>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</si>
  <si>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</si>
  <si>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</si>
  <si>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</si>
  <si>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</si>
  <si>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</si>
  <si>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</si>
  <si>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</si>
  <si>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</si>
  <si>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</si>
  <si>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</si>
  <si>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</si>
  <si>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</si>
  <si>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</si>
  <si>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</si>
  <si>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</si>
  <si>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</si>
  <si>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</si>
  <si>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</si>
  <si>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</si>
  <si>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</si>
  <si>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</si>
  <si>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</si>
  <si>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</si>
  <si>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</si>
  <si>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</si>
  <si>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</si>
  <si>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</si>
  <si>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</si>
  <si>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</si>
  <si>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</si>
  <si>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</si>
  <si>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</si>
  <si>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</si>
  <si>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</si>
  <si>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</si>
  <si>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</si>
  <si>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</si>
  <si>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</si>
  <si>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</si>
  <si>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</si>
  <si>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</si>
  <si>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</si>
  <si>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</si>
  <si>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</si>
  <si>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</si>
  <si>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</si>
  <si>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</si>
  <si>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</si>
  <si>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</si>
  <si>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</si>
  <si>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</si>
  <si>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</si>
  <si>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</si>
  <si>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</si>
  <si>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</si>
  <si>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</si>
  <si>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</si>
  <si>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</si>
  <si>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</si>
  <si>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</si>
  <si>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</si>
  <si>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</si>
  <si>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</si>
  <si>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</si>
  <si>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</si>
  <si>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</si>
  <si>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</si>
  <si>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</si>
  <si>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</si>
  <si>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</si>
  <si>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</si>
  <si>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</si>
  <si>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</si>
  <si>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</si>
  <si>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</si>
  <si>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</si>
  <si>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</si>
  <si>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</si>
  <si>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</si>
  <si>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</si>
  <si>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</si>
  <si>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</si>
  <si>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</si>
  <si>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</si>
  <si>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</si>
  <si>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</si>
  <si>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</si>
  <si>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</si>
  <si>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</si>
  <si>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</si>
  <si>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</si>
  <si>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</si>
  <si>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</si>
  <si>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</si>
  <si>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</si>
  <si>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</si>
  <si>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</si>
  <si>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</si>
  <si>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</si>
  <si>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</si>
  <si>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</si>
  <si>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</si>
  <si>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</si>
  <si>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</si>
  <si>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</si>
  <si>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</si>
  <si>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</si>
  <si>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</si>
  <si>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</si>
  <si>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</si>
  <si>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</si>
  <si>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</si>
  <si>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</si>
  <si>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</si>
  <si>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</si>
  <si>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</si>
  <si>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</si>
  <si>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</si>
  <si>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</si>
  <si>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</si>
  <si>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</si>
  <si>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</si>
  <si>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</si>
  <si>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</si>
  <si>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</si>
  <si>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</si>
  <si>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</si>
  <si>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</si>
  <si>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</si>
  <si>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</si>
  <si>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</si>
  <si>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</si>
  <si>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</si>
  <si>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</si>
  <si>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</si>
  <si>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</si>
  <si>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</si>
  <si>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</si>
  <si>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</si>
  <si>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</si>
  <si>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</si>
  <si>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</si>
  <si>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</si>
  <si>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</si>
  <si>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</si>
  <si>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</si>
  <si>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</si>
  <si>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</si>
  <si>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</si>
  <si>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</si>
  <si>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</si>
  <si>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</si>
  <si>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</si>
  <si>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</si>
  <si>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</si>
  <si>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</si>
  <si>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</si>
  <si>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</si>
  <si>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</si>
  <si>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</si>
  <si>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</si>
  <si>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</si>
  <si>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</si>
  <si>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</si>
  <si>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</si>
  <si>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</si>
  <si>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</si>
  <si>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</si>
  <si>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</si>
  <si>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</si>
  <si>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</si>
  <si>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</si>
  <si>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</si>
  <si>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</si>
  <si>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</si>
  <si>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</si>
  <si>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</si>
  <si>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</si>
  <si>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</si>
  <si>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</si>
  <si>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</si>
  <si>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</si>
  <si>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</si>
  <si>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</si>
  <si>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</si>
  <si>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</si>
  <si>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</si>
  <si>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</si>
  <si>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</si>
  <si>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</si>
  <si>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</si>
  <si>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</si>
  <si>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</si>
  <si>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</si>
  <si>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</si>
  <si>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</si>
  <si>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</si>
  <si>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</si>
  <si>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</si>
  <si>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</si>
  <si>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</si>
  <si>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</si>
  <si>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</si>
  <si>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</si>
  <si>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</si>
  <si>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</si>
  <si>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</si>
  <si>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</si>
  <si>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</si>
  <si>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</si>
  <si>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</si>
  <si>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</si>
  <si>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</si>
  <si>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</si>
  <si>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</si>
  <si>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</si>
  <si>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</si>
  <si>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</si>
  <si>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</si>
  <si>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</si>
  <si>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</si>
  <si>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</si>
  <si>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</si>
  <si>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</si>
  <si>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</si>
  <si>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</si>
  <si>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</si>
  <si>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</si>
  <si>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</si>
  <si>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</si>
  <si>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</si>
  <si>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</si>
  <si>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</si>
  <si>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</si>
  <si>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</si>
  <si>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</si>
  <si>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</si>
  <si>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</si>
  <si>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</si>
  <si>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</si>
  <si>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</si>
  <si>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</si>
  <si>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</si>
  <si>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</si>
  <si>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</si>
  <si>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</si>
  <si>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</si>
  <si>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</si>
  <si>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</si>
  <si>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</si>
  <si>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</si>
  <si>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</si>
  <si>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</si>
  <si>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</si>
  <si>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</si>
  <si>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</si>
  <si>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</si>
  <si>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</si>
  <si>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</si>
  <si>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</si>
  <si>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</si>
  <si>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</si>
  <si>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</si>
  <si>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</si>
  <si>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</si>
  <si>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</si>
  <si>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</si>
  <si>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</si>
  <si>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</si>
  <si>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</si>
  <si>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</si>
  <si>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</si>
  <si>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</si>
  <si>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</si>
  <si>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</si>
  <si>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</si>
  <si>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</si>
  <si>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</si>
  <si>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</si>
  <si>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</si>
  <si>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</si>
  <si>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</si>
  <si>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</si>
  <si>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</si>
  <si>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</si>
  <si>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</si>
  <si>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</si>
  <si>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</si>
  <si>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</si>
  <si>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</si>
  <si>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</si>
  <si>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</si>
  <si>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</si>
  <si>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</si>
  <si>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</si>
  <si>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</si>
  <si>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</si>
  <si>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</si>
  <si>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</si>
  <si>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</si>
  <si>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</si>
  <si>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</si>
  <si>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</si>
  <si>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</si>
  <si>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</si>
  <si>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</si>
  <si>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</si>
  <si>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</si>
  <si>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</si>
  <si>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</si>
  <si>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</si>
  <si>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</si>
  <si>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</si>
  <si>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</si>
  <si>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</si>
  <si>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</si>
  <si>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</si>
  <si>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</si>
  <si>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</si>
  <si>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</si>
  <si>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</si>
  <si>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</si>
  <si>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</si>
  <si>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</si>
  <si>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</si>
  <si>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</si>
  <si>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</si>
  <si>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</si>
  <si>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</si>
  <si>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</si>
  <si>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</si>
  <si>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</si>
  <si>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</si>
  <si>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</si>
  <si>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</si>
  <si>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</si>
  <si>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</si>
  <si>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</si>
  <si>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</si>
  <si>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</si>
  <si>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</si>
  <si>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</si>
  <si>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</si>
  <si>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</si>
  <si>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</si>
  <si>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</si>
  <si>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</si>
  <si>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</si>
  <si>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</si>
  <si>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</si>
  <si>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</si>
  <si>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</si>
  <si>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</si>
  <si>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</si>
  <si>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</si>
  <si>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</si>
  <si>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</si>
  <si>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</si>
  <si>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</si>
  <si>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</si>
  <si>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</si>
  <si>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</si>
  <si>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</si>
  <si>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</si>
  <si>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</si>
  <si>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</si>
  <si>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</si>
  <si>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</si>
  <si>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</si>
  <si>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</si>
  <si>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</si>
  <si>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</si>
  <si>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</si>
  <si>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</si>
  <si>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</si>
  <si>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</si>
  <si>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</si>
  <si>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</si>
  <si>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</si>
  <si>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</si>
  <si>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</si>
  <si>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</si>
  <si>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</si>
  <si>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</si>
  <si>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</si>
  <si>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</si>
  <si>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</si>
  <si>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</si>
  <si>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</si>
  <si>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</si>
  <si>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</si>
  <si>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</si>
  <si>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</si>
  <si>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</si>
  <si>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</si>
  <si>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</si>
  <si>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</si>
  <si>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</si>
  <si>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</si>
  <si>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</si>
  <si>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</si>
  <si>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</si>
  <si>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</si>
  <si>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</si>
  <si>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</si>
  <si>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</si>
  <si>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</si>
  <si>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</si>
  <si>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</si>
  <si>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</si>
  <si>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</si>
  <si>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</si>
  <si>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</si>
  <si>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</si>
  <si>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</si>
  <si>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</si>
  <si>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</si>
  <si>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</si>
  <si>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</si>
  <si>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</si>
  <si>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</si>
  <si>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</si>
  <si>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</si>
  <si>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</si>
  <si>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</si>
  <si>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</si>
  <si>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</si>
  <si>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</si>
  <si>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</si>
  <si>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</si>
  <si>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</si>
  <si>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</si>
  <si>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</si>
  <si>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</si>
  <si>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</si>
  <si>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</si>
  <si>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</si>
  <si>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</si>
  <si>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</si>
  <si>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</si>
  <si>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</si>
  <si>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</si>
  <si>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</si>
  <si>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</si>
  <si>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</si>
  <si>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</si>
  <si>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</si>
  <si>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</si>
  <si>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</si>
  <si>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</si>
  <si>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</si>
  <si>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</si>
  <si>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</si>
  <si>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</si>
  <si>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</si>
  <si>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</si>
  <si>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</si>
  <si>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</si>
  <si>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</si>
  <si>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</si>
  <si>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</si>
  <si>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</si>
  <si>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</si>
  <si>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</si>
  <si>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</si>
  <si>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</si>
  <si>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</si>
  <si>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</si>
  <si>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</si>
  <si>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</si>
  <si>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</si>
  <si>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</si>
  <si>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</si>
  <si>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</si>
  <si>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</si>
  <si>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</si>
  <si>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</si>
  <si>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</si>
  <si>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</si>
  <si>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</si>
  <si>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</si>
  <si>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</si>
  <si>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</si>
  <si>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</si>
  <si>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</si>
  <si>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</si>
  <si>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</si>
  <si>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</si>
  <si>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</si>
  <si>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</si>
  <si>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</si>
  <si>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</si>
  <si>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</si>
  <si>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</si>
  <si>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</si>
  <si>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</si>
  <si>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</si>
  <si>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</si>
  <si>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</si>
  <si>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</si>
  <si>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</si>
  <si>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</si>
  <si>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</si>
  <si>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</si>
  <si>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</si>
  <si>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</si>
  <si>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</si>
  <si>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</si>
  <si>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</si>
  <si>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</si>
  <si>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</si>
  <si>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</si>
  <si>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</si>
  <si>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</si>
  <si>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</si>
  <si>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</si>
  <si>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</si>
  <si>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</si>
  <si>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</si>
  <si>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</si>
  <si>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</si>
  <si>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</si>
  <si>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</si>
  <si>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</si>
  <si>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</si>
  <si>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</si>
  <si>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</si>
  <si>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</si>
  <si>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</si>
  <si>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</si>
  <si>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</si>
  <si>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</si>
  <si>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</si>
  <si>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</si>
  <si>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</si>
  <si>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</si>
  <si>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</si>
  <si>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</si>
  <si>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</si>
  <si>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</si>
  <si>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</si>
  <si>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</si>
  <si>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</si>
  <si>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</si>
  <si>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</si>
  <si>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</si>
  <si>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</si>
  <si>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</si>
  <si>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</si>
  <si>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</si>
  <si>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</si>
  <si>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</si>
  <si>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</si>
  <si>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</si>
  <si>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</si>
  <si>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</si>
  <si>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</si>
  <si>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</si>
  <si>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</si>
  <si>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</si>
  <si>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</si>
  <si>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</si>
  <si>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</si>
  <si>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</si>
  <si>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</si>
  <si>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</si>
  <si>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</si>
  <si>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</si>
  <si>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</si>
  <si>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</si>
  <si>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</si>
  <si>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</si>
  <si>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</si>
  <si>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</si>
  <si>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</si>
  <si>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</si>
  <si>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</si>
  <si>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</si>
  <si>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</si>
  <si>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</si>
  <si>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</si>
  <si>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</si>
  <si>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</si>
  <si>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</si>
  <si>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</si>
  <si>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</si>
  <si>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</si>
  <si>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</si>
  <si>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</si>
  <si>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</si>
  <si>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</si>
  <si>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</si>
  <si>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</si>
  <si>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</si>
  <si>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</si>
  <si>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</si>
  <si>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</si>
  <si>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</si>
  <si>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</si>
  <si>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</si>
  <si>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</si>
  <si>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</si>
  <si>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</si>
  <si>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</si>
  <si>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</si>
  <si>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</si>
  <si>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</si>
  <si>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</si>
  <si>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</si>
  <si>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</si>
  <si>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</si>
  <si>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</si>
  <si>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</si>
  <si>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</si>
  <si>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</si>
  <si>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</si>
  <si>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</si>
  <si>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</si>
  <si>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</si>
  <si>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</si>
  <si>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</si>
  <si>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</si>
  <si>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</si>
  <si>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</si>
  <si>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</si>
  <si>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</si>
  <si>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</si>
  <si>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</si>
  <si>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</si>
  <si>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</si>
  <si>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</si>
  <si>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</si>
  <si>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</si>
  <si>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</si>
  <si>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</si>
  <si>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</si>
  <si>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</si>
  <si>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</si>
  <si>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</si>
  <si>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</si>
  <si>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</si>
  <si>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</si>
  <si>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</si>
  <si>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</si>
  <si>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</si>
  <si>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</si>
  <si>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</si>
  <si>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</si>
  <si>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</si>
  <si>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</si>
  <si>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</si>
  <si>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</si>
  <si>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</si>
  <si>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</si>
  <si>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</si>
  <si>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</si>
  <si>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</si>
  <si>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</si>
  <si>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</si>
  <si>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</si>
  <si>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</si>
  <si>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</si>
  <si>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</si>
  <si>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</si>
  <si>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</si>
  <si>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</si>
  <si>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</si>
  <si>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</si>
  <si>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</si>
  <si>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</si>
  <si>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</si>
  <si>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</si>
  <si>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</si>
  <si>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</si>
  <si>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</si>
  <si>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</si>
  <si>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</si>
  <si>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</si>
  <si>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</si>
  <si>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</si>
  <si>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</si>
  <si>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</si>
  <si>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</si>
  <si>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</si>
  <si>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</si>
  <si>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</si>
  <si>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</si>
  <si>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</si>
  <si>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</si>
  <si>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</si>
  <si>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</si>
  <si>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</si>
  <si>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</si>
  <si>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</si>
  <si>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</si>
  <si>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</si>
  <si>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</si>
  <si>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</si>
  <si>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</si>
  <si>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</si>
  <si>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</si>
  <si>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</si>
  <si>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</si>
  <si>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</si>
  <si>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</si>
  <si>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</si>
  <si>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</si>
  <si>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</si>
  <si>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</si>
  <si>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</si>
  <si>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</si>
  <si>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</si>
  <si>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</si>
  <si>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</si>
  <si>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</si>
  <si>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</si>
  <si>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</si>
  <si>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</si>
  <si>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</si>
  <si>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</si>
  <si>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</si>
  <si>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</si>
  <si>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</si>
  <si>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</si>
  <si>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</si>
  <si>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</si>
  <si>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</si>
  <si>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</si>
  <si>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</si>
  <si>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</si>
  <si>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</si>
  <si>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</si>
  <si>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</si>
  <si>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</si>
  <si>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</si>
  <si>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</si>
  <si>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</si>
  <si>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</si>
  <si>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</si>
  <si>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</si>
  <si>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</si>
  <si>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</si>
  <si>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</si>
  <si>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</si>
  <si>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</si>
  <si>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</si>
  <si>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</si>
  <si>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</si>
  <si>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</si>
  <si>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</si>
  <si>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</si>
  <si>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</si>
  <si>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</si>
  <si>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</si>
  <si>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</si>
  <si>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</si>
  <si>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</si>
  <si>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</si>
  <si>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</si>
  <si>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</si>
  <si>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</si>
  <si>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</si>
  <si>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</si>
  <si>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</si>
  <si>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</si>
  <si>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</si>
  <si>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</si>
  <si>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</si>
  <si>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</si>
  <si>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</si>
  <si>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</si>
  <si>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</si>
  <si>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</si>
  <si>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</si>
  <si>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</si>
  <si>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</si>
  <si>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</si>
  <si>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</si>
  <si>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</si>
  <si>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</si>
  <si>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</si>
  <si>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</si>
  <si>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</si>
  <si>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</si>
  <si>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</si>
  <si>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</si>
  <si>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</si>
  <si>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</si>
  <si>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</si>
  <si>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</si>
  <si>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</si>
  <si>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B提供※</t>
  </si>
  <si>
    <t xml:space="preserve">Hướng dẫn này dành cho:
Cách chuyển file lưu trên điện thoại trước khi hệ thống lưu trữ đám mây chính thức hoàn thành.
※Video hướng dẫn tiếng Anh được cung cấp bởi Gabriel B※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</si>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</sst>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7">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9" fontId="23" numFmtId="0" xfId="0" applyAlignment="1" applyFont="1">
      <alignment horizontal="center"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readingOrder="0"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9" fontId="24" numFmtId="0" xfId="0" applyAlignment="1" applyFont="1">
      <alignment horizontal="center"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質問しないでください。答えは常に「まだできていません」であり、ガイドが不完全であるという意味ではありません。
2. メジャーアップデートのたびに、公式サイトから最新バージョンを手動でダウンロードし、自動アップデート機能をご利用いただくことをお勧めします（一部の地域では、他の地域へのアクセスにVPNが必要です）。
3. このガイドはPC版専用です"&amp;"。Android版の一部機能（カメラなど）は利用できないため、一部の内容はこのガイドに当てはまらない場合があります。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質問しないでください。答えは常に「まだできていません」であり、ガイドが不完全であるという意味ではありません。
2. メジャーアップデートのたびに、公式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треб"&amp;"уется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нах"&amp;"одится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Reiter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Reiter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diese Version daher nach Belieben.
Die nächste Version 0.85 wird voraussichtlich viele Badezimmer- und Waschraumfunktionen enthalten. Freuen wir uns darauf!")</f>
        <v>Version 0.82 enthält kein neues SLG-Gameplay. Überspringen Sie diese Version daher nach Belieben.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Gegenstands „Kern Nr. 1“ befindet sich der Einsatzort in der Spalte „Fähigkeit“. Da diese Spalte aktuell keine Textbeschreibung enthält, ist sie leer. Das Design ist lediglich noch nicht fertig, es handelt sich nicht um einen Fehler. Nach"&amp;" einem Klick darauf können Sie wie gewohnt upgraden.")</f>
        <v>Beim Upgrade des Gegenstands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могут быть опущены неизвестные механики. Если в этом документе есть какие-либо не"&amp;"известные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Dis"&amp;"cord: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"&amp;"испанский: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могут быть опущены неизвестные механики.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IFERROR(__xludf.DUMMYFUNCTION("GOOGLETRANSLATE(A65,""zh-tw"",""DE"")"),"2025/1/3 Neu hinzugefügte Versionsinformationen 0.6A: Ereignis")</f>
        <v>2025/1/3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IFERROR(__xludf.DUMMYFUNCTION("GOOGLETRANSLATE(A73,""zh-tw"",""es-MX"")"),"2024/11/20 Se agregó nuevo contenido en la versión 0.5A: Eventos/Indicaciones")</f>
        <v>2024/11/20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zur Version 0.4C hinzugefügt – Ereignisse/Feldabwürfe/Rüstung")</f>
        <v>24.10.2024 Neuer Inhalt zur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 maltesey, Andy"&amp;"Jango,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 maltesey, AndyJango, IntenseLag, Nian Sprout
Prohibida la reproducción no autorizada.</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Unerlaubte Vervielfältigung verboten.</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になったら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になったら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13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IFERROR(__xludf.DUMMYFUNCTION("GOOGLETRANSLATE(C48,""zh-tw"",""es-MX"")"),"La capacidad de usar el tiempo de la ducha se agota después de aproximadamente 7 días y puede activarse incluso cuando no se está mirando. Puede agotarse temprano cuando el hermano se ducha solo. También puede activarse al robar ropa interior.")</f>
        <v>La capacidad de usar el tiempo de la ducha se agota después de aproximadamente 7 días y puede activarse incluso cuando no se está mirando. Puede agotarse temprano cuando el hermano se ducha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IFERROR(__xludf.DUMMYFUNCTION("GOOGLETRANSLATE(C48,""zh-tw"",""KO"")"),"샤워 시간을 소모하는 능력은 약 7일 후에 소진되며, 엿보지 않을 때도 발동될 수 있습니다. 오빠가 혼자 샤워할 때 일찍 소모될 수 있습니다. 속옷을 훔칠 때도 발동될 수 있습니다.")</f>
        <v>샤워 시간을 소모하는 능력은 약 7일 후에 소진되며, 엿보지 않을 때도 발동될 수 있습니다. 오빠가 혼자 샤워할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4"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 있어요")</f>
        <v>언니랑 같이 목욕할 수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4"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открываете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открываете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IFERROR(__xludf.DUMMYFUNCTION("GOOGLETRANSLATE(C53,""zh-tw"",""KO"")"),"옷 갈아입는 모습을 엿보는 이벤트를 트리거합니다. 호감도가 2보다 높고 미닫이문이 완전히 열리지 않은 경우, 발견 옵션이 트리거될 수 있습니다.")</f>
        <v>옷 갈아입는 모습을 엿보는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가세요 -4")</f>
        <v>지금 가세요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트리거합니다(알아보겠습니다)")</f>
        <v>검은색 옵션을 트리거합니다(알아보겠습니다)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5"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5"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5"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6" t="s">
        <v>1281</v>
      </c>
      <c r="S61" s="135"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4"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podrás usar la opción Baile Ninja.")</f>
        <v>Después de aprender "Eliminación de olores", colócate en el baño mientras tu hermana se está duchando y podrás usar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들어가면 닌자 댄스 옵션을 사용할 수 있습니다.")</f>
        <v>"냄새 제거"를 배운 후, 여동생이 샤워를 하는 동안 욕실에 몰래 들어가면 닌자 댄스 옵션을 사용할 수 있습니다.</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desacuerdos sobre favorabilidad y amor. Esto está pendiente.")</f>
        <v>Se puede ver a la hermana lavándose el pelo y los pechos.
Actualmente, no hay fallos de voyeurismo ni desacuerdos sobre favorabilidad y amor.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IFERROR(__xludf.DUMMYFUNCTION("GOOGLETRANSLATE(D67,""zh-tw"",""KO"")"),"언니가 머리와 가슴을 감는 모습이 보입니다.
현재 관음증 관련 오류나 호감도 및 애정 관련 의견 불일치는 없습니다. 현재 진행 중입니다.")</f>
        <v>언니가 머리와 가슴을 감는 모습이 보입니다.
현재 관음증 관련 오류나 호감도 및 애정 관련 의견 불일치는 없습니다. 현재 진행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тайком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тайком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7">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7">
        <v>1.0</v>
      </c>
      <c r="R72" s="100" t="s">
        <v>1456</v>
      </c>
      <c r="S72" s="97" t="s">
        <v>1457</v>
      </c>
      <c r="T72" s="52" t="s">
        <v>1458</v>
      </c>
      <c r="U72" s="137">
        <v>1.0</v>
      </c>
      <c r="V72" s="88" t="s">
        <v>1459</v>
      </c>
      <c r="W72" s="89" t="s">
        <v>1460</v>
      </c>
      <c r="X72" s="55" t="s">
        <v>1461</v>
      </c>
      <c r="Y72" s="84">
        <v>1.0</v>
      </c>
      <c r="Z72" s="118" t="s">
        <v>1462</v>
      </c>
      <c r="AA72" s="138"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7">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7">
        <v>2.0</v>
      </c>
      <c r="R73" s="100" t="s">
        <v>1481</v>
      </c>
      <c r="S73" s="97" t="s">
        <v>1482</v>
      </c>
      <c r="T73" s="52" t="s">
        <v>1483</v>
      </c>
      <c r="U73" s="137">
        <v>2.0</v>
      </c>
      <c r="V73" s="88" t="s">
        <v>1484</v>
      </c>
      <c r="W73" s="89" t="s">
        <v>1485</v>
      </c>
      <c r="X73" s="55" t="s">
        <v>1486</v>
      </c>
      <c r="Y73" s="84">
        <v>2.0</v>
      </c>
      <c r="Z73" s="118" t="s">
        <v>1487</v>
      </c>
      <c r="AA73" s="138"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7">
        <v>3.0</v>
      </c>
      <c r="B74" s="88" t="s">
        <v>1496</v>
      </c>
      <c r="C74" s="89" t="s">
        <v>1497</v>
      </c>
      <c r="D74" s="55" t="s">
        <v>1498</v>
      </c>
      <c r="E74" s="137">
        <v>3.0</v>
      </c>
      <c r="F74" s="88" t="s">
        <v>1499</v>
      </c>
      <c r="G74" s="89" t="s">
        <v>1500</v>
      </c>
      <c r="H74" s="55" t="s">
        <v>1501</v>
      </c>
      <c r="I74" s="137">
        <v>3.0</v>
      </c>
      <c r="J74" s="88" t="s">
        <v>1502</v>
      </c>
      <c r="K74" s="89" t="s">
        <v>1503</v>
      </c>
      <c r="L74" s="55" t="s">
        <v>1504</v>
      </c>
      <c r="M74" s="137">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7">
        <v>3.0</v>
      </c>
      <c r="R74" s="88" t="s">
        <v>1505</v>
      </c>
      <c r="S74" s="97" t="s">
        <v>1506</v>
      </c>
      <c r="T74" s="52" t="s">
        <v>1507</v>
      </c>
      <c r="U74" s="137">
        <v>3.0</v>
      </c>
      <c r="V74" s="88" t="s">
        <v>1508</v>
      </c>
      <c r="W74" s="89" t="s">
        <v>1509</v>
      </c>
      <c r="X74" s="55" t="s">
        <v>1510</v>
      </c>
      <c r="Y74" s="137">
        <v>3.0</v>
      </c>
      <c r="Z74" s="118" t="s">
        <v>1511</v>
      </c>
      <c r="AA74" s="138" t="s">
        <v>1512</v>
      </c>
      <c r="AB74" s="114" t="s">
        <v>1513</v>
      </c>
      <c r="AC74" s="137">
        <v>3.0</v>
      </c>
      <c r="AD74" s="88" t="s">
        <v>1514</v>
      </c>
      <c r="AE74" s="89" t="s">
        <v>1515</v>
      </c>
      <c r="AF74" s="55" t="s">
        <v>1516</v>
      </c>
      <c r="AG74" s="139">
        <v>3.0</v>
      </c>
      <c r="AH74" s="140" t="s">
        <v>1517</v>
      </c>
      <c r="AI74" s="141" t="s">
        <v>1518</v>
      </c>
      <c r="AJ74" s="142" t="s">
        <v>1519</v>
      </c>
      <c r="AK74" s="55"/>
      <c r="AL74" s="55"/>
      <c r="AM74" s="55"/>
      <c r="AN74" s="55"/>
      <c r="AO74" s="55"/>
    </row>
    <row r="75">
      <c r="A75" s="137">
        <v>4.0</v>
      </c>
      <c r="B75" s="88" t="s">
        <v>1520</v>
      </c>
      <c r="C75" s="89" t="s">
        <v>1521</v>
      </c>
      <c r="D75" s="55" t="s">
        <v>1522</v>
      </c>
      <c r="E75" s="137">
        <v>4.0</v>
      </c>
      <c r="F75" s="88" t="s">
        <v>1523</v>
      </c>
      <c r="G75" s="89" t="s">
        <v>1524</v>
      </c>
      <c r="H75" s="55" t="s">
        <v>1525</v>
      </c>
      <c r="I75" s="137">
        <v>4.0</v>
      </c>
      <c r="J75" s="88" t="s">
        <v>1526</v>
      </c>
      <c r="K75" s="89" t="s">
        <v>1527</v>
      </c>
      <c r="L75" s="55" t="s">
        <v>1528</v>
      </c>
      <c r="M75" s="137">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7">
        <v>4.0</v>
      </c>
      <c r="R75" s="100" t="s">
        <v>1529</v>
      </c>
      <c r="S75" s="97" t="s">
        <v>1530</v>
      </c>
      <c r="T75" s="55" t="str">
        <f>IFERROR(__xludf.DUMMYFUNCTION("GOOGLETRANSLATE(D75,""zh-tw"",""es-MX"")"),"Se agregaron otras opciones")</f>
        <v>Se agregaron otras opciones</v>
      </c>
      <c r="U75" s="137">
        <v>4.0</v>
      </c>
      <c r="V75" s="88" t="s">
        <v>1531</v>
      </c>
      <c r="W75" s="89" t="s">
        <v>1532</v>
      </c>
      <c r="X75" s="55" t="str">
        <f>IFERROR(__xludf.DUMMYFUNCTION("GOOGLETRANSLATE(D75,""zh-tw"",""KO"")"),"다른 옵션을 추가했습니다")</f>
        <v>다른 옵션을 추가했습니다</v>
      </c>
      <c r="Y75" s="137">
        <v>4.0</v>
      </c>
      <c r="Z75" s="118" t="s">
        <v>1533</v>
      </c>
      <c r="AA75" s="138" t="s">
        <v>1534</v>
      </c>
      <c r="AB75" s="114" t="s">
        <v>1535</v>
      </c>
      <c r="AC75" s="137">
        <v>4.0</v>
      </c>
      <c r="AD75" s="88" t="s">
        <v>1536</v>
      </c>
      <c r="AE75" s="89" t="s">
        <v>1537</v>
      </c>
      <c r="AF75" s="55" t="s">
        <v>1538</v>
      </c>
      <c r="AG75" s="139">
        <v>4.0</v>
      </c>
      <c r="AH75" s="140" t="s">
        <v>1539</v>
      </c>
      <c r="AI75" s="141" t="s">
        <v>1540</v>
      </c>
      <c r="AJ75" s="142" t="s">
        <v>1541</v>
      </c>
      <c r="AK75" s="55"/>
      <c r="AL75" s="55"/>
      <c r="AM75" s="55"/>
      <c r="AN75" s="55"/>
      <c r="AO75" s="55"/>
    </row>
    <row r="76">
      <c r="A76" s="137">
        <v>5.0</v>
      </c>
      <c r="B76" s="88" t="s">
        <v>1542</v>
      </c>
      <c r="C76" s="89" t="s">
        <v>1543</v>
      </c>
      <c r="D76" s="55" t="s">
        <v>1544</v>
      </c>
      <c r="E76" s="137">
        <v>5.0</v>
      </c>
      <c r="F76" s="88" t="s">
        <v>1545</v>
      </c>
      <c r="G76" s="89" t="s">
        <v>1546</v>
      </c>
      <c r="H76" s="55" t="s">
        <v>1547</v>
      </c>
      <c r="I76" s="137">
        <v>5.0</v>
      </c>
      <c r="J76" s="88" t="s">
        <v>1548</v>
      </c>
      <c r="K76" s="89" t="s">
        <v>1549</v>
      </c>
      <c r="L76" s="55" t="s">
        <v>1550</v>
      </c>
      <c r="M76" s="137">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7">
        <v>5.0</v>
      </c>
      <c r="R76" s="88" t="s">
        <v>1551</v>
      </c>
      <c r="S76" s="97" t="s">
        <v>1552</v>
      </c>
      <c r="T76" s="52" t="s">
        <v>1553</v>
      </c>
      <c r="U76" s="137">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7">
        <v>5.0</v>
      </c>
      <c r="Z76" s="118" t="s">
        <v>1554</v>
      </c>
      <c r="AA76" s="138" t="s">
        <v>1555</v>
      </c>
      <c r="AB76" s="114" t="s">
        <v>1556</v>
      </c>
      <c r="AC76" s="137">
        <v>5.0</v>
      </c>
      <c r="AD76" s="88" t="s">
        <v>1557</v>
      </c>
      <c r="AE76" s="89" t="s">
        <v>1558</v>
      </c>
      <c r="AF76" s="55" t="s">
        <v>1559</v>
      </c>
      <c r="AG76" s="139">
        <v>5.0</v>
      </c>
      <c r="AH76" s="140" t="s">
        <v>1560</v>
      </c>
      <c r="AI76" s="141" t="s">
        <v>1561</v>
      </c>
      <c r="AJ76" s="142"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3"/>
      <c r="AH77" s="143"/>
      <c r="AI77" s="143"/>
      <c r="AJ77" s="143"/>
      <c r="AK77" s="46"/>
      <c r="AL77" s="46"/>
      <c r="AM77" s="46"/>
      <c r="AN77" s="46"/>
      <c r="AO77" s="46"/>
    </row>
    <row r="78">
      <c r="A78" s="80" t="s">
        <v>1563</v>
      </c>
      <c r="B78" s="144"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5" t="s">
        <v>1571</v>
      </c>
      <c r="AK78" s="144"/>
      <c r="AL78" s="144"/>
      <c r="AM78" s="144"/>
      <c r="AN78" s="144"/>
      <c r="AO78" s="144"/>
    </row>
    <row r="79">
      <c r="A79" s="137">
        <v>1.0</v>
      </c>
      <c r="B79" s="88" t="s">
        <v>1572</v>
      </c>
      <c r="C79" s="89" t="s">
        <v>1573</v>
      </c>
      <c r="D79" s="55" t="s">
        <v>1574</v>
      </c>
      <c r="E79" s="137">
        <v>1.0</v>
      </c>
      <c r="F79" s="88" t="s">
        <v>1575</v>
      </c>
      <c r="G79" s="89" t="s">
        <v>1576</v>
      </c>
      <c r="H79" s="55" t="s">
        <v>1577</v>
      </c>
      <c r="I79" s="137">
        <v>1.0</v>
      </c>
      <c r="J79" s="88" t="s">
        <v>1578</v>
      </c>
      <c r="K79" s="89" t="s">
        <v>1579</v>
      </c>
      <c r="L79" s="55" t="s">
        <v>1580</v>
      </c>
      <c r="M79" s="137">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7">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7">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7">
        <v>1.0</v>
      </c>
      <c r="Z79" s="118" t="s">
        <v>1583</v>
      </c>
      <c r="AA79" s="138" t="s">
        <v>1584</v>
      </c>
      <c r="AB79" s="114" t="s">
        <v>1585</v>
      </c>
      <c r="AC79" s="137">
        <v>1.0</v>
      </c>
      <c r="AD79" s="88" t="s">
        <v>1586</v>
      </c>
      <c r="AE79" s="89" t="s">
        <v>1587</v>
      </c>
      <c r="AF79" s="55" t="s">
        <v>1588</v>
      </c>
      <c r="AG79" s="139">
        <v>1.0</v>
      </c>
      <c r="AH79" s="140" t="s">
        <v>1589</v>
      </c>
      <c r="AI79" s="141" t="s">
        <v>1590</v>
      </c>
      <c r="AJ79" s="142" t="s">
        <v>1591</v>
      </c>
      <c r="AK79" s="55"/>
      <c r="AL79" s="55"/>
      <c r="AM79" s="55"/>
      <c r="AN79" s="55"/>
      <c r="AO79" s="55"/>
    </row>
    <row r="80">
      <c r="A80" s="137">
        <v>2.0</v>
      </c>
      <c r="B80" s="88" t="s">
        <v>1592</v>
      </c>
      <c r="C80" s="89" t="s">
        <v>1593</v>
      </c>
      <c r="D80" s="55" t="s">
        <v>1594</v>
      </c>
      <c r="E80" s="137">
        <v>2.0</v>
      </c>
      <c r="F80" s="88" t="s">
        <v>1595</v>
      </c>
      <c r="G80" s="89" t="s">
        <v>1596</v>
      </c>
      <c r="H80" s="55" t="s">
        <v>1597</v>
      </c>
      <c r="I80" s="137">
        <v>2.0</v>
      </c>
      <c r="J80" s="88" t="s">
        <v>1598</v>
      </c>
      <c r="K80" s="89" t="s">
        <v>1599</v>
      </c>
      <c r="L80" s="55" t="s">
        <v>1600</v>
      </c>
      <c r="M80" s="137">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7">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7">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7">
        <v>2.0</v>
      </c>
      <c r="Z80" s="118" t="s">
        <v>1603</v>
      </c>
      <c r="AA80" s="138" t="s">
        <v>1604</v>
      </c>
      <c r="AB80" s="114" t="s">
        <v>1605</v>
      </c>
      <c r="AC80" s="137">
        <v>2.0</v>
      </c>
      <c r="AD80" s="88" t="s">
        <v>1606</v>
      </c>
      <c r="AE80" s="89" t="s">
        <v>1607</v>
      </c>
      <c r="AF80" s="55" t="s">
        <v>1608</v>
      </c>
      <c r="AG80" s="139">
        <v>2.0</v>
      </c>
      <c r="AH80" s="140" t="s">
        <v>1609</v>
      </c>
      <c r="AI80" s="141" t="s">
        <v>1610</v>
      </c>
      <c r="AJ80" s="142" t="s">
        <v>1611</v>
      </c>
      <c r="AK80" s="55"/>
      <c r="AL80" s="55"/>
      <c r="AM80" s="55"/>
      <c r="AN80" s="55"/>
      <c r="AO80" s="55"/>
    </row>
    <row r="81">
      <c r="A81" s="137">
        <v>3.0</v>
      </c>
      <c r="B81" s="88" t="s">
        <v>1612</v>
      </c>
      <c r="C81" s="89" t="s">
        <v>1613</v>
      </c>
      <c r="D81" s="55" t="s">
        <v>1594</v>
      </c>
      <c r="E81" s="137">
        <v>3.0</v>
      </c>
      <c r="F81" s="88" t="s">
        <v>1614</v>
      </c>
      <c r="G81" s="89" t="s">
        <v>1615</v>
      </c>
      <c r="H81" s="55" t="s">
        <v>1597</v>
      </c>
      <c r="I81" s="137">
        <v>3.0</v>
      </c>
      <c r="J81" s="88" t="s">
        <v>1616</v>
      </c>
      <c r="K81" s="89" t="s">
        <v>1617</v>
      </c>
      <c r="L81" s="55" t="s">
        <v>1600</v>
      </c>
      <c r="M81" s="137">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7">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7">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7">
        <v>3.0</v>
      </c>
      <c r="Z81" s="118" t="s">
        <v>1620</v>
      </c>
      <c r="AA81" s="138" t="s">
        <v>1621</v>
      </c>
      <c r="AB81" s="114" t="s">
        <v>1605</v>
      </c>
      <c r="AC81" s="137">
        <v>3.0</v>
      </c>
      <c r="AD81" s="88" t="s">
        <v>1622</v>
      </c>
      <c r="AE81" s="89" t="s">
        <v>1623</v>
      </c>
      <c r="AF81" s="55" t="s">
        <v>1608</v>
      </c>
      <c r="AG81" s="139">
        <v>3.0</v>
      </c>
      <c r="AH81" s="140" t="s">
        <v>1624</v>
      </c>
      <c r="AI81" s="141" t="s">
        <v>1625</v>
      </c>
      <c r="AJ81" s="142" t="s">
        <v>1611</v>
      </c>
      <c r="AK81" s="55"/>
      <c r="AL81" s="55"/>
      <c r="AM81" s="55"/>
      <c r="AN81" s="55"/>
      <c r="AO81" s="55"/>
    </row>
    <row r="82">
      <c r="A82" s="137">
        <v>4.0</v>
      </c>
      <c r="B82" s="88" t="s">
        <v>1626</v>
      </c>
      <c r="C82" s="89" t="s">
        <v>1627</v>
      </c>
      <c r="D82" s="55" t="s">
        <v>1628</v>
      </c>
      <c r="E82" s="137">
        <v>4.0</v>
      </c>
      <c r="F82" s="88" t="s">
        <v>1629</v>
      </c>
      <c r="G82" s="89" t="s">
        <v>1630</v>
      </c>
      <c r="H82" s="55" t="s">
        <v>1631</v>
      </c>
      <c r="I82" s="137">
        <v>4.0</v>
      </c>
      <c r="J82" s="88" t="s">
        <v>1632</v>
      </c>
      <c r="K82" s="89" t="s">
        <v>1633</v>
      </c>
      <c r="L82" s="55" t="s">
        <v>1634</v>
      </c>
      <c r="M82" s="137">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7">
        <v>4.0</v>
      </c>
      <c r="R82" s="88" t="s">
        <v>1635</v>
      </c>
      <c r="S82" s="97" t="s">
        <v>1636</v>
      </c>
      <c r="T82" s="52" t="s">
        <v>1637</v>
      </c>
      <c r="U82" s="137">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7">
        <v>4.0</v>
      </c>
      <c r="Z82" s="118" t="str">
        <f>IFERROR(__xludf.DUMMYFUNCTION("IF(J82="""", """", GOOGLETRANSLATE(
J82,""en"",""ru""))"),"Поднимаюсь и смотрю")</f>
        <v>Поднимаюсь и смотрю</v>
      </c>
      <c r="AA82" s="138"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37">
        <v>4.0</v>
      </c>
      <c r="AD82" s="88" t="s">
        <v>1638</v>
      </c>
      <c r="AE82" s="89" t="s">
        <v>1639</v>
      </c>
      <c r="AF82" s="55" t="s">
        <v>1640</v>
      </c>
      <c r="AG82" s="139">
        <v>4.0</v>
      </c>
      <c r="AH82" s="140" t="s">
        <v>1641</v>
      </c>
      <c r="AI82" s="141" t="s">
        <v>1642</v>
      </c>
      <c r="AJ82" s="142" t="s">
        <v>1643</v>
      </c>
      <c r="AK82" s="55"/>
      <c r="AL82" s="55"/>
      <c r="AM82" s="55"/>
      <c r="AN82" s="55"/>
      <c r="AO82" s="55"/>
    </row>
    <row r="83">
      <c r="A83" s="137">
        <v>5.0</v>
      </c>
      <c r="B83" s="100" t="s">
        <v>1644</v>
      </c>
      <c r="C83" s="97" t="s">
        <v>1645</v>
      </c>
      <c r="D83" s="52" t="s">
        <v>1646</v>
      </c>
      <c r="E83" s="137">
        <v>5.0</v>
      </c>
      <c r="F83" s="100" t="s">
        <v>1647</v>
      </c>
      <c r="G83" s="97" t="s">
        <v>1648</v>
      </c>
      <c r="H83" s="52" t="s">
        <v>1649</v>
      </c>
      <c r="I83" s="137">
        <v>5.0</v>
      </c>
      <c r="J83" s="100" t="s">
        <v>1650</v>
      </c>
      <c r="K83" s="97" t="s">
        <v>1651</v>
      </c>
      <c r="L83" s="52" t="s">
        <v>1652</v>
      </c>
      <c r="M83" s="137">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7">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7">
        <v>5.0</v>
      </c>
      <c r="V83" s="88" t="str">
        <f>IFERROR(__xludf.DUMMYFUNCTION("GOOGLETRANSLATE(B83,""zh-tw"",""KO"")"),"일찍 집에 가는 것도 좋은 방법입니다.")</f>
        <v>일찍 집에 가는 것도 좋은 방법입니다.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7">
        <v>5.0</v>
      </c>
      <c r="Z83" s="118" t="str">
        <f>IFERROR(__xludf.DUMMYFUNCTION("IF(J83="""", """", GOOGLETRANSLATE(
J83,""en"",""ru""))"),"Возвращаюсь домой пораньше - 1")</f>
        <v>Возвращаюсь домой пораньше - 1</v>
      </c>
      <c r="AA83" s="138" t="str">
        <f>IFERROR(__xludf.DUMMYFUNCTION("IF(K83="""", """", GOOGLETRANSLATE(K83,""en"",""RU""))"),"В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7">
        <v>5.0</v>
      </c>
      <c r="AD83" s="88"/>
      <c r="AE83" s="89"/>
      <c r="AF83" s="55"/>
      <c r="AG83" s="137">
        <v>5.0</v>
      </c>
      <c r="AH83" s="140"/>
      <c r="AI83" s="141"/>
      <c r="AJ83" s="142"/>
      <c r="AK83" s="55"/>
      <c r="AL83" s="55"/>
      <c r="AM83" s="55"/>
      <c r="AN83" s="55"/>
      <c r="AO83" s="55"/>
    </row>
    <row r="84">
      <c r="A84" s="137">
        <v>6.0</v>
      </c>
      <c r="B84" s="100" t="s">
        <v>1653</v>
      </c>
      <c r="C84" s="97" t="s">
        <v>1654</v>
      </c>
      <c r="D84" s="52" t="s">
        <v>1655</v>
      </c>
      <c r="E84" s="137">
        <v>6.0</v>
      </c>
      <c r="F84" s="100" t="s">
        <v>1656</v>
      </c>
      <c r="G84" s="97" t="s">
        <v>1657</v>
      </c>
      <c r="H84" s="52" t="s">
        <v>1658</v>
      </c>
      <c r="I84" s="137">
        <v>6.0</v>
      </c>
      <c r="J84" s="100" t="s">
        <v>1659</v>
      </c>
      <c r="K84" s="97" t="s">
        <v>1660</v>
      </c>
      <c r="L84" s="52" t="s">
        <v>1661</v>
      </c>
      <c r="M84" s="137">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7">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está soplando el ventilador eléctrico.")</f>
        <v>La hermana no lleva ropa interior y está soplando el ventilador eléctrico.</v>
      </c>
      <c r="U84" s="137">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IFERROR(__xludf.DUMMYFUNCTION("GOOGLETRANSLATE(D84,""zh-tw"",""KO"")"),"언니는 속옷도 안 입고 선풍기를 돌리고 있어요")</f>
        <v>언니는 속옷도 안 입고 선풍기를 돌리고 있어요</v>
      </c>
      <c r="Y84" s="137">
        <v>6.0</v>
      </c>
      <c r="Z84" s="118" t="str">
        <f>IFERROR(__xludf.DUMMYFUNCTION("IF(J84="""", """", GOOGLETRANSLATE(
J84,""en"",""ru""))"),"Возвращаюсь домой пораньше - 2")</f>
        <v>Возвращаюсь домой пораньше - 2</v>
      </c>
      <c r="AA84" s="138"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7">
        <v>6.0</v>
      </c>
      <c r="AD84" s="88"/>
      <c r="AE84" s="89"/>
      <c r="AF84" s="55"/>
      <c r="AG84" s="137">
        <v>6.0</v>
      </c>
      <c r="AH84" s="140"/>
      <c r="AI84" s="141"/>
      <c r="AJ84" s="142"/>
      <c r="AK84" s="55"/>
      <c r="AL84" s="55"/>
      <c r="AM84" s="55"/>
      <c r="AN84" s="55"/>
      <c r="AO84" s="55"/>
    </row>
    <row r="85">
      <c r="A85" s="137">
        <v>7.0</v>
      </c>
      <c r="B85" s="100" t="s">
        <v>1662</v>
      </c>
      <c r="C85" s="97" t="s">
        <v>1663</v>
      </c>
      <c r="D85" s="52" t="s">
        <v>1664</v>
      </c>
      <c r="E85" s="137">
        <v>7.0</v>
      </c>
      <c r="F85" s="100" t="s">
        <v>1665</v>
      </c>
      <c r="G85" s="97" t="s">
        <v>1666</v>
      </c>
      <c r="H85" s="52" t="s">
        <v>1667</v>
      </c>
      <c r="I85" s="137">
        <v>7.0</v>
      </c>
      <c r="J85" s="100" t="s">
        <v>1668</v>
      </c>
      <c r="K85" s="97" t="s">
        <v>1669</v>
      </c>
      <c r="L85" s="52" t="s">
        <v>1670</v>
      </c>
      <c r="M85" s="137">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7">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7">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7">
        <v>7.0</v>
      </c>
      <c r="Z85" s="118" t="str">
        <f>IFERROR(__xludf.DUMMYFUNCTION("IF(J85="""", """", GOOGLETRANSLATE(
J85,""en"",""ru""))"),"Возвращаюсь домой пораньше - 3")</f>
        <v>Возвращаюсь домой пораньше - 3</v>
      </c>
      <c r="AA85" s="138"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7">
        <v>7.0</v>
      </c>
      <c r="AD85" s="88"/>
      <c r="AE85" s="89"/>
      <c r="AF85" s="55"/>
      <c r="AG85" s="137">
        <v>7.0</v>
      </c>
      <c r="AH85" s="140"/>
      <c r="AI85" s="141"/>
      <c r="AJ85" s="142"/>
      <c r="AK85" s="55"/>
      <c r="AL85" s="55"/>
      <c r="AM85" s="55"/>
      <c r="AN85" s="55"/>
      <c r="AO85" s="55"/>
    </row>
    <row r="86">
      <c r="A86" s="137">
        <v>8.0</v>
      </c>
      <c r="B86" s="100" t="s">
        <v>1671</v>
      </c>
      <c r="C86" s="97" t="s">
        <v>1672</v>
      </c>
      <c r="D86" s="52" t="s">
        <v>1673</v>
      </c>
      <c r="E86" s="137">
        <v>8.0</v>
      </c>
      <c r="F86" s="100" t="s">
        <v>1674</v>
      </c>
      <c r="G86" s="97" t="s">
        <v>1675</v>
      </c>
      <c r="H86" s="52" t="s">
        <v>1676</v>
      </c>
      <c r="I86" s="137">
        <v>8.0</v>
      </c>
      <c r="J86" s="100" t="s">
        <v>1677</v>
      </c>
      <c r="K86" s="97" t="s">
        <v>1678</v>
      </c>
      <c r="L86" s="52" t="s">
        <v>1679</v>
      </c>
      <c r="M86" s="137">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7">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7">
        <v>8.0</v>
      </c>
      <c r="V86" s="88" t="str">
        <f>IFERROR(__xludf.DUMMYFUNCTION("GOOGLETRANSLATE(B86,""zh-tw"",""KO"")"),"일찍 집에 가는 것도 좋은 방법입니다.")</f>
        <v>일찍 집에 가는 것도 좋은 방법입니다.</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7">
        <v>8.0</v>
      </c>
      <c r="Z86" s="118" t="str">
        <f>IFERROR(__xludf.DUMMYFUNCTION("IF(J86="""", """", GOOGLETRANSLATE(
J86,""en"",""ru""))"),"Возвращаюсь домой пораньше - 4")</f>
        <v>Возвращаюсь домой пораньше - 4</v>
      </c>
      <c r="AA86" s="138"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7">
        <v>8.0</v>
      </c>
      <c r="AD86" s="88"/>
      <c r="AE86" s="89"/>
      <c r="AF86" s="55"/>
      <c r="AG86" s="137">
        <v>8.0</v>
      </c>
      <c r="AH86" s="140"/>
      <c r="AI86" s="141"/>
      <c r="AJ86" s="142"/>
      <c r="AK86" s="55"/>
      <c r="AL86" s="55"/>
      <c r="AM86" s="55"/>
      <c r="AN86" s="55"/>
      <c r="AO86" s="55"/>
    </row>
    <row r="87">
      <c r="A87" s="137"/>
      <c r="B87" s="88"/>
      <c r="C87" s="97"/>
      <c r="D87" s="52"/>
      <c r="E87" s="137"/>
      <c r="F87" s="88"/>
      <c r="G87" s="89"/>
      <c r="H87" s="55"/>
      <c r="I87" s="137"/>
      <c r="J87" s="88"/>
      <c r="K87" s="89"/>
      <c r="L87" s="55"/>
      <c r="M87" s="137"/>
      <c r="N87" s="88"/>
      <c r="O87" s="89"/>
      <c r="P87" s="55"/>
      <c r="Q87" s="137"/>
      <c r="R87" s="88"/>
      <c r="S87" s="97"/>
      <c r="T87" s="52"/>
      <c r="U87" s="137"/>
      <c r="V87" s="88"/>
      <c r="W87" s="89"/>
      <c r="X87" s="55"/>
      <c r="Y87" s="137"/>
      <c r="Z87" s="118"/>
      <c r="AA87" s="138"/>
      <c r="AB87" s="114"/>
      <c r="AC87" s="137"/>
      <c r="AD87" s="88"/>
      <c r="AE87" s="89"/>
      <c r="AF87" s="55"/>
      <c r="AG87" s="139"/>
      <c r="AH87" s="140"/>
      <c r="AI87" s="141"/>
      <c r="AJ87" s="142"/>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3"/>
      <c r="AH88" s="143"/>
      <c r="AI88" s="143"/>
      <c r="AJ88" s="143"/>
      <c r="AK88" s="46"/>
      <c r="AL88" s="46"/>
      <c r="AM88" s="46"/>
      <c r="AN88" s="46"/>
      <c r="AO88" s="46"/>
    </row>
    <row r="89">
      <c r="A89" s="80" t="s">
        <v>1680</v>
      </c>
      <c r="B89" s="144" t="s">
        <v>1681</v>
      </c>
      <c r="E89" s="80" t="s">
        <v>1680</v>
      </c>
      <c r="F89" s="80" t="s">
        <v>1682</v>
      </c>
      <c r="I89" s="80" t="s">
        <v>1680</v>
      </c>
      <c r="J89" s="80" t="s">
        <v>1683</v>
      </c>
      <c r="M89" s="80" t="s">
        <v>1680</v>
      </c>
      <c r="N89" s="80" t="str">
        <f>IFERROR(__xludf.DUMMYFUNCTION("GOOGLETRANSLATE(B89,""zh-tw"",""zh"")"),"夜袭相关")</f>
        <v>夜袭相关</v>
      </c>
      <c r="Q89" s="80" t="s">
        <v>1680</v>
      </c>
      <c r="R89" s="80" t="s">
        <v>1684</v>
      </c>
      <c r="U89" s="80" t="s">
        <v>1680</v>
      </c>
      <c r="V89" s="80" t="s">
        <v>1685</v>
      </c>
      <c r="Y89" s="80" t="s">
        <v>1680</v>
      </c>
      <c r="Z89" s="80" t="s">
        <v>1686</v>
      </c>
      <c r="AC89" s="80" t="s">
        <v>1680</v>
      </c>
      <c r="AD89" s="80" t="s">
        <v>1687</v>
      </c>
      <c r="AG89" s="82" t="s">
        <v>1680</v>
      </c>
      <c r="AH89" s="145" t="s">
        <v>1688</v>
      </c>
      <c r="AK89" s="144"/>
      <c r="AL89" s="144"/>
      <c r="AM89" s="144"/>
      <c r="AN89" s="144"/>
      <c r="AO89" s="144"/>
    </row>
    <row r="90">
      <c r="A90" s="137">
        <v>1.0</v>
      </c>
      <c r="B90" s="88" t="s">
        <v>1689</v>
      </c>
      <c r="C90" s="89" t="s">
        <v>1690</v>
      </c>
      <c r="D90" s="55" t="s">
        <v>1691</v>
      </c>
      <c r="E90" s="137">
        <v>1.0</v>
      </c>
      <c r="F90" s="88" t="s">
        <v>1692</v>
      </c>
      <c r="G90" s="89" t="s">
        <v>1693</v>
      </c>
      <c r="H90" s="55" t="s">
        <v>1694</v>
      </c>
      <c r="I90" s="137">
        <v>1.0</v>
      </c>
      <c r="J90" s="88" t="s">
        <v>1695</v>
      </c>
      <c r="K90" s="89" t="s">
        <v>1696</v>
      </c>
      <c r="L90" s="55" t="s">
        <v>1697</v>
      </c>
      <c r="M90" s="137">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7">
        <v>1.0</v>
      </c>
      <c r="R90" s="100" t="s">
        <v>1698</v>
      </c>
      <c r="S90" s="97" t="s">
        <v>1699</v>
      </c>
      <c r="T90" s="52" t="s">
        <v>1700</v>
      </c>
      <c r="U90" s="137">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7">
        <v>1.0</v>
      </c>
      <c r="Z90" s="118" t="str">
        <f>IFERROR(__xludf.DUMMYFUNCTION("IF(J90="""", """", GOOGLETRANSLATE(
J90,""en"",""ru""))"),"Сокрытие дыхания-3")</f>
        <v>Сокрытие дыхания-3</v>
      </c>
      <c r="AA90" s="138"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7">
        <v>1.0</v>
      </c>
      <c r="AD90" s="88" t="s">
        <v>1701</v>
      </c>
      <c r="AE90" s="89" t="s">
        <v>1702</v>
      </c>
      <c r="AF90" s="55" t="s">
        <v>905</v>
      </c>
      <c r="AG90" s="139">
        <v>1.0</v>
      </c>
      <c r="AH90" s="140" t="s">
        <v>1703</v>
      </c>
      <c r="AI90" s="141" t="s">
        <v>1704</v>
      </c>
      <c r="AJ90" s="142" t="s">
        <v>1705</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3"/>
      <c r="AH91" s="143"/>
      <c r="AI91" s="143"/>
      <c r="AJ91" s="143"/>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3"/>
      <c r="AH92" s="143"/>
      <c r="AI92" s="143"/>
      <c r="AJ92" s="143"/>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3"/>
      <c r="AH93" s="143"/>
      <c r="AI93" s="143"/>
      <c r="AJ93" s="143"/>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3"/>
      <c r="AH94" s="143"/>
      <c r="AI94" s="143"/>
      <c r="AJ94" s="143"/>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3"/>
      <c r="AH95" s="143"/>
      <c r="AI95" s="143"/>
      <c r="AJ95" s="143"/>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3"/>
      <c r="AH96" s="143"/>
      <c r="AI96" s="143"/>
      <c r="AJ96" s="143"/>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3"/>
      <c r="AH97" s="143"/>
      <c r="AI97" s="143"/>
      <c r="AJ97" s="143"/>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3"/>
      <c r="AH98" s="143"/>
      <c r="AI98" s="143"/>
      <c r="AJ98" s="143"/>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3"/>
      <c r="AH99" s="143"/>
      <c r="AI99" s="143"/>
      <c r="AJ99" s="143"/>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3"/>
      <c r="AH100" s="143"/>
      <c r="AI100" s="143"/>
      <c r="AJ100" s="143"/>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3"/>
      <c r="AH101" s="143"/>
      <c r="AI101" s="143"/>
      <c r="AJ101" s="143"/>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3"/>
      <c r="AH102" s="143"/>
      <c r="AI102" s="143"/>
      <c r="AJ102" s="143"/>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3"/>
      <c r="AH103" s="143"/>
      <c r="AI103" s="143"/>
      <c r="AJ103" s="143"/>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3"/>
      <c r="AH104" s="143"/>
      <c r="AI104" s="143"/>
      <c r="AJ104" s="143"/>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3"/>
      <c r="AH105" s="143"/>
      <c r="AI105" s="143"/>
      <c r="AJ105" s="143"/>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3"/>
      <c r="AH106" s="143"/>
      <c r="AI106" s="143"/>
      <c r="AJ106" s="143"/>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3"/>
      <c r="AH107" s="143"/>
      <c r="AI107" s="143"/>
      <c r="AJ107" s="143"/>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3"/>
      <c r="AH108" s="143"/>
      <c r="AI108" s="143"/>
      <c r="AJ108" s="143"/>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3"/>
      <c r="AH109" s="143"/>
      <c r="AI109" s="143"/>
      <c r="AJ109" s="143"/>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3"/>
      <c r="AH110" s="143"/>
      <c r="AI110" s="143"/>
      <c r="AJ110" s="143"/>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3"/>
      <c r="AH111" s="143"/>
      <c r="AI111" s="143"/>
      <c r="AJ111" s="143"/>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3"/>
      <c r="AH112" s="143"/>
      <c r="AI112" s="143"/>
      <c r="AJ112" s="143"/>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3"/>
      <c r="AH113" s="143"/>
      <c r="AI113" s="143"/>
      <c r="AJ113" s="143"/>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3"/>
      <c r="AH114" s="143"/>
      <c r="AI114" s="143"/>
      <c r="AJ114" s="143"/>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3"/>
      <c r="AH115" s="143"/>
      <c r="AI115" s="143"/>
      <c r="AJ115" s="143"/>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3"/>
      <c r="AH116" s="143"/>
      <c r="AI116" s="143"/>
      <c r="AJ116" s="143"/>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3"/>
      <c r="AH117" s="143"/>
      <c r="AI117" s="143"/>
      <c r="AJ117" s="143"/>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3"/>
      <c r="AH118" s="143"/>
      <c r="AI118" s="143"/>
      <c r="AJ118" s="143"/>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3"/>
      <c r="AH119" s="143"/>
      <c r="AI119" s="143"/>
      <c r="AJ119" s="143"/>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3"/>
      <c r="AH120" s="143"/>
      <c r="AI120" s="143"/>
      <c r="AJ120" s="143"/>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3"/>
      <c r="AH121" s="143"/>
      <c r="AI121" s="143"/>
      <c r="AJ121" s="143"/>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3"/>
      <c r="AH122" s="143"/>
      <c r="AI122" s="143"/>
      <c r="AJ122" s="143"/>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3"/>
      <c r="AH123" s="143"/>
      <c r="AI123" s="143"/>
      <c r="AJ123" s="143"/>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3"/>
      <c r="AH124" s="143"/>
      <c r="AI124" s="143"/>
      <c r="AJ124" s="143"/>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3"/>
      <c r="AH125" s="143"/>
      <c r="AI125" s="143"/>
      <c r="AJ125" s="143"/>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3"/>
      <c r="AH126" s="143"/>
      <c r="AI126" s="143"/>
      <c r="AJ126" s="143"/>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3"/>
      <c r="AH127" s="143"/>
      <c r="AI127" s="143"/>
      <c r="AJ127" s="143"/>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3"/>
      <c r="AH128" s="143"/>
      <c r="AI128" s="143"/>
      <c r="AJ128" s="143"/>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3"/>
      <c r="AH129" s="143"/>
      <c r="AI129" s="143"/>
      <c r="AJ129" s="143"/>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3"/>
      <c r="AH130" s="143"/>
      <c r="AI130" s="143"/>
      <c r="AJ130" s="143"/>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3"/>
      <c r="AH131" s="143"/>
      <c r="AI131" s="143"/>
      <c r="AJ131" s="143"/>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3"/>
      <c r="AH132" s="143"/>
      <c r="AI132" s="143"/>
      <c r="AJ132" s="143"/>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3"/>
      <c r="AH133" s="143"/>
      <c r="AI133" s="143"/>
      <c r="AJ133" s="143"/>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3"/>
      <c r="AH134" s="143"/>
      <c r="AI134" s="143"/>
      <c r="AJ134" s="143"/>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3"/>
      <c r="AH135" s="143"/>
      <c r="AI135" s="143"/>
      <c r="AJ135" s="143"/>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3"/>
      <c r="AH136" s="143"/>
      <c r="AI136" s="143"/>
      <c r="AJ136" s="143"/>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3"/>
      <c r="AH137" s="143"/>
      <c r="AI137" s="143"/>
      <c r="AJ137" s="143"/>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3"/>
      <c r="AH138" s="143"/>
      <c r="AI138" s="143"/>
      <c r="AJ138" s="143"/>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3"/>
      <c r="AH139" s="143"/>
      <c r="AI139" s="143"/>
      <c r="AJ139" s="143"/>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3"/>
      <c r="AH140" s="143"/>
      <c r="AI140" s="143"/>
      <c r="AJ140" s="143"/>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3"/>
      <c r="AH141" s="143"/>
      <c r="AI141" s="143"/>
      <c r="AJ141" s="143"/>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3"/>
      <c r="AH142" s="143"/>
      <c r="AI142" s="143"/>
      <c r="AJ142" s="143"/>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3"/>
      <c r="AH143" s="143"/>
      <c r="AI143" s="143"/>
      <c r="AJ143" s="143"/>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3"/>
      <c r="AH144" s="143"/>
      <c r="AI144" s="143"/>
      <c r="AJ144" s="143"/>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3"/>
      <c r="AH145" s="143"/>
      <c r="AI145" s="143"/>
      <c r="AJ145" s="143"/>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3"/>
      <c r="AH146" s="143"/>
      <c r="AI146" s="143"/>
      <c r="AJ146" s="143"/>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3"/>
      <c r="AH147" s="143"/>
      <c r="AI147" s="143"/>
      <c r="AJ147" s="143"/>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3"/>
      <c r="AH148" s="143"/>
      <c r="AI148" s="143"/>
      <c r="AJ148" s="143"/>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3"/>
      <c r="AH149" s="143"/>
      <c r="AI149" s="143"/>
      <c r="AJ149" s="143"/>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3"/>
      <c r="AH150" s="143"/>
      <c r="AI150" s="143"/>
      <c r="AJ150" s="143"/>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3"/>
      <c r="AH151" s="143"/>
      <c r="AI151" s="143"/>
      <c r="AJ151" s="143"/>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3"/>
      <c r="AH152" s="143"/>
      <c r="AI152" s="143"/>
      <c r="AJ152" s="143"/>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3"/>
      <c r="AH153" s="143"/>
      <c r="AI153" s="143"/>
      <c r="AJ153" s="143"/>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3"/>
      <c r="AH154" s="143"/>
      <c r="AI154" s="143"/>
      <c r="AJ154" s="143"/>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3"/>
      <c r="AH155" s="143"/>
      <c r="AI155" s="143"/>
      <c r="AJ155" s="143"/>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3"/>
      <c r="AH156" s="143"/>
      <c r="AI156" s="143"/>
      <c r="AJ156" s="143"/>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3"/>
      <c r="AH157" s="143"/>
      <c r="AI157" s="143"/>
      <c r="AJ157" s="143"/>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3"/>
      <c r="AH158" s="143"/>
      <c r="AI158" s="143"/>
      <c r="AJ158" s="143"/>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3"/>
      <c r="AH159" s="143"/>
      <c r="AI159" s="143"/>
      <c r="AJ159" s="143"/>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3"/>
      <c r="AH160" s="143"/>
      <c r="AI160" s="143"/>
      <c r="AJ160" s="143"/>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3"/>
      <c r="AH161" s="143"/>
      <c r="AI161" s="143"/>
      <c r="AJ161" s="143"/>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3"/>
      <c r="AH162" s="143"/>
      <c r="AI162" s="143"/>
      <c r="AJ162" s="143"/>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3"/>
      <c r="AH163" s="143"/>
      <c r="AI163" s="143"/>
      <c r="AJ163" s="143"/>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3"/>
      <c r="AH164" s="143"/>
      <c r="AI164" s="143"/>
      <c r="AJ164" s="143"/>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3"/>
      <c r="AH165" s="143"/>
      <c r="AI165" s="143"/>
      <c r="AJ165" s="143"/>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3"/>
      <c r="AH166" s="143"/>
      <c r="AI166" s="143"/>
      <c r="AJ166" s="143"/>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3"/>
      <c r="AH167" s="143"/>
      <c r="AI167" s="143"/>
      <c r="AJ167" s="143"/>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3"/>
      <c r="AH168" s="143"/>
      <c r="AI168" s="143"/>
      <c r="AJ168" s="143"/>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3"/>
      <c r="AH169" s="143"/>
      <c r="AI169" s="143"/>
      <c r="AJ169" s="143"/>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3"/>
      <c r="AH170" s="143"/>
      <c r="AI170" s="143"/>
      <c r="AJ170" s="143"/>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3"/>
      <c r="AH171" s="143"/>
      <c r="AI171" s="143"/>
      <c r="AJ171" s="143"/>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3"/>
      <c r="AH172" s="143"/>
      <c r="AI172" s="143"/>
      <c r="AJ172" s="143"/>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3"/>
      <c r="AH173" s="143"/>
      <c r="AI173" s="143"/>
      <c r="AJ173" s="143"/>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3"/>
      <c r="AH174" s="143"/>
      <c r="AI174" s="143"/>
      <c r="AJ174" s="143"/>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3"/>
      <c r="AH175" s="143"/>
      <c r="AI175" s="143"/>
      <c r="AJ175" s="143"/>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3"/>
      <c r="AH176" s="143"/>
      <c r="AI176" s="143"/>
      <c r="AJ176" s="143"/>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3"/>
      <c r="AH177" s="143"/>
      <c r="AI177" s="143"/>
      <c r="AJ177" s="143"/>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3"/>
      <c r="AH178" s="143"/>
      <c r="AI178" s="143"/>
      <c r="AJ178" s="143"/>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3"/>
      <c r="AH179" s="143"/>
      <c r="AI179" s="143"/>
      <c r="AJ179" s="143"/>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3"/>
      <c r="AH180" s="143"/>
      <c r="AI180" s="143"/>
      <c r="AJ180" s="143"/>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3"/>
      <c r="AH181" s="143"/>
      <c r="AI181" s="143"/>
      <c r="AJ181" s="143"/>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3"/>
      <c r="AH182" s="143"/>
      <c r="AI182" s="143"/>
      <c r="AJ182" s="143"/>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3"/>
      <c r="AH183" s="143"/>
      <c r="AI183" s="143"/>
      <c r="AJ183" s="143"/>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3"/>
      <c r="AH184" s="143"/>
      <c r="AI184" s="143"/>
      <c r="AJ184" s="143"/>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3"/>
      <c r="AH185" s="143"/>
      <c r="AI185" s="143"/>
      <c r="AJ185" s="143"/>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3"/>
      <c r="AH186" s="143"/>
      <c r="AI186" s="143"/>
      <c r="AJ186" s="143"/>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3"/>
      <c r="AH187" s="143"/>
      <c r="AI187" s="143"/>
      <c r="AJ187" s="143"/>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3"/>
      <c r="AH188" s="143"/>
      <c r="AI188" s="143"/>
      <c r="AJ188" s="143"/>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3"/>
      <c r="AH189" s="143"/>
      <c r="AI189" s="143"/>
      <c r="AJ189" s="143"/>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3"/>
      <c r="AH190" s="143"/>
      <c r="AI190" s="143"/>
      <c r="AJ190" s="143"/>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3"/>
      <c r="AH191" s="143"/>
      <c r="AI191" s="143"/>
      <c r="AJ191" s="143"/>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3"/>
      <c r="AH192" s="143"/>
      <c r="AI192" s="143"/>
      <c r="AJ192" s="143"/>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3"/>
      <c r="AH193" s="143"/>
      <c r="AI193" s="143"/>
      <c r="AJ193" s="143"/>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3"/>
      <c r="AH194" s="143"/>
      <c r="AI194" s="143"/>
      <c r="AJ194" s="143"/>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3"/>
      <c r="AH195" s="143"/>
      <c r="AI195" s="143"/>
      <c r="AJ195" s="143"/>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3"/>
      <c r="AH196" s="143"/>
      <c r="AI196" s="143"/>
      <c r="AJ196" s="143"/>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3"/>
      <c r="AH197" s="143"/>
      <c r="AI197" s="143"/>
      <c r="AJ197" s="143"/>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3"/>
      <c r="AH198" s="143"/>
      <c r="AI198" s="143"/>
      <c r="AJ198" s="143"/>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3"/>
      <c r="AH199" s="143"/>
      <c r="AI199" s="143"/>
      <c r="AJ199" s="143"/>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3"/>
      <c r="AH200" s="143"/>
      <c r="AI200" s="143"/>
      <c r="AJ200" s="143"/>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3"/>
      <c r="AH201" s="143"/>
      <c r="AI201" s="143"/>
      <c r="AJ201" s="143"/>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3"/>
      <c r="AH202" s="143"/>
      <c r="AI202" s="143"/>
      <c r="AJ202" s="143"/>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3"/>
      <c r="AH203" s="143"/>
      <c r="AI203" s="143"/>
      <c r="AJ203" s="143"/>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3"/>
      <c r="AH204" s="143"/>
      <c r="AI204" s="143"/>
      <c r="AJ204" s="143"/>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3"/>
      <c r="AH205" s="143"/>
      <c r="AI205" s="143"/>
      <c r="AJ205" s="143"/>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3"/>
      <c r="AH206" s="143"/>
      <c r="AI206" s="143"/>
      <c r="AJ206" s="143"/>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3"/>
      <c r="AH207" s="143"/>
      <c r="AI207" s="143"/>
      <c r="AJ207" s="143"/>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3"/>
      <c r="AH208" s="143"/>
      <c r="AI208" s="143"/>
      <c r="AJ208" s="143"/>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3"/>
      <c r="AH209" s="143"/>
      <c r="AI209" s="143"/>
      <c r="AJ209" s="143"/>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3"/>
      <c r="AH210" s="143"/>
      <c r="AI210" s="143"/>
      <c r="AJ210" s="143"/>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3"/>
      <c r="AH211" s="143"/>
      <c r="AI211" s="143"/>
      <c r="AJ211" s="143"/>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3"/>
      <c r="AH212" s="143"/>
      <c r="AI212" s="143"/>
      <c r="AJ212" s="143"/>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3"/>
      <c r="AH213" s="143"/>
      <c r="AI213" s="143"/>
      <c r="AJ213" s="143"/>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3"/>
      <c r="AH214" s="143"/>
      <c r="AI214" s="143"/>
      <c r="AJ214" s="143"/>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3"/>
      <c r="AH215" s="143"/>
      <c r="AI215" s="143"/>
      <c r="AJ215" s="143"/>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3"/>
      <c r="AH216" s="143"/>
      <c r="AI216" s="143"/>
      <c r="AJ216" s="143"/>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3"/>
      <c r="AH217" s="143"/>
      <c r="AI217" s="143"/>
      <c r="AJ217" s="143"/>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3"/>
      <c r="AH218" s="143"/>
      <c r="AI218" s="143"/>
      <c r="AJ218" s="143"/>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3"/>
      <c r="AH219" s="143"/>
      <c r="AI219" s="143"/>
      <c r="AJ219" s="143"/>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3"/>
      <c r="AH220" s="143"/>
      <c r="AI220" s="143"/>
      <c r="AJ220" s="143"/>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3"/>
      <c r="AH221" s="143"/>
      <c r="AI221" s="143"/>
      <c r="AJ221" s="143"/>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3"/>
      <c r="AH222" s="143"/>
      <c r="AI222" s="143"/>
      <c r="AJ222" s="143"/>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3"/>
      <c r="AH223" s="143"/>
      <c r="AI223" s="143"/>
      <c r="AJ223" s="143"/>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3"/>
      <c r="AH224" s="143"/>
      <c r="AI224" s="143"/>
      <c r="AJ224" s="143"/>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3"/>
      <c r="AH225" s="143"/>
      <c r="AI225" s="143"/>
      <c r="AJ225" s="143"/>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3"/>
      <c r="AH226" s="143"/>
      <c r="AI226" s="143"/>
      <c r="AJ226" s="143"/>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3"/>
      <c r="AH227" s="143"/>
      <c r="AI227" s="143"/>
      <c r="AJ227" s="143"/>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3"/>
      <c r="AH228" s="143"/>
      <c r="AI228" s="143"/>
      <c r="AJ228" s="143"/>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3"/>
      <c r="AH229" s="143"/>
      <c r="AI229" s="143"/>
      <c r="AJ229" s="143"/>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3"/>
      <c r="AH230" s="143"/>
      <c r="AI230" s="143"/>
      <c r="AJ230" s="143"/>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3"/>
      <c r="AH231" s="143"/>
      <c r="AI231" s="143"/>
      <c r="AJ231" s="143"/>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3"/>
      <c r="AH232" s="143"/>
      <c r="AI232" s="143"/>
      <c r="AJ232" s="143"/>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3"/>
      <c r="AH233" s="143"/>
      <c r="AI233" s="143"/>
      <c r="AJ233" s="143"/>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3"/>
      <c r="AH234" s="143"/>
      <c r="AI234" s="143"/>
      <c r="AJ234" s="143"/>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3"/>
      <c r="AH235" s="143"/>
      <c r="AI235" s="143"/>
      <c r="AJ235" s="143"/>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3"/>
      <c r="AH236" s="143"/>
      <c r="AI236" s="143"/>
      <c r="AJ236" s="143"/>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3"/>
      <c r="AH237" s="143"/>
      <c r="AI237" s="143"/>
      <c r="AJ237" s="143"/>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3"/>
      <c r="AH238" s="143"/>
      <c r="AI238" s="143"/>
      <c r="AJ238" s="143"/>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3"/>
      <c r="AH239" s="143"/>
      <c r="AI239" s="143"/>
      <c r="AJ239" s="143"/>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3"/>
      <c r="AH240" s="143"/>
      <c r="AI240" s="143"/>
      <c r="AJ240" s="143"/>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3"/>
      <c r="AH241" s="143"/>
      <c r="AI241" s="143"/>
      <c r="AJ241" s="143"/>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3"/>
      <c r="AH242" s="143"/>
      <c r="AI242" s="143"/>
      <c r="AJ242" s="143"/>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3"/>
      <c r="AH243" s="143"/>
      <c r="AI243" s="143"/>
      <c r="AJ243" s="143"/>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3"/>
      <c r="AH244" s="143"/>
      <c r="AI244" s="143"/>
      <c r="AJ244" s="143"/>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3"/>
      <c r="AH245" s="143"/>
      <c r="AI245" s="143"/>
      <c r="AJ245" s="143"/>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3"/>
      <c r="AH246" s="143"/>
      <c r="AI246" s="143"/>
      <c r="AJ246" s="143"/>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3"/>
      <c r="AH247" s="143"/>
      <c r="AI247" s="143"/>
      <c r="AJ247" s="143"/>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3"/>
      <c r="AH248" s="143"/>
      <c r="AI248" s="143"/>
      <c r="AJ248" s="143"/>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3"/>
      <c r="AH249" s="143"/>
      <c r="AI249" s="143"/>
      <c r="AJ249" s="143"/>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3"/>
      <c r="AH250" s="143"/>
      <c r="AI250" s="143"/>
      <c r="AJ250" s="143"/>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3"/>
      <c r="AH251" s="143"/>
      <c r="AI251" s="143"/>
      <c r="AJ251" s="143"/>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3"/>
      <c r="AH252" s="143"/>
      <c r="AI252" s="143"/>
      <c r="AJ252" s="143"/>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3"/>
      <c r="AH253" s="143"/>
      <c r="AI253" s="143"/>
      <c r="AJ253" s="143"/>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3"/>
      <c r="AH254" s="143"/>
      <c r="AI254" s="143"/>
      <c r="AJ254" s="143"/>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3"/>
      <c r="AH255" s="143"/>
      <c r="AI255" s="143"/>
      <c r="AJ255" s="143"/>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3"/>
      <c r="AH256" s="143"/>
      <c r="AI256" s="143"/>
      <c r="AJ256" s="143"/>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3"/>
      <c r="AH257" s="143"/>
      <c r="AI257" s="143"/>
      <c r="AJ257" s="143"/>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3"/>
      <c r="AH258" s="143"/>
      <c r="AI258" s="143"/>
      <c r="AJ258" s="143"/>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3"/>
      <c r="AH259" s="143"/>
      <c r="AI259" s="143"/>
      <c r="AJ259" s="143"/>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3"/>
      <c r="AH260" s="143"/>
      <c r="AI260" s="143"/>
      <c r="AJ260" s="143"/>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3"/>
      <c r="AH261" s="143"/>
      <c r="AI261" s="143"/>
      <c r="AJ261" s="143"/>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3"/>
      <c r="AH262" s="143"/>
      <c r="AI262" s="143"/>
      <c r="AJ262" s="143"/>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3"/>
      <c r="AH263" s="143"/>
      <c r="AI263" s="143"/>
      <c r="AJ263" s="143"/>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3"/>
      <c r="AH264" s="143"/>
      <c r="AI264" s="143"/>
      <c r="AJ264" s="143"/>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3"/>
      <c r="AH265" s="143"/>
      <c r="AI265" s="143"/>
      <c r="AJ265" s="143"/>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3"/>
      <c r="AH266" s="143"/>
      <c r="AI266" s="143"/>
      <c r="AJ266" s="143"/>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3"/>
      <c r="AH267" s="143"/>
      <c r="AI267" s="143"/>
      <c r="AJ267" s="143"/>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3"/>
      <c r="AH268" s="143"/>
      <c r="AI268" s="143"/>
      <c r="AJ268" s="143"/>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3"/>
      <c r="AH269" s="143"/>
      <c r="AI269" s="143"/>
      <c r="AJ269" s="143"/>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3"/>
      <c r="AH270" s="143"/>
      <c r="AI270" s="143"/>
      <c r="AJ270" s="143"/>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3"/>
      <c r="AH271" s="143"/>
      <c r="AI271" s="143"/>
      <c r="AJ271" s="143"/>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3"/>
      <c r="AH272" s="143"/>
      <c r="AI272" s="143"/>
      <c r="AJ272" s="143"/>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3"/>
      <c r="AH273" s="143"/>
      <c r="AI273" s="143"/>
      <c r="AJ273" s="143"/>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3"/>
      <c r="AH274" s="143"/>
      <c r="AI274" s="143"/>
      <c r="AJ274" s="143"/>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3"/>
      <c r="AH275" s="143"/>
      <c r="AI275" s="143"/>
      <c r="AJ275" s="143"/>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3"/>
      <c r="AH276" s="143"/>
      <c r="AI276" s="143"/>
      <c r="AJ276" s="143"/>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3"/>
      <c r="AH277" s="143"/>
      <c r="AI277" s="143"/>
      <c r="AJ277" s="143"/>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3"/>
      <c r="AH278" s="143"/>
      <c r="AI278" s="143"/>
      <c r="AJ278" s="143"/>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3"/>
      <c r="AH279" s="143"/>
      <c r="AI279" s="143"/>
      <c r="AJ279" s="143"/>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3"/>
      <c r="AH280" s="143"/>
      <c r="AI280" s="143"/>
      <c r="AJ280" s="143"/>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3"/>
      <c r="AH281" s="143"/>
      <c r="AI281" s="143"/>
      <c r="AJ281" s="143"/>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3"/>
      <c r="AH282" s="143"/>
      <c r="AI282" s="143"/>
      <c r="AJ282" s="143"/>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3"/>
      <c r="AH283" s="143"/>
      <c r="AI283" s="143"/>
      <c r="AJ283" s="143"/>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3"/>
      <c r="AH284" s="143"/>
      <c r="AI284" s="143"/>
      <c r="AJ284" s="143"/>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3"/>
      <c r="AH285" s="143"/>
      <c r="AI285" s="143"/>
      <c r="AJ285" s="143"/>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3"/>
      <c r="AH286" s="143"/>
      <c r="AI286" s="143"/>
      <c r="AJ286" s="143"/>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3"/>
      <c r="AH287" s="143"/>
      <c r="AI287" s="143"/>
      <c r="AJ287" s="143"/>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3"/>
      <c r="AH288" s="143"/>
      <c r="AI288" s="143"/>
      <c r="AJ288" s="143"/>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3"/>
      <c r="AH289" s="143"/>
      <c r="AI289" s="143"/>
      <c r="AJ289" s="143"/>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3"/>
      <c r="AH290" s="143"/>
      <c r="AI290" s="143"/>
      <c r="AJ290" s="143"/>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3"/>
      <c r="AH291" s="143"/>
      <c r="AI291" s="143"/>
      <c r="AJ291" s="143"/>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3"/>
      <c r="AH292" s="143"/>
      <c r="AI292" s="143"/>
      <c r="AJ292" s="143"/>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3"/>
      <c r="AH293" s="143"/>
      <c r="AI293" s="143"/>
      <c r="AJ293" s="143"/>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3"/>
      <c r="AH294" s="143"/>
      <c r="AI294" s="143"/>
      <c r="AJ294" s="143"/>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3"/>
      <c r="AH295" s="143"/>
      <c r="AI295" s="143"/>
      <c r="AJ295" s="143"/>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3"/>
      <c r="AH296" s="143"/>
      <c r="AI296" s="143"/>
      <c r="AJ296" s="143"/>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3"/>
      <c r="AH297" s="143"/>
      <c r="AI297" s="143"/>
      <c r="AJ297" s="143"/>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3"/>
      <c r="AH298" s="143"/>
      <c r="AI298" s="143"/>
      <c r="AJ298" s="143"/>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3"/>
      <c r="AH299" s="143"/>
      <c r="AI299" s="143"/>
      <c r="AJ299" s="143"/>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3"/>
      <c r="AH300" s="143"/>
      <c r="AI300" s="143"/>
      <c r="AJ300" s="143"/>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3"/>
      <c r="AH301" s="143"/>
      <c r="AI301" s="143"/>
      <c r="AJ301" s="143"/>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3"/>
      <c r="AH302" s="143"/>
      <c r="AI302" s="143"/>
      <c r="AJ302" s="143"/>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3"/>
      <c r="AH303" s="143"/>
      <c r="AI303" s="143"/>
      <c r="AJ303" s="143"/>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3"/>
      <c r="AH304" s="143"/>
      <c r="AI304" s="143"/>
      <c r="AJ304" s="143"/>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3"/>
      <c r="AH305" s="143"/>
      <c r="AI305" s="143"/>
      <c r="AJ305" s="143"/>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3"/>
      <c r="AH306" s="143"/>
      <c r="AI306" s="143"/>
      <c r="AJ306" s="143"/>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3"/>
      <c r="AH307" s="143"/>
      <c r="AI307" s="143"/>
      <c r="AJ307" s="143"/>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3"/>
      <c r="AH308" s="143"/>
      <c r="AI308" s="143"/>
      <c r="AJ308" s="143"/>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3"/>
      <c r="AH309" s="143"/>
      <c r="AI309" s="143"/>
      <c r="AJ309" s="143"/>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3"/>
      <c r="AH310" s="143"/>
      <c r="AI310" s="143"/>
      <c r="AJ310" s="143"/>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3"/>
      <c r="AH311" s="143"/>
      <c r="AI311" s="143"/>
      <c r="AJ311" s="143"/>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3"/>
      <c r="AH312" s="143"/>
      <c r="AI312" s="143"/>
      <c r="AJ312" s="143"/>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3"/>
      <c r="AH313" s="143"/>
      <c r="AI313" s="143"/>
      <c r="AJ313" s="143"/>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3"/>
      <c r="AH314" s="143"/>
      <c r="AI314" s="143"/>
      <c r="AJ314" s="143"/>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3"/>
      <c r="AH315" s="143"/>
      <c r="AI315" s="143"/>
      <c r="AJ315" s="143"/>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3"/>
      <c r="AH316" s="143"/>
      <c r="AI316" s="143"/>
      <c r="AJ316" s="143"/>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3"/>
      <c r="AH317" s="143"/>
      <c r="AI317" s="143"/>
      <c r="AJ317" s="143"/>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3"/>
      <c r="AH318" s="143"/>
      <c r="AI318" s="143"/>
      <c r="AJ318" s="143"/>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3"/>
      <c r="AH319" s="143"/>
      <c r="AI319" s="143"/>
      <c r="AJ319" s="143"/>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3"/>
      <c r="AH320" s="143"/>
      <c r="AI320" s="143"/>
      <c r="AJ320" s="143"/>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3"/>
      <c r="AH321" s="143"/>
      <c r="AI321" s="143"/>
      <c r="AJ321" s="143"/>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3"/>
      <c r="AH322" s="143"/>
      <c r="AI322" s="143"/>
      <c r="AJ322" s="143"/>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3"/>
      <c r="AH323" s="143"/>
      <c r="AI323" s="143"/>
      <c r="AJ323" s="143"/>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3"/>
      <c r="AH324" s="143"/>
      <c r="AI324" s="143"/>
      <c r="AJ324" s="143"/>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3"/>
      <c r="AH325" s="143"/>
      <c r="AI325" s="143"/>
      <c r="AJ325" s="143"/>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3"/>
      <c r="AH326" s="143"/>
      <c r="AI326" s="143"/>
      <c r="AJ326" s="143"/>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3"/>
      <c r="AH327" s="143"/>
      <c r="AI327" s="143"/>
      <c r="AJ327" s="143"/>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3"/>
      <c r="AH328" s="143"/>
      <c r="AI328" s="143"/>
      <c r="AJ328" s="143"/>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3"/>
      <c r="AH329" s="143"/>
      <c r="AI329" s="143"/>
      <c r="AJ329" s="143"/>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3"/>
      <c r="AH330" s="143"/>
      <c r="AI330" s="143"/>
      <c r="AJ330" s="143"/>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3"/>
      <c r="AH331" s="143"/>
      <c r="AI331" s="143"/>
      <c r="AJ331" s="143"/>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3"/>
      <c r="AH332" s="143"/>
      <c r="AI332" s="143"/>
      <c r="AJ332" s="143"/>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3"/>
      <c r="AH333" s="143"/>
      <c r="AI333" s="143"/>
      <c r="AJ333" s="143"/>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3"/>
      <c r="AH334" s="143"/>
      <c r="AI334" s="143"/>
      <c r="AJ334" s="143"/>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3"/>
      <c r="AH335" s="143"/>
      <c r="AI335" s="143"/>
      <c r="AJ335" s="143"/>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3"/>
      <c r="AH336" s="143"/>
      <c r="AI336" s="143"/>
      <c r="AJ336" s="143"/>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3"/>
      <c r="AH337" s="143"/>
      <c r="AI337" s="143"/>
      <c r="AJ337" s="143"/>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3"/>
      <c r="AH338" s="143"/>
      <c r="AI338" s="143"/>
      <c r="AJ338" s="143"/>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3"/>
      <c r="AH339" s="143"/>
      <c r="AI339" s="143"/>
      <c r="AJ339" s="143"/>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3"/>
      <c r="AH340" s="143"/>
      <c r="AI340" s="143"/>
      <c r="AJ340" s="143"/>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3"/>
      <c r="AH341" s="143"/>
      <c r="AI341" s="143"/>
      <c r="AJ341" s="143"/>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3"/>
      <c r="AH342" s="143"/>
      <c r="AI342" s="143"/>
      <c r="AJ342" s="143"/>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3"/>
      <c r="AH343" s="143"/>
      <c r="AI343" s="143"/>
      <c r="AJ343" s="143"/>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3"/>
      <c r="AH344" s="143"/>
      <c r="AI344" s="143"/>
      <c r="AJ344" s="143"/>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3"/>
      <c r="AH345" s="143"/>
      <c r="AI345" s="143"/>
      <c r="AJ345" s="143"/>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3"/>
      <c r="AH346" s="143"/>
      <c r="AI346" s="143"/>
      <c r="AJ346" s="143"/>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3"/>
      <c r="AH347" s="143"/>
      <c r="AI347" s="143"/>
      <c r="AJ347" s="143"/>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3"/>
      <c r="AH348" s="143"/>
      <c r="AI348" s="143"/>
      <c r="AJ348" s="143"/>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3"/>
      <c r="AH349" s="143"/>
      <c r="AI349" s="143"/>
      <c r="AJ349" s="143"/>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3"/>
      <c r="AH350" s="143"/>
      <c r="AI350" s="143"/>
      <c r="AJ350" s="143"/>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3"/>
      <c r="AH351" s="143"/>
      <c r="AI351" s="143"/>
      <c r="AJ351" s="143"/>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3"/>
      <c r="AH352" s="143"/>
      <c r="AI352" s="143"/>
      <c r="AJ352" s="143"/>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3"/>
      <c r="AH353" s="143"/>
      <c r="AI353" s="143"/>
      <c r="AJ353" s="143"/>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3"/>
      <c r="AH354" s="143"/>
      <c r="AI354" s="143"/>
      <c r="AJ354" s="143"/>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3"/>
      <c r="AH355" s="143"/>
      <c r="AI355" s="143"/>
      <c r="AJ355" s="143"/>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3"/>
      <c r="AH356" s="143"/>
      <c r="AI356" s="143"/>
      <c r="AJ356" s="143"/>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3"/>
      <c r="AH357" s="143"/>
      <c r="AI357" s="143"/>
      <c r="AJ357" s="143"/>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3"/>
      <c r="AH358" s="143"/>
      <c r="AI358" s="143"/>
      <c r="AJ358" s="143"/>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3"/>
      <c r="AH359" s="143"/>
      <c r="AI359" s="143"/>
      <c r="AJ359" s="143"/>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3"/>
      <c r="AH360" s="143"/>
      <c r="AI360" s="143"/>
      <c r="AJ360" s="143"/>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3"/>
      <c r="AH361" s="143"/>
      <c r="AI361" s="143"/>
      <c r="AJ361" s="143"/>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3"/>
      <c r="AH362" s="143"/>
      <c r="AI362" s="143"/>
      <c r="AJ362" s="143"/>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3"/>
      <c r="AH363" s="143"/>
      <c r="AI363" s="143"/>
      <c r="AJ363" s="143"/>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3"/>
      <c r="AH364" s="143"/>
      <c r="AI364" s="143"/>
      <c r="AJ364" s="143"/>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3"/>
      <c r="AH365" s="143"/>
      <c r="AI365" s="143"/>
      <c r="AJ365" s="143"/>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3"/>
      <c r="AH366" s="143"/>
      <c r="AI366" s="143"/>
      <c r="AJ366" s="143"/>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3"/>
      <c r="AH367" s="143"/>
      <c r="AI367" s="143"/>
      <c r="AJ367" s="143"/>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3"/>
      <c r="AH368" s="143"/>
      <c r="AI368" s="143"/>
      <c r="AJ368" s="143"/>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3"/>
      <c r="AH369" s="143"/>
      <c r="AI369" s="143"/>
      <c r="AJ369" s="143"/>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3"/>
      <c r="AH370" s="143"/>
      <c r="AI370" s="143"/>
      <c r="AJ370" s="143"/>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3"/>
      <c r="AH371" s="143"/>
      <c r="AI371" s="143"/>
      <c r="AJ371" s="143"/>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3"/>
      <c r="AH372" s="143"/>
      <c r="AI372" s="143"/>
      <c r="AJ372" s="143"/>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3"/>
      <c r="AH373" s="143"/>
      <c r="AI373" s="143"/>
      <c r="AJ373" s="143"/>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3"/>
      <c r="AH374" s="143"/>
      <c r="AI374" s="143"/>
      <c r="AJ374" s="143"/>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3"/>
      <c r="AH375" s="143"/>
      <c r="AI375" s="143"/>
      <c r="AJ375" s="143"/>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3"/>
      <c r="AH376" s="143"/>
      <c r="AI376" s="143"/>
      <c r="AJ376" s="143"/>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3"/>
      <c r="AH377" s="143"/>
      <c r="AI377" s="143"/>
      <c r="AJ377" s="143"/>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3"/>
      <c r="AH378" s="143"/>
      <c r="AI378" s="143"/>
      <c r="AJ378" s="143"/>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3"/>
      <c r="AH379" s="143"/>
      <c r="AI379" s="143"/>
      <c r="AJ379" s="143"/>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3"/>
      <c r="AH380" s="143"/>
      <c r="AI380" s="143"/>
      <c r="AJ380" s="143"/>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3"/>
      <c r="AH381" s="143"/>
      <c r="AI381" s="143"/>
      <c r="AJ381" s="143"/>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3"/>
      <c r="AH382" s="143"/>
      <c r="AI382" s="143"/>
      <c r="AJ382" s="143"/>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3"/>
      <c r="AH383" s="143"/>
      <c r="AI383" s="143"/>
      <c r="AJ383" s="143"/>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3"/>
      <c r="AH384" s="143"/>
      <c r="AI384" s="143"/>
      <c r="AJ384" s="143"/>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3"/>
      <c r="AH385" s="143"/>
      <c r="AI385" s="143"/>
      <c r="AJ385" s="143"/>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3"/>
      <c r="AH386" s="143"/>
      <c r="AI386" s="143"/>
      <c r="AJ386" s="143"/>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3"/>
      <c r="AH387" s="143"/>
      <c r="AI387" s="143"/>
      <c r="AJ387" s="143"/>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3"/>
      <c r="AH388" s="143"/>
      <c r="AI388" s="143"/>
      <c r="AJ388" s="143"/>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3"/>
      <c r="AH389" s="143"/>
      <c r="AI389" s="143"/>
      <c r="AJ389" s="143"/>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3"/>
      <c r="AH390" s="143"/>
      <c r="AI390" s="143"/>
      <c r="AJ390" s="143"/>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3"/>
      <c r="AH391" s="143"/>
      <c r="AI391" s="143"/>
      <c r="AJ391" s="143"/>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3"/>
      <c r="AH392" s="143"/>
      <c r="AI392" s="143"/>
      <c r="AJ392" s="143"/>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3"/>
      <c r="AH393" s="143"/>
      <c r="AI393" s="143"/>
      <c r="AJ393" s="143"/>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3"/>
      <c r="AH394" s="143"/>
      <c r="AI394" s="143"/>
      <c r="AJ394" s="143"/>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3"/>
      <c r="AH395" s="143"/>
      <c r="AI395" s="143"/>
      <c r="AJ395" s="143"/>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3"/>
      <c r="AH396" s="143"/>
      <c r="AI396" s="143"/>
      <c r="AJ396" s="143"/>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3"/>
      <c r="AH397" s="143"/>
      <c r="AI397" s="143"/>
      <c r="AJ397" s="143"/>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3"/>
      <c r="AH398" s="143"/>
      <c r="AI398" s="143"/>
      <c r="AJ398" s="143"/>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3"/>
      <c r="AH399" s="143"/>
      <c r="AI399" s="143"/>
      <c r="AJ399" s="143"/>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3"/>
      <c r="AH400" s="143"/>
      <c r="AI400" s="143"/>
      <c r="AJ400" s="143"/>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3"/>
      <c r="AH401" s="143"/>
      <c r="AI401" s="143"/>
      <c r="AJ401" s="143"/>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3"/>
      <c r="AH402" s="143"/>
      <c r="AI402" s="143"/>
      <c r="AJ402" s="143"/>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3"/>
      <c r="AH403" s="143"/>
      <c r="AI403" s="143"/>
      <c r="AJ403" s="143"/>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3"/>
      <c r="AH404" s="143"/>
      <c r="AI404" s="143"/>
      <c r="AJ404" s="143"/>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3"/>
      <c r="AH405" s="143"/>
      <c r="AI405" s="143"/>
      <c r="AJ405" s="143"/>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3"/>
      <c r="AH406" s="143"/>
      <c r="AI406" s="143"/>
      <c r="AJ406" s="143"/>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3"/>
      <c r="AH407" s="143"/>
      <c r="AI407" s="143"/>
      <c r="AJ407" s="143"/>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3"/>
      <c r="AH408" s="143"/>
      <c r="AI408" s="143"/>
      <c r="AJ408" s="143"/>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3"/>
      <c r="AH409" s="143"/>
      <c r="AI409" s="143"/>
      <c r="AJ409" s="143"/>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3"/>
      <c r="AH410" s="143"/>
      <c r="AI410" s="143"/>
      <c r="AJ410" s="143"/>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3"/>
      <c r="AH411" s="143"/>
      <c r="AI411" s="143"/>
      <c r="AJ411" s="143"/>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3"/>
      <c r="AH412" s="143"/>
      <c r="AI412" s="143"/>
      <c r="AJ412" s="143"/>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3"/>
      <c r="AH413" s="143"/>
      <c r="AI413" s="143"/>
      <c r="AJ413" s="143"/>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3"/>
      <c r="AH414" s="143"/>
      <c r="AI414" s="143"/>
      <c r="AJ414" s="143"/>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3"/>
      <c r="AH415" s="143"/>
      <c r="AI415" s="143"/>
      <c r="AJ415" s="143"/>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3"/>
      <c r="AH416" s="143"/>
      <c r="AI416" s="143"/>
      <c r="AJ416" s="143"/>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3"/>
      <c r="AH417" s="143"/>
      <c r="AI417" s="143"/>
      <c r="AJ417" s="143"/>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3"/>
      <c r="AH418" s="143"/>
      <c r="AI418" s="143"/>
      <c r="AJ418" s="143"/>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3"/>
      <c r="AH419" s="143"/>
      <c r="AI419" s="143"/>
      <c r="AJ419" s="143"/>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3"/>
      <c r="AH420" s="143"/>
      <c r="AI420" s="143"/>
      <c r="AJ420" s="143"/>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3"/>
      <c r="AH421" s="143"/>
      <c r="AI421" s="143"/>
      <c r="AJ421" s="143"/>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3"/>
      <c r="AH422" s="143"/>
      <c r="AI422" s="143"/>
      <c r="AJ422" s="143"/>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3"/>
      <c r="AH423" s="143"/>
      <c r="AI423" s="143"/>
      <c r="AJ423" s="143"/>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3"/>
      <c r="AH424" s="143"/>
      <c r="AI424" s="143"/>
      <c r="AJ424" s="143"/>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3"/>
      <c r="AH425" s="143"/>
      <c r="AI425" s="143"/>
      <c r="AJ425" s="143"/>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3"/>
      <c r="AH426" s="143"/>
      <c r="AI426" s="143"/>
      <c r="AJ426" s="143"/>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3"/>
      <c r="AH427" s="143"/>
      <c r="AI427" s="143"/>
      <c r="AJ427" s="143"/>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3"/>
      <c r="AH428" s="143"/>
      <c r="AI428" s="143"/>
      <c r="AJ428" s="143"/>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3"/>
      <c r="AH429" s="143"/>
      <c r="AI429" s="143"/>
      <c r="AJ429" s="143"/>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3"/>
      <c r="AH430" s="143"/>
      <c r="AI430" s="143"/>
      <c r="AJ430" s="143"/>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3"/>
      <c r="AH431" s="143"/>
      <c r="AI431" s="143"/>
      <c r="AJ431" s="143"/>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3"/>
      <c r="AH432" s="143"/>
      <c r="AI432" s="143"/>
      <c r="AJ432" s="143"/>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3"/>
      <c r="AH433" s="143"/>
      <c r="AI433" s="143"/>
      <c r="AJ433" s="143"/>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3"/>
      <c r="AH434" s="143"/>
      <c r="AI434" s="143"/>
      <c r="AJ434" s="143"/>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3"/>
      <c r="AH435" s="143"/>
      <c r="AI435" s="143"/>
      <c r="AJ435" s="143"/>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3"/>
      <c r="AH436" s="143"/>
      <c r="AI436" s="143"/>
      <c r="AJ436" s="143"/>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3"/>
      <c r="AH437" s="143"/>
      <c r="AI437" s="143"/>
      <c r="AJ437" s="143"/>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3"/>
      <c r="AH438" s="143"/>
      <c r="AI438" s="143"/>
      <c r="AJ438" s="143"/>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3"/>
      <c r="AH439" s="143"/>
      <c r="AI439" s="143"/>
      <c r="AJ439" s="143"/>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3"/>
      <c r="AH440" s="143"/>
      <c r="AI440" s="143"/>
      <c r="AJ440" s="143"/>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3"/>
      <c r="AH441" s="143"/>
      <c r="AI441" s="143"/>
      <c r="AJ441" s="143"/>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3"/>
      <c r="AH442" s="143"/>
      <c r="AI442" s="143"/>
      <c r="AJ442" s="143"/>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3"/>
      <c r="AH443" s="143"/>
      <c r="AI443" s="143"/>
      <c r="AJ443" s="143"/>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3"/>
      <c r="AH444" s="143"/>
      <c r="AI444" s="143"/>
      <c r="AJ444" s="143"/>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3"/>
      <c r="AH445" s="143"/>
      <c r="AI445" s="143"/>
      <c r="AJ445" s="143"/>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3"/>
      <c r="AH446" s="143"/>
      <c r="AI446" s="143"/>
      <c r="AJ446" s="143"/>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3"/>
      <c r="AH447" s="143"/>
      <c r="AI447" s="143"/>
      <c r="AJ447" s="143"/>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3"/>
      <c r="AH448" s="143"/>
      <c r="AI448" s="143"/>
      <c r="AJ448" s="143"/>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3"/>
      <c r="AH449" s="143"/>
      <c r="AI449" s="143"/>
      <c r="AJ449" s="143"/>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3"/>
      <c r="AH450" s="143"/>
      <c r="AI450" s="143"/>
      <c r="AJ450" s="143"/>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3"/>
      <c r="AH451" s="143"/>
      <c r="AI451" s="143"/>
      <c r="AJ451" s="143"/>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3"/>
      <c r="AH452" s="143"/>
      <c r="AI452" s="143"/>
      <c r="AJ452" s="143"/>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3"/>
      <c r="AH453" s="143"/>
      <c r="AI453" s="143"/>
      <c r="AJ453" s="143"/>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3"/>
      <c r="AH454" s="143"/>
      <c r="AI454" s="143"/>
      <c r="AJ454" s="143"/>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3"/>
      <c r="AH455" s="143"/>
      <c r="AI455" s="143"/>
      <c r="AJ455" s="143"/>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3"/>
      <c r="AH456" s="143"/>
      <c r="AI456" s="143"/>
      <c r="AJ456" s="143"/>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3"/>
      <c r="AH457" s="143"/>
      <c r="AI457" s="143"/>
      <c r="AJ457" s="143"/>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3"/>
      <c r="AH458" s="143"/>
      <c r="AI458" s="143"/>
      <c r="AJ458" s="143"/>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3"/>
      <c r="AH459" s="143"/>
      <c r="AI459" s="143"/>
      <c r="AJ459" s="143"/>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3"/>
      <c r="AH460" s="143"/>
      <c r="AI460" s="143"/>
      <c r="AJ460" s="143"/>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3"/>
      <c r="AH461" s="143"/>
      <c r="AI461" s="143"/>
      <c r="AJ461" s="143"/>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3"/>
      <c r="AH462" s="143"/>
      <c r="AI462" s="143"/>
      <c r="AJ462" s="143"/>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3"/>
      <c r="AH463" s="143"/>
      <c r="AI463" s="143"/>
      <c r="AJ463" s="143"/>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3"/>
      <c r="AH464" s="143"/>
      <c r="AI464" s="143"/>
      <c r="AJ464" s="143"/>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3"/>
      <c r="AH465" s="143"/>
      <c r="AI465" s="143"/>
      <c r="AJ465" s="143"/>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3"/>
      <c r="AH466" s="143"/>
      <c r="AI466" s="143"/>
      <c r="AJ466" s="143"/>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3"/>
      <c r="AH467" s="143"/>
      <c r="AI467" s="143"/>
      <c r="AJ467" s="143"/>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3"/>
      <c r="AH468" s="143"/>
      <c r="AI468" s="143"/>
      <c r="AJ468" s="143"/>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3"/>
      <c r="AH469" s="143"/>
      <c r="AI469" s="143"/>
      <c r="AJ469" s="143"/>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3"/>
      <c r="AH470" s="143"/>
      <c r="AI470" s="143"/>
      <c r="AJ470" s="143"/>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3"/>
      <c r="AH471" s="143"/>
      <c r="AI471" s="143"/>
      <c r="AJ471" s="143"/>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3"/>
      <c r="AH472" s="143"/>
      <c r="AI472" s="143"/>
      <c r="AJ472" s="143"/>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3"/>
      <c r="AH473" s="143"/>
      <c r="AI473" s="143"/>
      <c r="AJ473" s="143"/>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3"/>
      <c r="AH474" s="143"/>
      <c r="AI474" s="143"/>
      <c r="AJ474" s="143"/>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3"/>
      <c r="AH475" s="143"/>
      <c r="AI475" s="143"/>
      <c r="AJ475" s="143"/>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3"/>
      <c r="AH476" s="143"/>
      <c r="AI476" s="143"/>
      <c r="AJ476" s="143"/>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3"/>
      <c r="AH477" s="143"/>
      <c r="AI477" s="143"/>
      <c r="AJ477" s="143"/>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3"/>
      <c r="AH478" s="143"/>
      <c r="AI478" s="143"/>
      <c r="AJ478" s="143"/>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3"/>
      <c r="AH479" s="143"/>
      <c r="AI479" s="143"/>
      <c r="AJ479" s="143"/>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3"/>
      <c r="AH480" s="143"/>
      <c r="AI480" s="143"/>
      <c r="AJ480" s="143"/>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3"/>
      <c r="AH481" s="143"/>
      <c r="AI481" s="143"/>
      <c r="AJ481" s="143"/>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3"/>
      <c r="AH482" s="143"/>
      <c r="AI482" s="143"/>
      <c r="AJ482" s="143"/>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3"/>
      <c r="AH483" s="143"/>
      <c r="AI483" s="143"/>
      <c r="AJ483" s="143"/>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3"/>
      <c r="AH484" s="143"/>
      <c r="AI484" s="143"/>
      <c r="AJ484" s="143"/>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3"/>
      <c r="AH485" s="143"/>
      <c r="AI485" s="143"/>
      <c r="AJ485" s="143"/>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3"/>
      <c r="AH486" s="143"/>
      <c r="AI486" s="143"/>
      <c r="AJ486" s="143"/>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3"/>
      <c r="AH487" s="143"/>
      <c r="AI487" s="143"/>
      <c r="AJ487" s="143"/>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3"/>
      <c r="AH488" s="143"/>
      <c r="AI488" s="143"/>
      <c r="AJ488" s="143"/>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3"/>
      <c r="AH489" s="143"/>
      <c r="AI489" s="143"/>
      <c r="AJ489" s="143"/>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3"/>
      <c r="AH490" s="143"/>
      <c r="AI490" s="143"/>
      <c r="AJ490" s="143"/>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3"/>
      <c r="AH491" s="143"/>
      <c r="AI491" s="143"/>
      <c r="AJ491" s="143"/>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3"/>
      <c r="AH492" s="143"/>
      <c r="AI492" s="143"/>
      <c r="AJ492" s="143"/>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3"/>
      <c r="AH493" s="143"/>
      <c r="AI493" s="143"/>
      <c r="AJ493" s="143"/>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3"/>
      <c r="AH494" s="143"/>
      <c r="AI494" s="143"/>
      <c r="AJ494" s="143"/>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3"/>
      <c r="AH495" s="143"/>
      <c r="AI495" s="143"/>
      <c r="AJ495" s="143"/>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3"/>
      <c r="AH496" s="143"/>
      <c r="AI496" s="143"/>
      <c r="AJ496" s="143"/>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3"/>
      <c r="AH497" s="143"/>
      <c r="AI497" s="143"/>
      <c r="AJ497" s="143"/>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3"/>
      <c r="AH498" s="143"/>
      <c r="AI498" s="143"/>
      <c r="AJ498" s="143"/>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3"/>
      <c r="AH499" s="143"/>
      <c r="AI499" s="143"/>
      <c r="AJ499" s="143"/>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3"/>
      <c r="AH500" s="143"/>
      <c r="AI500" s="143"/>
      <c r="AJ500" s="143"/>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3"/>
      <c r="AH501" s="143"/>
      <c r="AI501" s="143"/>
      <c r="AJ501" s="143"/>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3"/>
      <c r="AH502" s="143"/>
      <c r="AI502" s="143"/>
      <c r="AJ502" s="143"/>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3"/>
      <c r="AH503" s="143"/>
      <c r="AI503" s="143"/>
      <c r="AJ503" s="143"/>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3"/>
      <c r="AH504" s="143"/>
      <c r="AI504" s="143"/>
      <c r="AJ504" s="143"/>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3"/>
      <c r="AH505" s="143"/>
      <c r="AI505" s="143"/>
      <c r="AJ505" s="143"/>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3"/>
      <c r="AH506" s="143"/>
      <c r="AI506" s="143"/>
      <c r="AJ506" s="143"/>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3"/>
      <c r="AH507" s="143"/>
      <c r="AI507" s="143"/>
      <c r="AJ507" s="143"/>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3"/>
      <c r="AH508" s="143"/>
      <c r="AI508" s="143"/>
      <c r="AJ508" s="143"/>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3"/>
      <c r="AH509" s="143"/>
      <c r="AI509" s="143"/>
      <c r="AJ509" s="143"/>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3"/>
      <c r="AH510" s="143"/>
      <c r="AI510" s="143"/>
      <c r="AJ510" s="143"/>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3"/>
      <c r="AH511" s="143"/>
      <c r="AI511" s="143"/>
      <c r="AJ511" s="143"/>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3"/>
      <c r="AH512" s="143"/>
      <c r="AI512" s="143"/>
      <c r="AJ512" s="143"/>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3"/>
      <c r="AH513" s="143"/>
      <c r="AI513" s="143"/>
      <c r="AJ513" s="143"/>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3"/>
      <c r="AH514" s="143"/>
      <c r="AI514" s="143"/>
      <c r="AJ514" s="143"/>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3"/>
      <c r="AH515" s="143"/>
      <c r="AI515" s="143"/>
      <c r="AJ515" s="143"/>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3"/>
      <c r="AH516" s="143"/>
      <c r="AI516" s="143"/>
      <c r="AJ516" s="143"/>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3"/>
      <c r="AH517" s="143"/>
      <c r="AI517" s="143"/>
      <c r="AJ517" s="143"/>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3"/>
      <c r="AH518" s="143"/>
      <c r="AI518" s="143"/>
      <c r="AJ518" s="143"/>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3"/>
      <c r="AH519" s="143"/>
      <c r="AI519" s="143"/>
      <c r="AJ519" s="143"/>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3"/>
      <c r="AH520" s="143"/>
      <c r="AI520" s="143"/>
      <c r="AJ520" s="143"/>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3"/>
      <c r="AH521" s="143"/>
      <c r="AI521" s="143"/>
      <c r="AJ521" s="143"/>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3"/>
      <c r="AH522" s="143"/>
      <c r="AI522" s="143"/>
      <c r="AJ522" s="143"/>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3"/>
      <c r="AH523" s="143"/>
      <c r="AI523" s="143"/>
      <c r="AJ523" s="143"/>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3"/>
      <c r="AH524" s="143"/>
      <c r="AI524" s="143"/>
      <c r="AJ524" s="143"/>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3"/>
      <c r="AH525" s="143"/>
      <c r="AI525" s="143"/>
      <c r="AJ525" s="143"/>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3"/>
      <c r="AH526" s="143"/>
      <c r="AI526" s="143"/>
      <c r="AJ526" s="143"/>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3"/>
      <c r="AH527" s="143"/>
      <c r="AI527" s="143"/>
      <c r="AJ527" s="143"/>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3"/>
      <c r="AH528" s="143"/>
      <c r="AI528" s="143"/>
      <c r="AJ528" s="143"/>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3"/>
      <c r="AH529" s="143"/>
      <c r="AI529" s="143"/>
      <c r="AJ529" s="143"/>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3"/>
      <c r="AH530" s="143"/>
      <c r="AI530" s="143"/>
      <c r="AJ530" s="143"/>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3"/>
      <c r="AH531" s="143"/>
      <c r="AI531" s="143"/>
      <c r="AJ531" s="143"/>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3"/>
      <c r="AH532" s="143"/>
      <c r="AI532" s="143"/>
      <c r="AJ532" s="143"/>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3"/>
      <c r="AH533" s="143"/>
      <c r="AI533" s="143"/>
      <c r="AJ533" s="143"/>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3"/>
      <c r="AH534" s="143"/>
      <c r="AI534" s="143"/>
      <c r="AJ534" s="143"/>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3"/>
      <c r="AH535" s="143"/>
      <c r="AI535" s="143"/>
      <c r="AJ535" s="143"/>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3"/>
      <c r="AH536" s="143"/>
      <c r="AI536" s="143"/>
      <c r="AJ536" s="143"/>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3"/>
      <c r="AH537" s="143"/>
      <c r="AI537" s="143"/>
      <c r="AJ537" s="143"/>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3"/>
      <c r="AH538" s="143"/>
      <c r="AI538" s="143"/>
      <c r="AJ538" s="143"/>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3"/>
      <c r="AH539" s="143"/>
      <c r="AI539" s="143"/>
      <c r="AJ539" s="143"/>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3"/>
      <c r="AH540" s="143"/>
      <c r="AI540" s="143"/>
      <c r="AJ540" s="143"/>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3"/>
      <c r="AH541" s="143"/>
      <c r="AI541" s="143"/>
      <c r="AJ541" s="143"/>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3"/>
      <c r="AH542" s="143"/>
      <c r="AI542" s="143"/>
      <c r="AJ542" s="143"/>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3"/>
      <c r="AH543" s="143"/>
      <c r="AI543" s="143"/>
      <c r="AJ543" s="143"/>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3"/>
      <c r="AH544" s="143"/>
      <c r="AI544" s="143"/>
      <c r="AJ544" s="143"/>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3"/>
      <c r="AH545" s="143"/>
      <c r="AI545" s="143"/>
      <c r="AJ545" s="143"/>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3"/>
      <c r="AH546" s="143"/>
      <c r="AI546" s="143"/>
      <c r="AJ546" s="143"/>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3"/>
      <c r="AH547" s="143"/>
      <c r="AI547" s="143"/>
      <c r="AJ547" s="143"/>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3"/>
      <c r="AH548" s="143"/>
      <c r="AI548" s="143"/>
      <c r="AJ548" s="143"/>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3"/>
      <c r="AH549" s="143"/>
      <c r="AI549" s="143"/>
      <c r="AJ549" s="143"/>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3"/>
      <c r="AH550" s="143"/>
      <c r="AI550" s="143"/>
      <c r="AJ550" s="143"/>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3"/>
      <c r="AH551" s="143"/>
      <c r="AI551" s="143"/>
      <c r="AJ551" s="143"/>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3"/>
      <c r="AH552" s="143"/>
      <c r="AI552" s="143"/>
      <c r="AJ552" s="143"/>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3"/>
      <c r="AH553" s="143"/>
      <c r="AI553" s="143"/>
      <c r="AJ553" s="143"/>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3"/>
      <c r="AH554" s="143"/>
      <c r="AI554" s="143"/>
      <c r="AJ554" s="143"/>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3"/>
      <c r="AH555" s="143"/>
      <c r="AI555" s="143"/>
      <c r="AJ555" s="143"/>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3"/>
      <c r="AH556" s="143"/>
      <c r="AI556" s="143"/>
      <c r="AJ556" s="143"/>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3"/>
      <c r="AH557" s="143"/>
      <c r="AI557" s="143"/>
      <c r="AJ557" s="143"/>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3"/>
      <c r="AH558" s="143"/>
      <c r="AI558" s="143"/>
      <c r="AJ558" s="143"/>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3"/>
      <c r="AH559" s="143"/>
      <c r="AI559" s="143"/>
      <c r="AJ559" s="143"/>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3"/>
      <c r="AH560" s="143"/>
      <c r="AI560" s="143"/>
      <c r="AJ560" s="143"/>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3"/>
      <c r="AH561" s="143"/>
      <c r="AI561" s="143"/>
      <c r="AJ561" s="143"/>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3"/>
      <c r="AH562" s="143"/>
      <c r="AI562" s="143"/>
      <c r="AJ562" s="143"/>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3"/>
      <c r="AH563" s="143"/>
      <c r="AI563" s="143"/>
      <c r="AJ563" s="143"/>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3"/>
      <c r="AH564" s="143"/>
      <c r="AI564" s="143"/>
      <c r="AJ564" s="143"/>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3"/>
      <c r="AH565" s="143"/>
      <c r="AI565" s="143"/>
      <c r="AJ565" s="143"/>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3"/>
      <c r="AH566" s="143"/>
      <c r="AI566" s="143"/>
      <c r="AJ566" s="143"/>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3"/>
      <c r="AH567" s="143"/>
      <c r="AI567" s="143"/>
      <c r="AJ567" s="143"/>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3"/>
      <c r="AH568" s="143"/>
      <c r="AI568" s="143"/>
      <c r="AJ568" s="143"/>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3"/>
      <c r="AH569" s="143"/>
      <c r="AI569" s="143"/>
      <c r="AJ569" s="143"/>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3"/>
      <c r="AH570" s="143"/>
      <c r="AI570" s="143"/>
      <c r="AJ570" s="143"/>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3"/>
      <c r="AH571" s="143"/>
      <c r="AI571" s="143"/>
      <c r="AJ571" s="143"/>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3"/>
      <c r="AH572" s="143"/>
      <c r="AI572" s="143"/>
      <c r="AJ572" s="143"/>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3"/>
      <c r="AH573" s="143"/>
      <c r="AI573" s="143"/>
      <c r="AJ573" s="143"/>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3"/>
      <c r="AH574" s="143"/>
      <c r="AI574" s="143"/>
      <c r="AJ574" s="143"/>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3"/>
      <c r="AH575" s="143"/>
      <c r="AI575" s="143"/>
      <c r="AJ575" s="143"/>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3"/>
      <c r="AH576" s="143"/>
      <c r="AI576" s="143"/>
      <c r="AJ576" s="143"/>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3"/>
      <c r="AH577" s="143"/>
      <c r="AI577" s="143"/>
      <c r="AJ577" s="143"/>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3"/>
      <c r="AH578" s="143"/>
      <c r="AI578" s="143"/>
      <c r="AJ578" s="143"/>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3"/>
      <c r="AH579" s="143"/>
      <c r="AI579" s="143"/>
      <c r="AJ579" s="143"/>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3"/>
      <c r="AH580" s="143"/>
      <c r="AI580" s="143"/>
      <c r="AJ580" s="143"/>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3"/>
      <c r="AH581" s="143"/>
      <c r="AI581" s="143"/>
      <c r="AJ581" s="143"/>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3"/>
      <c r="AH582" s="143"/>
      <c r="AI582" s="143"/>
      <c r="AJ582" s="143"/>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3"/>
      <c r="AH583" s="143"/>
      <c r="AI583" s="143"/>
      <c r="AJ583" s="143"/>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3"/>
      <c r="AH584" s="143"/>
      <c r="AI584" s="143"/>
      <c r="AJ584" s="143"/>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3"/>
      <c r="AH585" s="143"/>
      <c r="AI585" s="143"/>
      <c r="AJ585" s="143"/>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3"/>
      <c r="AH586" s="143"/>
      <c r="AI586" s="143"/>
      <c r="AJ586" s="143"/>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3"/>
      <c r="AH587" s="143"/>
      <c r="AI587" s="143"/>
      <c r="AJ587" s="143"/>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3"/>
      <c r="AH588" s="143"/>
      <c r="AI588" s="143"/>
      <c r="AJ588" s="143"/>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3"/>
      <c r="AH589" s="143"/>
      <c r="AI589" s="143"/>
      <c r="AJ589" s="143"/>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3"/>
      <c r="AH590" s="143"/>
      <c r="AI590" s="143"/>
      <c r="AJ590" s="143"/>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3"/>
      <c r="AH591" s="143"/>
      <c r="AI591" s="143"/>
      <c r="AJ591" s="143"/>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3"/>
      <c r="AH592" s="143"/>
      <c r="AI592" s="143"/>
      <c r="AJ592" s="143"/>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3"/>
      <c r="AH593" s="143"/>
      <c r="AI593" s="143"/>
      <c r="AJ593" s="143"/>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3"/>
      <c r="AH594" s="143"/>
      <c r="AI594" s="143"/>
      <c r="AJ594" s="143"/>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3"/>
      <c r="AH595" s="143"/>
      <c r="AI595" s="143"/>
      <c r="AJ595" s="143"/>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3"/>
      <c r="AH596" s="143"/>
      <c r="AI596" s="143"/>
      <c r="AJ596" s="143"/>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3"/>
      <c r="AH597" s="143"/>
      <c r="AI597" s="143"/>
      <c r="AJ597" s="143"/>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3"/>
      <c r="AH598" s="143"/>
      <c r="AI598" s="143"/>
      <c r="AJ598" s="143"/>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3"/>
      <c r="AH599" s="143"/>
      <c r="AI599" s="143"/>
      <c r="AJ599" s="143"/>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3"/>
      <c r="AH600" s="143"/>
      <c r="AI600" s="143"/>
      <c r="AJ600" s="143"/>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3"/>
      <c r="AH601" s="143"/>
      <c r="AI601" s="143"/>
      <c r="AJ601" s="143"/>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3"/>
      <c r="AH602" s="143"/>
      <c r="AI602" s="143"/>
      <c r="AJ602" s="143"/>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3"/>
      <c r="AH603" s="143"/>
      <c r="AI603" s="143"/>
      <c r="AJ603" s="143"/>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3"/>
      <c r="AH604" s="143"/>
      <c r="AI604" s="143"/>
      <c r="AJ604" s="143"/>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3"/>
      <c r="AH605" s="143"/>
      <c r="AI605" s="143"/>
      <c r="AJ605" s="143"/>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3"/>
      <c r="AH606" s="143"/>
      <c r="AI606" s="143"/>
      <c r="AJ606" s="143"/>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3"/>
      <c r="AH607" s="143"/>
      <c r="AI607" s="143"/>
      <c r="AJ607" s="143"/>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3"/>
      <c r="AH608" s="143"/>
      <c r="AI608" s="143"/>
      <c r="AJ608" s="143"/>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3"/>
      <c r="AH609" s="143"/>
      <c r="AI609" s="143"/>
      <c r="AJ609" s="143"/>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3"/>
      <c r="AH610" s="143"/>
      <c r="AI610" s="143"/>
      <c r="AJ610" s="143"/>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3"/>
      <c r="AH611" s="143"/>
      <c r="AI611" s="143"/>
      <c r="AJ611" s="143"/>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3"/>
      <c r="AH612" s="143"/>
      <c r="AI612" s="143"/>
      <c r="AJ612" s="143"/>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3"/>
      <c r="AH613" s="143"/>
      <c r="AI613" s="143"/>
      <c r="AJ613" s="143"/>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3"/>
      <c r="AH614" s="143"/>
      <c r="AI614" s="143"/>
      <c r="AJ614" s="143"/>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3"/>
      <c r="AH615" s="143"/>
      <c r="AI615" s="143"/>
      <c r="AJ615" s="143"/>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3"/>
      <c r="AH616" s="143"/>
      <c r="AI616" s="143"/>
      <c r="AJ616" s="143"/>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3"/>
      <c r="AH617" s="143"/>
      <c r="AI617" s="143"/>
      <c r="AJ617" s="143"/>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3"/>
      <c r="AH618" s="143"/>
      <c r="AI618" s="143"/>
      <c r="AJ618" s="143"/>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3"/>
      <c r="AH619" s="143"/>
      <c r="AI619" s="143"/>
      <c r="AJ619" s="143"/>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3"/>
      <c r="AH620" s="143"/>
      <c r="AI620" s="143"/>
      <c r="AJ620" s="143"/>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3"/>
      <c r="AH621" s="143"/>
      <c r="AI621" s="143"/>
      <c r="AJ621" s="143"/>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3"/>
      <c r="AH622" s="143"/>
      <c r="AI622" s="143"/>
      <c r="AJ622" s="143"/>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3"/>
      <c r="AH623" s="143"/>
      <c r="AI623" s="143"/>
      <c r="AJ623" s="143"/>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3"/>
      <c r="AH624" s="143"/>
      <c r="AI624" s="143"/>
      <c r="AJ624" s="143"/>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3"/>
      <c r="AH625" s="143"/>
      <c r="AI625" s="143"/>
      <c r="AJ625" s="143"/>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3"/>
      <c r="AH626" s="143"/>
      <c r="AI626" s="143"/>
      <c r="AJ626" s="143"/>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3"/>
      <c r="AH627" s="143"/>
      <c r="AI627" s="143"/>
      <c r="AJ627" s="143"/>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3"/>
      <c r="AH628" s="143"/>
      <c r="AI628" s="143"/>
      <c r="AJ628" s="143"/>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3"/>
      <c r="AH629" s="143"/>
      <c r="AI629" s="143"/>
      <c r="AJ629" s="143"/>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3"/>
      <c r="AH630" s="143"/>
      <c r="AI630" s="143"/>
      <c r="AJ630" s="143"/>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3"/>
      <c r="AH631" s="143"/>
      <c r="AI631" s="143"/>
      <c r="AJ631" s="143"/>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3"/>
      <c r="AH632" s="143"/>
      <c r="AI632" s="143"/>
      <c r="AJ632" s="143"/>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3"/>
      <c r="AH633" s="143"/>
      <c r="AI633" s="143"/>
      <c r="AJ633" s="143"/>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3"/>
      <c r="AH634" s="143"/>
      <c r="AI634" s="143"/>
      <c r="AJ634" s="143"/>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3"/>
      <c r="AH635" s="143"/>
      <c r="AI635" s="143"/>
      <c r="AJ635" s="143"/>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3"/>
      <c r="AH636" s="143"/>
      <c r="AI636" s="143"/>
      <c r="AJ636" s="143"/>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3"/>
      <c r="AH637" s="143"/>
      <c r="AI637" s="143"/>
      <c r="AJ637" s="143"/>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3"/>
      <c r="AH638" s="143"/>
      <c r="AI638" s="143"/>
      <c r="AJ638" s="143"/>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3"/>
      <c r="AH639" s="143"/>
      <c r="AI639" s="143"/>
      <c r="AJ639" s="143"/>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3"/>
      <c r="AH640" s="143"/>
      <c r="AI640" s="143"/>
      <c r="AJ640" s="143"/>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3"/>
      <c r="AH641" s="143"/>
      <c r="AI641" s="143"/>
      <c r="AJ641" s="143"/>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3"/>
      <c r="AH642" s="143"/>
      <c r="AI642" s="143"/>
      <c r="AJ642" s="143"/>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3"/>
      <c r="AH643" s="143"/>
      <c r="AI643" s="143"/>
      <c r="AJ643" s="143"/>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3"/>
      <c r="AH644" s="143"/>
      <c r="AI644" s="143"/>
      <c r="AJ644" s="143"/>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3"/>
      <c r="AH645" s="143"/>
      <c r="AI645" s="143"/>
      <c r="AJ645" s="143"/>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3"/>
      <c r="AH646" s="143"/>
      <c r="AI646" s="143"/>
      <c r="AJ646" s="143"/>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3"/>
      <c r="AH647" s="143"/>
      <c r="AI647" s="143"/>
      <c r="AJ647" s="143"/>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3"/>
      <c r="AH648" s="143"/>
      <c r="AI648" s="143"/>
      <c r="AJ648" s="143"/>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3"/>
      <c r="AH649" s="143"/>
      <c r="AI649" s="143"/>
      <c r="AJ649" s="143"/>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3"/>
      <c r="AH650" s="143"/>
      <c r="AI650" s="143"/>
      <c r="AJ650" s="143"/>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3"/>
      <c r="AH651" s="143"/>
      <c r="AI651" s="143"/>
      <c r="AJ651" s="143"/>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3"/>
      <c r="AH652" s="143"/>
      <c r="AI652" s="143"/>
      <c r="AJ652" s="143"/>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3"/>
      <c r="AH653" s="143"/>
      <c r="AI653" s="143"/>
      <c r="AJ653" s="143"/>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3"/>
      <c r="AH654" s="143"/>
      <c r="AI654" s="143"/>
      <c r="AJ654" s="143"/>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3"/>
      <c r="AH655" s="143"/>
      <c r="AI655" s="143"/>
      <c r="AJ655" s="143"/>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3"/>
      <c r="AH656" s="143"/>
      <c r="AI656" s="143"/>
      <c r="AJ656" s="143"/>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3"/>
      <c r="AH657" s="143"/>
      <c r="AI657" s="143"/>
      <c r="AJ657" s="143"/>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3"/>
      <c r="AH658" s="143"/>
      <c r="AI658" s="143"/>
      <c r="AJ658" s="143"/>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3"/>
      <c r="AH659" s="143"/>
      <c r="AI659" s="143"/>
      <c r="AJ659" s="143"/>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3"/>
      <c r="AH660" s="143"/>
      <c r="AI660" s="143"/>
      <c r="AJ660" s="143"/>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3"/>
      <c r="AH661" s="143"/>
      <c r="AI661" s="143"/>
      <c r="AJ661" s="143"/>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3"/>
      <c r="AH662" s="143"/>
      <c r="AI662" s="143"/>
      <c r="AJ662" s="143"/>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3"/>
      <c r="AH663" s="143"/>
      <c r="AI663" s="143"/>
      <c r="AJ663" s="143"/>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3"/>
      <c r="AH664" s="143"/>
      <c r="AI664" s="143"/>
      <c r="AJ664" s="143"/>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3"/>
      <c r="AH665" s="143"/>
      <c r="AI665" s="143"/>
      <c r="AJ665" s="143"/>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3"/>
      <c r="AH666" s="143"/>
      <c r="AI666" s="143"/>
      <c r="AJ666" s="143"/>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3"/>
      <c r="AH667" s="143"/>
      <c r="AI667" s="143"/>
      <c r="AJ667" s="143"/>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3"/>
      <c r="AH668" s="143"/>
      <c r="AI668" s="143"/>
      <c r="AJ668" s="143"/>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3"/>
      <c r="AH669" s="143"/>
      <c r="AI669" s="143"/>
      <c r="AJ669" s="143"/>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3"/>
      <c r="AH670" s="143"/>
      <c r="AI670" s="143"/>
      <c r="AJ670" s="143"/>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3"/>
      <c r="AH671" s="143"/>
      <c r="AI671" s="143"/>
      <c r="AJ671" s="143"/>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3"/>
      <c r="AH672" s="143"/>
      <c r="AI672" s="143"/>
      <c r="AJ672" s="143"/>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3"/>
      <c r="AH673" s="143"/>
      <c r="AI673" s="143"/>
      <c r="AJ673" s="143"/>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3"/>
      <c r="AH674" s="143"/>
      <c r="AI674" s="143"/>
      <c r="AJ674" s="143"/>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3"/>
      <c r="AH675" s="143"/>
      <c r="AI675" s="143"/>
      <c r="AJ675" s="143"/>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3"/>
      <c r="AH676" s="143"/>
      <c r="AI676" s="143"/>
      <c r="AJ676" s="143"/>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3"/>
      <c r="AH677" s="143"/>
      <c r="AI677" s="143"/>
      <c r="AJ677" s="143"/>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3"/>
      <c r="AH678" s="143"/>
      <c r="AI678" s="143"/>
      <c r="AJ678" s="143"/>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3"/>
      <c r="AH679" s="143"/>
      <c r="AI679" s="143"/>
      <c r="AJ679" s="143"/>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3"/>
      <c r="AH680" s="143"/>
      <c r="AI680" s="143"/>
      <c r="AJ680" s="143"/>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3"/>
      <c r="AH681" s="143"/>
      <c r="AI681" s="143"/>
      <c r="AJ681" s="143"/>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3"/>
      <c r="AH682" s="143"/>
      <c r="AI682" s="143"/>
      <c r="AJ682" s="143"/>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3"/>
      <c r="AH683" s="143"/>
      <c r="AI683" s="143"/>
      <c r="AJ683" s="143"/>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3"/>
      <c r="AH684" s="143"/>
      <c r="AI684" s="143"/>
      <c r="AJ684" s="143"/>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3"/>
      <c r="AH685" s="143"/>
      <c r="AI685" s="143"/>
      <c r="AJ685" s="143"/>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3"/>
      <c r="AH686" s="143"/>
      <c r="AI686" s="143"/>
      <c r="AJ686" s="143"/>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3"/>
      <c r="AH687" s="143"/>
      <c r="AI687" s="143"/>
      <c r="AJ687" s="143"/>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3"/>
      <c r="AH688" s="143"/>
      <c r="AI688" s="143"/>
      <c r="AJ688" s="143"/>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3"/>
      <c r="AH689" s="143"/>
      <c r="AI689" s="143"/>
      <c r="AJ689" s="143"/>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3"/>
      <c r="AH690" s="143"/>
      <c r="AI690" s="143"/>
      <c r="AJ690" s="143"/>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3"/>
      <c r="AH691" s="143"/>
      <c r="AI691" s="143"/>
      <c r="AJ691" s="143"/>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3"/>
      <c r="AH692" s="143"/>
      <c r="AI692" s="143"/>
      <c r="AJ692" s="143"/>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3"/>
      <c r="AH693" s="143"/>
      <c r="AI693" s="143"/>
      <c r="AJ693" s="143"/>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3"/>
      <c r="AH694" s="143"/>
      <c r="AI694" s="143"/>
      <c r="AJ694" s="143"/>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3"/>
      <c r="AH695" s="143"/>
      <c r="AI695" s="143"/>
      <c r="AJ695" s="143"/>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3"/>
      <c r="AH696" s="143"/>
      <c r="AI696" s="143"/>
      <c r="AJ696" s="143"/>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3"/>
      <c r="AH697" s="143"/>
      <c r="AI697" s="143"/>
      <c r="AJ697" s="143"/>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3"/>
      <c r="AH698" s="143"/>
      <c r="AI698" s="143"/>
      <c r="AJ698" s="143"/>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3"/>
      <c r="AH699" s="143"/>
      <c r="AI699" s="143"/>
      <c r="AJ699" s="143"/>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3"/>
      <c r="AH700" s="143"/>
      <c r="AI700" s="143"/>
      <c r="AJ700" s="143"/>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3"/>
      <c r="AH701" s="143"/>
      <c r="AI701" s="143"/>
      <c r="AJ701" s="143"/>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3"/>
      <c r="AH702" s="143"/>
      <c r="AI702" s="143"/>
      <c r="AJ702" s="143"/>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3"/>
      <c r="AH703" s="143"/>
      <c r="AI703" s="143"/>
      <c r="AJ703" s="143"/>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3"/>
      <c r="AH704" s="143"/>
      <c r="AI704" s="143"/>
      <c r="AJ704" s="143"/>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3"/>
      <c r="AH705" s="143"/>
      <c r="AI705" s="143"/>
      <c r="AJ705" s="143"/>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3"/>
      <c r="AH706" s="143"/>
      <c r="AI706" s="143"/>
      <c r="AJ706" s="143"/>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3"/>
      <c r="AH707" s="143"/>
      <c r="AI707" s="143"/>
      <c r="AJ707" s="143"/>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3"/>
      <c r="AH708" s="143"/>
      <c r="AI708" s="143"/>
      <c r="AJ708" s="143"/>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3"/>
      <c r="AH709" s="143"/>
      <c r="AI709" s="143"/>
      <c r="AJ709" s="143"/>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3"/>
      <c r="AH710" s="143"/>
      <c r="AI710" s="143"/>
      <c r="AJ710" s="143"/>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3"/>
      <c r="AH711" s="143"/>
      <c r="AI711" s="143"/>
      <c r="AJ711" s="143"/>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3"/>
      <c r="AH712" s="143"/>
      <c r="AI712" s="143"/>
      <c r="AJ712" s="143"/>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3"/>
      <c r="AH713" s="143"/>
      <c r="AI713" s="143"/>
      <c r="AJ713" s="143"/>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3"/>
      <c r="AH714" s="143"/>
      <c r="AI714" s="143"/>
      <c r="AJ714" s="143"/>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3"/>
      <c r="AH715" s="143"/>
      <c r="AI715" s="143"/>
      <c r="AJ715" s="143"/>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3"/>
      <c r="AH716" s="143"/>
      <c r="AI716" s="143"/>
      <c r="AJ716" s="143"/>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3"/>
      <c r="AH717" s="143"/>
      <c r="AI717" s="143"/>
      <c r="AJ717" s="143"/>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3"/>
      <c r="AH718" s="143"/>
      <c r="AI718" s="143"/>
      <c r="AJ718" s="143"/>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3"/>
      <c r="AH719" s="143"/>
      <c r="AI719" s="143"/>
      <c r="AJ719" s="143"/>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3"/>
      <c r="AH720" s="143"/>
      <c r="AI720" s="143"/>
      <c r="AJ720" s="143"/>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3"/>
      <c r="AH721" s="143"/>
      <c r="AI721" s="143"/>
      <c r="AJ721" s="143"/>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3"/>
      <c r="AH722" s="143"/>
      <c r="AI722" s="143"/>
      <c r="AJ722" s="143"/>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3"/>
      <c r="AH723" s="143"/>
      <c r="AI723" s="143"/>
      <c r="AJ723" s="143"/>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3"/>
      <c r="AH724" s="143"/>
      <c r="AI724" s="143"/>
      <c r="AJ724" s="143"/>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3"/>
      <c r="AH725" s="143"/>
      <c r="AI725" s="143"/>
      <c r="AJ725" s="143"/>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3"/>
      <c r="AH726" s="143"/>
      <c r="AI726" s="143"/>
      <c r="AJ726" s="143"/>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3"/>
      <c r="AH727" s="143"/>
      <c r="AI727" s="143"/>
      <c r="AJ727" s="143"/>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3"/>
      <c r="AH728" s="143"/>
      <c r="AI728" s="143"/>
      <c r="AJ728" s="143"/>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3"/>
      <c r="AH729" s="143"/>
      <c r="AI729" s="143"/>
      <c r="AJ729" s="143"/>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3"/>
      <c r="AH730" s="143"/>
      <c r="AI730" s="143"/>
      <c r="AJ730" s="143"/>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3"/>
      <c r="AH731" s="143"/>
      <c r="AI731" s="143"/>
      <c r="AJ731" s="143"/>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3"/>
      <c r="AH732" s="143"/>
      <c r="AI732" s="143"/>
      <c r="AJ732" s="143"/>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3"/>
      <c r="AH733" s="143"/>
      <c r="AI733" s="143"/>
      <c r="AJ733" s="143"/>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3"/>
      <c r="AH734" s="143"/>
      <c r="AI734" s="143"/>
      <c r="AJ734" s="143"/>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3"/>
      <c r="AH735" s="143"/>
      <c r="AI735" s="143"/>
      <c r="AJ735" s="143"/>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3"/>
      <c r="AH736" s="143"/>
      <c r="AI736" s="143"/>
      <c r="AJ736" s="143"/>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3"/>
      <c r="AH737" s="143"/>
      <c r="AI737" s="143"/>
      <c r="AJ737" s="143"/>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3"/>
      <c r="AH738" s="143"/>
      <c r="AI738" s="143"/>
      <c r="AJ738" s="143"/>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3"/>
      <c r="AH739" s="143"/>
      <c r="AI739" s="143"/>
      <c r="AJ739" s="143"/>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3"/>
      <c r="AH740" s="143"/>
      <c r="AI740" s="143"/>
      <c r="AJ740" s="143"/>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3"/>
      <c r="AH741" s="143"/>
      <c r="AI741" s="143"/>
      <c r="AJ741" s="143"/>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3"/>
      <c r="AH742" s="143"/>
      <c r="AI742" s="143"/>
      <c r="AJ742" s="143"/>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3"/>
      <c r="AH743" s="143"/>
      <c r="AI743" s="143"/>
      <c r="AJ743" s="143"/>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3"/>
      <c r="AH744" s="143"/>
      <c r="AI744" s="143"/>
      <c r="AJ744" s="143"/>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3"/>
      <c r="AH745" s="143"/>
      <c r="AI745" s="143"/>
      <c r="AJ745" s="143"/>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3"/>
      <c r="AH746" s="143"/>
      <c r="AI746" s="143"/>
      <c r="AJ746" s="143"/>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3"/>
      <c r="AH747" s="143"/>
      <c r="AI747" s="143"/>
      <c r="AJ747" s="143"/>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3"/>
      <c r="AH748" s="143"/>
      <c r="AI748" s="143"/>
      <c r="AJ748" s="143"/>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3"/>
      <c r="AH749" s="143"/>
      <c r="AI749" s="143"/>
      <c r="AJ749" s="143"/>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3"/>
      <c r="AH750" s="143"/>
      <c r="AI750" s="143"/>
      <c r="AJ750" s="143"/>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3"/>
      <c r="AH751" s="143"/>
      <c r="AI751" s="143"/>
      <c r="AJ751" s="143"/>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3"/>
      <c r="AH752" s="143"/>
      <c r="AI752" s="143"/>
      <c r="AJ752" s="143"/>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3"/>
      <c r="AH753" s="143"/>
      <c r="AI753" s="143"/>
      <c r="AJ753" s="143"/>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3"/>
      <c r="AH754" s="143"/>
      <c r="AI754" s="143"/>
      <c r="AJ754" s="143"/>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3"/>
      <c r="AH755" s="143"/>
      <c r="AI755" s="143"/>
      <c r="AJ755" s="143"/>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3"/>
      <c r="AH756" s="143"/>
      <c r="AI756" s="143"/>
      <c r="AJ756" s="143"/>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3"/>
      <c r="AH757" s="143"/>
      <c r="AI757" s="143"/>
      <c r="AJ757" s="143"/>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3"/>
      <c r="AH758" s="143"/>
      <c r="AI758" s="143"/>
      <c r="AJ758" s="143"/>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3"/>
      <c r="AH759" s="143"/>
      <c r="AI759" s="143"/>
      <c r="AJ759" s="143"/>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3"/>
      <c r="AH760" s="143"/>
      <c r="AI760" s="143"/>
      <c r="AJ760" s="143"/>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3"/>
      <c r="AH761" s="143"/>
      <c r="AI761" s="143"/>
      <c r="AJ761" s="143"/>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3"/>
      <c r="AH762" s="143"/>
      <c r="AI762" s="143"/>
      <c r="AJ762" s="143"/>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3"/>
      <c r="AH763" s="143"/>
      <c r="AI763" s="143"/>
      <c r="AJ763" s="143"/>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3"/>
      <c r="AH764" s="143"/>
      <c r="AI764" s="143"/>
      <c r="AJ764" s="143"/>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3"/>
      <c r="AH765" s="143"/>
      <c r="AI765" s="143"/>
      <c r="AJ765" s="143"/>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3"/>
      <c r="AH766" s="143"/>
      <c r="AI766" s="143"/>
      <c r="AJ766" s="143"/>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3"/>
      <c r="AH767" s="143"/>
      <c r="AI767" s="143"/>
      <c r="AJ767" s="143"/>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3"/>
      <c r="AH768" s="143"/>
      <c r="AI768" s="143"/>
      <c r="AJ768" s="143"/>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3"/>
      <c r="AH769" s="143"/>
      <c r="AI769" s="143"/>
      <c r="AJ769" s="143"/>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3"/>
      <c r="AH770" s="143"/>
      <c r="AI770" s="143"/>
      <c r="AJ770" s="143"/>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3"/>
      <c r="AH771" s="143"/>
      <c r="AI771" s="143"/>
      <c r="AJ771" s="143"/>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3"/>
      <c r="AH772" s="143"/>
      <c r="AI772" s="143"/>
      <c r="AJ772" s="143"/>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3"/>
      <c r="AH773" s="143"/>
      <c r="AI773" s="143"/>
      <c r="AJ773" s="143"/>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3"/>
      <c r="AH774" s="143"/>
      <c r="AI774" s="143"/>
      <c r="AJ774" s="143"/>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3"/>
      <c r="AH775" s="143"/>
      <c r="AI775" s="143"/>
      <c r="AJ775" s="143"/>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3"/>
      <c r="AH776" s="143"/>
      <c r="AI776" s="143"/>
      <c r="AJ776" s="143"/>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3"/>
      <c r="AH777" s="143"/>
      <c r="AI777" s="143"/>
      <c r="AJ777" s="143"/>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3"/>
      <c r="AH778" s="143"/>
      <c r="AI778" s="143"/>
      <c r="AJ778" s="143"/>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3"/>
      <c r="AH779" s="143"/>
      <c r="AI779" s="143"/>
      <c r="AJ779" s="143"/>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3"/>
      <c r="AH780" s="143"/>
      <c r="AI780" s="143"/>
      <c r="AJ780" s="143"/>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3"/>
      <c r="AH781" s="143"/>
      <c r="AI781" s="143"/>
      <c r="AJ781" s="143"/>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3"/>
      <c r="AH782" s="143"/>
      <c r="AI782" s="143"/>
      <c r="AJ782" s="143"/>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3"/>
      <c r="AH783" s="143"/>
      <c r="AI783" s="143"/>
      <c r="AJ783" s="143"/>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3"/>
      <c r="AH784" s="143"/>
      <c r="AI784" s="143"/>
      <c r="AJ784" s="143"/>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3"/>
      <c r="AH785" s="143"/>
      <c r="AI785" s="143"/>
      <c r="AJ785" s="143"/>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3"/>
      <c r="AH786" s="143"/>
      <c r="AI786" s="143"/>
      <c r="AJ786" s="143"/>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3"/>
      <c r="AH787" s="143"/>
      <c r="AI787" s="143"/>
      <c r="AJ787" s="143"/>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3"/>
      <c r="AH788" s="143"/>
      <c r="AI788" s="143"/>
      <c r="AJ788" s="143"/>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3"/>
      <c r="AH789" s="143"/>
      <c r="AI789" s="143"/>
      <c r="AJ789" s="143"/>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3"/>
      <c r="AH790" s="143"/>
      <c r="AI790" s="143"/>
      <c r="AJ790" s="143"/>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3"/>
      <c r="AH791" s="143"/>
      <c r="AI791" s="143"/>
      <c r="AJ791" s="143"/>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3"/>
      <c r="AH792" s="143"/>
      <c r="AI792" s="143"/>
      <c r="AJ792" s="143"/>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3"/>
      <c r="AH793" s="143"/>
      <c r="AI793" s="143"/>
      <c r="AJ793" s="143"/>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3"/>
      <c r="AH794" s="143"/>
      <c r="AI794" s="143"/>
      <c r="AJ794" s="143"/>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3"/>
      <c r="AH795" s="143"/>
      <c r="AI795" s="143"/>
      <c r="AJ795" s="143"/>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3"/>
      <c r="AH796" s="143"/>
      <c r="AI796" s="143"/>
      <c r="AJ796" s="143"/>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3"/>
      <c r="AH797" s="143"/>
      <c r="AI797" s="143"/>
      <c r="AJ797" s="143"/>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3"/>
      <c r="AH798" s="143"/>
      <c r="AI798" s="143"/>
      <c r="AJ798" s="143"/>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3"/>
      <c r="AH799" s="143"/>
      <c r="AI799" s="143"/>
      <c r="AJ799" s="143"/>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3"/>
      <c r="AH800" s="143"/>
      <c r="AI800" s="143"/>
      <c r="AJ800" s="143"/>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3"/>
      <c r="AH801" s="143"/>
      <c r="AI801" s="143"/>
      <c r="AJ801" s="143"/>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3"/>
      <c r="AH802" s="143"/>
      <c r="AI802" s="143"/>
      <c r="AJ802" s="143"/>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3"/>
      <c r="AH803" s="143"/>
      <c r="AI803" s="143"/>
      <c r="AJ803" s="143"/>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3"/>
      <c r="AH804" s="143"/>
      <c r="AI804" s="143"/>
      <c r="AJ804" s="143"/>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3"/>
      <c r="AH805" s="143"/>
      <c r="AI805" s="143"/>
      <c r="AJ805" s="143"/>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3"/>
      <c r="AH806" s="143"/>
      <c r="AI806" s="143"/>
      <c r="AJ806" s="143"/>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3"/>
      <c r="AH807" s="143"/>
      <c r="AI807" s="143"/>
      <c r="AJ807" s="143"/>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3"/>
      <c r="AH808" s="143"/>
      <c r="AI808" s="143"/>
      <c r="AJ808" s="143"/>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3"/>
      <c r="AH809" s="143"/>
      <c r="AI809" s="143"/>
      <c r="AJ809" s="143"/>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3"/>
      <c r="AH810" s="143"/>
      <c r="AI810" s="143"/>
      <c r="AJ810" s="143"/>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3"/>
      <c r="AH811" s="143"/>
      <c r="AI811" s="143"/>
      <c r="AJ811" s="143"/>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3"/>
      <c r="AH812" s="143"/>
      <c r="AI812" s="143"/>
      <c r="AJ812" s="143"/>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3"/>
      <c r="AH813" s="143"/>
      <c r="AI813" s="143"/>
      <c r="AJ813" s="143"/>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3"/>
      <c r="AH814" s="143"/>
      <c r="AI814" s="143"/>
      <c r="AJ814" s="143"/>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3"/>
      <c r="AH815" s="143"/>
      <c r="AI815" s="143"/>
      <c r="AJ815" s="143"/>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3"/>
      <c r="AH816" s="143"/>
      <c r="AI816" s="143"/>
      <c r="AJ816" s="143"/>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3"/>
      <c r="AH817" s="143"/>
      <c r="AI817" s="143"/>
      <c r="AJ817" s="143"/>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3"/>
      <c r="AH818" s="143"/>
      <c r="AI818" s="143"/>
      <c r="AJ818" s="143"/>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3"/>
      <c r="AH819" s="143"/>
      <c r="AI819" s="143"/>
      <c r="AJ819" s="143"/>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3"/>
      <c r="AH820" s="143"/>
      <c r="AI820" s="143"/>
      <c r="AJ820" s="143"/>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3"/>
      <c r="AH821" s="143"/>
      <c r="AI821" s="143"/>
      <c r="AJ821" s="143"/>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3"/>
      <c r="AH822" s="143"/>
      <c r="AI822" s="143"/>
      <c r="AJ822" s="143"/>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3"/>
      <c r="AH823" s="143"/>
      <c r="AI823" s="143"/>
      <c r="AJ823" s="143"/>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3"/>
      <c r="AH824" s="143"/>
      <c r="AI824" s="143"/>
      <c r="AJ824" s="143"/>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3"/>
      <c r="AH825" s="143"/>
      <c r="AI825" s="143"/>
      <c r="AJ825" s="143"/>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3"/>
      <c r="AH826" s="143"/>
      <c r="AI826" s="143"/>
      <c r="AJ826" s="143"/>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3"/>
      <c r="AH827" s="143"/>
      <c r="AI827" s="143"/>
      <c r="AJ827" s="143"/>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3"/>
      <c r="AH828" s="143"/>
      <c r="AI828" s="143"/>
      <c r="AJ828" s="143"/>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3"/>
      <c r="AH829" s="143"/>
      <c r="AI829" s="143"/>
      <c r="AJ829" s="143"/>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3"/>
      <c r="AH830" s="143"/>
      <c r="AI830" s="143"/>
      <c r="AJ830" s="143"/>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3"/>
      <c r="AH831" s="143"/>
      <c r="AI831" s="143"/>
      <c r="AJ831" s="143"/>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3"/>
      <c r="AH832" s="143"/>
      <c r="AI832" s="143"/>
      <c r="AJ832" s="143"/>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3"/>
      <c r="AH833" s="143"/>
      <c r="AI833" s="143"/>
      <c r="AJ833" s="143"/>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3"/>
      <c r="AH834" s="143"/>
      <c r="AI834" s="143"/>
      <c r="AJ834" s="143"/>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3"/>
      <c r="AH835" s="143"/>
      <c r="AI835" s="143"/>
      <c r="AJ835" s="143"/>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3"/>
      <c r="AH836" s="143"/>
      <c r="AI836" s="143"/>
      <c r="AJ836" s="143"/>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3"/>
      <c r="AH837" s="143"/>
      <c r="AI837" s="143"/>
      <c r="AJ837" s="143"/>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3"/>
      <c r="AH838" s="143"/>
      <c r="AI838" s="143"/>
      <c r="AJ838" s="143"/>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3"/>
      <c r="AH839" s="143"/>
      <c r="AI839" s="143"/>
      <c r="AJ839" s="143"/>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3"/>
      <c r="AH840" s="143"/>
      <c r="AI840" s="143"/>
      <c r="AJ840" s="143"/>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3"/>
      <c r="AH841" s="143"/>
      <c r="AI841" s="143"/>
      <c r="AJ841" s="143"/>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3"/>
      <c r="AH842" s="143"/>
      <c r="AI842" s="143"/>
      <c r="AJ842" s="143"/>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3"/>
      <c r="AH843" s="143"/>
      <c r="AI843" s="143"/>
      <c r="AJ843" s="143"/>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3"/>
      <c r="AH844" s="143"/>
      <c r="AI844" s="143"/>
      <c r="AJ844" s="143"/>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3"/>
      <c r="AH845" s="143"/>
      <c r="AI845" s="143"/>
      <c r="AJ845" s="143"/>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3"/>
      <c r="AH846" s="143"/>
      <c r="AI846" s="143"/>
      <c r="AJ846" s="143"/>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3"/>
      <c r="AH847" s="143"/>
      <c r="AI847" s="143"/>
      <c r="AJ847" s="143"/>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3"/>
      <c r="AH848" s="143"/>
      <c r="AI848" s="143"/>
      <c r="AJ848" s="143"/>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3"/>
      <c r="AH849" s="143"/>
      <c r="AI849" s="143"/>
      <c r="AJ849" s="143"/>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3"/>
      <c r="AH850" s="143"/>
      <c r="AI850" s="143"/>
      <c r="AJ850" s="143"/>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3"/>
      <c r="AH851" s="143"/>
      <c r="AI851" s="143"/>
      <c r="AJ851" s="143"/>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3"/>
      <c r="AH852" s="143"/>
      <c r="AI852" s="143"/>
      <c r="AJ852" s="143"/>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3"/>
      <c r="AH853" s="143"/>
      <c r="AI853" s="143"/>
      <c r="AJ853" s="143"/>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3"/>
      <c r="AH854" s="143"/>
      <c r="AI854" s="143"/>
      <c r="AJ854" s="143"/>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3"/>
      <c r="AH855" s="143"/>
      <c r="AI855" s="143"/>
      <c r="AJ855" s="143"/>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3"/>
      <c r="AH856" s="143"/>
      <c r="AI856" s="143"/>
      <c r="AJ856" s="143"/>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3"/>
      <c r="AH857" s="143"/>
      <c r="AI857" s="143"/>
      <c r="AJ857" s="143"/>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3"/>
      <c r="AH858" s="143"/>
      <c r="AI858" s="143"/>
      <c r="AJ858" s="143"/>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3"/>
      <c r="AH859" s="143"/>
      <c r="AI859" s="143"/>
      <c r="AJ859" s="143"/>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3"/>
      <c r="AH860" s="143"/>
      <c r="AI860" s="143"/>
      <c r="AJ860" s="143"/>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3"/>
      <c r="AH861" s="143"/>
      <c r="AI861" s="143"/>
      <c r="AJ861" s="143"/>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3"/>
      <c r="AH862" s="143"/>
      <c r="AI862" s="143"/>
      <c r="AJ862" s="143"/>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3"/>
      <c r="AH863" s="143"/>
      <c r="AI863" s="143"/>
      <c r="AJ863" s="143"/>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3"/>
      <c r="AH864" s="143"/>
      <c r="AI864" s="143"/>
      <c r="AJ864" s="143"/>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3"/>
      <c r="AH865" s="143"/>
      <c r="AI865" s="143"/>
      <c r="AJ865" s="143"/>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3"/>
      <c r="AH866" s="143"/>
      <c r="AI866" s="143"/>
      <c r="AJ866" s="143"/>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3"/>
      <c r="AH867" s="143"/>
      <c r="AI867" s="143"/>
      <c r="AJ867" s="143"/>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3"/>
      <c r="AH868" s="143"/>
      <c r="AI868" s="143"/>
      <c r="AJ868" s="143"/>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3"/>
      <c r="AH869" s="143"/>
      <c r="AI869" s="143"/>
      <c r="AJ869" s="143"/>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3"/>
      <c r="AH870" s="143"/>
      <c r="AI870" s="143"/>
      <c r="AJ870" s="143"/>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3"/>
      <c r="AH871" s="143"/>
      <c r="AI871" s="143"/>
      <c r="AJ871" s="143"/>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3"/>
      <c r="AH872" s="143"/>
      <c r="AI872" s="143"/>
      <c r="AJ872" s="143"/>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3"/>
      <c r="AH873" s="143"/>
      <c r="AI873" s="143"/>
      <c r="AJ873" s="143"/>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3"/>
      <c r="AH874" s="143"/>
      <c r="AI874" s="143"/>
      <c r="AJ874" s="143"/>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3"/>
      <c r="AH875" s="143"/>
      <c r="AI875" s="143"/>
      <c r="AJ875" s="143"/>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3"/>
      <c r="AH876" s="143"/>
      <c r="AI876" s="143"/>
      <c r="AJ876" s="143"/>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3"/>
      <c r="AH877" s="143"/>
      <c r="AI877" s="143"/>
      <c r="AJ877" s="143"/>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3"/>
      <c r="AH878" s="143"/>
      <c r="AI878" s="143"/>
      <c r="AJ878" s="143"/>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3"/>
      <c r="AH879" s="143"/>
      <c r="AI879" s="143"/>
      <c r="AJ879" s="143"/>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3"/>
      <c r="AH880" s="143"/>
      <c r="AI880" s="143"/>
      <c r="AJ880" s="143"/>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3"/>
      <c r="AH881" s="143"/>
      <c r="AI881" s="143"/>
      <c r="AJ881" s="143"/>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3"/>
      <c r="AH882" s="143"/>
      <c r="AI882" s="143"/>
      <c r="AJ882" s="143"/>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3"/>
      <c r="AH883" s="143"/>
      <c r="AI883" s="143"/>
      <c r="AJ883" s="143"/>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3"/>
      <c r="AH884" s="143"/>
      <c r="AI884" s="143"/>
      <c r="AJ884" s="143"/>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3"/>
      <c r="AH885" s="143"/>
      <c r="AI885" s="143"/>
      <c r="AJ885" s="143"/>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3"/>
      <c r="AH886" s="143"/>
      <c r="AI886" s="143"/>
      <c r="AJ886" s="143"/>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3"/>
      <c r="AH887" s="143"/>
      <c r="AI887" s="143"/>
      <c r="AJ887" s="143"/>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3"/>
      <c r="AH888" s="143"/>
      <c r="AI888" s="143"/>
      <c r="AJ888" s="143"/>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3"/>
      <c r="AH889" s="143"/>
      <c r="AI889" s="143"/>
      <c r="AJ889" s="143"/>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3"/>
      <c r="AH890" s="143"/>
      <c r="AI890" s="143"/>
      <c r="AJ890" s="143"/>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3"/>
      <c r="AH891" s="143"/>
      <c r="AI891" s="143"/>
      <c r="AJ891" s="143"/>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3"/>
      <c r="AH892" s="143"/>
      <c r="AI892" s="143"/>
      <c r="AJ892" s="143"/>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3"/>
      <c r="AH893" s="143"/>
      <c r="AI893" s="143"/>
      <c r="AJ893" s="143"/>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3"/>
      <c r="AH894" s="143"/>
      <c r="AI894" s="143"/>
      <c r="AJ894" s="143"/>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3"/>
      <c r="AH895" s="143"/>
      <c r="AI895" s="143"/>
      <c r="AJ895" s="143"/>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3"/>
      <c r="AH896" s="143"/>
      <c r="AI896" s="143"/>
      <c r="AJ896" s="143"/>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3"/>
      <c r="AH897" s="143"/>
      <c r="AI897" s="143"/>
      <c r="AJ897" s="143"/>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3"/>
      <c r="AH898" s="143"/>
      <c r="AI898" s="143"/>
      <c r="AJ898" s="143"/>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3"/>
      <c r="AH899" s="143"/>
      <c r="AI899" s="143"/>
      <c r="AJ899" s="143"/>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3"/>
      <c r="AH900" s="143"/>
      <c r="AI900" s="143"/>
      <c r="AJ900" s="143"/>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3"/>
      <c r="AH901" s="143"/>
      <c r="AI901" s="143"/>
      <c r="AJ901" s="143"/>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3"/>
      <c r="AH902" s="143"/>
      <c r="AI902" s="143"/>
      <c r="AJ902" s="143"/>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3"/>
      <c r="AH903" s="143"/>
      <c r="AI903" s="143"/>
      <c r="AJ903" s="143"/>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3"/>
      <c r="AH904" s="143"/>
      <c r="AI904" s="143"/>
      <c r="AJ904" s="143"/>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3"/>
      <c r="AH905" s="143"/>
      <c r="AI905" s="143"/>
      <c r="AJ905" s="143"/>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3"/>
      <c r="AH906" s="143"/>
      <c r="AI906" s="143"/>
      <c r="AJ906" s="143"/>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3"/>
      <c r="AH907" s="143"/>
      <c r="AI907" s="143"/>
      <c r="AJ907" s="143"/>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3"/>
      <c r="AH908" s="143"/>
      <c r="AI908" s="143"/>
      <c r="AJ908" s="143"/>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3"/>
      <c r="AH909" s="143"/>
      <c r="AI909" s="143"/>
      <c r="AJ909" s="143"/>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3"/>
      <c r="AH910" s="143"/>
      <c r="AI910" s="143"/>
      <c r="AJ910" s="143"/>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3"/>
      <c r="AH911" s="143"/>
      <c r="AI911" s="143"/>
      <c r="AJ911" s="143"/>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3"/>
      <c r="AH912" s="143"/>
      <c r="AI912" s="143"/>
      <c r="AJ912" s="143"/>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3"/>
      <c r="AH913" s="143"/>
      <c r="AI913" s="143"/>
      <c r="AJ913" s="143"/>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3"/>
      <c r="AH914" s="143"/>
      <c r="AI914" s="143"/>
      <c r="AJ914" s="143"/>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3"/>
      <c r="AH915" s="143"/>
      <c r="AI915" s="143"/>
      <c r="AJ915" s="143"/>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3"/>
      <c r="AH916" s="143"/>
      <c r="AI916" s="143"/>
      <c r="AJ916" s="143"/>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3"/>
      <c r="AH917" s="143"/>
      <c r="AI917" s="143"/>
      <c r="AJ917" s="143"/>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3"/>
      <c r="AH918" s="143"/>
      <c r="AI918" s="143"/>
      <c r="AJ918" s="143"/>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3"/>
      <c r="AH919" s="143"/>
      <c r="AI919" s="143"/>
      <c r="AJ919" s="143"/>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3"/>
      <c r="AH920" s="143"/>
      <c r="AI920" s="143"/>
      <c r="AJ920" s="143"/>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3"/>
      <c r="AH921" s="143"/>
      <c r="AI921" s="143"/>
      <c r="AJ921" s="143"/>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3"/>
      <c r="AH922" s="143"/>
      <c r="AI922" s="143"/>
      <c r="AJ922" s="143"/>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3"/>
      <c r="AH923" s="143"/>
      <c r="AI923" s="143"/>
      <c r="AJ923" s="143"/>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3"/>
      <c r="AH924" s="143"/>
      <c r="AI924" s="143"/>
      <c r="AJ924" s="143"/>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3"/>
      <c r="AH925" s="143"/>
      <c r="AI925" s="143"/>
      <c r="AJ925" s="143"/>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3"/>
      <c r="AH926" s="143"/>
      <c r="AI926" s="143"/>
      <c r="AJ926" s="143"/>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3"/>
      <c r="AH927" s="143"/>
      <c r="AI927" s="143"/>
      <c r="AJ927" s="143"/>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3"/>
      <c r="AH928" s="143"/>
      <c r="AI928" s="143"/>
      <c r="AJ928" s="143"/>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3"/>
      <c r="AH929" s="143"/>
      <c r="AI929" s="143"/>
      <c r="AJ929" s="143"/>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3"/>
      <c r="AH930" s="143"/>
      <c r="AI930" s="143"/>
      <c r="AJ930" s="143"/>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3"/>
      <c r="AH931" s="143"/>
      <c r="AI931" s="143"/>
      <c r="AJ931" s="143"/>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3"/>
      <c r="AH932" s="143"/>
      <c r="AI932" s="143"/>
      <c r="AJ932" s="143"/>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3"/>
      <c r="AH933" s="143"/>
      <c r="AI933" s="143"/>
      <c r="AJ933" s="143"/>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3"/>
      <c r="AH934" s="143"/>
      <c r="AI934" s="143"/>
      <c r="AJ934" s="143"/>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3"/>
      <c r="AH935" s="143"/>
      <c r="AI935" s="143"/>
      <c r="AJ935" s="143"/>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6"/>
      <c r="AH936" s="147"/>
      <c r="AI936" s="148"/>
      <c r="AJ936" s="149"/>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6"/>
      <c r="AH937" s="147"/>
      <c r="AI937" s="148"/>
      <c r="AJ937" s="149"/>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6"/>
      <c r="AH938" s="147"/>
      <c r="AI938" s="148"/>
      <c r="AJ938" s="149"/>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6"/>
      <c r="AH939" s="147"/>
      <c r="AI939" s="148"/>
      <c r="AJ939" s="149"/>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6"/>
      <c r="AH940" s="147"/>
      <c r="AI940" s="148"/>
      <c r="AJ940" s="149"/>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6"/>
      <c r="AH941" s="147"/>
      <c r="AI941" s="148"/>
      <c r="AJ941" s="149"/>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6"/>
      <c r="AH942" s="147"/>
      <c r="AI942" s="148"/>
      <c r="AJ942" s="149"/>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6"/>
      <c r="AH943" s="147"/>
      <c r="AI943" s="148"/>
      <c r="AJ943" s="149"/>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6"/>
      <c r="AH944" s="147"/>
      <c r="AI944" s="148"/>
      <c r="AJ944" s="149"/>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6"/>
      <c r="AH945" s="147"/>
      <c r="AI945" s="148"/>
      <c r="AJ945" s="149"/>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6"/>
      <c r="AH946" s="147"/>
      <c r="AI946" s="148"/>
      <c r="AJ946" s="149"/>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6"/>
      <c r="AH947" s="147"/>
      <c r="AI947" s="148"/>
      <c r="AJ947" s="149"/>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6"/>
      <c r="AH948" s="147"/>
      <c r="AI948" s="148"/>
      <c r="AJ948" s="149"/>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6"/>
      <c r="AH949" s="147"/>
      <c r="AI949" s="148"/>
      <c r="AJ949" s="149"/>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6"/>
      <c r="AH950" s="147"/>
      <c r="AI950" s="148"/>
      <c r="AJ950" s="149"/>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6"/>
      <c r="AH951" s="147"/>
      <c r="AI951" s="148"/>
      <c r="AJ951" s="149"/>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6"/>
      <c r="AH952" s="147"/>
      <c r="AI952" s="148"/>
      <c r="AJ952" s="149"/>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6"/>
      <c r="AH953" s="147"/>
      <c r="AI953" s="148"/>
      <c r="AJ953" s="149"/>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6"/>
      <c r="AH954" s="147"/>
      <c r="AI954" s="148"/>
      <c r="AJ954" s="149"/>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6"/>
      <c r="AH955" s="147"/>
      <c r="AI955" s="148"/>
      <c r="AJ955" s="149"/>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6"/>
      <c r="AH956" s="147"/>
      <c r="AI956" s="148"/>
      <c r="AJ956" s="149"/>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6"/>
      <c r="AH957" s="147"/>
      <c r="AI957" s="148"/>
      <c r="AJ957" s="149"/>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6"/>
      <c r="AH958" s="147"/>
      <c r="AI958" s="148"/>
      <c r="AJ958" s="149"/>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6"/>
      <c r="AH959" s="147"/>
      <c r="AI959" s="148"/>
      <c r="AJ959" s="149"/>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6"/>
      <c r="AH960" s="147"/>
      <c r="AI960" s="148"/>
      <c r="AJ960" s="149"/>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6"/>
      <c r="AH961" s="147"/>
      <c r="AI961" s="148"/>
      <c r="AJ961" s="149"/>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6"/>
      <c r="AH962" s="147"/>
      <c r="AI962" s="148"/>
      <c r="AJ962" s="149"/>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6"/>
      <c r="AH963" s="147"/>
      <c r="AI963" s="148"/>
      <c r="AJ963" s="149"/>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6"/>
      <c r="AH964" s="147"/>
      <c r="AI964" s="148"/>
      <c r="AJ964" s="149"/>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6"/>
      <c r="AH965" s="147"/>
      <c r="AI965" s="148"/>
      <c r="AJ965" s="149"/>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6"/>
      <c r="AH966" s="147"/>
      <c r="AI966" s="148"/>
      <c r="AJ966" s="149"/>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6"/>
      <c r="AH967" s="147"/>
      <c r="AI967" s="148"/>
      <c r="AJ967" s="149"/>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6"/>
      <c r="AH968" s="147"/>
      <c r="AI968" s="148"/>
      <c r="AJ968" s="149"/>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6"/>
      <c r="AH969" s="147"/>
      <c r="AI969" s="148"/>
      <c r="AJ969" s="149"/>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6"/>
      <c r="AH970" s="147"/>
      <c r="AI970" s="148"/>
      <c r="AJ970" s="149"/>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6"/>
      <c r="AH971" s="147"/>
      <c r="AI971" s="148"/>
      <c r="AJ971" s="149"/>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6"/>
      <c r="AH972" s="147"/>
      <c r="AI972" s="148"/>
      <c r="AJ972" s="149"/>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6"/>
      <c r="AH973" s="147"/>
      <c r="AI973" s="148"/>
      <c r="AJ973" s="149"/>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6"/>
      <c r="AH974" s="147"/>
      <c r="AI974" s="148"/>
      <c r="AJ974" s="149"/>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6"/>
      <c r="AH975" s="147"/>
      <c r="AI975" s="148"/>
      <c r="AJ975" s="149"/>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6"/>
      <c r="AH976" s="147"/>
      <c r="AI976" s="148"/>
      <c r="AJ976" s="149"/>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6"/>
      <c r="AH977" s="147"/>
      <c r="AI977" s="148"/>
      <c r="AJ977" s="149"/>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6"/>
      <c r="AH978" s="147"/>
      <c r="AI978" s="148"/>
      <c r="AJ978" s="149"/>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6"/>
      <c r="AH979" s="147"/>
      <c r="AI979" s="148"/>
      <c r="AJ979" s="149"/>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6"/>
      <c r="AH980" s="147"/>
      <c r="AI980" s="148"/>
      <c r="AJ980" s="149"/>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6"/>
      <c r="AH981" s="147"/>
      <c r="AI981" s="148"/>
      <c r="AJ981" s="149"/>
      <c r="AK981" s="46"/>
      <c r="AL981" s="46"/>
      <c r="AM981" s="46"/>
      <c r="AN981" s="46"/>
      <c r="AO981" s="46"/>
    </row>
    <row r="982">
      <c r="A982" s="137"/>
      <c r="B982" s="88"/>
      <c r="C982" s="89"/>
      <c r="D982" s="55"/>
      <c r="E982" s="137"/>
      <c r="F982" s="88"/>
      <c r="G982" s="89"/>
      <c r="H982" s="55"/>
      <c r="I982" s="137"/>
      <c r="J982" s="88"/>
      <c r="K982" s="89"/>
      <c r="L982" s="55"/>
      <c r="M982" s="137"/>
      <c r="N982" s="88"/>
      <c r="O982" s="89"/>
      <c r="P982" s="55"/>
      <c r="Q982" s="17"/>
      <c r="R982" s="17"/>
      <c r="S982" s="46"/>
      <c r="T982" s="46"/>
      <c r="U982" s="17"/>
      <c r="V982" s="17"/>
      <c r="W982" s="46"/>
      <c r="X982" s="46"/>
      <c r="Y982" s="137"/>
      <c r="Z982" s="150"/>
      <c r="AA982" s="151"/>
      <c r="AB982" s="151"/>
      <c r="AC982" s="137"/>
      <c r="AD982" s="17"/>
      <c r="AE982" s="152"/>
      <c r="AF982" s="152"/>
      <c r="AG982" s="146"/>
      <c r="AH982" s="147"/>
      <c r="AI982" s="148"/>
      <c r="AJ982" s="149"/>
      <c r="AK982" s="55"/>
      <c r="AL982" s="55"/>
      <c r="AM982" s="55"/>
      <c r="AN982" s="55"/>
      <c r="AO982" s="55"/>
    </row>
    <row r="983">
      <c r="A983" s="137"/>
      <c r="B983" s="88"/>
      <c r="C983" s="89"/>
      <c r="D983" s="55"/>
      <c r="E983" s="137"/>
      <c r="F983" s="88"/>
      <c r="G983" s="89"/>
      <c r="H983" s="55"/>
      <c r="I983" s="137"/>
      <c r="J983" s="88"/>
      <c r="K983" s="89"/>
      <c r="L983" s="55"/>
      <c r="M983" s="137"/>
      <c r="N983" s="88"/>
      <c r="O983" s="89"/>
      <c r="P983" s="55"/>
      <c r="Q983" s="17"/>
      <c r="R983" s="17"/>
      <c r="S983" s="46"/>
      <c r="T983" s="46"/>
      <c r="U983" s="17"/>
      <c r="V983" s="17"/>
      <c r="W983" s="46"/>
      <c r="X983" s="46"/>
      <c r="Y983" s="137"/>
      <c r="Z983" s="150"/>
      <c r="AA983" s="151"/>
      <c r="AB983" s="151"/>
      <c r="AC983" s="137"/>
      <c r="AD983" s="17"/>
      <c r="AE983" s="152"/>
      <c r="AF983" s="152"/>
      <c r="AG983" s="146"/>
      <c r="AH983" s="147"/>
      <c r="AI983" s="148"/>
      <c r="AJ983" s="149"/>
      <c r="AK983" s="55"/>
      <c r="AL983" s="55"/>
      <c r="AM983" s="55"/>
      <c r="AN983" s="55"/>
      <c r="AO983" s="55"/>
    </row>
    <row r="984">
      <c r="A984" s="137"/>
      <c r="B984" s="88"/>
      <c r="C984" s="89"/>
      <c r="D984" s="55"/>
      <c r="E984" s="137"/>
      <c r="F984" s="88"/>
      <c r="G984" s="89"/>
      <c r="H984" s="55"/>
      <c r="I984" s="137"/>
      <c r="J984" s="88"/>
      <c r="K984" s="89"/>
      <c r="L984" s="55"/>
      <c r="M984" s="137"/>
      <c r="N984" s="88"/>
      <c r="O984" s="89"/>
      <c r="P984" s="55"/>
      <c r="Q984" s="17"/>
      <c r="R984" s="17"/>
      <c r="S984" s="46"/>
      <c r="T984" s="46"/>
      <c r="U984" s="17"/>
      <c r="V984" s="17"/>
      <c r="W984" s="46"/>
      <c r="X984" s="46"/>
      <c r="Y984" s="137"/>
      <c r="Z984" s="150"/>
      <c r="AA984" s="151"/>
      <c r="AB984" s="151"/>
      <c r="AC984" s="137"/>
      <c r="AD984" s="17"/>
      <c r="AE984" s="152"/>
      <c r="AF984" s="152"/>
      <c r="AG984" s="146"/>
      <c r="AH984" s="147"/>
      <c r="AI984" s="148"/>
      <c r="AJ984" s="149"/>
      <c r="AK984" s="55"/>
      <c r="AL984" s="55"/>
      <c r="AM984" s="55"/>
      <c r="AN984" s="55"/>
      <c r="AO984" s="55"/>
    </row>
    <row r="985">
      <c r="A985" s="137"/>
      <c r="B985" s="88"/>
      <c r="C985" s="89"/>
      <c r="D985" s="55"/>
      <c r="E985" s="137"/>
      <c r="F985" s="88"/>
      <c r="G985" s="89"/>
      <c r="H985" s="55"/>
      <c r="I985" s="137"/>
      <c r="J985" s="88"/>
      <c r="K985" s="89"/>
      <c r="L985" s="55"/>
      <c r="M985" s="137"/>
      <c r="N985" s="88"/>
      <c r="O985" s="89"/>
      <c r="P985" s="55"/>
      <c r="Q985" s="17"/>
      <c r="R985" s="17"/>
      <c r="S985" s="46"/>
      <c r="T985" s="46"/>
      <c r="U985" s="17"/>
      <c r="V985" s="17"/>
      <c r="W985" s="46"/>
      <c r="X985" s="46"/>
      <c r="Y985" s="137"/>
      <c r="Z985" s="150"/>
      <c r="AA985" s="151"/>
      <c r="AB985" s="151"/>
      <c r="AC985" s="137"/>
      <c r="AD985" s="17"/>
      <c r="AE985" s="152"/>
      <c r="AF985" s="152"/>
      <c r="AG985" s="146"/>
      <c r="AH985" s="147"/>
      <c r="AI985" s="148"/>
      <c r="AJ985" s="149"/>
      <c r="AK985" s="55"/>
      <c r="AL985" s="55"/>
      <c r="AM985" s="55"/>
      <c r="AN985" s="55"/>
      <c r="AO985" s="55"/>
    </row>
    <row r="986">
      <c r="A986" s="137"/>
      <c r="B986" s="88"/>
      <c r="C986" s="89"/>
      <c r="D986" s="55"/>
      <c r="E986" s="137"/>
      <c r="F986" s="88"/>
      <c r="G986" s="89"/>
      <c r="H986" s="55"/>
      <c r="I986" s="137"/>
      <c r="J986" s="88"/>
      <c r="K986" s="89"/>
      <c r="L986" s="55"/>
      <c r="M986" s="137"/>
      <c r="N986" s="88"/>
      <c r="O986" s="89"/>
      <c r="P986" s="55"/>
      <c r="Q986" s="17"/>
      <c r="R986" s="17"/>
      <c r="S986" s="46"/>
      <c r="T986" s="46"/>
      <c r="U986" s="17"/>
      <c r="V986" s="17"/>
      <c r="W986" s="46"/>
      <c r="X986" s="46"/>
      <c r="Y986" s="137"/>
      <c r="Z986" s="150"/>
      <c r="AA986" s="151"/>
      <c r="AB986" s="151"/>
      <c r="AC986" s="137"/>
      <c r="AD986" s="17"/>
      <c r="AE986" s="152"/>
      <c r="AF986" s="152"/>
      <c r="AG986" s="146"/>
      <c r="AH986" s="147"/>
      <c r="AI986" s="148"/>
      <c r="AJ986" s="149"/>
      <c r="AK986" s="55"/>
      <c r="AL986" s="55"/>
      <c r="AM986" s="55"/>
      <c r="AN986" s="55"/>
      <c r="AO986" s="55"/>
    </row>
    <row r="987">
      <c r="A987" s="137"/>
      <c r="B987" s="88"/>
      <c r="C987" s="89"/>
      <c r="D987" s="55"/>
      <c r="E987" s="137"/>
      <c r="F987" s="88"/>
      <c r="G987" s="89"/>
      <c r="H987" s="55"/>
      <c r="I987" s="137"/>
      <c r="J987" s="88"/>
      <c r="K987" s="89"/>
      <c r="L987" s="55"/>
      <c r="M987" s="137"/>
      <c r="N987" s="88"/>
      <c r="O987" s="89"/>
      <c r="P987" s="55"/>
      <c r="Q987" s="17"/>
      <c r="R987" s="17"/>
      <c r="S987" s="46"/>
      <c r="T987" s="46"/>
      <c r="U987" s="17"/>
      <c r="V987" s="17"/>
      <c r="W987" s="46"/>
      <c r="X987" s="46"/>
      <c r="Y987" s="137"/>
      <c r="Z987" s="150"/>
      <c r="AA987" s="151"/>
      <c r="AB987" s="151"/>
      <c r="AC987" s="137"/>
      <c r="AD987" s="17"/>
      <c r="AE987" s="152"/>
      <c r="AF987" s="152"/>
      <c r="AG987" s="146"/>
      <c r="AH987" s="147"/>
      <c r="AI987" s="148"/>
      <c r="AJ987" s="149"/>
      <c r="AK987" s="55"/>
      <c r="AL987" s="55"/>
      <c r="AM987" s="55"/>
      <c r="AN987" s="55"/>
      <c r="AO987" s="55"/>
    </row>
    <row r="988">
      <c r="A988" s="137"/>
      <c r="B988" s="88"/>
      <c r="C988" s="89"/>
      <c r="D988" s="55"/>
      <c r="E988" s="137"/>
      <c r="F988" s="88"/>
      <c r="G988" s="89"/>
      <c r="H988" s="55"/>
      <c r="I988" s="137"/>
      <c r="J988" s="88"/>
      <c r="K988" s="89"/>
      <c r="L988" s="55"/>
      <c r="M988" s="137"/>
      <c r="N988" s="88"/>
      <c r="O988" s="89"/>
      <c r="P988" s="55"/>
      <c r="Q988" s="17"/>
      <c r="R988" s="17"/>
      <c r="S988" s="46"/>
      <c r="T988" s="46"/>
      <c r="U988" s="17"/>
      <c r="V988" s="17"/>
      <c r="W988" s="46"/>
      <c r="X988" s="46"/>
      <c r="Y988" s="137"/>
      <c r="Z988" s="150"/>
      <c r="AA988" s="151"/>
      <c r="AB988" s="151"/>
      <c r="AC988" s="137"/>
      <c r="AD988" s="17"/>
      <c r="AE988" s="152"/>
      <c r="AF988" s="152"/>
      <c r="AG988" s="146"/>
      <c r="AH988" s="147"/>
      <c r="AI988" s="148"/>
      <c r="AJ988" s="149"/>
      <c r="AK988" s="55"/>
      <c r="AL988" s="55"/>
      <c r="AM988" s="55"/>
      <c r="AN988" s="55"/>
      <c r="AO988" s="55"/>
    </row>
    <row r="989">
      <c r="A989" s="137"/>
      <c r="B989" s="88"/>
      <c r="C989" s="89"/>
      <c r="D989" s="55"/>
      <c r="E989" s="137"/>
      <c r="F989" s="88"/>
      <c r="G989" s="89"/>
      <c r="H989" s="55"/>
      <c r="I989" s="137"/>
      <c r="J989" s="88"/>
      <c r="K989" s="89"/>
      <c r="L989" s="55"/>
      <c r="M989" s="137"/>
      <c r="N989" s="88"/>
      <c r="O989" s="89"/>
      <c r="P989" s="55"/>
      <c r="Q989" s="17"/>
      <c r="R989" s="17"/>
      <c r="S989" s="46"/>
      <c r="T989" s="46"/>
      <c r="U989" s="17"/>
      <c r="V989" s="17"/>
      <c r="W989" s="46"/>
      <c r="X989" s="46"/>
      <c r="Y989" s="137"/>
      <c r="Z989" s="150"/>
      <c r="AA989" s="151"/>
      <c r="AB989" s="151"/>
      <c r="AC989" s="137"/>
      <c r="AD989" s="17"/>
      <c r="AE989" s="152"/>
      <c r="AF989" s="152"/>
      <c r="AG989" s="146"/>
      <c r="AH989" s="147"/>
      <c r="AI989" s="148"/>
      <c r="AJ989" s="149"/>
      <c r="AK989" s="55"/>
      <c r="AL989" s="55"/>
      <c r="AM989" s="55"/>
      <c r="AN989" s="55"/>
      <c r="AO989" s="55"/>
    </row>
    <row r="990">
      <c r="A990" s="137"/>
      <c r="B990" s="88"/>
      <c r="C990" s="89"/>
      <c r="D990" s="55"/>
      <c r="E990" s="137"/>
      <c r="F990" s="88"/>
      <c r="G990" s="89"/>
      <c r="H990" s="55"/>
      <c r="I990" s="137"/>
      <c r="J990" s="88"/>
      <c r="K990" s="89"/>
      <c r="L990" s="55"/>
      <c r="M990" s="137"/>
      <c r="N990" s="88"/>
      <c r="O990" s="89"/>
      <c r="P990" s="55"/>
      <c r="Q990" s="17"/>
      <c r="R990" s="17"/>
      <c r="S990" s="46"/>
      <c r="T990" s="46"/>
      <c r="U990" s="17"/>
      <c r="V990" s="17"/>
      <c r="W990" s="46"/>
      <c r="X990" s="46"/>
      <c r="Y990" s="137"/>
      <c r="Z990" s="150"/>
      <c r="AA990" s="151"/>
      <c r="AB990" s="151"/>
      <c r="AC990" s="137"/>
      <c r="AD990" s="17"/>
      <c r="AE990" s="152"/>
      <c r="AF990" s="152"/>
      <c r="AG990" s="146"/>
      <c r="AH990" s="147"/>
      <c r="AI990" s="148"/>
      <c r="AJ990" s="149"/>
      <c r="AK990" s="55"/>
      <c r="AL990" s="55"/>
      <c r="AM990" s="55"/>
      <c r="AN990" s="55"/>
      <c r="AO990" s="55"/>
    </row>
    <row r="991">
      <c r="A991" s="137"/>
      <c r="B991" s="88"/>
      <c r="C991" s="89"/>
      <c r="D991" s="55"/>
      <c r="E991" s="137"/>
      <c r="F991" s="88"/>
      <c r="G991" s="89"/>
      <c r="H991" s="55"/>
      <c r="I991" s="137"/>
      <c r="J991" s="88"/>
      <c r="K991" s="89"/>
      <c r="L991" s="55"/>
      <c r="M991" s="137"/>
      <c r="N991" s="88"/>
      <c r="O991" s="89"/>
      <c r="P991" s="55"/>
      <c r="Q991" s="17"/>
      <c r="R991" s="17"/>
      <c r="S991" s="46"/>
      <c r="T991" s="46"/>
      <c r="U991" s="17"/>
      <c r="V991" s="17"/>
      <c r="W991" s="46"/>
      <c r="X991" s="46"/>
      <c r="Y991" s="137"/>
      <c r="Z991" s="150"/>
      <c r="AA991" s="151"/>
      <c r="AB991" s="151"/>
      <c r="AC991" s="137"/>
      <c r="AD991" s="17"/>
      <c r="AE991" s="152"/>
      <c r="AF991" s="152"/>
      <c r="AG991" s="146"/>
      <c r="AH991" s="147"/>
      <c r="AI991" s="148"/>
      <c r="AJ991" s="149"/>
      <c r="AK991" s="55"/>
      <c r="AL991" s="55"/>
      <c r="AM991" s="55"/>
      <c r="AN991" s="55"/>
      <c r="AO991" s="55"/>
    </row>
    <row r="992">
      <c r="A992" s="137"/>
      <c r="B992" s="88"/>
      <c r="C992" s="89"/>
      <c r="D992" s="55"/>
      <c r="E992" s="137"/>
      <c r="F992" s="88"/>
      <c r="G992" s="89"/>
      <c r="H992" s="55"/>
      <c r="I992" s="137"/>
      <c r="J992" s="88"/>
      <c r="K992" s="89"/>
      <c r="L992" s="55"/>
      <c r="M992" s="137"/>
      <c r="N992" s="88"/>
      <c r="O992" s="89"/>
      <c r="P992" s="55"/>
      <c r="Q992" s="17"/>
      <c r="R992" s="17"/>
      <c r="S992" s="46"/>
      <c r="T992" s="46"/>
      <c r="U992" s="17"/>
      <c r="V992" s="17"/>
      <c r="W992" s="46"/>
      <c r="X992" s="46"/>
      <c r="Y992" s="137"/>
      <c r="Z992" s="150"/>
      <c r="AA992" s="151"/>
      <c r="AB992" s="151"/>
      <c r="AC992" s="137"/>
      <c r="AD992" s="17"/>
      <c r="AE992" s="152"/>
      <c r="AF992" s="152"/>
      <c r="AG992" s="146"/>
      <c r="AH992" s="147"/>
      <c r="AI992" s="148"/>
      <c r="AJ992" s="149"/>
      <c r="AK992" s="55"/>
      <c r="AL992" s="55"/>
      <c r="AM992" s="55"/>
      <c r="AN992" s="55"/>
      <c r="AO992" s="55"/>
    </row>
    <row r="993">
      <c r="A993" s="137"/>
      <c r="B993" s="88"/>
      <c r="C993" s="89"/>
      <c r="D993" s="55"/>
      <c r="E993" s="137"/>
      <c r="F993" s="88"/>
      <c r="G993" s="89"/>
      <c r="H993" s="55"/>
      <c r="I993" s="137"/>
      <c r="J993" s="88"/>
      <c r="K993" s="89"/>
      <c r="L993" s="55"/>
      <c r="M993" s="137"/>
      <c r="N993" s="88"/>
      <c r="O993" s="89"/>
      <c r="P993" s="55"/>
      <c r="Q993" s="17"/>
      <c r="R993" s="17"/>
      <c r="S993" s="46"/>
      <c r="T993" s="46"/>
      <c r="U993" s="17"/>
      <c r="V993" s="17"/>
      <c r="W993" s="46"/>
      <c r="X993" s="46"/>
      <c r="Y993" s="137"/>
      <c r="Z993" s="150"/>
      <c r="AA993" s="151"/>
      <c r="AB993" s="151"/>
      <c r="AC993" s="137"/>
      <c r="AD993" s="17"/>
      <c r="AE993" s="152"/>
      <c r="AF993" s="152"/>
      <c r="AG993" s="146"/>
      <c r="AH993" s="147"/>
      <c r="AI993" s="148"/>
      <c r="AJ993" s="149"/>
      <c r="AK993" s="55"/>
      <c r="AL993" s="55"/>
      <c r="AM993" s="55"/>
      <c r="AN993" s="55"/>
      <c r="AO993" s="55"/>
    </row>
    <row r="994">
      <c r="A994" s="137"/>
      <c r="B994" s="88"/>
      <c r="C994" s="89"/>
      <c r="D994" s="55"/>
      <c r="E994" s="137"/>
      <c r="F994" s="88"/>
      <c r="G994" s="89"/>
      <c r="H994" s="55"/>
      <c r="I994" s="137"/>
      <c r="J994" s="88"/>
      <c r="K994" s="89"/>
      <c r="L994" s="55"/>
      <c r="M994" s="137"/>
      <c r="N994" s="88"/>
      <c r="O994" s="89"/>
      <c r="P994" s="55"/>
      <c r="Q994" s="17"/>
      <c r="R994" s="17"/>
      <c r="S994" s="46"/>
      <c r="T994" s="46"/>
      <c r="U994" s="17"/>
      <c r="V994" s="17"/>
      <c r="W994" s="46"/>
      <c r="X994" s="46"/>
      <c r="Y994" s="137"/>
      <c r="Z994" s="150"/>
      <c r="AA994" s="151"/>
      <c r="AB994" s="151"/>
      <c r="AC994" s="137"/>
      <c r="AD994" s="17"/>
      <c r="AE994" s="152"/>
      <c r="AF994" s="152"/>
      <c r="AG994" s="146"/>
      <c r="AH994" s="147"/>
      <c r="AI994" s="148"/>
      <c r="AJ994" s="149"/>
      <c r="AK994" s="55"/>
      <c r="AL994" s="55"/>
      <c r="AM994" s="55"/>
      <c r="AN994" s="55"/>
      <c r="AO994" s="55"/>
    </row>
    <row r="995">
      <c r="A995" s="137"/>
      <c r="B995" s="88"/>
      <c r="C995" s="89"/>
      <c r="D995" s="55"/>
      <c r="E995" s="137"/>
      <c r="F995" s="88"/>
      <c r="G995" s="89"/>
      <c r="H995" s="55"/>
      <c r="I995" s="137"/>
      <c r="J995" s="88"/>
      <c r="K995" s="89"/>
      <c r="L995" s="55"/>
      <c r="M995" s="137"/>
      <c r="N995" s="88"/>
      <c r="O995" s="89"/>
      <c r="P995" s="55"/>
      <c r="Q995" s="17"/>
      <c r="R995" s="17"/>
      <c r="S995" s="46"/>
      <c r="T995" s="46"/>
      <c r="U995" s="17"/>
      <c r="V995" s="17"/>
      <c r="W995" s="46"/>
      <c r="X995" s="46"/>
      <c r="Y995" s="137"/>
      <c r="Z995" s="150"/>
      <c r="AA995" s="151"/>
      <c r="AB995" s="151"/>
      <c r="AC995" s="137"/>
      <c r="AD995" s="17"/>
      <c r="AE995" s="152"/>
      <c r="AF995" s="152"/>
      <c r="AG995" s="146"/>
      <c r="AH995" s="147"/>
      <c r="AI995" s="148"/>
      <c r="AJ995" s="149"/>
      <c r="AK995" s="55"/>
      <c r="AL995" s="55"/>
      <c r="AM995" s="55"/>
      <c r="AN995" s="55"/>
      <c r="AO995" s="55"/>
    </row>
    <row r="996">
      <c r="A996" s="137"/>
      <c r="B996" s="88"/>
      <c r="C996" s="89"/>
      <c r="D996" s="55"/>
      <c r="E996" s="137"/>
      <c r="F996" s="88"/>
      <c r="G996" s="89"/>
      <c r="H996" s="55"/>
      <c r="I996" s="137"/>
      <c r="J996" s="88"/>
      <c r="K996" s="89"/>
      <c r="L996" s="55"/>
      <c r="M996" s="137"/>
      <c r="N996" s="88"/>
      <c r="O996" s="89"/>
      <c r="P996" s="55"/>
      <c r="Q996" s="17"/>
      <c r="R996" s="17"/>
      <c r="S996" s="46"/>
      <c r="T996" s="46"/>
      <c r="U996" s="17"/>
      <c r="V996" s="17"/>
      <c r="W996" s="46"/>
      <c r="X996" s="46"/>
      <c r="Y996" s="137"/>
      <c r="Z996" s="150"/>
      <c r="AA996" s="151"/>
      <c r="AB996" s="151"/>
      <c r="AC996" s="137"/>
      <c r="AD996" s="17"/>
      <c r="AE996" s="152"/>
      <c r="AF996" s="152"/>
      <c r="AG996" s="146"/>
      <c r="AH996" s="147"/>
      <c r="AI996" s="148"/>
      <c r="AJ996" s="149"/>
      <c r="AK996" s="55"/>
      <c r="AL996" s="55"/>
      <c r="AM996" s="55"/>
      <c r="AN996" s="55"/>
      <c r="AO996" s="55"/>
    </row>
    <row r="997">
      <c r="A997" s="137"/>
      <c r="B997" s="88"/>
      <c r="C997" s="89"/>
      <c r="D997" s="55"/>
      <c r="E997" s="137"/>
      <c r="F997" s="88"/>
      <c r="G997" s="89"/>
      <c r="H997" s="55"/>
      <c r="I997" s="137"/>
      <c r="J997" s="88"/>
      <c r="K997" s="89"/>
      <c r="L997" s="55"/>
      <c r="M997" s="137"/>
      <c r="N997" s="88"/>
      <c r="O997" s="89"/>
      <c r="P997" s="55"/>
      <c r="Q997" s="17"/>
      <c r="R997" s="17"/>
      <c r="S997" s="46"/>
      <c r="T997" s="46"/>
      <c r="U997" s="17"/>
      <c r="V997" s="17"/>
      <c r="W997" s="46"/>
      <c r="X997" s="46"/>
      <c r="Y997" s="137"/>
      <c r="Z997" s="150"/>
      <c r="AA997" s="151"/>
      <c r="AB997" s="151"/>
      <c r="AC997" s="137"/>
      <c r="AD997" s="17"/>
      <c r="AE997" s="152"/>
      <c r="AF997" s="152"/>
      <c r="AG997" s="146"/>
      <c r="AH997" s="147"/>
      <c r="AI997" s="148"/>
      <c r="AJ997" s="149"/>
      <c r="AK997" s="55"/>
      <c r="AL997" s="55"/>
      <c r="AM997" s="55"/>
      <c r="AN997" s="55"/>
      <c r="AO997" s="55"/>
    </row>
    <row r="998">
      <c r="A998" s="137"/>
      <c r="B998" s="88"/>
      <c r="C998" s="89"/>
      <c r="D998" s="55"/>
      <c r="E998" s="137"/>
      <c r="F998" s="88"/>
      <c r="G998" s="89"/>
      <c r="H998" s="55"/>
      <c r="I998" s="137"/>
      <c r="J998" s="88"/>
      <c r="K998" s="89"/>
      <c r="L998" s="55"/>
      <c r="M998" s="137"/>
      <c r="N998" s="88"/>
      <c r="O998" s="89"/>
      <c r="P998" s="55"/>
      <c r="Q998" s="17"/>
      <c r="R998" s="17"/>
      <c r="S998" s="46"/>
      <c r="T998" s="46"/>
      <c r="U998" s="17"/>
      <c r="V998" s="17"/>
      <c r="W998" s="46"/>
      <c r="X998" s="46"/>
      <c r="Y998" s="137"/>
      <c r="Z998" s="150"/>
      <c r="AA998" s="151"/>
      <c r="AB998" s="151"/>
      <c r="AC998" s="137"/>
      <c r="AD998" s="17"/>
      <c r="AE998" s="152"/>
      <c r="AF998" s="152"/>
      <c r="AG998" s="146"/>
      <c r="AH998" s="147"/>
      <c r="AI998" s="148"/>
      <c r="AJ998" s="149"/>
      <c r="AK998" s="55"/>
      <c r="AL998" s="55"/>
      <c r="AM998" s="55"/>
      <c r="AN998" s="55"/>
      <c r="AO998" s="55"/>
    </row>
    <row r="999">
      <c r="A999" s="137"/>
      <c r="B999" s="88"/>
      <c r="C999" s="89"/>
      <c r="D999" s="55"/>
      <c r="E999" s="137"/>
      <c r="F999" s="88"/>
      <c r="G999" s="89"/>
      <c r="H999" s="55"/>
      <c r="I999" s="137"/>
      <c r="J999" s="88"/>
      <c r="K999" s="89"/>
      <c r="L999" s="55"/>
      <c r="M999" s="137"/>
      <c r="N999" s="88"/>
      <c r="O999" s="89"/>
      <c r="P999" s="55"/>
      <c r="Q999" s="17"/>
      <c r="R999" s="17"/>
      <c r="S999" s="46"/>
      <c r="T999" s="46"/>
      <c r="U999" s="17"/>
      <c r="V999" s="17"/>
      <c r="W999" s="46"/>
      <c r="X999" s="46"/>
      <c r="Y999" s="137"/>
      <c r="Z999" s="150"/>
      <c r="AA999" s="151"/>
      <c r="AB999" s="151"/>
      <c r="AC999" s="137"/>
      <c r="AD999" s="17"/>
      <c r="AE999" s="152"/>
      <c r="AF999" s="152"/>
      <c r="AG999" s="146"/>
      <c r="AH999" s="147"/>
      <c r="AI999" s="148"/>
      <c r="AJ999" s="149"/>
      <c r="AK999" s="55"/>
      <c r="AL999" s="55"/>
      <c r="AM999" s="55"/>
      <c r="AN999" s="55"/>
      <c r="AO999" s="55"/>
    </row>
    <row r="1000">
      <c r="A1000" s="137"/>
      <c r="B1000" s="88"/>
      <c r="C1000" s="89"/>
      <c r="D1000" s="55"/>
      <c r="E1000" s="137"/>
      <c r="F1000" s="88"/>
      <c r="G1000" s="89"/>
      <c r="H1000" s="55"/>
      <c r="I1000" s="137"/>
      <c r="J1000" s="88"/>
      <c r="K1000" s="89"/>
      <c r="L1000" s="55"/>
      <c r="M1000" s="137"/>
      <c r="N1000" s="88"/>
      <c r="O1000" s="89"/>
      <c r="P1000" s="55"/>
      <c r="Q1000" s="17"/>
      <c r="R1000" s="17"/>
      <c r="S1000" s="46"/>
      <c r="T1000" s="46"/>
      <c r="U1000" s="17"/>
      <c r="V1000" s="17"/>
      <c r="W1000" s="46"/>
      <c r="X1000" s="46"/>
      <c r="Y1000" s="137"/>
      <c r="Z1000" s="150"/>
      <c r="AA1000" s="151"/>
      <c r="AB1000" s="151"/>
      <c r="AC1000" s="137"/>
      <c r="AD1000" s="17"/>
      <c r="AE1000" s="152"/>
      <c r="AF1000" s="152"/>
      <c r="AG1000" s="146"/>
      <c r="AH1000" s="147"/>
      <c r="AI1000" s="148"/>
      <c r="AJ1000" s="149"/>
      <c r="AK1000" s="55"/>
      <c r="AL1000" s="55"/>
      <c r="AM1000" s="55"/>
      <c r="AN1000" s="55"/>
      <c r="AO1000" s="55"/>
    </row>
    <row r="1001">
      <c r="A1001" s="137"/>
      <c r="B1001" s="88"/>
      <c r="C1001" s="89"/>
      <c r="D1001" s="55"/>
      <c r="E1001" s="137"/>
      <c r="F1001" s="88"/>
      <c r="G1001" s="89"/>
      <c r="H1001" s="55"/>
      <c r="I1001" s="137"/>
      <c r="J1001" s="88"/>
      <c r="K1001" s="89"/>
      <c r="L1001" s="55"/>
      <c r="M1001" s="137"/>
      <c r="N1001" s="88"/>
      <c r="O1001" s="89"/>
      <c r="P1001" s="55"/>
      <c r="Q1001" s="17"/>
      <c r="R1001" s="17"/>
      <c r="S1001" s="46"/>
      <c r="T1001" s="46"/>
      <c r="U1001" s="17"/>
      <c r="V1001" s="17"/>
      <c r="W1001" s="46"/>
      <c r="X1001" s="46"/>
      <c r="Y1001" s="137"/>
      <c r="Z1001" s="150"/>
      <c r="AA1001" s="151"/>
      <c r="AB1001" s="151"/>
      <c r="AC1001" s="137"/>
      <c r="AD1001" s="17"/>
      <c r="AE1001" s="152"/>
      <c r="AF1001" s="152"/>
      <c r="AG1001" s="146"/>
      <c r="AH1001" s="147"/>
      <c r="AI1001" s="148"/>
      <c r="AJ1001" s="149"/>
      <c r="AK1001" s="55"/>
      <c r="AL1001" s="55"/>
      <c r="AM1001" s="55"/>
      <c r="AN1001" s="55"/>
      <c r="AO1001" s="55"/>
    </row>
    <row r="1002">
      <c r="A1002" s="137"/>
      <c r="B1002" s="88"/>
      <c r="C1002" s="89"/>
      <c r="D1002" s="55"/>
      <c r="E1002" s="137"/>
      <c r="F1002" s="88"/>
      <c r="G1002" s="89"/>
      <c r="H1002" s="55"/>
      <c r="I1002" s="137"/>
      <c r="J1002" s="88"/>
      <c r="K1002" s="89"/>
      <c r="L1002" s="55"/>
      <c r="M1002" s="137"/>
      <c r="N1002" s="88"/>
      <c r="O1002" s="89"/>
      <c r="P1002" s="55"/>
      <c r="Q1002" s="17"/>
      <c r="R1002" s="17"/>
      <c r="S1002" s="46"/>
      <c r="T1002" s="46"/>
      <c r="U1002" s="17"/>
      <c r="V1002" s="17"/>
      <c r="W1002" s="46"/>
      <c r="X1002" s="46"/>
      <c r="Y1002" s="137"/>
      <c r="Z1002" s="150"/>
      <c r="AA1002" s="151"/>
      <c r="AB1002" s="151"/>
      <c r="AC1002" s="137"/>
      <c r="AD1002" s="17"/>
      <c r="AE1002" s="152"/>
      <c r="AF1002" s="152"/>
      <c r="AG1002" s="146"/>
      <c r="AH1002" s="147"/>
      <c r="AI1002" s="148"/>
      <c r="AJ1002" s="149"/>
      <c r="AK1002" s="55"/>
      <c r="AL1002" s="55"/>
      <c r="AM1002" s="55"/>
      <c r="AN1002" s="55"/>
      <c r="AO1002" s="55"/>
    </row>
    <row r="1003">
      <c r="A1003" s="137"/>
      <c r="B1003" s="88"/>
      <c r="C1003" s="89"/>
      <c r="D1003" s="55"/>
      <c r="E1003" s="137"/>
      <c r="F1003" s="88"/>
      <c r="G1003" s="89"/>
      <c r="H1003" s="55"/>
      <c r="I1003" s="137"/>
      <c r="J1003" s="88"/>
      <c r="K1003" s="89"/>
      <c r="L1003" s="55"/>
      <c r="M1003" s="137"/>
      <c r="N1003" s="88"/>
      <c r="O1003" s="89"/>
      <c r="P1003" s="55"/>
      <c r="Q1003" s="17"/>
      <c r="R1003" s="17"/>
      <c r="S1003" s="46"/>
      <c r="T1003" s="46"/>
      <c r="U1003" s="17"/>
      <c r="V1003" s="17"/>
      <c r="W1003" s="46"/>
      <c r="X1003" s="46"/>
      <c r="Y1003" s="137"/>
      <c r="Z1003" s="150"/>
      <c r="AA1003" s="151"/>
      <c r="AB1003" s="151"/>
      <c r="AC1003" s="137"/>
      <c r="AD1003" s="17"/>
      <c r="AE1003" s="152"/>
      <c r="AF1003" s="152"/>
      <c r="AG1003" s="146"/>
      <c r="AH1003" s="147"/>
      <c r="AI1003" s="148"/>
      <c r="AJ1003" s="149"/>
      <c r="AK1003" s="55"/>
      <c r="AL1003" s="55"/>
      <c r="AM1003" s="55"/>
      <c r="AN1003" s="55"/>
      <c r="AO1003" s="55"/>
    </row>
    <row r="1004">
      <c r="A1004" s="137"/>
      <c r="B1004" s="88"/>
      <c r="C1004" s="89"/>
      <c r="D1004" s="55"/>
      <c r="E1004" s="137"/>
      <c r="F1004" s="88"/>
      <c r="G1004" s="89"/>
      <c r="H1004" s="55"/>
      <c r="I1004" s="137"/>
      <c r="J1004" s="88"/>
      <c r="K1004" s="89"/>
      <c r="L1004" s="55"/>
      <c r="M1004" s="137"/>
      <c r="N1004" s="88"/>
      <c r="O1004" s="89"/>
      <c r="P1004" s="55"/>
      <c r="Q1004" s="17"/>
      <c r="R1004" s="17"/>
      <c r="S1004" s="46"/>
      <c r="T1004" s="46"/>
      <c r="U1004" s="17"/>
      <c r="V1004" s="17"/>
      <c r="W1004" s="46"/>
      <c r="X1004" s="46"/>
      <c r="Y1004" s="137"/>
      <c r="Z1004" s="150"/>
      <c r="AA1004" s="151"/>
      <c r="AB1004" s="151"/>
      <c r="AC1004" s="137"/>
      <c r="AD1004" s="17"/>
      <c r="AE1004" s="152"/>
      <c r="AF1004" s="152"/>
      <c r="AG1004" s="146"/>
      <c r="AH1004" s="147"/>
      <c r="AI1004" s="148"/>
      <c r="AJ1004" s="149"/>
      <c r="AK1004" s="55"/>
      <c r="AL1004" s="55"/>
      <c r="AM1004" s="55"/>
      <c r="AN1004" s="55"/>
      <c r="AO1004" s="55"/>
    </row>
    <row r="1005">
      <c r="A1005" s="137"/>
      <c r="B1005" s="88"/>
      <c r="C1005" s="89"/>
      <c r="D1005" s="55"/>
      <c r="E1005" s="137"/>
      <c r="F1005" s="88"/>
      <c r="G1005" s="89"/>
      <c r="H1005" s="55"/>
      <c r="I1005" s="137"/>
      <c r="J1005" s="88"/>
      <c r="K1005" s="89"/>
      <c r="L1005" s="55"/>
      <c r="M1005" s="137"/>
      <c r="N1005" s="88"/>
      <c r="O1005" s="89"/>
      <c r="P1005" s="55"/>
      <c r="Q1005" s="17"/>
      <c r="R1005" s="17"/>
      <c r="S1005" s="46"/>
      <c r="T1005" s="46"/>
      <c r="U1005" s="17"/>
      <c r="V1005" s="17"/>
      <c r="W1005" s="46"/>
      <c r="X1005" s="46"/>
      <c r="Y1005" s="137"/>
      <c r="Z1005" s="150"/>
      <c r="AA1005" s="151"/>
      <c r="AB1005" s="151"/>
      <c r="AC1005" s="137"/>
      <c r="AD1005" s="17"/>
      <c r="AE1005" s="152"/>
      <c r="AF1005" s="152"/>
      <c r="AG1005" s="146"/>
      <c r="AH1005" s="147"/>
      <c r="AI1005" s="148"/>
      <c r="AJ1005" s="149"/>
      <c r="AK1005" s="55"/>
      <c r="AL1005" s="55"/>
      <c r="AM1005" s="55"/>
      <c r="AN1005" s="55"/>
      <c r="AO1005" s="55"/>
    </row>
    <row r="1006">
      <c r="A1006" s="137"/>
      <c r="B1006" s="88"/>
      <c r="C1006" s="89"/>
      <c r="D1006" s="55"/>
      <c r="E1006" s="137"/>
      <c r="F1006" s="88"/>
      <c r="G1006" s="89"/>
      <c r="H1006" s="55"/>
      <c r="I1006" s="137"/>
      <c r="J1006" s="88"/>
      <c r="K1006" s="89"/>
      <c r="L1006" s="55"/>
      <c r="M1006" s="137"/>
      <c r="N1006" s="88"/>
      <c r="O1006" s="89"/>
      <c r="P1006" s="55"/>
      <c r="Q1006" s="17"/>
      <c r="R1006" s="17"/>
      <c r="S1006" s="46"/>
      <c r="T1006" s="46"/>
      <c r="U1006" s="17"/>
      <c r="V1006" s="17"/>
      <c r="W1006" s="46"/>
      <c r="X1006" s="46"/>
      <c r="Y1006" s="137"/>
      <c r="Z1006" s="150"/>
      <c r="AA1006" s="151"/>
      <c r="AB1006" s="151"/>
      <c r="AC1006" s="137"/>
      <c r="AD1006" s="17"/>
      <c r="AE1006" s="152"/>
      <c r="AF1006" s="152"/>
      <c r="AG1006" s="146"/>
      <c r="AH1006" s="147"/>
      <c r="AI1006" s="148"/>
      <c r="AJ1006" s="149"/>
      <c r="AK1006" s="55"/>
      <c r="AL1006" s="55"/>
      <c r="AM1006" s="55"/>
      <c r="AN1006" s="55"/>
      <c r="AO1006" s="55"/>
    </row>
    <row r="1007">
      <c r="A1007" s="137"/>
      <c r="B1007" s="88"/>
      <c r="C1007" s="89"/>
      <c r="D1007" s="55"/>
      <c r="E1007" s="137"/>
      <c r="F1007" s="88"/>
      <c r="G1007" s="89"/>
      <c r="H1007" s="55"/>
      <c r="I1007" s="137"/>
      <c r="J1007" s="88"/>
      <c r="K1007" s="89"/>
      <c r="L1007" s="55"/>
      <c r="M1007" s="137"/>
      <c r="N1007" s="88"/>
      <c r="O1007" s="89"/>
      <c r="P1007" s="55"/>
      <c r="Q1007" s="17"/>
      <c r="R1007" s="17"/>
      <c r="S1007" s="46"/>
      <c r="T1007" s="46"/>
      <c r="U1007" s="17"/>
      <c r="V1007" s="17"/>
      <c r="W1007" s="46"/>
      <c r="X1007" s="46"/>
      <c r="Y1007" s="137"/>
      <c r="Z1007" s="150"/>
      <c r="AA1007" s="151"/>
      <c r="AB1007" s="151"/>
      <c r="AC1007" s="137"/>
      <c r="AD1007" s="17"/>
      <c r="AE1007" s="152"/>
      <c r="AF1007" s="152"/>
      <c r="AG1007" s="146"/>
      <c r="AH1007" s="147"/>
      <c r="AI1007" s="148"/>
      <c r="AJ1007" s="149"/>
      <c r="AK1007" s="55"/>
      <c r="AL1007" s="55"/>
      <c r="AM1007" s="55"/>
      <c r="AN1007" s="55"/>
      <c r="AO1007" s="55"/>
    </row>
    <row r="1008">
      <c r="A1008" s="137"/>
      <c r="B1008" s="88"/>
      <c r="C1008" s="89"/>
      <c r="D1008" s="55"/>
      <c r="E1008" s="137"/>
      <c r="F1008" s="88"/>
      <c r="G1008" s="89"/>
      <c r="H1008" s="55"/>
      <c r="I1008" s="137"/>
      <c r="J1008" s="88"/>
      <c r="K1008" s="89"/>
      <c r="L1008" s="55"/>
      <c r="M1008" s="137"/>
      <c r="N1008" s="88"/>
      <c r="O1008" s="89"/>
      <c r="P1008" s="55"/>
      <c r="Q1008" s="17"/>
      <c r="R1008" s="17"/>
      <c r="S1008" s="46"/>
      <c r="T1008" s="46"/>
      <c r="U1008" s="17"/>
      <c r="V1008" s="17"/>
      <c r="W1008" s="46"/>
      <c r="X1008" s="46"/>
      <c r="Y1008" s="137"/>
      <c r="Z1008" s="150"/>
      <c r="AA1008" s="151"/>
      <c r="AB1008" s="151"/>
      <c r="AC1008" s="137"/>
      <c r="AD1008" s="17"/>
      <c r="AE1008" s="152"/>
      <c r="AF1008" s="152"/>
      <c r="AG1008" s="146"/>
      <c r="AH1008" s="147"/>
      <c r="AI1008" s="148"/>
      <c r="AJ1008" s="149"/>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1706</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1707</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1708</v>
      </c>
      <c r="AK1" s="59"/>
      <c r="AL1" s="59"/>
    </row>
    <row r="2" ht="42.75" customHeight="1">
      <c r="AK2" s="59"/>
      <c r="AL2" s="59"/>
    </row>
    <row r="3">
      <c r="A3" s="153" t="s">
        <v>1709</v>
      </c>
      <c r="E3" s="153"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3" t="s">
        <v>1710</v>
      </c>
      <c r="M3" s="154" t="str">
        <f>IFERROR(__xludf.DUMMYFUNCTION("GOOGLETRANSLATE(A3,""zh-tw"",""zh"")"),"地面上的发光文字，有许多是玩家们的骗人留言。
请不要用那些假情报进行提问。")</f>
        <v>地面上的发光文字，有许多是玩家们的骗人留言。
请不要用那些假情报进行提问。</v>
      </c>
      <c r="Q3" s="154"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4"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4"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3" t="s">
        <v>1711</v>
      </c>
      <c r="AG3" s="155" t="s">
        <v>1712</v>
      </c>
      <c r="AK3" s="156"/>
      <c r="AL3" s="156"/>
    </row>
    <row r="4">
      <c r="A4" s="157" t="s">
        <v>216</v>
      </c>
      <c r="B4" s="70" t="s">
        <v>1713</v>
      </c>
      <c r="C4" s="71" t="s">
        <v>218</v>
      </c>
      <c r="D4" s="72" t="s">
        <v>219</v>
      </c>
      <c r="E4" s="157"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7" t="s">
        <v>216</v>
      </c>
      <c r="J4" s="70" t="s">
        <v>1714</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8"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7" t="s">
        <v>216</v>
      </c>
      <c r="Z4" s="67" t="str">
        <f>IFERROR(__xludf.DUMMYFUNCTION("GOOGLETRANSLATE(B4,""zh-tw"",""ru"")"),"РПГ-события")</f>
        <v>РПГ-события</v>
      </c>
      <c r="AA4" s="159" t="str">
        <f>IFERROR(__xludf.DUMMYFUNCTION("GOOGLETRANSLATE(C4,""zh-tw"",""RU"")"),"проиллюстрировать")</f>
        <v>проиллюстрировать</v>
      </c>
      <c r="AB4" s="69" t="str">
        <f>IFERROR(__xludf.DUMMYFUNCTION("GOOGLETRANSLATE(D4,""zh-tw"",""RU"")"),"результат")</f>
        <v>результат</v>
      </c>
      <c r="AC4" s="157" t="s">
        <v>216</v>
      </c>
      <c r="AD4" s="70" t="s">
        <v>1715</v>
      </c>
      <c r="AE4" s="160" t="s">
        <v>1716</v>
      </c>
      <c r="AF4" s="72" t="s">
        <v>1717</v>
      </c>
      <c r="AG4" s="73" t="s">
        <v>1718</v>
      </c>
      <c r="AH4" s="161" t="s">
        <v>1719</v>
      </c>
      <c r="AI4" s="162" t="s">
        <v>1720</v>
      </c>
      <c r="AJ4" s="163" t="s">
        <v>235</v>
      </c>
      <c r="AK4" s="30"/>
      <c r="AL4" s="30"/>
    </row>
    <row r="5">
      <c r="A5" s="128" t="s">
        <v>1721</v>
      </c>
      <c r="B5" s="100" t="s">
        <v>1722</v>
      </c>
      <c r="C5" s="97" t="s">
        <v>1723</v>
      </c>
      <c r="D5" s="52" t="s">
        <v>1724</v>
      </c>
      <c r="E5" s="128" t="str">
        <f>IFERROR(__xludf.DUMMYFUNCTION("GOOGLETRANSLATE(A5,""zh-tw"",""ja"")"),"R1")</f>
        <v>R1</v>
      </c>
      <c r="F5" s="100" t="s">
        <v>1725</v>
      </c>
      <c r="G5" s="97" t="s">
        <v>1726</v>
      </c>
      <c r="H5" s="52" t="s">
        <v>1727</v>
      </c>
      <c r="I5" s="128" t="str">
        <f>IFERROR(__xludf.DUMMYFUNCTION("GOOGLETRANSLATE(A5,""zh-tw"",""en"")"),"R1")</f>
        <v>R1</v>
      </c>
      <c r="J5" s="100" t="s">
        <v>1728</v>
      </c>
      <c r="K5" s="97" t="s">
        <v>1729</v>
      </c>
      <c r="L5" s="52" t="s">
        <v>1730</v>
      </c>
      <c r="M5" s="137"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7"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*Jugar con mi hermana todo el día*Descansar con mi hermana*Tomar una siesta con mi hermana*Mi hermana me dio un masaje")</f>
        <v>La primera vez que hagas esto, se activará una escena especial. Los eventos posteriores pueden activarse: *Jugar con mi hermana todo el día*Descansar con mi hermana*Tomar una siesta con mi hermana*Mi hermana me dio un masaje</v>
      </c>
      <c r="U5" s="164" t="str">
        <f>IFERROR(__xludf.DUMMYFUNCTION("GOOGLETRANSLATE(A5,""zh-tw"",""en"")"),"R1")</f>
        <v>R1</v>
      </c>
      <c r="V5" s="100" t="s">
        <v>1731</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1732</v>
      </c>
      <c r="Y5" s="164" t="str">
        <f>IFERROR(__xludf.DUMMYFUNCTION("GOOGLETRANSLATE(E5,""zh-tw"",""en"")"),"R1")</f>
        <v>R1</v>
      </c>
      <c r="Z5" s="100" t="str">
        <f>IFERROR(__xludf.DUMMYFUNCTION("GOOGLETRANSLATE(B5,""zh-tw"",""ru"")"),"Иди домой пораньше")</f>
        <v>Иди домой пораньше</v>
      </c>
      <c r="AA5" s="165"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6" t="str">
        <f>IFERROR(__xludf.DUMMYFUNCTION("GOOGLETRANSLATE(I5,""zh-tw"",""en"")"),"R1")</f>
        <v>R1</v>
      </c>
      <c r="AD5" s="100" t="s">
        <v>1733</v>
      </c>
      <c r="AE5" s="167" t="s">
        <v>1734</v>
      </c>
      <c r="AF5" s="125" t="s">
        <v>1735</v>
      </c>
      <c r="AG5" s="93" t="s">
        <v>1721</v>
      </c>
      <c r="AH5" s="94" t="s">
        <v>1736</v>
      </c>
      <c r="AI5" s="168" t="s">
        <v>1737</v>
      </c>
      <c r="AJ5" s="96" t="s">
        <v>1738</v>
      </c>
      <c r="AK5" s="30"/>
      <c r="AL5" s="30"/>
    </row>
    <row r="6">
      <c r="A6" s="128" t="s">
        <v>1739</v>
      </c>
      <c r="B6" s="100" t="s">
        <v>1740</v>
      </c>
      <c r="C6" s="97" t="s">
        <v>1741</v>
      </c>
      <c r="D6" s="52" t="s">
        <v>1742</v>
      </c>
      <c r="E6" s="128" t="str">
        <f>IFERROR(__xludf.DUMMYFUNCTION("GOOGLETRANSLATE(A6,""zh-tw"",""ja"")"),"R2")</f>
        <v>R2</v>
      </c>
      <c r="F6" s="100" t="s">
        <v>1740</v>
      </c>
      <c r="G6" s="97" t="s">
        <v>1743</v>
      </c>
      <c r="H6" s="52" t="s">
        <v>1744</v>
      </c>
      <c r="I6" s="128" t="str">
        <f>IFERROR(__xludf.DUMMYFUNCTION("GOOGLETRANSLATE(A6,""zh-tw"",""en"")"),"R2")</f>
        <v>R2</v>
      </c>
      <c r="J6" s="100" t="s">
        <v>1745</v>
      </c>
      <c r="K6" s="97" t="s">
        <v>1746</v>
      </c>
      <c r="L6" s="52" t="s">
        <v>1747</v>
      </c>
      <c r="M6" s="137" t="str">
        <f>IFERROR(__xludf.DUMMYFUNCTION("GOOGLETRANSLATE(A6,""zh-tw"",""en"")"),"R2")</f>
        <v>R2</v>
      </c>
      <c r="N6" s="100" t="str">
        <f>IFERROR(__xludf.DUMMYFUNCTION("GOOGLETRANSLATE(B6,""zh-tw"",""zh"")"),"闪步太刀")</f>
        <v>闪步太刀</v>
      </c>
      <c r="O6" s="97" t="s">
        <v>1748</v>
      </c>
      <c r="P6" s="55" t="str">
        <f>IFERROR(__xludf.DUMMYFUNCTION("GOOGLETRANSLATE(D6,""zh-tw"",""zh"")"),"习得技能:闪步太刀")</f>
        <v>习得技能:闪步太刀</v>
      </c>
      <c r="Q6" s="137"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4"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4" t="str">
        <f>IFERROR(__xludf.DUMMYFUNCTION("GOOGLETRANSLATE(E6,""zh-tw"",""en"")"),"R2")</f>
        <v>R2</v>
      </c>
      <c r="Z6" s="100" t="str">
        <f>IFERROR(__xludf.DUMMYFUNCTION("GOOGLETRANSLATE(B6,""zh-tw"",""ru"")"),"Меч-шаг Флэш")</f>
        <v>Меч-шаг Флэш</v>
      </c>
      <c r="AA6" s="165"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4" t="str">
        <f>IFERROR(__xludf.DUMMYFUNCTION("GOOGLETRANSLATE(I6,""zh-tw"",""en"")"),"R2")</f>
        <v>R2</v>
      </c>
      <c r="AD6" s="100" t="s">
        <v>1749</v>
      </c>
      <c r="AE6" s="167" t="s">
        <v>1750</v>
      </c>
      <c r="AF6" s="125" t="s">
        <v>1751</v>
      </c>
      <c r="AG6" s="93" t="s">
        <v>1739</v>
      </c>
      <c r="AH6" s="94" t="s">
        <v>1745</v>
      </c>
      <c r="AI6" s="168" t="s">
        <v>1752</v>
      </c>
      <c r="AJ6" s="96" t="s">
        <v>1753</v>
      </c>
      <c r="AK6" s="30"/>
      <c r="AL6" s="30"/>
    </row>
    <row r="7" ht="167.25" customHeight="1">
      <c r="A7" s="128" t="s">
        <v>1754</v>
      </c>
      <c r="B7" s="100" t="s">
        <v>1755</v>
      </c>
      <c r="C7" s="97" t="s">
        <v>1756</v>
      </c>
      <c r="D7" s="52" t="s">
        <v>1757</v>
      </c>
      <c r="E7" s="128" t="str">
        <f>IFERROR(__xludf.DUMMYFUNCTION("GOOGLETRANSLATE(A7,""zh-tw"",""ja"")"),"R3")</f>
        <v>R3</v>
      </c>
      <c r="F7" s="100" t="s">
        <v>1758</v>
      </c>
      <c r="G7" s="97" t="s">
        <v>1759</v>
      </c>
      <c r="H7" s="52" t="s">
        <v>1760</v>
      </c>
      <c r="I7" s="128" t="str">
        <f>IFERROR(__xludf.DUMMYFUNCTION("GOOGLETRANSLATE(A7,""zh-tw"",""en"")"),"R3")</f>
        <v>R3</v>
      </c>
      <c r="J7" s="100" t="s">
        <v>1761</v>
      </c>
      <c r="K7" s="97" t="s">
        <v>1762</v>
      </c>
      <c r="L7" s="52" t="s">
        <v>1763</v>
      </c>
      <c r="M7" s="137"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7" t="str">
        <f>IFERROR(__xludf.DUMMYFUNCTION("GOOGLETRANSLATE(A7,""zh-tw"",""ja"")"),"R3")</f>
        <v>R3</v>
      </c>
      <c r="R7" s="88" t="str">
        <f>IFERROR(__xludf.DUMMYFUNCTION("GOOGLETRANSLATE(B7,""zh-tw"",""es-MX"")"),"Entrenamiento de esgrima")</f>
        <v>Entrenamiento de esgrima</v>
      </c>
      <c r="S7" s="97" t="s">
        <v>1764</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4"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무기로 공중 스윙 공격을 네 번째로 수행하면 자동으로 숨겨진 검술 수련 상태에 들어갑니다.
더 큰 무기를 사용하면 수련 효율을 높일 수 있습니다(예: 타로 카드 또는 무기 자체의 기술 활용).")</f>
        <v>"플래시 스텝 카타나" 기술을 습득한 후,
근접 무기로 공중 스윙 공격을 네 번째로 수행하면 자동으로 숨겨진 검술 수련 상태에 들어갑니다.
더 큰 무기를 사용하면 수련 효율을 높일 수 있습니다(예: 타로 카드 또는 무기 자체의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4" t="str">
        <f>IFERROR(__xludf.DUMMYFUNCTION("GOOGLETRANSLATE(E7,""zh-tw"",""en"")"),"R3")</f>
        <v>R3</v>
      </c>
      <c r="Z7" s="100" t="str">
        <f>IFERROR(__xludf.DUMMYFUNCTION("GOOGLETRANSLATE(B7,""zh-tw"",""ru"")"),"Обучение фехтованию")</f>
        <v>Обучение фехтованию</v>
      </c>
      <c r="AA7" s="165" t="str">
        <f>IFERROR(__xludf.DUMMYFUNCTION("GOOGLETRANSLATE(C7,""zh-tw"",""RU"")"),"Освоив технику «Быстрый шаг катаны»,
выполнив атаку в воздухе холодным оружием в четвёртый раз, вы автоматически войдете в скрытое состояние обучения фехтованию.
Использование более крупного оружия может повысить эффективность тренировок (например, за с"&amp;"чёт карт Таро или собственных возможностей оружия).")</f>
        <v>Освоив технику «Быстрый шаг катаны»,
выполнив атаку в воздухе холодным оружием в четвёртый раз, вы автоматически войдете в скрытое состояние обучения фехтованию.
Использование более крупного оружия может повысить эффективность тренировок (например, за счёт карт Таро или собственных возможностей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f>
        <v>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v>
      </c>
      <c r="AC7" s="164" t="str">
        <f>IFERROR(__xludf.DUMMYFUNCTION("GOOGLETRANSLATE(I7,""zh-tw"",""en"")"),"R3")</f>
        <v>R3</v>
      </c>
      <c r="AD7" s="100" t="s">
        <v>1765</v>
      </c>
      <c r="AE7" s="167" t="s">
        <v>1766</v>
      </c>
      <c r="AF7" s="125" t="s">
        <v>1767</v>
      </c>
      <c r="AG7" s="93" t="s">
        <v>1754</v>
      </c>
      <c r="AH7" s="94" t="s">
        <v>1768</v>
      </c>
      <c r="AI7" s="168" t="s">
        <v>1769</v>
      </c>
      <c r="AJ7" s="96" t="s">
        <v>1770</v>
      </c>
      <c r="AK7" s="30"/>
      <c r="AL7" s="30"/>
    </row>
    <row r="8">
      <c r="A8" s="128" t="s">
        <v>1771</v>
      </c>
      <c r="B8" s="100" t="s">
        <v>1772</v>
      </c>
      <c r="C8" s="97" t="s">
        <v>1773</v>
      </c>
      <c r="D8" s="52" t="s">
        <v>1774</v>
      </c>
      <c r="E8" s="128" t="str">
        <f>IFERROR(__xludf.DUMMYFUNCTION("GOOGLETRANSLATE(A8,""zh-tw"",""ja"")"),"R4")</f>
        <v>R4</v>
      </c>
      <c r="F8" s="100" t="s">
        <v>1775</v>
      </c>
      <c r="G8" s="106" t="s">
        <v>1776</v>
      </c>
      <c r="H8" s="52" t="s">
        <v>1777</v>
      </c>
      <c r="I8" s="128" t="str">
        <f>IFERROR(__xludf.DUMMYFUNCTION("GOOGLETRANSLATE(A8,""zh-tw"",""en"")"),"R4")</f>
        <v>R4</v>
      </c>
      <c r="J8" s="100" t="s">
        <v>1778</v>
      </c>
      <c r="K8" s="106" t="s">
        <v>1779</v>
      </c>
      <c r="L8" s="52" t="s">
        <v>1780</v>
      </c>
      <c r="M8" s="137"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7" t="str">
        <f>IFERROR(__xludf.DUMMYFUNCTION("GOOGLETRANSLATE(A8,""zh-tw"",""ja"")"),"R4")</f>
        <v>R4</v>
      </c>
      <c r="R8" s="88" t="str">
        <f>IFERROR(__xludf.DUMMYFUNCTION("GOOGLETRANSLATE(B8,""zh-tw"",""es-MX"")"),"¿Dónde está la estrategia?")</f>
        <v>¿Dónde está la estrategia?</v>
      </c>
      <c r="S8" s="97" t="s">
        <v>1781</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4" t="str">
        <f>IFERROR(__xludf.DUMMYFUNCTION("GOOGLETRANSLATE(A8,""zh-tw"",""en"")"),"R4")</f>
        <v>R4</v>
      </c>
      <c r="V8" s="88" t="str">
        <f>IFERROR(__xludf.DUMMYFUNCTION("GOOGLETRANSLATE(B8,""zh-tw"",""KO"")"),"전략은 어디에 있나요?")</f>
        <v>전략은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4" t="str">
        <f>IFERROR(__xludf.DUMMYFUNCTION("GOOGLETRANSLATE(E8,""zh-tw"",""en"")"),"R4")</f>
        <v>R4</v>
      </c>
      <c r="Z8" s="100" t="str">
        <f>IFERROR(__xludf.DUMMYFUNCTION("GOOGLETRANSLATE(B8,""zh-tw"",""ru"")"),"Где стратегия?")</f>
        <v>Где стратегия?</v>
      </c>
      <c r="AA8" s="165"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4" t="str">
        <f>IFERROR(__xludf.DUMMYFUNCTION("GOOGLETRANSLATE(I8,""zh-tw"",""en"")"),"R4")</f>
        <v>R4</v>
      </c>
      <c r="AD8" s="100" t="s">
        <v>1782</v>
      </c>
      <c r="AE8" s="167" t="s">
        <v>1783</v>
      </c>
      <c r="AF8" s="125" t="s">
        <v>1784</v>
      </c>
      <c r="AG8" s="93" t="s">
        <v>1771</v>
      </c>
      <c r="AH8" s="136" t="s">
        <v>1785</v>
      </c>
      <c r="AI8" s="169" t="s">
        <v>1786</v>
      </c>
      <c r="AJ8" s="110" t="s">
        <v>1787</v>
      </c>
      <c r="AK8" s="30"/>
      <c r="AL8" s="30"/>
    </row>
    <row r="9">
      <c r="A9" s="128" t="s">
        <v>1788</v>
      </c>
      <c r="B9" s="100" t="s">
        <v>1789</v>
      </c>
      <c r="C9" s="97" t="s">
        <v>1790</v>
      </c>
      <c r="D9" s="117" t="s">
        <v>723</v>
      </c>
      <c r="E9" s="128" t="str">
        <f>IFERROR(__xludf.DUMMYFUNCTION("GOOGLETRANSLATE(A9,""zh-tw"",""ja"")"),"R5")</f>
        <v>R5</v>
      </c>
      <c r="F9" s="100" t="s">
        <v>1791</v>
      </c>
      <c r="G9" s="97" t="s">
        <v>1792</v>
      </c>
      <c r="H9" s="117" t="str">
        <f>IFERROR(__xludf.DUMMYFUNCTION("GOOGLETRANSLATE(D9,""zh-tw"",""ja"")"),"-")</f>
        <v>-</v>
      </c>
      <c r="I9" s="128" t="str">
        <f>IFERROR(__xludf.DUMMYFUNCTION("GOOGLETRANSLATE(A9,""zh-tw"",""en"")"),"R5")</f>
        <v>R5</v>
      </c>
      <c r="J9" s="100" t="s">
        <v>1793</v>
      </c>
      <c r="K9" s="97" t="s">
        <v>1794</v>
      </c>
      <c r="L9" s="55" t="str">
        <f>IFERROR(__xludf.DUMMYFUNCTION("GOOGLETRANSLATE(D9,""zh-tw"",""en"")"),"-")</f>
        <v>-</v>
      </c>
      <c r="M9" s="137" t="str">
        <f>IFERROR(__xludf.DUMMYFUNCTION("GOOGLETRANSLATE(A9,""zh-tw"",""en"")"),"R5")</f>
        <v>R5</v>
      </c>
      <c r="N9" s="100" t="str">
        <f>IFERROR(__xludf.DUMMYFUNCTION("GOOGLETRANSLATE(B9,""zh-tw"",""zh"")"),"饮料贩售机重生")</f>
        <v>饮料贩售机重生</v>
      </c>
      <c r="O9" s="97" t="s">
        <v>1795</v>
      </c>
      <c r="P9" s="121" t="str">
        <f>IFERROR(__xludf.DUMMYFUNCTION("GOOGLETRANSLATE(D9,""zh-tw"",""zh"")"),"-")</f>
        <v>-</v>
      </c>
      <c r="Q9" s="137"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4"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4"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5"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4" t="str">
        <f>IFERROR(__xludf.DUMMYFUNCTION("GOOGLETRANSLATE(I9,""zh-tw"",""en"")"),"R5")</f>
        <v>R5</v>
      </c>
      <c r="AD9" s="100" t="s">
        <v>1796</v>
      </c>
      <c r="AE9" s="167" t="s">
        <v>1797</v>
      </c>
      <c r="AF9" s="125" t="s">
        <v>1798</v>
      </c>
      <c r="AG9" s="93" t="s">
        <v>1788</v>
      </c>
      <c r="AH9" s="94" t="s">
        <v>1799</v>
      </c>
      <c r="AI9" s="168" t="s">
        <v>1800</v>
      </c>
      <c r="AJ9" s="123" t="s">
        <v>723</v>
      </c>
      <c r="AK9" s="30"/>
      <c r="AL9" s="30"/>
    </row>
    <row r="10" ht="122.25" customHeight="1">
      <c r="A10" s="128" t="s">
        <v>1801</v>
      </c>
      <c r="B10" s="85" t="s">
        <v>1802</v>
      </c>
      <c r="C10" s="124" t="s">
        <v>1803</v>
      </c>
      <c r="D10" s="87" t="s">
        <v>1804</v>
      </c>
      <c r="E10" s="128" t="str">
        <f>IFERROR(__xludf.DUMMYFUNCTION("GOOGLETRANSLATE(A10,""zh-tw"",""ja"")"),"R6")</f>
        <v>R6</v>
      </c>
      <c r="F10" s="100" t="s">
        <v>1805</v>
      </c>
      <c r="G10" s="106" t="s">
        <v>1806</v>
      </c>
      <c r="H10" s="52" t="s">
        <v>1807</v>
      </c>
      <c r="I10" s="128" t="str">
        <f>IFERROR(__xludf.DUMMYFUNCTION("GOOGLETRANSLATE(A10,""zh-tw"",""en"")"),"R6")</f>
        <v>R6</v>
      </c>
      <c r="J10" s="100" t="s">
        <v>1808</v>
      </c>
      <c r="K10" s="97" t="s">
        <v>1809</v>
      </c>
      <c r="L10" s="52" t="s">
        <v>1810</v>
      </c>
      <c r="M10" s="137"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7"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4"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4" t="str">
        <f>IFERROR(__xludf.DUMMYFUNCTION("GOOGLETRANSLATE(E10,""zh-tw"",""en"")"),"R6")</f>
        <v>R6</v>
      </c>
      <c r="Z10" s="100" t="str">
        <f>IFERROR(__xludf.DUMMYFUNCTION("GOOGLETRANSLATE(B10,""zh-tw"",""ru"")"),"мусорный бак")</f>
        <v>мусорный бак</v>
      </c>
      <c r="AA10" s="165"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4" t="str">
        <f>IFERROR(__xludf.DUMMYFUNCTION("GOOGLETRANSLATE(I10,""zh-tw"",""en"")"),"R6")</f>
        <v>R6</v>
      </c>
      <c r="AD10" s="100" t="s">
        <v>1811</v>
      </c>
      <c r="AE10" s="167" t="s">
        <v>1812</v>
      </c>
      <c r="AF10" s="125" t="s">
        <v>1813</v>
      </c>
      <c r="AG10" s="93" t="s">
        <v>1801</v>
      </c>
      <c r="AH10" s="94" t="s">
        <v>1814</v>
      </c>
      <c r="AI10" s="168" t="s">
        <v>1815</v>
      </c>
      <c r="AJ10" s="96" t="s">
        <v>1816</v>
      </c>
      <c r="AK10" s="30"/>
      <c r="AL10" s="30"/>
    </row>
    <row r="11">
      <c r="A11" s="128" t="s">
        <v>1817</v>
      </c>
      <c r="B11" s="100" t="s">
        <v>1818</v>
      </c>
      <c r="C11" s="97" t="s">
        <v>1819</v>
      </c>
      <c r="D11" s="52" t="s">
        <v>1820</v>
      </c>
      <c r="E11" s="128" t="str">
        <f>IFERROR(__xludf.DUMMYFUNCTION("GOOGLETRANSLATE(A11,""zh-tw"",""ja"")"),"R7")</f>
        <v>R7</v>
      </c>
      <c r="F11" s="100" t="s">
        <v>1821</v>
      </c>
      <c r="G11" s="97" t="s">
        <v>1822</v>
      </c>
      <c r="H11" s="52" t="s">
        <v>1823</v>
      </c>
      <c r="I11" s="128" t="str">
        <f>IFERROR(__xludf.DUMMYFUNCTION("GOOGLETRANSLATE(A11,""zh-tw"",""en"")"),"R7")</f>
        <v>R7</v>
      </c>
      <c r="J11" s="100" t="s">
        <v>1824</v>
      </c>
      <c r="K11" s="97" t="s">
        <v>1825</v>
      </c>
      <c r="L11" s="52" t="s">
        <v>1826</v>
      </c>
      <c r="M11" s="137"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1827</v>
      </c>
      <c r="Q11" s="137"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4" t="str">
        <f>IFERROR(__xludf.DUMMYFUNCTION("GOOGLETRANSLATE(A11,""zh-tw"",""en"")"),"R7")</f>
        <v>R7</v>
      </c>
      <c r="V11" s="100" t="s">
        <v>1828</v>
      </c>
      <c r="W11" s="97" t="s">
        <v>1829</v>
      </c>
      <c r="X11" s="52" t="s">
        <v>1830</v>
      </c>
      <c r="Y11" s="164" t="str">
        <f>IFERROR(__xludf.DUMMYFUNCTION("GOOGLETRANSLATE(E11,""zh-tw"",""en"")"),"R7")</f>
        <v>R7</v>
      </c>
      <c r="Z11" s="100" t="str">
        <f>IFERROR(__xludf.DUMMYFUNCTION("GOOGLETRANSLATE(B11,""zh-tw"",""ru"")"),"5000$")</f>
        <v>5000$</v>
      </c>
      <c r="AA11" s="165"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4" t="str">
        <f>IFERROR(__xludf.DUMMYFUNCTION("GOOGLETRANSLATE(I11,""zh-tw"",""en"")"),"R7")</f>
        <v>R7</v>
      </c>
      <c r="AD11" s="100" t="s">
        <v>1831</v>
      </c>
      <c r="AE11" s="167" t="s">
        <v>1832</v>
      </c>
      <c r="AF11" s="125" t="s">
        <v>1833</v>
      </c>
      <c r="AG11" s="93" t="s">
        <v>1817</v>
      </c>
      <c r="AH11" s="94" t="s">
        <v>1834</v>
      </c>
      <c r="AI11" s="168" t="s">
        <v>1835</v>
      </c>
      <c r="AJ11" s="96" t="s">
        <v>1836</v>
      </c>
      <c r="AK11" s="30"/>
      <c r="AL11" s="30"/>
    </row>
    <row r="12">
      <c r="A12" s="128" t="s">
        <v>1837</v>
      </c>
      <c r="B12" s="100" t="s">
        <v>1838</v>
      </c>
      <c r="C12" s="97" t="s">
        <v>1839</v>
      </c>
      <c r="D12" s="52" t="s">
        <v>1840</v>
      </c>
      <c r="E12" s="128" t="str">
        <f>IFERROR(__xludf.DUMMYFUNCTION("GOOGLETRANSLATE(A12,""zh-tw"",""ja"")"),"R8")</f>
        <v>R8</v>
      </c>
      <c r="F12" s="100" t="s">
        <v>1841</v>
      </c>
      <c r="G12" s="97" t="s">
        <v>1842</v>
      </c>
      <c r="H12" s="52" t="s">
        <v>1843</v>
      </c>
      <c r="I12" s="128" t="str">
        <f>IFERROR(__xludf.DUMMYFUNCTION("GOOGLETRANSLATE(A12,""zh-tw"",""en"")"),"R8")</f>
        <v>R8</v>
      </c>
      <c r="J12" s="100" t="s">
        <v>1844</v>
      </c>
      <c r="K12" s="97" t="s">
        <v>1845</v>
      </c>
      <c r="L12" s="52" t="s">
        <v>1846</v>
      </c>
      <c r="M12" s="137" t="str">
        <f>IFERROR(__xludf.DUMMYFUNCTION("GOOGLETRANSLATE(A12,""zh-tw"",""en"")"),"R8")</f>
        <v>R8</v>
      </c>
      <c r="N12" s="100" t="str">
        <f>IFERROR(__xludf.DUMMYFUNCTION("GOOGLETRANSLATE(B12,""zh-tw"",""zh"")"),"游戏机")</f>
        <v>游戏机</v>
      </c>
      <c r="O12" s="97" t="s">
        <v>1847</v>
      </c>
      <c r="P12" s="55" t="str">
        <f>IFERROR(__xludf.DUMMYFUNCTION("GOOGLETRANSLATE(D12,""zh-tw"",""zh"")"),"获得""JoyStation V""
回家后触发和开启与妹妹游戏的功能")</f>
        <v>获得"JoyStation V"
回家后触发和开启与妹妹游戏的功能</v>
      </c>
      <c r="Q12" s="137"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4"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4" t="str">
        <f>IFERROR(__xludf.DUMMYFUNCTION("GOOGLETRANSLATE(E12,""zh-tw"",""en"")"),"R8")</f>
        <v>R8</v>
      </c>
      <c r="Z12" s="100" t="str">
        <f>IFERROR(__xludf.DUMMYFUNCTION("GOOGLETRANSLATE(B12,""zh-tw"",""ru"")"),"Игровые консоли")</f>
        <v>Игровые консоли</v>
      </c>
      <c r="AA12" s="165"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4" t="str">
        <f>IFERROR(__xludf.DUMMYFUNCTION("GOOGLETRANSLATE(I12,""zh-tw"",""en"")"),"R8")</f>
        <v>R8</v>
      </c>
      <c r="AD12" s="100" t="s">
        <v>1848</v>
      </c>
      <c r="AE12" s="167" t="s">
        <v>1849</v>
      </c>
      <c r="AF12" s="125" t="s">
        <v>1850</v>
      </c>
      <c r="AG12" s="93" t="s">
        <v>1837</v>
      </c>
      <c r="AH12" s="94" t="s">
        <v>1851</v>
      </c>
      <c r="AI12" s="168" t="s">
        <v>1852</v>
      </c>
      <c r="AJ12" s="96" t="s">
        <v>1853</v>
      </c>
      <c r="AK12" s="30"/>
      <c r="AL12" s="30"/>
    </row>
    <row r="13">
      <c r="A13" s="128" t="s">
        <v>1854</v>
      </c>
      <c r="B13" s="100" t="s">
        <v>1855</v>
      </c>
      <c r="C13" s="97" t="s">
        <v>1856</v>
      </c>
      <c r="D13" s="52" t="s">
        <v>1857</v>
      </c>
      <c r="E13" s="128" t="str">
        <f>IFERROR(__xludf.DUMMYFUNCTION("GOOGLETRANSLATE(A13,""zh-tw"",""ja"")"),"R9")</f>
        <v>R9</v>
      </c>
      <c r="F13" s="100" t="s">
        <v>1858</v>
      </c>
      <c r="G13" s="97" t="s">
        <v>1859</v>
      </c>
      <c r="H13" s="52" t="s">
        <v>1860</v>
      </c>
      <c r="I13" s="128" t="str">
        <f>IFERROR(__xludf.DUMMYFUNCTION("GOOGLETRANSLATE(A13,""zh-tw"",""en"")"),"R9")</f>
        <v>R9</v>
      </c>
      <c r="J13" s="100" t="s">
        <v>1861</v>
      </c>
      <c r="K13" s="97" t="s">
        <v>1862</v>
      </c>
      <c r="L13" s="52" t="s">
        <v>1863</v>
      </c>
      <c r="M13" s="137"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7" t="str">
        <f>IFERROR(__xludf.DUMMYFUNCTION("GOOGLETRANSLATE(A13,""zh-tw"",""ja"")"),"R9")</f>
        <v>R9</v>
      </c>
      <c r="R13" s="100" t="s">
        <v>1864</v>
      </c>
      <c r="S13" s="97" t="s">
        <v>1865</v>
      </c>
      <c r="T13" s="55" t="str">
        <f>IFERROR(__xludf.DUMMYFUNCTION("GOOGLETRANSLATE(D13,""zh-tw"",""es-MX"")"),"Consigue un artículo de ""Pato de goma"" que puedas usar en el baño.")</f>
        <v>Consigue un artículo de "Pato de goma" que puedas usar en el baño.</v>
      </c>
      <c r="U13" s="164"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4" t="str">
        <f>IFERROR(__xludf.DUMMYFUNCTION("GOOGLETRANSLATE(E13,""zh-tw"",""en"")"),"R9")</f>
        <v>R9</v>
      </c>
      <c r="Z13" s="100" t="str">
        <f>IFERROR(__xludf.DUMMYFUNCTION("GOOGLETRANSLATE(B13,""zh-tw"",""ru"")"),"Утка Утка")</f>
        <v>Утка Утка</v>
      </c>
      <c r="AA13" s="165"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4" t="str">
        <f>IFERROR(__xludf.DUMMYFUNCTION("GOOGLETRANSLATE(I13,""zh-tw"",""en"")"),"R9")</f>
        <v>R9</v>
      </c>
      <c r="AD13" s="100" t="s">
        <v>1866</v>
      </c>
      <c r="AE13" s="167" t="s">
        <v>1867</v>
      </c>
      <c r="AF13" s="125" t="s">
        <v>1868</v>
      </c>
      <c r="AG13" s="93" t="s">
        <v>1854</v>
      </c>
      <c r="AH13" s="94" t="s">
        <v>1869</v>
      </c>
      <c r="AI13" s="168" t="s">
        <v>1870</v>
      </c>
      <c r="AJ13" s="96" t="s">
        <v>1871</v>
      </c>
      <c r="AK13" s="30"/>
      <c r="AL13" s="30"/>
    </row>
    <row r="14">
      <c r="A14" s="128" t="s">
        <v>1872</v>
      </c>
      <c r="B14" s="100" t="s">
        <v>1873</v>
      </c>
      <c r="C14" s="97" t="s">
        <v>1874</v>
      </c>
      <c r="D14" s="52" t="s">
        <v>1875</v>
      </c>
      <c r="E14" s="128" t="str">
        <f>IFERROR(__xludf.DUMMYFUNCTION("GOOGLETRANSLATE(A14,""zh-tw"",""ja"")"),"R10")</f>
        <v>R10</v>
      </c>
      <c r="F14" s="100" t="s">
        <v>1876</v>
      </c>
      <c r="G14" s="97" t="s">
        <v>1877</v>
      </c>
      <c r="H14" s="52" t="s">
        <v>1878</v>
      </c>
      <c r="I14" s="128" t="str">
        <f>IFERROR(__xludf.DUMMYFUNCTION("GOOGLETRANSLATE(A14,""zh-tw"",""en"")"),"R10")</f>
        <v>R10</v>
      </c>
      <c r="J14" s="100" t="s">
        <v>1879</v>
      </c>
      <c r="K14" s="97" t="s">
        <v>1880</v>
      </c>
      <c r="L14" s="52" t="s">
        <v>1881</v>
      </c>
      <c r="M14" s="137"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7" t="str">
        <f>IFERROR(__xludf.DUMMYFUNCTION("GOOGLETRANSLATE(A14,""zh-tw"",""ja"")"),"R10")</f>
        <v>R10</v>
      </c>
      <c r="R14" s="100" t="s">
        <v>1882</v>
      </c>
      <c r="S14" s="97" t="s">
        <v>1883</v>
      </c>
      <c r="T14" s="55" t="str">
        <f>IFERROR(__xludf.DUMMYFUNCTION("GOOGLETRANSLATE(D14,""zh-tw"",""es-MX"")"),"Enlace al mapa de las ruinas")</f>
        <v>Enlace al mapa de las ruinas</v>
      </c>
      <c r="U14" s="164"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4" t="str">
        <f>IFERROR(__xludf.DUMMYFUNCTION("GOOGLETRANSLATE(E14,""zh-tw"",""en"")"),"R10")</f>
        <v>R10</v>
      </c>
      <c r="Z14" s="100" t="str">
        <f>IFERROR(__xludf.DUMMYFUNCTION("GOOGLETRANSLATE(B14,""zh-tw"",""ru"")"),"Соединяя вход в пещеру руин")</f>
        <v>Соединяя вход в пещеру руин</v>
      </c>
      <c r="AA14" s="165"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4" t="str">
        <f>IFERROR(__xludf.DUMMYFUNCTION("GOOGLETRANSLATE(I14,""zh-tw"",""en"")"),"R10")</f>
        <v>R10</v>
      </c>
      <c r="AD14" s="100" t="s">
        <v>1884</v>
      </c>
      <c r="AE14" s="167" t="s">
        <v>1885</v>
      </c>
      <c r="AF14" s="125" t="s">
        <v>1886</v>
      </c>
      <c r="AG14" s="93" t="s">
        <v>1872</v>
      </c>
      <c r="AH14" s="94" t="s">
        <v>1887</v>
      </c>
      <c r="AI14" s="168" t="s">
        <v>1888</v>
      </c>
      <c r="AJ14" s="96" t="s">
        <v>1889</v>
      </c>
      <c r="AK14" s="30"/>
      <c r="AL14" s="30"/>
    </row>
    <row r="15">
      <c r="A15" s="128" t="s">
        <v>1890</v>
      </c>
      <c r="B15" s="85" t="s">
        <v>1891</v>
      </c>
      <c r="C15" s="124" t="s">
        <v>1892</v>
      </c>
      <c r="D15" s="87" t="s">
        <v>1893</v>
      </c>
      <c r="E15" s="128" t="str">
        <f>IFERROR(__xludf.DUMMYFUNCTION("GOOGLETRANSLATE(A15,""zh-tw"",""ja"")"),"R11")</f>
        <v>R11</v>
      </c>
      <c r="F15" s="100" t="str">
        <f>IFERROR(__xludf.DUMMYFUNCTION("GOOGLETRANSLATE(B15,""zh-tw"",""ja"")"),"未知の洞窟")</f>
        <v>未知の洞窟</v>
      </c>
      <c r="G15" s="97" t="s">
        <v>1894</v>
      </c>
      <c r="H15" s="52" t="s">
        <v>1895</v>
      </c>
      <c r="I15" s="128" t="str">
        <f>IFERROR(__xludf.DUMMYFUNCTION("GOOGLETRANSLATE(A15,""zh-tw"",""en"")"),"R11")</f>
        <v>R11</v>
      </c>
      <c r="J15" s="100" t="s">
        <v>1896</v>
      </c>
      <c r="K15" s="97" t="s">
        <v>1897</v>
      </c>
      <c r="L15" s="52"/>
      <c r="M15" s="137"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7"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4"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4" t="str">
        <f>IFERROR(__xludf.DUMMYFUNCTION("GOOGLETRANSLATE(E15,""zh-tw"",""en"")"),"R11")</f>
        <v>R11</v>
      </c>
      <c r="Z15" s="100" t="str">
        <f>IFERROR(__xludf.DUMMYFUNCTION("GOOGLETRANSLATE(B15,""zh-tw"",""ru"")"),"Неизвестная пещера")</f>
        <v>Неизвестная пещера</v>
      </c>
      <c r="AA15" s="165"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4" t="str">
        <f>IFERROR(__xludf.DUMMYFUNCTION("GOOGLETRANSLATE(I15,""zh-tw"",""en"")"),"R11")</f>
        <v>R11</v>
      </c>
      <c r="AD15" s="100" t="s">
        <v>1898</v>
      </c>
      <c r="AE15" s="167" t="s">
        <v>1899</v>
      </c>
      <c r="AF15" s="125" t="s">
        <v>1900</v>
      </c>
      <c r="AG15" s="93" t="s">
        <v>1890</v>
      </c>
      <c r="AH15" s="94" t="s">
        <v>1901</v>
      </c>
      <c r="AI15" s="168" t="s">
        <v>1902</v>
      </c>
      <c r="AJ15" s="96" t="s">
        <v>1903</v>
      </c>
      <c r="AK15" s="30"/>
      <c r="AL15" s="30"/>
    </row>
    <row r="16">
      <c r="A16" s="128" t="s">
        <v>1904</v>
      </c>
      <c r="B16" s="100" t="s">
        <v>1905</v>
      </c>
      <c r="C16" s="97" t="s">
        <v>1906</v>
      </c>
      <c r="D16" s="52" t="s">
        <v>1907</v>
      </c>
      <c r="E16" s="128" t="str">
        <f>IFERROR(__xludf.DUMMYFUNCTION("GOOGLETRANSLATE(A16,""zh-tw"",""ja"")"),"R12")</f>
        <v>R12</v>
      </c>
      <c r="F16" s="100" t="s">
        <v>1908</v>
      </c>
      <c r="G16" s="97" t="str">
        <f>IFERROR(__xludf.DUMMYFUNCTION("GOOGLETRANSLATE(C16,""zh-tw"",""ja"")"),"冒険者の道：森の中では、森の右下隅に隠されたアイテムがあります。")</f>
        <v>冒険者の道：森の中では、森の右下隅に隠されたアイテムがあります。</v>
      </c>
      <c r="H16" s="52" t="s">
        <v>1909</v>
      </c>
      <c r="I16" s="128" t="str">
        <f>IFERROR(__xludf.DUMMYFUNCTION("GOOGLETRANSLATE(A16,""zh-tw"",""en"")"),"R12")</f>
        <v>R12</v>
      </c>
      <c r="J16" s="100" t="s">
        <v>1910</v>
      </c>
      <c r="K16" s="97" t="s">
        <v>1911</v>
      </c>
      <c r="L16" s="52" t="s">
        <v>1912</v>
      </c>
      <c r="M16" s="137"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7" t="str">
        <f>IFERROR(__xludf.DUMMYFUNCTION("GOOGLETRANSLATE(A16,""zh-tw"",""ja"")"),"R12")</f>
        <v>R12</v>
      </c>
      <c r="R16" s="100" t="s">
        <v>1913</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4"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가져 오세요")</f>
        <v>소품을 가져 오세요</v>
      </c>
      <c r="Y16" s="164" t="str">
        <f>IFERROR(__xludf.DUMMYFUNCTION("GOOGLETRANSLATE(E16,""zh-tw"",""en"")"),"R12")</f>
        <v>R12</v>
      </c>
      <c r="Z16" s="100" t="str">
        <f>IFERROR(__xludf.DUMMYFUNCTION("GOOGLETRANSLATE(B16,""zh-tw"",""ru"")"),"Скрытый канал 1")</f>
        <v>Скрытый канал 1</v>
      </c>
      <c r="AA16" s="165"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4" t="str">
        <f>IFERROR(__xludf.DUMMYFUNCTION("GOOGLETRANSLATE(I16,""zh-tw"",""en"")"),"R12")</f>
        <v>R12</v>
      </c>
      <c r="AD16" s="100" t="s">
        <v>1914</v>
      </c>
      <c r="AE16" s="167" t="s">
        <v>1915</v>
      </c>
      <c r="AF16" s="125" t="s">
        <v>1916</v>
      </c>
      <c r="AG16" s="93" t="s">
        <v>1904</v>
      </c>
      <c r="AH16" s="94" t="s">
        <v>1917</v>
      </c>
      <c r="AI16" s="168" t="s">
        <v>1918</v>
      </c>
      <c r="AJ16" s="96" t="s">
        <v>1919</v>
      </c>
      <c r="AK16" s="30"/>
      <c r="AL16" s="30"/>
    </row>
    <row r="17">
      <c r="A17" s="128" t="s">
        <v>1920</v>
      </c>
      <c r="B17" s="100" t="s">
        <v>1921</v>
      </c>
      <c r="C17" s="97" t="s">
        <v>1922</v>
      </c>
      <c r="D17" s="52" t="s">
        <v>1923</v>
      </c>
      <c r="E17" s="128" t="str">
        <f>IFERROR(__xludf.DUMMYFUNCTION("GOOGLETRANSLATE(A17,""zh-tw"",""ja"")"),"R13")</f>
        <v>R13</v>
      </c>
      <c r="F17" s="100" t="s">
        <v>1924</v>
      </c>
      <c r="G17" s="106" t="str">
        <f>IFERROR(__xludf.DUMMYFUNCTION("GOOGLETRANSLATE(C17,""zh-tw"",""ja"")"),"冒険者の道：集会所、左上に宝箱がある")</f>
        <v>冒険者の道：集会所、左上に宝箱がある</v>
      </c>
      <c r="H17" s="52" t="s">
        <v>1925</v>
      </c>
      <c r="I17" s="128" t="str">
        <f>IFERROR(__xludf.DUMMYFUNCTION("GOOGLETRANSLATE(A17,""zh-tw"",""en"")"),"R13")</f>
        <v>R13</v>
      </c>
      <c r="J17" s="100" t="s">
        <v>1926</v>
      </c>
      <c r="K17" s="97" t="s">
        <v>1927</v>
      </c>
      <c r="L17" s="52" t="s">
        <v>1928</v>
      </c>
      <c r="M17" s="137"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7" t="str">
        <f>IFERROR(__xludf.DUMMYFUNCTION("GOOGLETRANSLATE(A17,""zh-tw"",""ja"")"),"R13")</f>
        <v>R13</v>
      </c>
      <c r="R17" s="100" t="s">
        <v>1929</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4"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4" t="str">
        <f>IFERROR(__xludf.DUMMYFUNCTION("GOOGLETRANSLATE(E17,""zh-tw"",""en"")"),"R13")</f>
        <v>R13</v>
      </c>
      <c r="Z17" s="100" t="str">
        <f>IFERROR(__xludf.DUMMYFUNCTION("GOOGLETRANSLATE(B17,""zh-tw"",""ru"")"),"Скрытый проход 2")</f>
        <v>Скрытый проход 2</v>
      </c>
      <c r="AA17" s="165"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4" t="str">
        <f>IFERROR(__xludf.DUMMYFUNCTION("GOOGLETRANSLATE(I17,""zh-tw"",""en"")"),"R13")</f>
        <v>R13</v>
      </c>
      <c r="AD17" s="100" t="s">
        <v>1930</v>
      </c>
      <c r="AE17" s="167" t="s">
        <v>1931</v>
      </c>
      <c r="AF17" s="125" t="s">
        <v>1932</v>
      </c>
      <c r="AG17" s="93" t="s">
        <v>1920</v>
      </c>
      <c r="AH17" s="94" t="s">
        <v>1933</v>
      </c>
      <c r="AI17" s="168" t="s">
        <v>1934</v>
      </c>
      <c r="AJ17" s="96" t="s">
        <v>1935</v>
      </c>
      <c r="AK17" s="30"/>
      <c r="AL17" s="30"/>
    </row>
    <row r="18">
      <c r="A18" s="128" t="s">
        <v>1936</v>
      </c>
      <c r="B18" s="100" t="s">
        <v>1937</v>
      </c>
      <c r="C18" s="97" t="s">
        <v>1938</v>
      </c>
      <c r="D18" s="52" t="s">
        <v>1939</v>
      </c>
      <c r="E18" s="128" t="str">
        <f>IFERROR(__xludf.DUMMYFUNCTION("GOOGLETRANSLATE(A18,""zh-tw"",""ja"")"),"R14")</f>
        <v>R14</v>
      </c>
      <c r="F18" s="100" t="s">
        <v>1940</v>
      </c>
      <c r="G18" s="106" t="s">
        <v>1941</v>
      </c>
      <c r="H18" s="52" t="s">
        <v>1942</v>
      </c>
      <c r="I18" s="128" t="str">
        <f>IFERROR(__xludf.DUMMYFUNCTION("GOOGLETRANSLATE(A18,""zh-tw"",""en"")"),"R14")</f>
        <v>R14</v>
      </c>
      <c r="J18" s="100" t="s">
        <v>1943</v>
      </c>
      <c r="K18" s="97" t="s">
        <v>1944</v>
      </c>
      <c r="L18" s="52" t="s">
        <v>1945</v>
      </c>
      <c r="M18" s="137"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7" t="str">
        <f>IFERROR(__xludf.DUMMYFUNCTION("GOOGLETRANSLATE(A18,""zh-tw"",""ja"")"),"R14")</f>
        <v>R14</v>
      </c>
      <c r="R18" s="100" t="s">
        <v>1946</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4"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4" t="str">
        <f>IFERROR(__xludf.DUMMYFUNCTION("GOOGLETRANSLATE(E18,""zh-tw"",""en"")"),"R14")</f>
        <v>R14</v>
      </c>
      <c r="Z18" s="100" t="str">
        <f>IFERROR(__xludf.DUMMYFUNCTION("GOOGLETRANSLATE(B18,""zh-tw"",""ru"")"),"Скрытый канал 3")</f>
        <v>Скрытый канал 3</v>
      </c>
      <c r="AA18" s="165"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4" t="str">
        <f>IFERROR(__xludf.DUMMYFUNCTION("GOOGLETRANSLATE(I18,""zh-tw"",""en"")"),"R14")</f>
        <v>R14</v>
      </c>
      <c r="AD18" s="100" t="s">
        <v>1947</v>
      </c>
      <c r="AE18" s="167" t="s">
        <v>1948</v>
      </c>
      <c r="AF18" s="125" t="s">
        <v>1949</v>
      </c>
      <c r="AG18" s="93" t="s">
        <v>1936</v>
      </c>
      <c r="AH18" s="94" t="s">
        <v>1950</v>
      </c>
      <c r="AI18" s="168" t="s">
        <v>1951</v>
      </c>
      <c r="AJ18" s="96" t="s">
        <v>1952</v>
      </c>
      <c r="AK18" s="30"/>
      <c r="AL18" s="30"/>
    </row>
    <row r="19">
      <c r="A19" s="128" t="s">
        <v>1953</v>
      </c>
      <c r="B19" s="100" t="s">
        <v>1954</v>
      </c>
      <c r="C19" s="97" t="s">
        <v>1955</v>
      </c>
      <c r="D19" s="52" t="s">
        <v>1907</v>
      </c>
      <c r="E19" s="128" t="str">
        <f>IFERROR(__xludf.DUMMYFUNCTION("GOOGLETRANSLATE(A19,""zh-tw"",""ja"")"),"R15")</f>
        <v>R15</v>
      </c>
      <c r="F19" s="100" t="s">
        <v>1956</v>
      </c>
      <c r="G19" s="97" t="s">
        <v>1957</v>
      </c>
      <c r="H19" s="52" t="s">
        <v>1909</v>
      </c>
      <c r="I19" s="128" t="str">
        <f>IFERROR(__xludf.DUMMYFUNCTION("GOOGLETRANSLATE(A19,""zh-tw"",""en"")"),"R15")</f>
        <v>R15</v>
      </c>
      <c r="J19" s="100" t="s">
        <v>1958</v>
      </c>
      <c r="K19" s="97" t="s">
        <v>1959</v>
      </c>
      <c r="L19" s="52" t="s">
        <v>1912</v>
      </c>
      <c r="M19" s="137"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7" t="str">
        <f>IFERROR(__xludf.DUMMYFUNCTION("GOOGLETRANSLATE(A19,""zh-tw"",""ja"")"),"R15")</f>
        <v>R15</v>
      </c>
      <c r="R19" s="100" t="s">
        <v>1960</v>
      </c>
      <c r="S19" s="89" t="str">
        <f>IFERROR(__xludf.DUMMYFUNCTION("GOOGLETRANSLATE(C19,""zh-tw"",""es-MX"")"),"Hay objetos ocultos en el bosque en la esquina inferior derecha de ""Bosque de Ruinas-4"".")</f>
        <v>Hay objetos ocultos en el bosque en la esquina inferior derecha de "Bosque de Ruinas-4".</v>
      </c>
      <c r="T19" s="52" t="s">
        <v>1961</v>
      </c>
      <c r="U19" s="164"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가져 오세요")</f>
        <v>소품을 가져 오세요</v>
      </c>
      <c r="Y19" s="164" t="str">
        <f>IFERROR(__xludf.DUMMYFUNCTION("GOOGLETRANSLATE(E19,""zh-tw"",""en"")"),"R15")</f>
        <v>R15</v>
      </c>
      <c r="Z19" s="100" t="str">
        <f>IFERROR(__xludf.DUMMYFUNCTION("GOOGLETRANSLATE(B19,""zh-tw"",""ru"")"),"Скрытый канал 4")</f>
        <v>Скрытый канал 4</v>
      </c>
      <c r="AA19" s="165"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4" t="str">
        <f>IFERROR(__xludf.DUMMYFUNCTION("GOOGLETRANSLATE(I19,""zh-tw"",""en"")"),"R15")</f>
        <v>R15</v>
      </c>
      <c r="AD19" s="100" t="s">
        <v>1962</v>
      </c>
      <c r="AE19" s="167" t="s">
        <v>1963</v>
      </c>
      <c r="AF19" s="125" t="s">
        <v>1964</v>
      </c>
      <c r="AG19" s="93" t="s">
        <v>1953</v>
      </c>
      <c r="AH19" s="94" t="s">
        <v>1965</v>
      </c>
      <c r="AI19" s="168" t="s">
        <v>1966</v>
      </c>
      <c r="AJ19" s="96" t="s">
        <v>1919</v>
      </c>
      <c r="AK19" s="30"/>
      <c r="AL19" s="30"/>
    </row>
    <row r="20">
      <c r="A20" s="128" t="s">
        <v>1967</v>
      </c>
      <c r="B20" s="100" t="s">
        <v>1968</v>
      </c>
      <c r="C20" s="97" t="s">
        <v>1969</v>
      </c>
      <c r="D20" s="52" t="s">
        <v>1970</v>
      </c>
      <c r="E20" s="128" t="str">
        <f>IFERROR(__xludf.DUMMYFUNCTION("GOOGLETRANSLATE(A20,""zh-tw"",""ja"")"),"R16")</f>
        <v>R16</v>
      </c>
      <c r="F20" s="100" t="s">
        <v>1971</v>
      </c>
      <c r="G20" s="97" t="s">
        <v>1972</v>
      </c>
      <c r="H20" s="52" t="s">
        <v>1973</v>
      </c>
      <c r="I20" s="128" t="str">
        <f>IFERROR(__xludf.DUMMYFUNCTION("GOOGLETRANSLATE(A20,""zh-tw"",""en"")"),"R16")</f>
        <v>R16</v>
      </c>
      <c r="J20" s="100" t="s">
        <v>1974</v>
      </c>
      <c r="K20" s="97" t="s">
        <v>1975</v>
      </c>
      <c r="L20" s="52" t="s">
        <v>1976</v>
      </c>
      <c r="M20" s="137"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7" t="str">
        <f>IFERROR(__xludf.DUMMYFUNCTION("GOOGLETRANSLATE(A20,""zh-tw"",""ja"")"),"R16")</f>
        <v>R16</v>
      </c>
      <c r="R20" s="100" t="s">
        <v>1977</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4"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4" t="str">
        <f>IFERROR(__xludf.DUMMYFUNCTION("GOOGLETRANSLATE(E20,""zh-tw"",""en"")"),"R16")</f>
        <v>R16</v>
      </c>
      <c r="Z20" s="100" t="str">
        <f>IFERROR(__xludf.DUMMYFUNCTION("GOOGLETRANSLATE(B20,""zh-tw"",""ru"")"),"Скрытый проход 5")</f>
        <v>Скрытый проход 5</v>
      </c>
      <c r="AA20" s="165"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4" t="str">
        <f>IFERROR(__xludf.DUMMYFUNCTION("GOOGLETRANSLATE(I20,""zh-tw"",""en"")"),"R16")</f>
        <v>R16</v>
      </c>
      <c r="AD20" s="100" t="s">
        <v>1978</v>
      </c>
      <c r="AE20" s="167" t="s">
        <v>1979</v>
      </c>
      <c r="AF20" s="125" t="s">
        <v>1980</v>
      </c>
      <c r="AG20" s="93" t="s">
        <v>1967</v>
      </c>
      <c r="AH20" s="94" t="s">
        <v>1981</v>
      </c>
      <c r="AI20" s="168" t="s">
        <v>1982</v>
      </c>
      <c r="AJ20" s="96" t="s">
        <v>1983</v>
      </c>
      <c r="AK20" s="30"/>
      <c r="AL20" s="30"/>
    </row>
    <row r="21">
      <c r="A21" s="128" t="s">
        <v>1984</v>
      </c>
      <c r="B21" s="100" t="s">
        <v>1985</v>
      </c>
      <c r="C21" s="97" t="s">
        <v>1986</v>
      </c>
      <c r="D21" s="52" t="s">
        <v>1987</v>
      </c>
      <c r="E21" s="128" t="str">
        <f>IFERROR(__xludf.DUMMYFUNCTION("GOOGLETRANSLATE(A21,""zh-tw"",""ja"")"),"R17")</f>
        <v>R17</v>
      </c>
      <c r="F21" s="100" t="s">
        <v>1988</v>
      </c>
      <c r="G21" s="106" t="str">
        <f>IFERROR(__xludf.DUMMYFUNCTION("GOOGLETRANSLATE(C21,""zh-tw"",""ja"")"),"開発エリア（鉱山）-1、トロッコは最遠点に到達し、装備を入手できる")</f>
        <v>開発エリア（鉱山）-1、トロッコは最遠点に到達し、装備を入手できる</v>
      </c>
      <c r="H21" s="52" t="s">
        <v>1989</v>
      </c>
      <c r="I21" s="128" t="str">
        <f>IFERROR(__xludf.DUMMYFUNCTION("GOOGLETRANSLATE(A21,""zh-tw"",""en"")"),"R17")</f>
        <v>R17</v>
      </c>
      <c r="J21" s="100" t="s">
        <v>1990</v>
      </c>
      <c r="K21" s="97" t="s">
        <v>1991</v>
      </c>
      <c r="L21" s="52" t="s">
        <v>1992</v>
      </c>
      <c r="M21" s="137"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7" t="str">
        <f>IFERROR(__xludf.DUMMYFUNCTION("GOOGLETRANSLATE(A21,""zh-tw"",""ja"")"),"R17")</f>
        <v>R17</v>
      </c>
      <c r="R21" s="100" t="s">
        <v>1993</v>
      </c>
      <c r="S21" s="97" t="s">
        <v>1994</v>
      </c>
      <c r="T21" s="55" t="str">
        <f>IFERROR(__xludf.DUMMYFUNCTION("GOOGLETRANSLATE(D21,""zh-tw"",""es-MX"")"),"Equipo obtenido: Anillo de hueso del ahorcado")</f>
        <v>Equipo obtenido: Anillo de hueso del ahorcado</v>
      </c>
      <c r="U21" s="164"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4" t="str">
        <f>IFERROR(__xludf.DUMMYFUNCTION("GOOGLETRANSLATE(E21,""zh-tw"",""en"")"),"R17")</f>
        <v>R17</v>
      </c>
      <c r="Z21" s="100" t="str">
        <f>IFERROR(__xludf.DUMMYFUNCTION("GOOGLETRANSLATE(B21,""zh-tw"",""ru"")"),"Скрытый канал 6")</f>
        <v>Скрытый канал 6</v>
      </c>
      <c r="AA21" s="165"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4" t="str">
        <f>IFERROR(__xludf.DUMMYFUNCTION("GOOGLETRANSLATE(I21,""zh-tw"",""en"")"),"R17")</f>
        <v>R17</v>
      </c>
      <c r="AD21" s="100" t="s">
        <v>1995</v>
      </c>
      <c r="AE21" s="167" t="s">
        <v>1996</v>
      </c>
      <c r="AF21" s="125" t="s">
        <v>1997</v>
      </c>
      <c r="AG21" s="93" t="s">
        <v>1984</v>
      </c>
      <c r="AH21" s="94" t="s">
        <v>1998</v>
      </c>
      <c r="AI21" s="168" t="s">
        <v>1999</v>
      </c>
      <c r="AJ21" s="96" t="s">
        <v>2000</v>
      </c>
      <c r="AK21" s="30"/>
      <c r="AL21" s="30"/>
    </row>
    <row r="22">
      <c r="A22" s="128" t="s">
        <v>2001</v>
      </c>
      <c r="B22" s="100" t="s">
        <v>2002</v>
      </c>
      <c r="C22" s="97" t="s">
        <v>2003</v>
      </c>
      <c r="D22" s="52" t="s">
        <v>2004</v>
      </c>
      <c r="E22" s="128" t="str">
        <f>IFERROR(__xludf.DUMMYFUNCTION("GOOGLETRANSLATE(A22,""zh-tw"",""ja"")"),"R18")</f>
        <v>R18</v>
      </c>
      <c r="F22" s="100" t="s">
        <v>2005</v>
      </c>
      <c r="G22" s="106" t="s">
        <v>2006</v>
      </c>
      <c r="H22" s="52" t="s">
        <v>2007</v>
      </c>
      <c r="I22" s="128" t="str">
        <f>IFERROR(__xludf.DUMMYFUNCTION("GOOGLETRANSLATE(A22,""zh-tw"",""en"")"),"R18")</f>
        <v>R18</v>
      </c>
      <c r="J22" s="100" t="s">
        <v>2008</v>
      </c>
      <c r="K22" s="97" t="s">
        <v>2009</v>
      </c>
      <c r="L22" s="52" t="s">
        <v>2010</v>
      </c>
      <c r="M22" s="137"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7" t="str">
        <f>IFERROR(__xludf.DUMMYFUNCTION("GOOGLETRANSLATE(A22,""zh-tw"",""ja"")"),"R18")</f>
        <v>R18</v>
      </c>
      <c r="R22" s="100" t="s">
        <v>2011</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4" t="str">
        <f>IFERROR(__xludf.DUMMYFUNCTION("GOOGLETRANSLATE(A22,""zh-tw"",""en"")"),"R18")</f>
        <v>R18</v>
      </c>
      <c r="V22" s="88" t="str">
        <f>IFERROR(__xludf.DUMMYFUNCTION("GOOGLETRANSLATE(B22,""zh-tw"",""KO"")"),"숨겨진 통로 7")</f>
        <v>숨겨진 통로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4" t="str">
        <f>IFERROR(__xludf.DUMMYFUNCTION("GOOGLETRANSLATE(E22,""zh-tw"",""en"")"),"R18")</f>
        <v>R18</v>
      </c>
      <c r="Z22" s="100" t="str">
        <f>IFERROR(__xludf.DUMMYFUNCTION("GOOGLETRANSLATE(B22,""zh-tw"",""ru"")"),"Скрытый проход 7")</f>
        <v>Скрытый проход 7</v>
      </c>
      <c r="AA22" s="165"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4" t="str">
        <f>IFERROR(__xludf.DUMMYFUNCTION("GOOGLETRANSLATE(I22,""zh-tw"",""en"")"),"R18")</f>
        <v>R18</v>
      </c>
      <c r="AD22" s="100" t="s">
        <v>2012</v>
      </c>
      <c r="AE22" s="167" t="s">
        <v>2013</v>
      </c>
      <c r="AF22" s="125" t="s">
        <v>2014</v>
      </c>
      <c r="AG22" s="93" t="s">
        <v>2001</v>
      </c>
      <c r="AH22" s="94" t="s">
        <v>2015</v>
      </c>
      <c r="AI22" s="168" t="s">
        <v>2016</v>
      </c>
      <c r="AJ22" s="96" t="s">
        <v>2017</v>
      </c>
      <c r="AK22" s="30"/>
      <c r="AL22" s="30"/>
    </row>
    <row r="23">
      <c r="A23" s="128" t="s">
        <v>2018</v>
      </c>
      <c r="B23" s="100" t="s">
        <v>2019</v>
      </c>
      <c r="C23" s="97" t="s">
        <v>2020</v>
      </c>
      <c r="D23" s="52" t="s">
        <v>2021</v>
      </c>
      <c r="E23" s="128" t="str">
        <f>IFERROR(__xludf.DUMMYFUNCTION("GOOGLETRANSLATE(A23,""zh-tw"",""ja"")"),"R19")</f>
        <v>R19</v>
      </c>
      <c r="F23" s="100" t="s">
        <v>2022</v>
      </c>
      <c r="G23" s="106" t="s">
        <v>2023</v>
      </c>
      <c r="H23" s="52" t="s">
        <v>2024</v>
      </c>
      <c r="I23" s="128" t="str">
        <f>IFERROR(__xludf.DUMMYFUNCTION("GOOGLETRANSLATE(A23,""zh-tw"",""en"")"),"R19")</f>
        <v>R19</v>
      </c>
      <c r="J23" s="100" t="s">
        <v>2025</v>
      </c>
      <c r="K23" s="97" t="s">
        <v>2026</v>
      </c>
      <c r="L23" s="52" t="s">
        <v>2027</v>
      </c>
      <c r="M23" s="137"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7" t="str">
        <f>IFERROR(__xludf.DUMMYFUNCTION("GOOGLETRANSLATE(A23,""zh-tw"",""ja"")"),"R19")</f>
        <v>R19</v>
      </c>
      <c r="R23" s="100" t="s">
        <v>2028</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4"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4" t="str">
        <f>IFERROR(__xludf.DUMMYFUNCTION("GOOGLETRANSLATE(E23,""zh-tw"",""en"")"),"R19")</f>
        <v>R19</v>
      </c>
      <c r="Z23" s="100" t="str">
        <f>IFERROR(__xludf.DUMMYFUNCTION("GOOGLETRANSLATE(B23,""zh-tw"",""ru"")"),"Скрытый канал 8")</f>
        <v>Скрытый канал 8</v>
      </c>
      <c r="AA23" s="165"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4" t="str">
        <f>IFERROR(__xludf.DUMMYFUNCTION("GOOGLETRANSLATE(I23,""zh-tw"",""en"")"),"R19")</f>
        <v>R19</v>
      </c>
      <c r="AD23" s="100" t="s">
        <v>2029</v>
      </c>
      <c r="AE23" s="167" t="s">
        <v>2030</v>
      </c>
      <c r="AF23" s="125" t="s">
        <v>2031</v>
      </c>
      <c r="AG23" s="93" t="s">
        <v>2018</v>
      </c>
      <c r="AH23" s="94" t="s">
        <v>2032</v>
      </c>
      <c r="AI23" s="168" t="s">
        <v>2033</v>
      </c>
      <c r="AJ23" s="96" t="s">
        <v>2034</v>
      </c>
      <c r="AK23" s="30"/>
      <c r="AL23" s="30"/>
    </row>
    <row r="24">
      <c r="A24" s="128" t="s">
        <v>2035</v>
      </c>
      <c r="B24" s="100" t="s">
        <v>2036</v>
      </c>
      <c r="C24" s="97" t="s">
        <v>2037</v>
      </c>
      <c r="D24" s="52" t="s">
        <v>2038</v>
      </c>
      <c r="E24" s="128" t="str">
        <f>IFERROR(__xludf.DUMMYFUNCTION("GOOGLETRANSLATE(A24,""zh-tw"",""ja"")"),"R20")</f>
        <v>R20</v>
      </c>
      <c r="F24" s="100" t="s">
        <v>2039</v>
      </c>
      <c r="G24" s="97" t="s">
        <v>2040</v>
      </c>
      <c r="H24" s="52" t="s">
        <v>1989</v>
      </c>
      <c r="I24" s="128" t="str">
        <f>IFERROR(__xludf.DUMMYFUNCTION("GOOGLETRANSLATE(A24,""zh-tw"",""en"")"),"R20")</f>
        <v>R20</v>
      </c>
      <c r="J24" s="100" t="s">
        <v>2041</v>
      </c>
      <c r="K24" s="97" t="s">
        <v>2042</v>
      </c>
      <c r="L24" s="52" t="s">
        <v>1992</v>
      </c>
      <c r="M24" s="137"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7" t="str">
        <f>IFERROR(__xludf.DUMMYFUNCTION("GOOGLETRANSLATE(A24,""zh-tw"",""ja"")"),"R20")</f>
        <v>R20</v>
      </c>
      <c r="R24" s="100" t="s">
        <v>2043</v>
      </c>
      <c r="S24" s="97" t="s">
        <v>2044</v>
      </c>
      <c r="T24" s="55" t="str">
        <f>IFERROR(__xludf.DUMMYFUNCTION("GOOGLETRANSLATE(D24,""zh-tw"",""es-MX"")"),"Consigue el equipo ""Anillo de hueso del ahorcado""")</f>
        <v>Consigue el equipo "Anillo de hueso del ahorcado"</v>
      </c>
      <c r="U24" s="164"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4" t="str">
        <f>IFERROR(__xludf.DUMMYFUNCTION("GOOGLETRANSLATE(E24,""zh-tw"",""en"")"),"R20")</f>
        <v>R20</v>
      </c>
      <c r="Z24" s="100" t="str">
        <f>IFERROR(__xludf.DUMMYFUNCTION("GOOGLETRANSLATE(B24,""zh-tw"",""ru"")"),"Скрытый проход 9")</f>
        <v>Скрытый проход 9</v>
      </c>
      <c r="AA24" s="165"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4" t="str">
        <f>IFERROR(__xludf.DUMMYFUNCTION("GOOGLETRANSLATE(I24,""zh-tw"",""en"")"),"R20")</f>
        <v>R20</v>
      </c>
      <c r="AD24" s="100" t="s">
        <v>2045</v>
      </c>
      <c r="AE24" s="167" t="s">
        <v>2046</v>
      </c>
      <c r="AF24" s="125" t="s">
        <v>2047</v>
      </c>
      <c r="AG24" s="93" t="s">
        <v>2035</v>
      </c>
      <c r="AH24" s="94" t="s">
        <v>2048</v>
      </c>
      <c r="AI24" s="168" t="s">
        <v>2049</v>
      </c>
      <c r="AJ24" s="96" t="s">
        <v>2000</v>
      </c>
      <c r="AK24" s="30"/>
      <c r="AL24" s="30"/>
    </row>
    <row r="25">
      <c r="A25" s="128" t="s">
        <v>2050</v>
      </c>
      <c r="B25" s="100" t="s">
        <v>2051</v>
      </c>
      <c r="C25" s="97" t="s">
        <v>2052</v>
      </c>
      <c r="D25" s="52" t="s">
        <v>2053</v>
      </c>
      <c r="E25" s="128" t="str">
        <f>IFERROR(__xludf.DUMMYFUNCTION("GOOGLETRANSLATE(A25,""zh-tw"",""ja"")"),"R21")</f>
        <v>R21</v>
      </c>
      <c r="F25" s="100" t="s">
        <v>2054</v>
      </c>
      <c r="G25" s="97" t="s">
        <v>2055</v>
      </c>
      <c r="H25" s="52" t="s">
        <v>2056</v>
      </c>
      <c r="I25" s="128" t="str">
        <f>IFERROR(__xludf.DUMMYFUNCTION("GOOGLETRANSLATE(A25,""zh-tw"",""en"")"),"R21")</f>
        <v>R21</v>
      </c>
      <c r="J25" s="100" t="s">
        <v>2057</v>
      </c>
      <c r="K25" s="97" t="s">
        <v>2058</v>
      </c>
      <c r="L25" s="52" t="s">
        <v>2059</v>
      </c>
      <c r="M25" s="137" t="str">
        <f>IFERROR(__xludf.DUMMYFUNCTION("GOOGLETRANSLATE(A25,""zh-tw"",""en"")"),"R21")</f>
        <v>R21</v>
      </c>
      <c r="N25" s="100" t="str">
        <f>IFERROR(__xludf.DUMMYFUNCTION("GOOGLETRANSLATE(B25,""zh-tw"",""zh"")"),"隐藏通道10
机甲")</f>
        <v>隐藏通道10
机甲</v>
      </c>
      <c r="O25" s="97" t="s">
        <v>2060</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7" t="str">
        <f>IFERROR(__xludf.DUMMYFUNCTION("GOOGLETRANSLATE(A25,""zh-tw"",""ja"")"),"R21")</f>
        <v>R21</v>
      </c>
      <c r="R25" s="100" t="s">
        <v>2061</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4"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4" t="str">
        <f>IFERROR(__xludf.DUMMYFUNCTION("GOOGLETRANSLATE(E25,""zh-tw"",""en"")"),"R21")</f>
        <v>R21</v>
      </c>
      <c r="Z25" s="100" t="str">
        <f>IFERROR(__xludf.DUMMYFUNCTION("GOOGLETRANSLATE(B25,""zh-tw"",""ru"")"),"Скрытый проход 10
Меха")</f>
        <v>Скрытый проход 10
Меха</v>
      </c>
      <c r="AA25" s="165"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4" t="str">
        <f>IFERROR(__xludf.DUMMYFUNCTION("GOOGLETRANSLATE(I25,""zh-tw"",""en"")"),"R21")</f>
        <v>R21</v>
      </c>
      <c r="AD25" s="100" t="s">
        <v>2062</v>
      </c>
      <c r="AE25" s="167" t="s">
        <v>2063</v>
      </c>
      <c r="AF25" s="125" t="s">
        <v>2064</v>
      </c>
      <c r="AG25" s="93" t="s">
        <v>2050</v>
      </c>
      <c r="AH25" s="94" t="s">
        <v>2065</v>
      </c>
      <c r="AI25" s="168" t="s">
        <v>2066</v>
      </c>
      <c r="AJ25" s="96" t="s">
        <v>2067</v>
      </c>
      <c r="AK25" s="30"/>
      <c r="AL25" s="30"/>
    </row>
    <row r="26">
      <c r="A26" s="128" t="s">
        <v>2068</v>
      </c>
      <c r="B26" s="100" t="s">
        <v>2069</v>
      </c>
      <c r="C26" s="97" t="s">
        <v>2070</v>
      </c>
      <c r="D26" s="52" t="s">
        <v>2071</v>
      </c>
      <c r="E26" s="128" t="str">
        <f>IFERROR(__xludf.DUMMYFUNCTION("GOOGLETRANSLATE(A26,""zh-tw"",""ja"")"),"R22")</f>
        <v>R22</v>
      </c>
      <c r="F26" s="100" t="s">
        <v>2072</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2073</v>
      </c>
      <c r="I26" s="128" t="str">
        <f>IFERROR(__xludf.DUMMYFUNCTION("GOOGLETRANSLATE(A26,""zh-tw"",""en"")"),"R22")</f>
        <v>R22</v>
      </c>
      <c r="J26" s="100" t="s">
        <v>2074</v>
      </c>
      <c r="K26" s="97" t="s">
        <v>2075</v>
      </c>
      <c r="L26" s="52" t="s">
        <v>2076</v>
      </c>
      <c r="M26" s="137"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7" t="str">
        <f>IFERROR(__xludf.DUMMYFUNCTION("GOOGLETRANSLATE(A26,""zh-tw"",""ja"")"),"R22")</f>
        <v>R22</v>
      </c>
      <c r="R26" s="100" t="s">
        <v>2077</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4"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4" t="str">
        <f>IFERROR(__xludf.DUMMYFUNCTION("GOOGLETRANSLATE(E26,""zh-tw"",""en"")"),"R22")</f>
        <v>R22</v>
      </c>
      <c r="Z26" s="100" t="str">
        <f>IFERROR(__xludf.DUMMYFUNCTION("GOOGLETRANSLATE(B26,""zh-tw"",""ru"")"),"Скрытый проход 11")</f>
        <v>Скрытый проход 11</v>
      </c>
      <c r="AA26" s="165"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4" t="str">
        <f>IFERROR(__xludf.DUMMYFUNCTION("GOOGLETRANSLATE(I26,""zh-tw"",""en"")"),"R22")</f>
        <v>R22</v>
      </c>
      <c r="AD26" s="100" t="s">
        <v>2078</v>
      </c>
      <c r="AE26" s="167" t="s">
        <v>2079</v>
      </c>
      <c r="AF26" s="125" t="s">
        <v>2080</v>
      </c>
      <c r="AG26" s="93" t="s">
        <v>2068</v>
      </c>
      <c r="AH26" s="94" t="s">
        <v>2081</v>
      </c>
      <c r="AI26" s="168" t="s">
        <v>2082</v>
      </c>
      <c r="AJ26" s="96" t="s">
        <v>2083</v>
      </c>
      <c r="AK26" s="30"/>
      <c r="AL26" s="30"/>
    </row>
    <row r="27">
      <c r="A27" s="128" t="s">
        <v>2084</v>
      </c>
      <c r="B27" s="100" t="s">
        <v>2085</v>
      </c>
      <c r="C27" s="97" t="s">
        <v>2086</v>
      </c>
      <c r="D27" s="52" t="s">
        <v>2087</v>
      </c>
      <c r="E27" s="128" t="str">
        <f>IFERROR(__xludf.DUMMYFUNCTION("GOOGLETRANSLATE(A27,""zh-tw"",""ja"")"),"R23")</f>
        <v>R23</v>
      </c>
      <c r="F27" s="100" t="str">
        <f>IFERROR(__xludf.DUMMYFUNCTION("GOOGLETRANSLATE(B27,""zh-tw"",""ja"")"),"穴に落ちる")</f>
        <v>穴に落ちる</v>
      </c>
      <c r="G27" s="97" t="s">
        <v>2088</v>
      </c>
      <c r="H27" s="52" t="s">
        <v>2089</v>
      </c>
      <c r="I27" s="128" t="str">
        <f>IFERROR(__xludf.DUMMYFUNCTION("GOOGLETRANSLATE(A27,""zh-tw"",""en"")"),"R23")</f>
        <v>R23</v>
      </c>
      <c r="J27" s="100" t="s">
        <v>2090</v>
      </c>
      <c r="K27" s="97" t="s">
        <v>2091</v>
      </c>
      <c r="L27" s="52" t="s">
        <v>2092</v>
      </c>
      <c r="M27" s="137"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7" t="str">
        <f>IFERROR(__xludf.DUMMYFUNCTION("GOOGLETRANSLATE(A27,""zh-tw"",""ja"")"),"R23")</f>
        <v>R23</v>
      </c>
      <c r="R27" s="88" t="str">
        <f>IFERROR(__xludf.DUMMYFUNCTION("GOOGLETRANSLATE(B27,""zh-tw"",""es-MX"")"),"Caer en el agujero")</f>
        <v>Caer en el agujero</v>
      </c>
      <c r="S27" s="97" t="s">
        <v>2093</v>
      </c>
      <c r="T27" s="55" t="str">
        <f>IFERROR(__xludf.DUMMYFUNCTION("GOOGLETRANSLATE(D27,""zh-tw"",""es-MX"")"),"Observación: Caída en una cueva")</f>
        <v>Observación: Caída en una cueva</v>
      </c>
      <c r="U27" s="164"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4" t="str">
        <f>IFERROR(__xludf.DUMMYFUNCTION("GOOGLETRANSLATE(E27,""zh-tw"",""en"")"),"R23")</f>
        <v>R23</v>
      </c>
      <c r="Z27" s="100" t="str">
        <f>IFERROR(__xludf.DUMMYFUNCTION("GOOGLETRANSLATE(B27,""zh-tw"",""ru"")"),"Упасть в яму")</f>
        <v>Упасть в яму</v>
      </c>
      <c r="AA27" s="165"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4" t="str">
        <f>IFERROR(__xludf.DUMMYFUNCTION("GOOGLETRANSLATE(I27,""zh-tw"",""en"")"),"R23")</f>
        <v>R23</v>
      </c>
      <c r="AD27" s="100" t="s">
        <v>2094</v>
      </c>
      <c r="AE27" s="167" t="s">
        <v>2095</v>
      </c>
      <c r="AF27" s="125" t="s">
        <v>2096</v>
      </c>
      <c r="AG27" s="93" t="s">
        <v>2084</v>
      </c>
      <c r="AH27" s="94" t="s">
        <v>2097</v>
      </c>
      <c r="AI27" s="168" t="s">
        <v>2098</v>
      </c>
      <c r="AJ27" s="96" t="s">
        <v>2099</v>
      </c>
      <c r="AK27" s="30"/>
      <c r="AL27" s="30"/>
    </row>
    <row r="28">
      <c r="A28" s="128" t="s">
        <v>2100</v>
      </c>
      <c r="B28" s="100" t="s">
        <v>2101</v>
      </c>
      <c r="C28" s="97" t="s">
        <v>2102</v>
      </c>
      <c r="D28" s="52" t="s">
        <v>2103</v>
      </c>
      <c r="E28" s="128" t="str">
        <f>IFERROR(__xludf.DUMMYFUNCTION("GOOGLETRANSLATE(A28,""zh-tw"",""ja"")"),"R24")</f>
        <v>R24</v>
      </c>
      <c r="F28" s="100" t="s">
        <v>2104</v>
      </c>
      <c r="G28" s="97" t="s">
        <v>2105</v>
      </c>
      <c r="H28" s="52" t="s">
        <v>2106</v>
      </c>
      <c r="I28" s="128" t="str">
        <f>IFERROR(__xludf.DUMMYFUNCTION("GOOGLETRANSLATE(A28,""zh-tw"",""en"")"),"R24")</f>
        <v>R24</v>
      </c>
      <c r="J28" s="100" t="s">
        <v>2107</v>
      </c>
      <c r="K28" s="97" t="s">
        <v>2108</v>
      </c>
      <c r="L28" s="52" t="s">
        <v>2109</v>
      </c>
      <c r="M28" s="137"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7" t="str">
        <f>IFERROR(__xludf.DUMMYFUNCTION("GOOGLETRANSLATE(A28,""zh-tw"",""ja"")"),"R24")</f>
        <v>R24</v>
      </c>
      <c r="R28" s="88" t="str">
        <f>IFERROR(__xludf.DUMMYFUNCTION("GOOGLETRANSLATE(B28,""zh-tw"",""es-MX"")"),"Cofre del tesoro de la mina")</f>
        <v>Cofre del tesoro de la mina</v>
      </c>
      <c r="S28" s="97" t="s">
        <v>2110</v>
      </c>
      <c r="T28" s="55" t="str">
        <f>IFERROR(__xludf.DUMMYFUNCTION("GOOGLETRANSLATE(D28,""zh-tw"",""es-MX"")"),"Objeto obtenido: Gel mágico x10
Refresca en días lluviosos")</f>
        <v>Objeto obtenido: Gel mágico x10
Refresca en días lluviosos</v>
      </c>
      <c r="U28" s="164"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4" t="str">
        <f>IFERROR(__xludf.DUMMYFUNCTION("GOOGLETRANSLATE(E28,""zh-tw"",""en"")"),"R24")</f>
        <v>R24</v>
      </c>
      <c r="Z28" s="100" t="str">
        <f>IFERROR(__xludf.DUMMYFUNCTION("GOOGLETRANSLATE(B28,""zh-tw"",""ru"")"),"Мой сундук с сокровищами")</f>
        <v>Мой сундук с сокровищами</v>
      </c>
      <c r="AA28" s="165"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4" t="str">
        <f>IFERROR(__xludf.DUMMYFUNCTION("GOOGLETRANSLATE(I28,""zh-tw"",""en"")"),"R24")</f>
        <v>R24</v>
      </c>
      <c r="AD28" s="100" t="s">
        <v>2111</v>
      </c>
      <c r="AE28" s="167" t="s">
        <v>2112</v>
      </c>
      <c r="AF28" s="125" t="s">
        <v>2113</v>
      </c>
      <c r="AG28" s="93" t="s">
        <v>2100</v>
      </c>
      <c r="AH28" s="94" t="s">
        <v>2114</v>
      </c>
      <c r="AI28" s="168" t="s">
        <v>2115</v>
      </c>
      <c r="AJ28" s="96" t="s">
        <v>2116</v>
      </c>
      <c r="AK28" s="30"/>
      <c r="AL28" s="30"/>
    </row>
    <row r="29">
      <c r="A29" s="128" t="s">
        <v>2117</v>
      </c>
      <c r="B29" s="100" t="s">
        <v>2118</v>
      </c>
      <c r="C29" s="97" t="s">
        <v>2119</v>
      </c>
      <c r="D29" s="107" t="s">
        <v>2120</v>
      </c>
      <c r="E29" s="84" t="str">
        <f>IFERROR(__xludf.DUMMYFUNCTION("GOOGLETRANSLATE(A29,""zh-tw"",""ja"")"),"R25")</f>
        <v>R25</v>
      </c>
      <c r="F29" s="85" t="s">
        <v>2121</v>
      </c>
      <c r="G29" s="102" t="s">
        <v>2122</v>
      </c>
      <c r="H29" s="103" t="s">
        <v>2123</v>
      </c>
      <c r="I29" s="84" t="str">
        <f>IFERROR(__xludf.DUMMYFUNCTION("GOOGLETRANSLATE(A29,""zh-tw"",""en"")"),"R25")</f>
        <v>R25</v>
      </c>
      <c r="J29" s="85" t="s">
        <v>2124</v>
      </c>
      <c r="K29" s="102" t="s">
        <v>2125</v>
      </c>
      <c r="L29" s="52" t="s">
        <v>2126</v>
      </c>
      <c r="M29" s="137"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7" t="str">
        <f>IFERROR(__xludf.DUMMYFUNCTION("GOOGLETRANSLATE(A29,""zh-tw"",""ja"")"),"R25")</f>
        <v>R25</v>
      </c>
      <c r="R29" s="88" t="str">
        <f>IFERROR(__xludf.DUMMYFUNCTION("GOOGLETRANSLATE(B29,""zh-tw"",""es-MX"")"),"Cofre del tesoro de reliquias 1")</f>
        <v>Cofre del tesoro de reliquias 1</v>
      </c>
      <c r="S29" s="102" t="s">
        <v>2127</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4"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4"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4" t="str">
        <f>IFERROR(__xludf.DUMMYFUNCTION("GOOGLETRANSLATE(I29,""zh-tw"",""en"")"),"R25")</f>
        <v>R25</v>
      </c>
      <c r="AD29" s="85" t="s">
        <v>2128</v>
      </c>
      <c r="AE29" s="102" t="s">
        <v>2129</v>
      </c>
      <c r="AF29" s="103" t="s">
        <v>2130</v>
      </c>
      <c r="AG29" s="93" t="s">
        <v>2117</v>
      </c>
      <c r="AH29" s="94" t="s">
        <v>2131</v>
      </c>
      <c r="AI29" s="168" t="s">
        <v>2132</v>
      </c>
      <c r="AJ29" s="96" t="s">
        <v>2133</v>
      </c>
      <c r="AK29" s="30"/>
      <c r="AL29" s="30"/>
    </row>
    <row r="30">
      <c r="A30" s="128" t="s">
        <v>2134</v>
      </c>
      <c r="B30" s="100" t="s">
        <v>2135</v>
      </c>
      <c r="C30" s="97" t="s">
        <v>2136</v>
      </c>
      <c r="D30" s="52" t="s">
        <v>2137</v>
      </c>
      <c r="E30" s="128" t="str">
        <f>IFERROR(__xludf.DUMMYFUNCTION("GOOGLETRANSLATE(A30,""zh-tw"",""ja"")"),"R26")</f>
        <v>R26</v>
      </c>
      <c r="F30" s="100" t="s">
        <v>2138</v>
      </c>
      <c r="G30" s="106" t="s">
        <v>2139</v>
      </c>
      <c r="H30" s="52" t="s">
        <v>1973</v>
      </c>
      <c r="I30" s="128" t="str">
        <f>IFERROR(__xludf.DUMMYFUNCTION("GOOGLETRANSLATE(A30,""zh-tw"",""en"")"),"R26")</f>
        <v>R26</v>
      </c>
      <c r="J30" s="100" t="s">
        <v>2140</v>
      </c>
      <c r="K30" s="97" t="s">
        <v>2141</v>
      </c>
      <c r="L30" s="52" t="s">
        <v>2142</v>
      </c>
      <c r="M30" s="137"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7" t="str">
        <f>IFERROR(__xludf.DUMMYFUNCTION("GOOGLETRANSLATE(A30,""zh-tw"",""ja"")"),"R26")</f>
        <v>R26</v>
      </c>
      <c r="R30" s="88" t="str">
        <f>IFERROR(__xludf.DUMMYFUNCTION("GOOGLETRANSLATE(B30,""zh-tw"",""es-MX"")"),"Cofre de reliquias 2")</f>
        <v>Cofre de reliquias 2</v>
      </c>
      <c r="S30" s="97" t="s">
        <v>2143</v>
      </c>
      <c r="T30" s="55" t="str">
        <f>IFERROR(__xludf.DUMMYFUNCTION("GOOGLETRANSLATE(D30,""zh-tw"",""es-MX"")"),"Obtener arma - Espina de pescado apestosa")</f>
        <v>Obtener arma - Espina de pescado apestosa</v>
      </c>
      <c r="U30" s="164"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4" t="str">
        <f>IFERROR(__xludf.DUMMYFUNCTION("GOOGLETRANSLATE(E30,""zh-tw"",""en"")"),"R26")</f>
        <v>R26</v>
      </c>
      <c r="Z30" s="100" t="str">
        <f>IFERROR(__xludf.DUMMYFUNCTION("GOOGLETRANSLATE(B30,""zh-tw"",""ru"")"),"Сундук с реликвиями 2")</f>
        <v>Сундук с реликвиями 2</v>
      </c>
      <c r="AA30" s="165"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4" t="str">
        <f>IFERROR(__xludf.DUMMYFUNCTION("GOOGLETRANSLATE(I30,""zh-tw"",""en"")"),"R26")</f>
        <v>R26</v>
      </c>
      <c r="AD30" s="100" t="s">
        <v>2144</v>
      </c>
      <c r="AE30" s="165"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2145</v>
      </c>
      <c r="AG30" s="93" t="s">
        <v>2134</v>
      </c>
      <c r="AH30" s="94" t="s">
        <v>2146</v>
      </c>
      <c r="AI30" s="168" t="s">
        <v>2147</v>
      </c>
      <c r="AJ30" s="96" t="s">
        <v>2148</v>
      </c>
      <c r="AK30" s="30"/>
      <c r="AL30" s="30"/>
    </row>
    <row r="31">
      <c r="A31" s="128" t="s">
        <v>2149</v>
      </c>
      <c r="B31" s="100" t="s">
        <v>2150</v>
      </c>
      <c r="C31" s="97" t="s">
        <v>2151</v>
      </c>
      <c r="D31" s="52" t="s">
        <v>2152</v>
      </c>
      <c r="E31" s="128" t="str">
        <f>IFERROR(__xludf.DUMMYFUNCTION("GOOGLETRANSLATE(A31,""zh-tw"",""ja"")"),"R27")</f>
        <v>R27</v>
      </c>
      <c r="F31" s="100" t="s">
        <v>2153</v>
      </c>
      <c r="G31" s="106" t="s">
        <v>2154</v>
      </c>
      <c r="H31" s="52" t="s">
        <v>1973</v>
      </c>
      <c r="I31" s="128" t="str">
        <f>IFERROR(__xludf.DUMMYFUNCTION("GOOGLETRANSLATE(A31,""zh-tw"",""en"")"),"R27")</f>
        <v>R27</v>
      </c>
      <c r="J31" s="100" t="s">
        <v>2155</v>
      </c>
      <c r="K31" s="97" t="s">
        <v>2156</v>
      </c>
      <c r="L31" s="52" t="s">
        <v>2157</v>
      </c>
      <c r="M31" s="137"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7" t="str">
        <f>IFERROR(__xludf.DUMMYFUNCTION("GOOGLETRANSLATE(A31,""zh-tw"",""ja"")"),"R27")</f>
        <v>R27</v>
      </c>
      <c r="R31" s="88" t="str">
        <f>IFERROR(__xludf.DUMMYFUNCTION("GOOGLETRANSLATE(B31,""zh-tw"",""es-MX"")"),"Cofre de reliquias 3")</f>
        <v>Cofre de reliquias 3</v>
      </c>
      <c r="S31" s="97" t="s">
        <v>2158</v>
      </c>
      <c r="T31" s="55" t="str">
        <f>IFERROR(__xludf.DUMMYFUNCTION("GOOGLETRANSLATE(D31,""zh-tw"",""es-MX"")"),"Obtener arma-Xuejian")</f>
        <v>Obtener arma-Xuejian</v>
      </c>
      <c r="U31" s="164"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4" t="str">
        <f>IFERROR(__xludf.DUMMYFUNCTION("GOOGLETRANSLATE(E31,""zh-tw"",""en"")"),"R27")</f>
        <v>R27</v>
      </c>
      <c r="Z31" s="100" t="str">
        <f>IFERROR(__xludf.DUMMYFUNCTION("GOOGLETRANSLATE(B31,""zh-tw"",""ru"")"),"Сундук с реликвиями 3")</f>
        <v>Сундук с реликвиями 3</v>
      </c>
      <c r="AA31" s="165"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4" t="str">
        <f>IFERROR(__xludf.DUMMYFUNCTION("GOOGLETRANSLATE(I31,""zh-tw"",""en"")"),"R27")</f>
        <v>R27</v>
      </c>
      <c r="AD31" s="100" t="s">
        <v>2159</v>
      </c>
      <c r="AE31" s="165" t="str">
        <f>IFERROR(__xludf.DUMMYFUNCTION("GOOGLETRANSLATE(C31,""zh-tw"",""DE"")"),"Vergessene Krypta – 1, eine Schatztruhe in der Nähe des mittleren Eis")</f>
        <v>Vergessene Krypta – 1, eine Schatztruhe in der Nähe des mittleren Eis</v>
      </c>
      <c r="AF31" s="125" t="s">
        <v>2160</v>
      </c>
      <c r="AG31" s="93" t="s">
        <v>2149</v>
      </c>
      <c r="AH31" s="94" t="s">
        <v>2161</v>
      </c>
      <c r="AI31" s="168" t="s">
        <v>2162</v>
      </c>
      <c r="AJ31" s="96" t="s">
        <v>2163</v>
      </c>
      <c r="AK31" s="30"/>
      <c r="AL31" s="30"/>
    </row>
    <row r="32">
      <c r="A32" s="128" t="s">
        <v>2164</v>
      </c>
      <c r="B32" s="100" t="s">
        <v>2165</v>
      </c>
      <c r="C32" s="97" t="s">
        <v>2166</v>
      </c>
      <c r="D32" s="52" t="s">
        <v>2167</v>
      </c>
      <c r="E32" s="128" t="str">
        <f>IFERROR(__xludf.DUMMYFUNCTION("GOOGLETRANSLATE(A32,""zh-tw"",""ja"")"),"R28")</f>
        <v>R28</v>
      </c>
      <c r="F32" s="100" t="str">
        <f>IFERROR(__xludf.DUMMYFUNCTION("GOOGLETRANSLATE(B32,""zh-tw"",""ja"")"),"ダウンロードコンテンツ")</f>
        <v>ダウンロードコンテンツ</v>
      </c>
      <c r="G32" s="97" t="s">
        <v>2168</v>
      </c>
      <c r="H32" s="52" t="s">
        <v>2169</v>
      </c>
      <c r="I32" s="128" t="str">
        <f>IFERROR(__xludf.DUMMYFUNCTION("GOOGLETRANSLATE(A32,""zh-tw"",""en"")"),"R28")</f>
        <v>R28</v>
      </c>
      <c r="J32" s="100" t="s">
        <v>2165</v>
      </c>
      <c r="K32" s="97" t="s">
        <v>2170</v>
      </c>
      <c r="L32" s="52" t="s">
        <v>2171</v>
      </c>
      <c r="M32" s="137"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7" t="str">
        <f>IFERROR(__xludf.DUMMYFUNCTION("GOOGLETRANSLATE(A32,""zh-tw"",""ja"")"),"R28")</f>
        <v>R28</v>
      </c>
      <c r="R32" s="88" t="str">
        <f>IFERROR(__xludf.DUMMYFUNCTION("GOOGLETRANSLATE(B32,""zh-tw"",""es-MX"")"),"Contenido descargable")</f>
        <v>Contenido descargable</v>
      </c>
      <c r="S32" s="97" t="s">
        <v>2172</v>
      </c>
      <c r="T32" s="55" t="str">
        <f>IFERROR(__xludf.DUMMYFUNCTION("GOOGLETRANSLATE(D32,""zh-tw"",""es-MX"")"),"DLC de Shadow Soul")</f>
        <v>DLC de Shadow Soul</v>
      </c>
      <c r="U32" s="164"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4" t="str">
        <f>IFERROR(__xludf.DUMMYFUNCTION("GOOGLETRANSLATE(E32,""zh-tw"",""en"")"),"R28")</f>
        <v>R28</v>
      </c>
      <c r="Z32" s="100" t="str">
        <f>IFERROR(__xludf.DUMMYFUNCTION("GOOGLETRANSLATE(B32,""zh-tw"",""ru"")"),"DLC")</f>
        <v>DLC</v>
      </c>
      <c r="AA32" s="165"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4" t="str">
        <f>IFERROR(__xludf.DUMMYFUNCTION("GOOGLETRANSLATE(I32,""zh-tw"",""en"")"),"R28")</f>
        <v>R28</v>
      </c>
      <c r="AD32" s="100" t="s">
        <v>2165</v>
      </c>
      <c r="AE32" s="165" t="str">
        <f>IFERROR(__xludf.DUMMYFUNCTION("GOOGLETRANSLATE(C32,""zh-tw"",""DE"")"),"Abenteurerpfad: Versammlungsort
Teile ein bestimmtes Wissen mit dem Ritter, um")</f>
        <v>Abenteurerpfad: Versammlungsort
Teile ein bestimmtes Wissen mit dem Ritter, um</v>
      </c>
      <c r="AF32" s="125" t="s">
        <v>2173</v>
      </c>
      <c r="AG32" s="93" t="s">
        <v>2164</v>
      </c>
      <c r="AH32" s="94" t="s">
        <v>2165</v>
      </c>
      <c r="AI32" s="168" t="s">
        <v>2174</v>
      </c>
      <c r="AJ32" s="96" t="s">
        <v>2175</v>
      </c>
      <c r="AK32" s="30"/>
      <c r="AL32" s="30"/>
    </row>
    <row r="33">
      <c r="A33" s="128" t="s">
        <v>2176</v>
      </c>
      <c r="B33" s="100" t="s">
        <v>2177</v>
      </c>
      <c r="C33" s="97" t="s">
        <v>2178</v>
      </c>
      <c r="D33" s="52" t="s">
        <v>2179</v>
      </c>
      <c r="E33" s="128" t="str">
        <f>IFERROR(__xludf.DUMMYFUNCTION("GOOGLETRANSLATE(A33,""zh-tw"",""ja"")"),"R29")</f>
        <v>R29</v>
      </c>
      <c r="F33" s="100" t="s">
        <v>2180</v>
      </c>
      <c r="G33" s="97" t="s">
        <v>2181</v>
      </c>
      <c r="H33" s="52" t="s">
        <v>2182</v>
      </c>
      <c r="I33" s="128" t="str">
        <f>IFERROR(__xludf.DUMMYFUNCTION("GOOGLETRANSLATE(A33,""zh-tw"",""en"")"),"R29")</f>
        <v>R29</v>
      </c>
      <c r="J33" s="100" t="s">
        <v>2183</v>
      </c>
      <c r="K33" s="97" t="s">
        <v>2184</v>
      </c>
      <c r="L33" s="52" t="s">
        <v>2185</v>
      </c>
      <c r="M33" s="137"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7" t="str">
        <f>IFERROR(__xludf.DUMMYFUNCTION("GOOGLETRANSLATE(A33,""zh-tw"",""ja"")"),"R29")</f>
        <v>R29</v>
      </c>
      <c r="R33" s="100" t="s">
        <v>2186</v>
      </c>
      <c r="S33" s="97" t="s">
        <v>2187</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4"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4" t="str">
        <f>IFERROR(__xludf.DUMMYFUNCTION("GOOGLETRANSLATE(E33,""zh-tw"",""en"")"),"R29")</f>
        <v>R29</v>
      </c>
      <c r="Z33" s="100" t="str">
        <f>IFERROR(__xludf.DUMMYFUNCTION("GOOGLETRANSLATE(B33,""zh-tw"",""ru"")"),"Все новости")</f>
        <v>Все новости</v>
      </c>
      <c r="AA33" s="165"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4" t="str">
        <f>IFERROR(__xludf.DUMMYFUNCTION("GOOGLETRANSLATE(I33,""zh-tw"",""en"")"),"R29")</f>
        <v>R29</v>
      </c>
      <c r="AD33" s="100" t="s">
        <v>2188</v>
      </c>
      <c r="AE33" s="167" t="s">
        <v>2189</v>
      </c>
      <c r="AF33" s="125" t="s">
        <v>2190</v>
      </c>
      <c r="AG33" s="93" t="s">
        <v>2176</v>
      </c>
      <c r="AH33" s="94" t="s">
        <v>2191</v>
      </c>
      <c r="AI33" s="168" t="s">
        <v>2192</v>
      </c>
      <c r="AJ33" s="96" t="s">
        <v>2193</v>
      </c>
      <c r="AK33" s="30"/>
      <c r="AL33" s="30"/>
    </row>
    <row r="34">
      <c r="A34" s="128" t="s">
        <v>2194</v>
      </c>
      <c r="B34" s="100" t="s">
        <v>2195</v>
      </c>
      <c r="C34" s="97" t="s">
        <v>2196</v>
      </c>
      <c r="D34" s="52" t="s">
        <v>2197</v>
      </c>
      <c r="E34" s="128" t="str">
        <f>IFERROR(__xludf.DUMMYFUNCTION("GOOGLETRANSLATE(A34,""zh-tw"",""ja"")"),"R30")</f>
        <v>R30</v>
      </c>
      <c r="F34" s="100" t="s">
        <v>2198</v>
      </c>
      <c r="G34" s="97" t="s">
        <v>2199</v>
      </c>
      <c r="H34" s="52" t="s">
        <v>2200</v>
      </c>
      <c r="I34" s="128" t="str">
        <f>IFERROR(__xludf.DUMMYFUNCTION("GOOGLETRANSLATE(A34,""zh-tw"",""en"")"),"R30")</f>
        <v>R30</v>
      </c>
      <c r="J34" s="100" t="s">
        <v>2201</v>
      </c>
      <c r="K34" s="97" t="s">
        <v>2202</v>
      </c>
      <c r="L34" s="52" t="s">
        <v>2203</v>
      </c>
      <c r="M34" s="137"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7"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4"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4" t="str">
        <f>IFERROR(__xludf.DUMMYFUNCTION("GOOGLETRANSLATE(E34,""zh-tw"",""en"")"),"R30")</f>
        <v>R30</v>
      </c>
      <c r="Z34" s="100" t="str">
        <f>IFERROR(__xludf.DUMMYFUNCTION("GOOGLETRANSLATE(B34,""zh-tw"",""ru"")"),"Устаревшее письмо")</f>
        <v>Устаревшее письмо</v>
      </c>
      <c r="AA34" s="165" t="str">
        <f>IFERROR(__xludf.DUMMYFUNCTION("GOOGLETRANSLATE(C34,""zh-tw"",""RU"")"),"Тропа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f>
        <v>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4" t="str">
        <f>IFERROR(__xludf.DUMMYFUNCTION("GOOGLETRANSLATE(I34,""zh-tw"",""en"")"),"R30")</f>
        <v>R30</v>
      </c>
      <c r="AD34" s="100" t="s">
        <v>2204</v>
      </c>
      <c r="AE34" s="167" t="s">
        <v>2205</v>
      </c>
      <c r="AF34" s="125" t="s">
        <v>2206</v>
      </c>
      <c r="AG34" s="93" t="s">
        <v>2194</v>
      </c>
      <c r="AH34" s="94" t="s">
        <v>2207</v>
      </c>
      <c r="AI34" s="168" t="s">
        <v>2208</v>
      </c>
      <c r="AJ34" s="96" t="s">
        <v>2209</v>
      </c>
      <c r="AK34" s="30"/>
      <c r="AL34" s="30"/>
    </row>
    <row r="35">
      <c r="A35" s="128" t="s">
        <v>2210</v>
      </c>
      <c r="B35" s="100" t="s">
        <v>2211</v>
      </c>
      <c r="C35" s="97" t="s">
        <v>2212</v>
      </c>
      <c r="D35" s="52" t="s">
        <v>2213</v>
      </c>
      <c r="E35" s="128" t="str">
        <f>IFERROR(__xludf.DUMMYFUNCTION("GOOGLETRANSLATE(A35,""zh-tw"",""ja"")"),"R31")</f>
        <v>R31</v>
      </c>
      <c r="F35" s="100" t="s">
        <v>2214</v>
      </c>
      <c r="G35" s="97" t="s">
        <v>2215</v>
      </c>
      <c r="H35" s="52" t="s">
        <v>2216</v>
      </c>
      <c r="I35" s="128" t="str">
        <f>IFERROR(__xludf.DUMMYFUNCTION("GOOGLETRANSLATE(A35,""zh-tw"",""en"")"),"R31")</f>
        <v>R31</v>
      </c>
      <c r="J35" s="100" t="s">
        <v>2217</v>
      </c>
      <c r="K35" s="97" t="s">
        <v>2218</v>
      </c>
      <c r="L35" s="52" t="s">
        <v>2219</v>
      </c>
      <c r="M35" s="137"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7" t="str">
        <f>IFERROR(__xludf.DUMMYFUNCTION("GOOGLETRANSLATE(A35,""zh-tw"",""ja"")"),"R31")</f>
        <v>R31</v>
      </c>
      <c r="R35" s="100" t="s">
        <v>2220</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4"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4" t="str">
        <f>IFERROR(__xludf.DUMMYFUNCTION("GOOGLETRANSLATE(E35,""zh-tw"",""en"")"),"R31")</f>
        <v>R31</v>
      </c>
      <c r="Z35" s="100" t="str">
        <f>IFERROR(__xludf.DUMMYFUNCTION("GOOGLETRANSLATE(B35,""zh-tw"",""ru"")"),"Жаркая погода 1")</f>
        <v>Жаркая погода 1</v>
      </c>
      <c r="AA35" s="165"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4" t="str">
        <f>IFERROR(__xludf.DUMMYFUNCTION("GOOGLETRANSLATE(I35,""zh-tw"",""en"")"),"R31")</f>
        <v>R31</v>
      </c>
      <c r="AD35" s="100" t="s">
        <v>2221</v>
      </c>
      <c r="AE35" s="167" t="s">
        <v>2222</v>
      </c>
      <c r="AF35" s="125" t="s">
        <v>2223</v>
      </c>
      <c r="AG35" s="93" t="s">
        <v>2210</v>
      </c>
      <c r="AH35" s="94" t="s">
        <v>2224</v>
      </c>
      <c r="AI35" s="168" t="s">
        <v>2225</v>
      </c>
      <c r="AJ35" s="96" t="s">
        <v>2226</v>
      </c>
      <c r="AK35" s="30"/>
      <c r="AL35" s="30"/>
    </row>
    <row r="36">
      <c r="A36" s="128" t="s">
        <v>2227</v>
      </c>
      <c r="B36" s="100" t="s">
        <v>2228</v>
      </c>
      <c r="C36" s="97" t="s">
        <v>2229</v>
      </c>
      <c r="D36" s="52" t="s">
        <v>2230</v>
      </c>
      <c r="E36" s="128" t="str">
        <f>IFERROR(__xludf.DUMMYFUNCTION("GOOGLETRANSLATE(A36,""zh-tw"",""ja"")"),"R32")</f>
        <v>R32</v>
      </c>
      <c r="F36" s="100" t="s">
        <v>2231</v>
      </c>
      <c r="G36" s="97" t="s">
        <v>2232</v>
      </c>
      <c r="H36" s="52" t="s">
        <v>2233</v>
      </c>
      <c r="I36" s="128" t="str">
        <f>IFERROR(__xludf.DUMMYFUNCTION("GOOGLETRANSLATE(A36,""zh-tw"",""en"")"),"R32")</f>
        <v>R32</v>
      </c>
      <c r="J36" s="100" t="s">
        <v>2234</v>
      </c>
      <c r="K36" s="97" t="s">
        <v>2235</v>
      </c>
      <c r="L36" s="52" t="s">
        <v>2236</v>
      </c>
      <c r="M36" s="137"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7" t="str">
        <f>IFERROR(__xludf.DUMMYFUNCTION("GOOGLETRANSLATE(A36,""zh-tw"",""ja"")"),"R32")</f>
        <v>R32</v>
      </c>
      <c r="R36" s="100" t="s">
        <v>2237</v>
      </c>
      <c r="S36" s="97" t="s">
        <v>2238</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4"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4"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5"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4" t="str">
        <f>IFERROR(__xludf.DUMMYFUNCTION("GOOGLETRANSLATE(I36,""zh-tw"",""en"")"),"R32")</f>
        <v>R32</v>
      </c>
      <c r="AD36" s="100" t="s">
        <v>2239</v>
      </c>
      <c r="AE36" s="167" t="s">
        <v>2240</v>
      </c>
      <c r="AF36" s="125" t="s">
        <v>2241</v>
      </c>
      <c r="AG36" s="93" t="s">
        <v>2227</v>
      </c>
      <c r="AH36" s="94" t="s">
        <v>2242</v>
      </c>
      <c r="AI36" s="168" t="s">
        <v>2243</v>
      </c>
      <c r="AJ36" s="96" t="s">
        <v>2244</v>
      </c>
      <c r="AK36" s="30"/>
      <c r="AL36" s="30"/>
    </row>
    <row r="37">
      <c r="A37" s="128" t="s">
        <v>2245</v>
      </c>
      <c r="B37" s="100" t="s">
        <v>2246</v>
      </c>
      <c r="C37" s="97" t="s">
        <v>2247</v>
      </c>
      <c r="D37" s="52" t="s">
        <v>2248</v>
      </c>
      <c r="E37" s="128" t="str">
        <f>IFERROR(__xludf.DUMMYFUNCTION("GOOGLETRANSLATE(A37,""zh-tw"",""ja"")"),"R33")</f>
        <v>R33</v>
      </c>
      <c r="F37" s="100" t="s">
        <v>2249</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2250</v>
      </c>
      <c r="I37" s="128" t="str">
        <f>IFERROR(__xludf.DUMMYFUNCTION("GOOGLETRANSLATE(A37,""zh-tw"",""en"")"),"R33")</f>
        <v>R33</v>
      </c>
      <c r="J37" s="100" t="s">
        <v>2251</v>
      </c>
      <c r="K37" s="106" t="s">
        <v>2252</v>
      </c>
      <c r="L37" s="52" t="s">
        <v>2253</v>
      </c>
      <c r="M37" s="137"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7" t="str">
        <f>IFERROR(__xludf.DUMMYFUNCTION("GOOGLETRANSLATE(A37,""zh-tw"",""ja"")"),"R33")</f>
        <v>R33</v>
      </c>
      <c r="R37" s="100" t="s">
        <v>2254</v>
      </c>
      <c r="S37" s="97" t="s">
        <v>2255</v>
      </c>
      <c r="T37" s="55" t="str">
        <f>IFERROR(__xludf.DUMMYFUNCTION("GOOGLETRANSLATE(D37,""zh-tw"",""es-MX"")"),"Consigue un ventilador eléctrico.
Planta de ramas para climas cálidos.")</f>
        <v>Consigue un ventilador eléctrico.
Planta de ramas para climas cálidos.</v>
      </c>
      <c r="U37" s="164"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4"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5"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64" t="str">
        <f>IFERROR(__xludf.DUMMYFUNCTION("GOOGLETRANSLATE(I37,""zh-tw"",""en"")"),"R33")</f>
        <v>R33</v>
      </c>
      <c r="AD37" s="100" t="s">
        <v>2256</v>
      </c>
      <c r="AE37" s="167" t="s">
        <v>2257</v>
      </c>
      <c r="AF37" s="125" t="s">
        <v>2258</v>
      </c>
      <c r="AG37" s="93" t="s">
        <v>2245</v>
      </c>
      <c r="AH37" s="94" t="s">
        <v>2259</v>
      </c>
      <c r="AI37" s="168" t="s">
        <v>2260</v>
      </c>
      <c r="AJ37" s="96" t="s">
        <v>2261</v>
      </c>
      <c r="AK37" s="30"/>
      <c r="AL37" s="30"/>
    </row>
    <row r="38">
      <c r="A38" s="128" t="s">
        <v>2262</v>
      </c>
      <c r="B38" s="100"/>
      <c r="C38" s="97"/>
      <c r="D38" s="52"/>
      <c r="E38" s="128" t="s">
        <v>2262</v>
      </c>
      <c r="F38" s="100"/>
      <c r="G38" s="97"/>
      <c r="H38" s="52"/>
      <c r="I38" s="128" t="s">
        <v>2262</v>
      </c>
      <c r="J38" s="100"/>
      <c r="K38" s="97"/>
      <c r="L38" s="52"/>
      <c r="M38" s="128" t="s">
        <v>2262</v>
      </c>
      <c r="N38" s="100"/>
      <c r="O38" s="89"/>
      <c r="P38" s="55"/>
      <c r="Q38" s="128" t="s">
        <v>2262</v>
      </c>
      <c r="R38" s="100"/>
      <c r="S38" s="97"/>
      <c r="T38" s="55"/>
      <c r="U38" s="128" t="s">
        <v>2262</v>
      </c>
      <c r="V38" s="88"/>
      <c r="W38" s="89"/>
      <c r="X38" s="55"/>
      <c r="Y38" s="128" t="s">
        <v>2262</v>
      </c>
      <c r="Z38" s="100"/>
      <c r="AA38" s="165"/>
      <c r="AB38" s="44"/>
      <c r="AC38" s="128" t="s">
        <v>2262</v>
      </c>
      <c r="AD38" s="100"/>
      <c r="AE38" s="167"/>
      <c r="AF38" s="125"/>
      <c r="AG38" s="128" t="s">
        <v>2262</v>
      </c>
      <c r="AH38" s="94"/>
      <c r="AI38" s="168"/>
      <c r="AJ38" s="96"/>
      <c r="AK38" s="30"/>
      <c r="AL38" s="30"/>
    </row>
    <row r="39">
      <c r="A39" s="128" t="s">
        <v>2263</v>
      </c>
      <c r="B39" s="100" t="s">
        <v>2264</v>
      </c>
      <c r="C39" s="97" t="s">
        <v>2265</v>
      </c>
      <c r="D39" s="52" t="s">
        <v>2266</v>
      </c>
      <c r="E39" s="128" t="str">
        <f>IFERROR(__xludf.DUMMYFUNCTION("GOOGLETRANSLATE(A39,""zh-tw"",""ja"")"),"R35")</f>
        <v>R35</v>
      </c>
      <c r="F39" s="100" t="s">
        <v>2267</v>
      </c>
      <c r="G39" s="106" t="s">
        <v>2268</v>
      </c>
      <c r="H39" s="52" t="s">
        <v>2269</v>
      </c>
      <c r="I39" s="128" t="str">
        <f>IFERROR(__xludf.DUMMYFUNCTION("GOOGLETRANSLATE(A39,""zh-tw"",""en"")"),"R35")</f>
        <v>R35</v>
      </c>
      <c r="J39" s="100" t="s">
        <v>2270</v>
      </c>
      <c r="K39" s="97" t="s">
        <v>2271</v>
      </c>
      <c r="L39" s="52" t="s">
        <v>2272</v>
      </c>
      <c r="M39" s="137" t="str">
        <f>IFERROR(__xludf.DUMMYFUNCTION("GOOGLETRANSLATE(A39,""zh-tw"",""en"")"),"R35")</f>
        <v>R35</v>
      </c>
      <c r="N39" s="100" t="str">
        <f>IFERROR(__xludf.DUMMYFUNCTION("GOOGLETRANSLATE(B39,""zh-tw"",""zh"")"),"神秘商店")</f>
        <v>神秘商店</v>
      </c>
      <c r="O39" s="97" t="s">
        <v>2273</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7" t="str">
        <f>IFERROR(__xludf.DUMMYFUNCTION("GOOGLETRANSLATE(A39,""zh-tw"",""ja"")"),"R35")</f>
        <v>R35</v>
      </c>
      <c r="R39" s="100" t="s">
        <v>2274</v>
      </c>
      <c r="S39" s="97" t="s">
        <v>2275</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4"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ENTER"&amp;" 키를 눌러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 키를 눌러 소환하세요.</v>
      </c>
      <c r="Y39" s="164" t="str">
        <f>IFERROR(__xludf.DUMMYFUNCTION("GOOGLETRANSLATE(E39,""zh-tw"",""en"")"),"R35")</f>
        <v>R35</v>
      </c>
      <c r="Z39" s="100" t="str">
        <f>IFERROR(__xludf.DUMMYFUNCTION("GOOGLETRANSLATE(B39,""zh-tw"",""ru"")"),"Тайный магазин")</f>
        <v>Тайный магазин</v>
      </c>
      <c r="AA39" s="165"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4" t="str">
        <f>IFERROR(__xludf.DUMMYFUNCTION("GOOGLETRANSLATE(I39,""zh-tw"",""en"")"),"R35")</f>
        <v>R35</v>
      </c>
      <c r="AD39" s="100" t="s">
        <v>2276</v>
      </c>
      <c r="AE39" s="167" t="s">
        <v>2277</v>
      </c>
      <c r="AF39" s="125" t="s">
        <v>2278</v>
      </c>
      <c r="AG39" s="93" t="s">
        <v>2263</v>
      </c>
      <c r="AH39" s="94" t="s">
        <v>2279</v>
      </c>
      <c r="AI39" s="168" t="s">
        <v>2280</v>
      </c>
      <c r="AJ39" s="96" t="s">
        <v>2281</v>
      </c>
      <c r="AK39" s="30"/>
      <c r="AL39" s="30"/>
    </row>
    <row r="40">
      <c r="A40" s="128" t="s">
        <v>2282</v>
      </c>
      <c r="B40" s="100" t="s">
        <v>2283</v>
      </c>
      <c r="C40" s="97" t="s">
        <v>2284</v>
      </c>
      <c r="D40" s="52" t="s">
        <v>2285</v>
      </c>
      <c r="E40" s="128" t="str">
        <f>IFERROR(__xludf.DUMMYFUNCTION("GOOGLETRANSLATE(A40,""zh-tw"",""ja"")"),"R36")</f>
        <v>R36</v>
      </c>
      <c r="F40" s="100" t="s">
        <v>2286</v>
      </c>
      <c r="G40" s="106" t="s">
        <v>2287</v>
      </c>
      <c r="H40" s="52" t="s">
        <v>2288</v>
      </c>
      <c r="I40" s="128" t="str">
        <f>IFERROR(__xludf.DUMMYFUNCTION("GOOGLETRANSLATE(A40,""zh-tw"",""en"")"),"R36")</f>
        <v>R36</v>
      </c>
      <c r="J40" s="100" t="s">
        <v>2289</v>
      </c>
      <c r="K40" s="97" t="s">
        <v>2290</v>
      </c>
      <c r="L40" s="52" t="s">
        <v>2291</v>
      </c>
      <c r="M40" s="137"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7" t="str">
        <f>IFERROR(__xludf.DUMMYFUNCTION("GOOGLETRANSLATE(A40,""zh-tw"",""ja"")"),"R36")</f>
        <v>R36</v>
      </c>
      <c r="R40" s="100" t="s">
        <v>2292</v>
      </c>
      <c r="S40" s="97" t="s">
        <v>2293</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4"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4" t="str">
        <f>IFERROR(__xludf.DUMMYFUNCTION("GOOGLETRANSLATE(E40,""zh-tw"",""en"")"),"R36")</f>
        <v>R36</v>
      </c>
      <c r="Z40" s="100" t="str">
        <f>IFERROR(__xludf.DUMMYFUNCTION("GOOGLETRANSLATE(B40,""zh-tw"",""ru"")"),"Тайный магазин-1")</f>
        <v>Тайный магазин-1</v>
      </c>
      <c r="AA40" s="165"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4" t="str">
        <f>IFERROR(__xludf.DUMMYFUNCTION("GOOGLETRANSLATE(I40,""zh-tw"",""en"")"),"R36")</f>
        <v>R36</v>
      </c>
      <c r="AD40" s="100" t="s">
        <v>2294</v>
      </c>
      <c r="AE40" s="167" t="s">
        <v>2295</v>
      </c>
      <c r="AF40" s="125" t="s">
        <v>2296</v>
      </c>
      <c r="AG40" s="93" t="s">
        <v>2282</v>
      </c>
      <c r="AH40" s="94" t="s">
        <v>2297</v>
      </c>
      <c r="AI40" s="168" t="s">
        <v>2298</v>
      </c>
      <c r="AJ40" s="96" t="s">
        <v>2299</v>
      </c>
      <c r="AK40" s="30"/>
      <c r="AL40" s="30"/>
    </row>
    <row r="41">
      <c r="A41" s="128" t="s">
        <v>2300</v>
      </c>
      <c r="B41" s="100" t="s">
        <v>2301</v>
      </c>
      <c r="C41" s="97" t="s">
        <v>2302</v>
      </c>
      <c r="D41" s="52" t="s">
        <v>2303</v>
      </c>
      <c r="E41" s="128" t="str">
        <f>IFERROR(__xludf.DUMMYFUNCTION("GOOGLETRANSLATE(A41,""zh-tw"",""ja"")"),"R37")</f>
        <v>R37</v>
      </c>
      <c r="F41" s="100" t="s">
        <v>2304</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2305</v>
      </c>
      <c r="K41" s="97" t="s">
        <v>2306</v>
      </c>
      <c r="L41" s="52" t="s">
        <v>2307</v>
      </c>
      <c r="M41" s="137"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7" t="str">
        <f>IFERROR(__xludf.DUMMYFUNCTION("GOOGLETRANSLATE(A41,""zh-tw"",""ja"")"),"R37")</f>
        <v>R37</v>
      </c>
      <c r="R41" s="100" t="s">
        <v>2308</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4"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4" t="str">
        <f>IFERROR(__xludf.DUMMYFUNCTION("GOOGLETRANSLATE(E41,""zh-tw"",""en"")"),"R37")</f>
        <v>R37</v>
      </c>
      <c r="Z41" s="100" t="str">
        <f>IFERROR(__xludf.DUMMYFUNCTION("GOOGLETRANSLATE(B41,""zh-tw"",""ru"")"),"Тайный магазин-2")</f>
        <v>Тайный магазин-2</v>
      </c>
      <c r="AA41" s="165"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4" t="str">
        <f>IFERROR(__xludf.DUMMYFUNCTION("GOOGLETRANSLATE(I41,""zh-tw"",""en"")"),"R37")</f>
        <v>R37</v>
      </c>
      <c r="AD41" s="100" t="s">
        <v>2309</v>
      </c>
      <c r="AE41" s="167" t="s">
        <v>2310</v>
      </c>
      <c r="AF41" s="125" t="s">
        <v>2311</v>
      </c>
      <c r="AG41" s="93" t="s">
        <v>2300</v>
      </c>
      <c r="AH41" s="94" t="s">
        <v>2312</v>
      </c>
      <c r="AI41" s="168" t="s">
        <v>2313</v>
      </c>
      <c r="AJ41" s="96" t="s">
        <v>2314</v>
      </c>
      <c r="AK41" s="30"/>
      <c r="AL41" s="30"/>
    </row>
    <row r="42">
      <c r="A42" s="128" t="s">
        <v>2315</v>
      </c>
      <c r="B42" s="100" t="s">
        <v>2316</v>
      </c>
      <c r="C42" s="97" t="s">
        <v>2317</v>
      </c>
      <c r="D42" s="52" t="s">
        <v>2318</v>
      </c>
      <c r="E42" s="128" t="str">
        <f>IFERROR(__xludf.DUMMYFUNCTION("GOOGLETRANSLATE(A42,""zh-tw"",""ja"")"),"R38")</f>
        <v>R38</v>
      </c>
      <c r="F42" s="100" t="s">
        <v>2319</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2320</v>
      </c>
      <c r="K42" s="97" t="s">
        <v>2321</v>
      </c>
      <c r="L42" s="52" t="s">
        <v>2322</v>
      </c>
      <c r="M42" s="137"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7" t="str">
        <f>IFERROR(__xludf.DUMMYFUNCTION("GOOGLETRANSLATE(A42,""zh-tw"",""ja"")"),"R38")</f>
        <v>R38</v>
      </c>
      <c r="R42" s="100" t="s">
        <v>2323</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4"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4" t="str">
        <f>IFERROR(__xludf.DUMMYFUNCTION("GOOGLETRANSLATE(E42,""zh-tw"",""en"")"),"R38")</f>
        <v>R38</v>
      </c>
      <c r="Z42" s="100" t="str">
        <f>IFERROR(__xludf.DUMMYFUNCTION("GOOGLETRANSLATE(B42,""zh-tw"",""ru"")"),"Тайный магазин-3")</f>
        <v>Тайный магазин-3</v>
      </c>
      <c r="AA42" s="165"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4" t="str">
        <f>IFERROR(__xludf.DUMMYFUNCTION("GOOGLETRANSLATE(I42,""zh-tw"",""en"")"),"R38")</f>
        <v>R38</v>
      </c>
      <c r="AD42" s="100" t="s">
        <v>2324</v>
      </c>
      <c r="AE42" s="167" t="s">
        <v>2325</v>
      </c>
      <c r="AF42" s="125" t="s">
        <v>2326</v>
      </c>
      <c r="AG42" s="93" t="s">
        <v>2315</v>
      </c>
      <c r="AH42" s="94" t="s">
        <v>2327</v>
      </c>
      <c r="AI42" s="168" t="s">
        <v>2328</v>
      </c>
      <c r="AJ42" s="96" t="s">
        <v>2329</v>
      </c>
      <c r="AK42" s="30"/>
      <c r="AL42" s="30"/>
    </row>
    <row r="43">
      <c r="A43" s="128" t="s">
        <v>2330</v>
      </c>
      <c r="B43" s="100" t="s">
        <v>2331</v>
      </c>
      <c r="C43" s="97" t="s">
        <v>2332</v>
      </c>
      <c r="D43" s="52" t="s">
        <v>2333</v>
      </c>
      <c r="E43" s="128" t="str">
        <f>IFERROR(__xludf.DUMMYFUNCTION("GOOGLETRANSLATE(A43,""zh-tw"",""ja"")"),"R39")</f>
        <v>R39</v>
      </c>
      <c r="F43" s="100" t="s">
        <v>2334</v>
      </c>
      <c r="G43" s="106" t="s">
        <v>2335</v>
      </c>
      <c r="H43" s="52" t="s">
        <v>2336</v>
      </c>
      <c r="I43" s="128" t="str">
        <f>IFERROR(__xludf.DUMMYFUNCTION("GOOGLETRANSLATE(A43,""zh-tw"",""en"")"),"R39")</f>
        <v>R39</v>
      </c>
      <c r="J43" s="100" t="s">
        <v>2337</v>
      </c>
      <c r="K43" s="97" t="s">
        <v>2338</v>
      </c>
      <c r="L43" s="52" t="s">
        <v>2339</v>
      </c>
      <c r="M43" s="137"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2340</v>
      </c>
      <c r="Q43" s="137" t="str">
        <f>IFERROR(__xludf.DUMMYFUNCTION("GOOGLETRANSLATE(A43,""zh-tw"",""ja"")"),"R39")</f>
        <v>R39</v>
      </c>
      <c r="R43" s="100" t="s">
        <v>2341</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4"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4" t="str">
        <f>IFERROR(__xludf.DUMMYFUNCTION("GOOGLETRANSLATE(E43,""zh-tw"",""en"")"),"R39")</f>
        <v>R39</v>
      </c>
      <c r="Z43" s="100" t="str">
        <f>IFERROR(__xludf.DUMMYFUNCTION("GOOGLETRANSLATE(B43,""zh-tw"",""ru"")"),"Тайный магазин-4")</f>
        <v>Тайный магазин-4</v>
      </c>
      <c r="AA43" s="165"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4" t="str">
        <f>IFERROR(__xludf.DUMMYFUNCTION("GOOGLETRANSLATE(I43,""zh-tw"",""en"")"),"R39")</f>
        <v>R39</v>
      </c>
      <c r="AD43" s="100" t="s">
        <v>2342</v>
      </c>
      <c r="AE43" s="167" t="s">
        <v>2343</v>
      </c>
      <c r="AF43" s="125" t="s">
        <v>2344</v>
      </c>
      <c r="AG43" s="93" t="s">
        <v>2330</v>
      </c>
      <c r="AH43" s="94" t="s">
        <v>2345</v>
      </c>
      <c r="AI43" s="168" t="s">
        <v>2346</v>
      </c>
      <c r="AJ43" s="96" t="s">
        <v>2347</v>
      </c>
      <c r="AK43" s="30"/>
      <c r="AL43" s="30"/>
    </row>
    <row r="44">
      <c r="A44" s="128" t="s">
        <v>2348</v>
      </c>
      <c r="B44" s="100" t="s">
        <v>2349</v>
      </c>
      <c r="C44" s="97" t="s">
        <v>2350</v>
      </c>
      <c r="D44" s="52" t="s">
        <v>2351</v>
      </c>
      <c r="E44" s="128" t="str">
        <f>IFERROR(__xludf.DUMMYFUNCTION("GOOGLETRANSLATE(A44,""zh-tw"",""ja"")"),"R40")</f>
        <v>R40</v>
      </c>
      <c r="F44" s="100" t="s">
        <v>2352</v>
      </c>
      <c r="G44" s="106" t="s">
        <v>2353</v>
      </c>
      <c r="H44" s="52" t="s">
        <v>2354</v>
      </c>
      <c r="I44" s="128" t="str">
        <f>IFERROR(__xludf.DUMMYFUNCTION("GOOGLETRANSLATE(A44,""zh-tw"",""en"")"),"R40")</f>
        <v>R40</v>
      </c>
      <c r="J44" s="100" t="s">
        <v>2355</v>
      </c>
      <c r="K44" s="97" t="s">
        <v>2356</v>
      </c>
      <c r="L44" s="52" t="s">
        <v>2357</v>
      </c>
      <c r="M44" s="137"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7" t="str">
        <f>IFERROR(__xludf.DUMMYFUNCTION("GOOGLETRANSLATE(A44,""zh-tw"",""ja"")"),"R40")</f>
        <v>R40</v>
      </c>
      <c r="R44" s="100" t="s">
        <v>2358</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4" t="str">
        <f>IFERROR(__xludf.DUMMYFUNCTION("GOOGLETRANSLATE(A44,""zh-tw"",""en"")"),"R40")</f>
        <v>R40</v>
      </c>
      <c r="V44" s="88" t="str">
        <f>IFERROR(__xludf.DUMMYFUNCTION("GOOGLETRANSLATE(B44,""zh-tw"",""KO"")"),"비밀 상점-5")</f>
        <v>비밀 상점-5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4" t="str">
        <f>IFERROR(__xludf.DUMMYFUNCTION("GOOGLETRANSLATE(E44,""zh-tw"",""en"")"),"R40")</f>
        <v>R40</v>
      </c>
      <c r="Z44" s="100" t="str">
        <f>IFERROR(__xludf.DUMMYFUNCTION("GOOGLETRANSLATE(B44,""zh-tw"",""ru"")"),"Секретный магазин-5")</f>
        <v>Секретный магазин-5</v>
      </c>
      <c r="AA44" s="165"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4" t="str">
        <f>IFERROR(__xludf.DUMMYFUNCTION("GOOGLETRANSLATE(I44,""zh-tw"",""en"")"),"R40")</f>
        <v>R40</v>
      </c>
      <c r="AD44" s="100" t="s">
        <v>2359</v>
      </c>
      <c r="AE44" s="167" t="s">
        <v>2360</v>
      </c>
      <c r="AF44" s="125" t="s">
        <v>2361</v>
      </c>
      <c r="AG44" s="93" t="s">
        <v>2348</v>
      </c>
      <c r="AH44" s="94" t="s">
        <v>2362</v>
      </c>
      <c r="AI44" s="168" t="s">
        <v>2363</v>
      </c>
      <c r="AJ44" s="96" t="s">
        <v>2364</v>
      </c>
      <c r="AK44" s="30"/>
      <c r="AL44" s="30"/>
    </row>
    <row r="45">
      <c r="A45" s="128" t="s">
        <v>2365</v>
      </c>
      <c r="B45" s="100" t="s">
        <v>2366</v>
      </c>
      <c r="C45" s="97" t="s">
        <v>2367</v>
      </c>
      <c r="D45" s="52" t="s">
        <v>2368</v>
      </c>
      <c r="E45" s="128" t="s">
        <v>2365</v>
      </c>
      <c r="F45" s="100" t="s">
        <v>2369</v>
      </c>
      <c r="G45" s="106" t="s">
        <v>2370</v>
      </c>
      <c r="H45" s="52" t="s">
        <v>2371</v>
      </c>
      <c r="I45" s="128" t="s">
        <v>2365</v>
      </c>
      <c r="J45" s="100" t="s">
        <v>2372</v>
      </c>
      <c r="K45" s="97" t="s">
        <v>2373</v>
      </c>
      <c r="L45" s="52" t="s">
        <v>2374</v>
      </c>
      <c r="M45" s="128" t="s">
        <v>2365</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2365</v>
      </c>
      <c r="R45" s="100"/>
      <c r="S45" s="89"/>
      <c r="T45" s="55"/>
      <c r="U45" s="170" t="s">
        <v>2365</v>
      </c>
      <c r="V45" s="88"/>
      <c r="W45" s="89"/>
      <c r="X45" s="55"/>
      <c r="Y45" s="170" t="s">
        <v>2365</v>
      </c>
      <c r="Z45" s="100"/>
      <c r="AA45" s="165"/>
      <c r="AB45" s="44"/>
      <c r="AC45" s="170" t="s">
        <v>2365</v>
      </c>
      <c r="AD45" s="100" t="s">
        <v>2375</v>
      </c>
      <c r="AE45" s="167" t="s">
        <v>2376</v>
      </c>
      <c r="AF45" s="125" t="s">
        <v>2377</v>
      </c>
      <c r="AG45" s="93" t="s">
        <v>2365</v>
      </c>
      <c r="AH45" s="94" t="s">
        <v>2378</v>
      </c>
      <c r="AI45" s="168" t="s">
        <v>2379</v>
      </c>
      <c r="AJ45" s="96" t="s">
        <v>2380</v>
      </c>
      <c r="AK45" s="30"/>
      <c r="AL45" s="30"/>
    </row>
    <row r="46" ht="113.25" customHeight="1">
      <c r="A46" s="128" t="s">
        <v>2381</v>
      </c>
      <c r="B46" s="100" t="s">
        <v>2382</v>
      </c>
      <c r="C46" s="97" t="s">
        <v>2383</v>
      </c>
      <c r="D46" s="52" t="s">
        <v>2384</v>
      </c>
      <c r="E46" s="128" t="str">
        <f>IFERROR(__xludf.DUMMYFUNCTION("GOOGLETRANSLATE(A46,""zh-tw"",""ja"")"),"R42")</f>
        <v>R42</v>
      </c>
      <c r="F46" s="100" t="s">
        <v>2385</v>
      </c>
      <c r="G46" s="97" t="s">
        <v>2386</v>
      </c>
      <c r="H46" s="52" t="s">
        <v>2387</v>
      </c>
      <c r="I46" s="128" t="str">
        <f>IFERROR(__xludf.DUMMYFUNCTION("GOOGLETRANSLATE(A46,""zh-tw"",""en"")"),"R42")</f>
        <v>R42</v>
      </c>
      <c r="J46" s="100" t="s">
        <v>2388</v>
      </c>
      <c r="K46" s="97" t="s">
        <v>2389</v>
      </c>
      <c r="L46" s="52" t="s">
        <v>2390</v>
      </c>
      <c r="M46" s="137"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7" t="str">
        <f>IFERROR(__xludf.DUMMYFUNCTION("GOOGLETRANSLATE(A46,""zh-tw"",""ja"")"),"R42")</f>
        <v>R42</v>
      </c>
      <c r="R46" s="88" t="str">
        <f>IFERROR(__xludf.DUMMYFUNCTION("GOOGLETRANSLATE(B46,""zh-tw"",""es-MX"")"),"Jefe del abismo")</f>
        <v>Jefe del abismo</v>
      </c>
      <c r="S46" s="97" t="s">
        <v>2391</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4"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4" t="str">
        <f>IFERROR(__xludf.DUMMYFUNCTION("GOOGLETRANSLATE(E46,""zh-tw"",""en"")"),"R42")</f>
        <v>R42</v>
      </c>
      <c r="Z46" s="100" t="str">
        <f>IFERROR(__xludf.DUMMYFUNCTION("GOOGLETRANSLATE(B46,""zh-tw"",""ru"")"),"Босс Бездны")</f>
        <v>Босс Бездны</v>
      </c>
      <c r="AA46" s="165"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4" t="str">
        <f>IFERROR(__xludf.DUMMYFUNCTION("GOOGLETRANSLATE(I46,""zh-tw"",""en"")"),"R42")</f>
        <v>R42</v>
      </c>
      <c r="AD46" s="100" t="s">
        <v>2392</v>
      </c>
      <c r="AE46" s="167" t="s">
        <v>2393</v>
      </c>
      <c r="AF46" s="125" t="s">
        <v>2394</v>
      </c>
      <c r="AG46" s="93" t="s">
        <v>2381</v>
      </c>
      <c r="AH46" s="94" t="s">
        <v>2395</v>
      </c>
      <c r="AI46" s="168" t="s">
        <v>2396</v>
      </c>
      <c r="AJ46" s="96" t="s">
        <v>2397</v>
      </c>
      <c r="AK46" s="30"/>
      <c r="AL46" s="30"/>
    </row>
    <row r="47">
      <c r="A47" s="128" t="s">
        <v>2398</v>
      </c>
      <c r="B47" s="100" t="s">
        <v>2399</v>
      </c>
      <c r="C47" s="97" t="s">
        <v>2400</v>
      </c>
      <c r="D47" s="52" t="s">
        <v>2401</v>
      </c>
      <c r="E47" s="128" t="str">
        <f>IFERROR(__xludf.DUMMYFUNCTION("GOOGLETRANSLATE(A47,""zh-tw"",""ja"")"),"R43")</f>
        <v>R43</v>
      </c>
      <c r="F47" s="100" t="s">
        <v>2402</v>
      </c>
      <c r="G47" s="97" t="s">
        <v>2403</v>
      </c>
      <c r="H47" s="52" t="s">
        <v>2404</v>
      </c>
      <c r="I47" s="128" t="str">
        <f>IFERROR(__xludf.DUMMYFUNCTION("GOOGLETRANSLATE(A47,""zh-tw"",""en"")"),"R43")</f>
        <v>R43</v>
      </c>
      <c r="J47" s="100" t="s">
        <v>2405</v>
      </c>
      <c r="K47" s="97" t="s">
        <v>2406</v>
      </c>
      <c r="L47" s="52" t="s">
        <v>2407</v>
      </c>
      <c r="M47" s="137"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7"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4"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4" t="str">
        <f>IFERROR(__xludf.DUMMYFUNCTION("GOOGLETRANSLATE(E47,""zh-tw"",""en"")"),"R43")</f>
        <v>R43</v>
      </c>
      <c r="Z47" s="100" t="str">
        <f>IFERROR(__xludf.DUMMYFUNCTION("GOOGLETRANSLATE(B47,""zh-tw"",""ru"")"),"Фрагмент небесного камня 1")</f>
        <v>Фрагмент небесного камня 1</v>
      </c>
      <c r="AA47" s="165"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4" t="str">
        <f>IFERROR(__xludf.DUMMYFUNCTION("GOOGLETRANSLATE(I47,""zh-tw"",""en"")"),"R43")</f>
        <v>R43</v>
      </c>
      <c r="AD47" s="100" t="s">
        <v>2408</v>
      </c>
      <c r="AE47" s="167" t="s">
        <v>2409</v>
      </c>
      <c r="AF47" s="125" t="s">
        <v>2410</v>
      </c>
      <c r="AG47" s="93" t="s">
        <v>2398</v>
      </c>
      <c r="AH47" s="94" t="s">
        <v>2411</v>
      </c>
      <c r="AI47" s="168" t="s">
        <v>2412</v>
      </c>
      <c r="AJ47" s="96" t="s">
        <v>2413</v>
      </c>
      <c r="AK47" s="30"/>
      <c r="AL47" s="30"/>
    </row>
    <row r="48">
      <c r="A48" s="128" t="s">
        <v>2414</v>
      </c>
      <c r="B48" s="100" t="s">
        <v>2415</v>
      </c>
      <c r="C48" s="97" t="s">
        <v>2416</v>
      </c>
      <c r="D48" s="52" t="s">
        <v>2417</v>
      </c>
      <c r="E48" s="128" t="str">
        <f>IFERROR(__xludf.DUMMYFUNCTION("GOOGLETRANSLATE(A48,""zh-tw"",""ja"")"),"R44")</f>
        <v>R44</v>
      </c>
      <c r="F48" s="100" t="s">
        <v>2418</v>
      </c>
      <c r="G48" s="97" t="s">
        <v>2419</v>
      </c>
      <c r="H48" s="52" t="s">
        <v>2420</v>
      </c>
      <c r="I48" s="128" t="str">
        <f>IFERROR(__xludf.DUMMYFUNCTION("GOOGLETRANSLATE(A48,""zh-tw"",""en"")"),"R44")</f>
        <v>R44</v>
      </c>
      <c r="J48" s="100" t="s">
        <v>2421</v>
      </c>
      <c r="K48" s="97" t="s">
        <v>2422</v>
      </c>
      <c r="L48" s="52" t="s">
        <v>2423</v>
      </c>
      <c r="M48" s="137"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7"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4"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4" t="str">
        <f>IFERROR(__xludf.DUMMYFUNCTION("GOOGLETRANSLATE(E48,""zh-tw"",""en"")"),"R44")</f>
        <v>R44</v>
      </c>
      <c r="Z48" s="100" t="str">
        <f>IFERROR(__xludf.DUMMYFUNCTION("GOOGLETRANSLATE(B48,""zh-tw"",""ru"")"),"Фрагменты Небесного Камня 2")</f>
        <v>Фрагменты Небесного Камня 2</v>
      </c>
      <c r="AA48" s="165"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4" t="str">
        <f>IFERROR(__xludf.DUMMYFUNCTION("GOOGLETRANSLATE(I48,""zh-tw"",""en"")"),"R44")</f>
        <v>R44</v>
      </c>
      <c r="AD48" s="100" t="s">
        <v>2424</v>
      </c>
      <c r="AE48" s="167" t="s">
        <v>2425</v>
      </c>
      <c r="AF48" s="125" t="s">
        <v>2426</v>
      </c>
      <c r="AG48" s="93" t="s">
        <v>2414</v>
      </c>
      <c r="AH48" s="94" t="s">
        <v>2427</v>
      </c>
      <c r="AI48" s="168" t="s">
        <v>2428</v>
      </c>
      <c r="AJ48" s="96" t="s">
        <v>2429</v>
      </c>
      <c r="AK48" s="30"/>
      <c r="AL48" s="30"/>
    </row>
    <row r="49">
      <c r="A49" s="128" t="s">
        <v>2430</v>
      </c>
      <c r="B49" s="100" t="s">
        <v>2431</v>
      </c>
      <c r="C49" s="97" t="s">
        <v>2432</v>
      </c>
      <c r="D49" s="52" t="s">
        <v>2433</v>
      </c>
      <c r="E49" s="128" t="str">
        <f>IFERROR(__xludf.DUMMYFUNCTION("GOOGLETRANSLATE(A49,""zh-tw"",""ja"")"),"R45")</f>
        <v>R45</v>
      </c>
      <c r="F49" s="100" t="s">
        <v>2434</v>
      </c>
      <c r="G49" s="106" t="s">
        <v>2435</v>
      </c>
      <c r="H49" s="52" t="s">
        <v>2436</v>
      </c>
      <c r="I49" s="128" t="str">
        <f>IFERROR(__xludf.DUMMYFUNCTION("GOOGLETRANSLATE(A49,""zh-tw"",""en"")"),"R45")</f>
        <v>R45</v>
      </c>
      <c r="J49" s="100" t="s">
        <v>2437</v>
      </c>
      <c r="K49" s="97" t="s">
        <v>2438</v>
      </c>
      <c r="L49" s="52" t="s">
        <v>2439</v>
      </c>
      <c r="M49" s="137"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7" t="str">
        <f>IFERROR(__xludf.DUMMYFUNCTION("GOOGLETRANSLATE(A49,""zh-tw"",""ja"")"),"R45")</f>
        <v>R45</v>
      </c>
      <c r="R49" s="100" t="s">
        <v>2440</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4"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4" t="str">
        <f>IFERROR(__xludf.DUMMYFUNCTION("GOOGLETRANSLATE(E49,""zh-tw"",""en"")"),"R45")</f>
        <v>R45</v>
      </c>
      <c r="Z49" s="100" t="str">
        <f>IFERROR(__xludf.DUMMYFUNCTION("GOOGLETRANSLATE(B49,""zh-tw"",""ru"")"),"Искупление")</f>
        <v>Искупление</v>
      </c>
      <c r="AA49" s="165"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4" t="str">
        <f>IFERROR(__xludf.DUMMYFUNCTION("GOOGLETRANSLATE(I49,""zh-tw"",""en"")"),"R45")</f>
        <v>R45</v>
      </c>
      <c r="AD49" s="100" t="s">
        <v>2441</v>
      </c>
      <c r="AE49" s="167" t="s">
        <v>2442</v>
      </c>
      <c r="AF49" s="125" t="s">
        <v>2443</v>
      </c>
      <c r="AG49" s="93" t="s">
        <v>2430</v>
      </c>
      <c r="AH49" s="94" t="s">
        <v>2444</v>
      </c>
      <c r="AI49" s="168" t="s">
        <v>2445</v>
      </c>
      <c r="AJ49" s="96" t="s">
        <v>2446</v>
      </c>
      <c r="AK49" s="30"/>
      <c r="AL49" s="30"/>
    </row>
    <row r="50">
      <c r="A50" s="128" t="s">
        <v>2447</v>
      </c>
      <c r="B50" s="100" t="s">
        <v>2448</v>
      </c>
      <c r="C50" s="97" t="s">
        <v>2449</v>
      </c>
      <c r="D50" s="52" t="s">
        <v>2450</v>
      </c>
      <c r="E50" s="128" t="str">
        <f>IFERROR(__xludf.DUMMYFUNCTION("GOOGLETRANSLATE(A50,""zh-tw"",""ja"")"),"R46")</f>
        <v>R46</v>
      </c>
      <c r="F50" s="100" t="s">
        <v>2451</v>
      </c>
      <c r="G50" s="106" t="s">
        <v>2452</v>
      </c>
      <c r="H50" s="52" t="s">
        <v>2453</v>
      </c>
      <c r="I50" s="128" t="str">
        <f>IFERROR(__xludf.DUMMYFUNCTION("GOOGLETRANSLATE(A50,""zh-tw"",""en"")"),"R46")</f>
        <v>R46</v>
      </c>
      <c r="J50" s="100" t="s">
        <v>2454</v>
      </c>
      <c r="K50" s="97" t="s">
        <v>2455</v>
      </c>
      <c r="L50" s="52" t="s">
        <v>2456</v>
      </c>
      <c r="M50" s="137"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7" t="str">
        <f>IFERROR(__xludf.DUMMYFUNCTION("GOOGLETRANSLATE(A50,""zh-tw"",""ja"")"),"R46")</f>
        <v>R46</v>
      </c>
      <c r="R50" s="88" t="str">
        <f>IFERROR(__xludf.DUMMYFUNCTION("GOOGLETRANSLATE(B50,""zh-tw"",""es-MX"")"),"Objetos ocultos de la iglesia-1")</f>
        <v>Objetos ocultos de la iglesia-1</v>
      </c>
      <c r="S50" s="97" t="s">
        <v>2457</v>
      </c>
      <c r="T50" s="55" t="str">
        <f>IFERROR(__xludf.DUMMYFUNCTION("GOOGLETRANSLATE(D50,""zh-tw"",""es-MX"")"),"Equipo: Misericordia de la Santa Doncella")</f>
        <v>Equipo: Misericordia de la Santa Doncella</v>
      </c>
      <c r="U50" s="164"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4" t="str">
        <f>IFERROR(__xludf.DUMMYFUNCTION("GOOGLETRANSLATE(E50,""zh-tw"",""en"")"),"R46")</f>
        <v>R46</v>
      </c>
      <c r="Z50" s="100" t="str">
        <f>IFERROR(__xludf.DUMMYFUNCTION("GOOGLETRANSLATE(B50,""zh-tw"",""ru"")"),"Поиск предметов в церкви-1")</f>
        <v>Поиск предметов в церкви-1</v>
      </c>
      <c r="AA50" s="165"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4" t="str">
        <f>IFERROR(__xludf.DUMMYFUNCTION("GOOGLETRANSLATE(I50,""zh-tw"",""en"")"),"R46")</f>
        <v>R46</v>
      </c>
      <c r="AD50" s="100" t="s">
        <v>2458</v>
      </c>
      <c r="AE50" s="167" t="s">
        <v>2459</v>
      </c>
      <c r="AF50" s="125" t="s">
        <v>2460</v>
      </c>
      <c r="AG50" s="93" t="s">
        <v>2447</v>
      </c>
      <c r="AH50" s="94" t="s">
        <v>2461</v>
      </c>
      <c r="AI50" s="168" t="s">
        <v>2462</v>
      </c>
      <c r="AJ50" s="96" t="s">
        <v>2463</v>
      </c>
      <c r="AK50" s="30"/>
      <c r="AL50" s="30"/>
    </row>
    <row r="51">
      <c r="A51" s="128" t="s">
        <v>2464</v>
      </c>
      <c r="B51" s="100" t="s">
        <v>2465</v>
      </c>
      <c r="C51" s="97" t="s">
        <v>2466</v>
      </c>
      <c r="D51" s="52" t="s">
        <v>2467</v>
      </c>
      <c r="E51" s="128" t="str">
        <f>IFERROR(__xludf.DUMMYFUNCTION("GOOGLETRANSLATE(A51,""zh-tw"",""ja"")"),"R47")</f>
        <v>R47</v>
      </c>
      <c r="F51" s="100" t="s">
        <v>2468</v>
      </c>
      <c r="G51" s="106" t="s">
        <v>2469</v>
      </c>
      <c r="H51" s="52" t="s">
        <v>2470</v>
      </c>
      <c r="I51" s="128" t="str">
        <f>IFERROR(__xludf.DUMMYFUNCTION("GOOGLETRANSLATE(A51,""zh-tw"",""en"")"),"R47")</f>
        <v>R47</v>
      </c>
      <c r="J51" s="100" t="s">
        <v>2471</v>
      </c>
      <c r="K51" s="97" t="s">
        <v>2472</v>
      </c>
      <c r="L51" s="52" t="s">
        <v>2473</v>
      </c>
      <c r="M51" s="137"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7" t="str">
        <f>IFERROR(__xludf.DUMMYFUNCTION("GOOGLETRANSLATE(A51,""zh-tw"",""ja"")"),"R47")</f>
        <v>R47</v>
      </c>
      <c r="R51" s="88" t="str">
        <f>IFERROR(__xludf.DUMMYFUNCTION("GOOGLETRANSLATE(B51,""zh-tw"",""es-MX"")"),"Carrito de compras-1")</f>
        <v>Carrito de compras-1</v>
      </c>
      <c r="S51" s="97" t="s">
        <v>2474</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64"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훔치는 것은 절도로 간주됩니다!")</f>
        <v>고양이 소녀 쇼핑 카트를 소환합니다.
아이템을 바로 집어 들지 마세요! 훔치는 것은 절도로 간주됩니다!</v>
      </c>
      <c r="Y51" s="164" t="str">
        <f>IFERROR(__xludf.DUMMYFUNCTION("GOOGLETRANSLATE(E51,""zh-tw"",""en"")"),"R47")</f>
        <v>R47</v>
      </c>
      <c r="Z51" s="100" t="str">
        <f>IFERROR(__xludf.DUMMYFUNCTION("GOOGLETRANSLATE(B51,""zh-tw"",""ru"")"),"Корзина-1")</f>
        <v>Корзина-1</v>
      </c>
      <c r="AA51" s="165"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4" t="str">
        <f>IFERROR(__xludf.DUMMYFUNCTION("GOOGLETRANSLATE(I51,""zh-tw"",""en"")"),"R47")</f>
        <v>R47</v>
      </c>
      <c r="AD51" s="100" t="s">
        <v>2475</v>
      </c>
      <c r="AE51" s="167" t="s">
        <v>2476</v>
      </c>
      <c r="AF51" s="125" t="s">
        <v>2477</v>
      </c>
      <c r="AG51" s="93" t="s">
        <v>2464</v>
      </c>
      <c r="AH51" s="94" t="s">
        <v>2478</v>
      </c>
      <c r="AI51" s="168" t="s">
        <v>2479</v>
      </c>
      <c r="AJ51" s="96" t="s">
        <v>2480</v>
      </c>
      <c r="AK51" s="30"/>
      <c r="AL51" s="30"/>
    </row>
    <row r="52">
      <c r="A52" s="128" t="s">
        <v>2481</v>
      </c>
      <c r="B52" s="100" t="s">
        <v>2482</v>
      </c>
      <c r="C52" s="97" t="s">
        <v>2483</v>
      </c>
      <c r="D52" s="52" t="s">
        <v>2484</v>
      </c>
      <c r="E52" s="128" t="str">
        <f>IFERROR(__xludf.DUMMYFUNCTION("GOOGLETRANSLATE(A52,""zh-tw"",""ja"")"),"R48")</f>
        <v>R48</v>
      </c>
      <c r="F52" s="100" t="s">
        <v>2485</v>
      </c>
      <c r="G52" s="106" t="s">
        <v>2486</v>
      </c>
      <c r="H52" s="52" t="s">
        <v>2487</v>
      </c>
      <c r="I52" s="128" t="str">
        <f>IFERROR(__xludf.DUMMYFUNCTION("GOOGLETRANSLATE(A52,""zh-tw"",""en"")"),"R48")</f>
        <v>R48</v>
      </c>
      <c r="J52" s="100" t="s">
        <v>2488</v>
      </c>
      <c r="K52" s="97" t="s">
        <v>2489</v>
      </c>
      <c r="L52" s="52" t="s">
        <v>2490</v>
      </c>
      <c r="M52" s="137"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7"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4"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도전하지 마십시오.
추신: 시간 정지기를 사용하더라도 여전히 감지될 수 있습니다.")</f>
        <v>공격받을 것입니다.
경고: 고양이 소녀 아사바는 매우 강력하며 일반적으로 처치가 불가능합니다. 따라서 구출하기 전에 도전하지 마십시오.
추신: 시간 정지기를 사용하더라도 여전히 감지될 수 있습니다.</v>
      </c>
      <c r="Y52" s="164" t="str">
        <f>IFERROR(__xludf.DUMMYFUNCTION("GOOGLETRANSLATE(E52,""zh-tw"",""en"")"),"R48")</f>
        <v>R48</v>
      </c>
      <c r="Z52" s="100" t="str">
        <f>IFERROR(__xludf.DUMMYFUNCTION("GOOGLETRANSLATE(B52,""zh-tw"",""ru"")"),"Корзина-2")</f>
        <v>Корзина-2</v>
      </c>
      <c r="AA52" s="165"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4" t="str">
        <f>IFERROR(__xludf.DUMMYFUNCTION("GOOGLETRANSLATE(I52,""zh-tw"",""en"")"),"R48")</f>
        <v>R48</v>
      </c>
      <c r="AD52" s="100" t="s">
        <v>2491</v>
      </c>
      <c r="AE52" s="167" t="s">
        <v>2492</v>
      </c>
      <c r="AF52" s="125" t="s">
        <v>2493</v>
      </c>
      <c r="AG52" s="93" t="s">
        <v>2481</v>
      </c>
      <c r="AH52" s="94" t="s">
        <v>2494</v>
      </c>
      <c r="AI52" s="168" t="s">
        <v>2495</v>
      </c>
      <c r="AJ52" s="96" t="s">
        <v>2496</v>
      </c>
      <c r="AK52" s="30"/>
      <c r="AL52" s="30"/>
    </row>
    <row r="53">
      <c r="A53" s="128" t="s">
        <v>2497</v>
      </c>
      <c r="B53" s="100" t="s">
        <v>2498</v>
      </c>
      <c r="C53" s="97" t="s">
        <v>2499</v>
      </c>
      <c r="D53" s="52" t="s">
        <v>2500</v>
      </c>
      <c r="E53" s="128" t="str">
        <f>IFERROR(__xludf.DUMMYFUNCTION("GOOGLETRANSLATE(A53,""zh-tw"",""ja"")"),"R49")</f>
        <v>R49</v>
      </c>
      <c r="F53" s="100" t="s">
        <v>2501</v>
      </c>
      <c r="G53" s="106" t="s">
        <v>2502</v>
      </c>
      <c r="H53" s="52" t="s">
        <v>2503</v>
      </c>
      <c r="I53" s="128" t="str">
        <f>IFERROR(__xludf.DUMMYFUNCTION("GOOGLETRANSLATE(A53,""zh-tw"",""en"")"),"R49")</f>
        <v>R49</v>
      </c>
      <c r="J53" s="100" t="s">
        <v>2504</v>
      </c>
      <c r="K53" s="97" t="s">
        <v>2505</v>
      </c>
      <c r="L53" s="52" t="s">
        <v>2506</v>
      </c>
      <c r="M53" s="137"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7" t="str">
        <f>IFERROR(__xludf.DUMMYFUNCTION("GOOGLETRANSLATE(A53,""zh-tw"",""ja"")"),"R49")</f>
        <v>R49</v>
      </c>
      <c r="R53" s="88" t="str">
        <f>IFERROR(__xludf.DUMMYFUNCTION("GOOGLETRANSLATE(B53,""zh-tw"",""es-MX"")"),"Carrito de compras-3")</f>
        <v>Carrito de compras-3</v>
      </c>
      <c r="S53" s="97" t="s">
        <v>2507</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que parezcan "&amp;"misteriosas.
*Implementado.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que parezcan misteriosas.
*Implementado. Al usarla en el Abismo, el sonido de la foto atraerá la atención de los monstruos cercanos.
(Esta función aún está en sus primeras etapas, por lo que muchos detalles aún no se han implementado por completo).</v>
      </c>
      <c r="U53" s="164" t="str">
        <f>IFERROR(__xludf.DUMMYFUNCTION("GOOGLETRANSLATE(A53,""zh-tw"",""en"")"),"R49")</f>
        <v>R49</v>
      </c>
      <c r="V53" s="88" t="str">
        <f>IFERROR(__xludf.DUMMYFUNCTION("GOOGLETRANSLATE(B53,""zh-tw"",""KO"")"),"쇼핑 카트-3")</f>
        <v>쇼핑 카트-3</v>
      </c>
      <c r="W53" s="89" t="str">
        <f>IFERROR(__xludf.DUMMYFUNCTION("GOOGLETRANSLATE(C53,""zh-tw"",""KO"")"),"매장 카트에 고정된 품목 중 하나")</f>
        <v>매장 카트에 고정된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64" t="str">
        <f>IFERROR(__xludf.DUMMYFUNCTION("GOOGLETRANSLATE(E53,""zh-tw"",""en"")"),"R49")</f>
        <v>R49</v>
      </c>
      <c r="Z53" s="100" t="str">
        <f>IFERROR(__xludf.DUMMYFUNCTION("GOOGLETRANSLATE(B53,""zh-tw"",""ru"")"),"Корзина-3")</f>
        <v>Корзина-3</v>
      </c>
      <c r="AA53" s="165"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1" t="str">
        <f>IFERROR(__xludf.DUMMYFUNCTION("GOOGLETRANSLATE(I53,""zh-tw"",""en"")"),"R49")</f>
        <v>R49</v>
      </c>
      <c r="AD53" s="126" t="s">
        <v>2508</v>
      </c>
      <c r="AE53" s="167" t="s">
        <v>2509</v>
      </c>
      <c r="AF53" s="125" t="s">
        <v>2510</v>
      </c>
      <c r="AG53" s="93" t="s">
        <v>2497</v>
      </c>
      <c r="AH53" s="94" t="s">
        <v>2511</v>
      </c>
      <c r="AI53" s="168" t="s">
        <v>2512</v>
      </c>
      <c r="AJ53" s="96" t="s">
        <v>2513</v>
      </c>
      <c r="AK53" s="30"/>
      <c r="AL53" s="30"/>
    </row>
    <row r="54">
      <c r="A54" s="128" t="s">
        <v>2514</v>
      </c>
      <c r="B54" s="100" t="s">
        <v>2515</v>
      </c>
      <c r="C54" s="97" t="s">
        <v>2499</v>
      </c>
      <c r="D54" s="52" t="s">
        <v>2516</v>
      </c>
      <c r="E54" s="128" t="str">
        <f>IFERROR(__xludf.DUMMYFUNCTION("GOOGLETRANSLATE(A54,""zh-tw"",""ja"")"),"R50")</f>
        <v>R50</v>
      </c>
      <c r="F54" s="100" t="s">
        <v>2517</v>
      </c>
      <c r="G54" s="106" t="s">
        <v>2518</v>
      </c>
      <c r="H54" s="52" t="s">
        <v>2519</v>
      </c>
      <c r="I54" s="128" t="str">
        <f>IFERROR(__xludf.DUMMYFUNCTION("GOOGLETRANSLATE(A54,""zh-tw"",""en"")"),"R50")</f>
        <v>R50</v>
      </c>
      <c r="J54" s="100" t="s">
        <v>2520</v>
      </c>
      <c r="K54" s="97" t="s">
        <v>2505</v>
      </c>
      <c r="L54" s="52" t="s">
        <v>2521</v>
      </c>
      <c r="M54" s="137"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7" t="str">
        <f>IFERROR(__xludf.DUMMYFUNCTION("GOOGLETRANSLATE(A54,""zh-tw"",""ja"")"),"R50")</f>
        <v>R50</v>
      </c>
      <c r="R54" s="88" t="str">
        <f>IFERROR(__xludf.DUMMYFUNCTION("GOOGLETRANSLATE(B54,""zh-tw"",""es-MX"")"),"Carrito de compras-4")</f>
        <v>Carrito de compras-4</v>
      </c>
      <c r="S54" s="97" t="s">
        <v>2507</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4" t="str">
        <f>IFERROR(__xludf.DUMMYFUNCTION("GOOGLETRANSLATE(A54,""zh-tw"",""en"")"),"R50")</f>
        <v>R50</v>
      </c>
      <c r="V54" s="88" t="str">
        <f>IFERROR(__xludf.DUMMYFUNCTION("GOOGLETRANSLATE(B54,""zh-tw"",""KO"")"),"쇼핑 카트-4")</f>
        <v>쇼핑 카트-4</v>
      </c>
      <c r="W54" s="89" t="str">
        <f>IFERROR(__xludf.DUMMYFUNCTION("GOOGLETRANSLATE(C54,""zh-tw"",""KO"")"),"매장 카트에 고정된 품목 중 하나")</f>
        <v>매장 카트에 고정된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4" t="str">
        <f>IFERROR(__xludf.DUMMYFUNCTION("GOOGLETRANSLATE(E54,""zh-tw"",""en"")"),"R50")</f>
        <v>R50</v>
      </c>
      <c r="Z54" s="100" t="str">
        <f>IFERROR(__xludf.DUMMYFUNCTION("GOOGLETRANSLATE(B54,""zh-tw"",""ru"")"),"Корзина-4")</f>
        <v>Корзина-4</v>
      </c>
      <c r="AA54" s="165"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4" t="str">
        <f>IFERROR(__xludf.DUMMYFUNCTION("GOOGLETRANSLATE(I54,""zh-tw"",""en"")"),"R50")</f>
        <v>R50</v>
      </c>
      <c r="AD54" s="126" t="s">
        <v>2522</v>
      </c>
      <c r="AE54" s="167" t="s">
        <v>2509</v>
      </c>
      <c r="AF54" s="125" t="s">
        <v>2523</v>
      </c>
      <c r="AG54" s="93" t="s">
        <v>2514</v>
      </c>
      <c r="AH54" s="94" t="s">
        <v>2524</v>
      </c>
      <c r="AI54" s="168" t="s">
        <v>2512</v>
      </c>
      <c r="AJ54" s="96" t="s">
        <v>2525</v>
      </c>
      <c r="AK54" s="172"/>
      <c r="AL54" s="172"/>
    </row>
    <row r="55">
      <c r="A55" s="128" t="s">
        <v>2526</v>
      </c>
      <c r="B55" s="100" t="s">
        <v>2527</v>
      </c>
      <c r="C55" s="97" t="s">
        <v>2528</v>
      </c>
      <c r="D55" s="52" t="s">
        <v>2529</v>
      </c>
      <c r="E55" s="128" t="str">
        <f>IFERROR(__xludf.DUMMYFUNCTION("GOOGLETRANSLATE(A55,""zh-tw"",""ja"")"),"R51")</f>
        <v>R51</v>
      </c>
      <c r="F55" s="100" t="s">
        <v>2530</v>
      </c>
      <c r="G55" s="106" t="s">
        <v>2531</v>
      </c>
      <c r="H55" s="52" t="s">
        <v>593</v>
      </c>
      <c r="I55" s="128" t="str">
        <f>IFERROR(__xludf.DUMMYFUNCTION("GOOGLETRANSLATE(A55,""zh-tw"",""en"")"),"R51")</f>
        <v>R51</v>
      </c>
      <c r="J55" s="100" t="s">
        <v>2532</v>
      </c>
      <c r="K55" s="97" t="s">
        <v>2533</v>
      </c>
      <c r="L55" s="52" t="s">
        <v>2307</v>
      </c>
      <c r="M55" s="137"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7" t="str">
        <f>IFERROR(__xludf.DUMMYFUNCTION("GOOGLETRANSLATE(A55,""zh-tw"",""ja"")"),"R51")</f>
        <v>R51</v>
      </c>
      <c r="R55" s="88" t="str">
        <f>IFERROR(__xludf.DUMMYFUNCTION("GOOGLETRANSLATE(B55,""zh-tw"",""es-MX"")"),"Carrito de compras-5")</f>
        <v>Carrito de compras-5</v>
      </c>
      <c r="S55" s="97" t="s">
        <v>2534</v>
      </c>
      <c r="T55" s="55" t="str">
        <f>IFERROR(__xludf.DUMMYFUNCTION("GOOGLETRANSLATE(D55,""zh-tw"",""es-MX"")"),"No implementado")</f>
        <v>No implementado</v>
      </c>
      <c r="U55" s="164"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HP가 0으로 떨어지면, 그는 새로운 맵(아직 구현되지 않음)으로 이동하게 됩니다.")</f>
        <v>만약 당신의 형제가 상점차에 치여 차량이 나타났을 때 HP가 0으로 떨어지면, 그는 새로운 맵(아직 구현되지 않음)으로 이동하게 됩니다.</v>
      </c>
      <c r="X55" s="55" t="str">
        <f>IFERROR(__xludf.DUMMYFUNCTION("GOOGLETRANSLATE(D55,""zh-tw"",""KO"")"),"구현되지 않음")</f>
        <v>구현되지 않음</v>
      </c>
      <c r="Y55" s="164" t="str">
        <f>IFERROR(__xludf.DUMMYFUNCTION("GOOGLETRANSLATE(E55,""zh-tw"",""en"")"),"R51")</f>
        <v>R51</v>
      </c>
      <c r="Z55" s="100" t="str">
        <f>IFERROR(__xludf.DUMMYFUNCTION("GOOGLETRANSLATE(B55,""zh-tw"",""ru"")"),"Корзина-5")</f>
        <v>Корзина-5</v>
      </c>
      <c r="AA55" s="165"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4" t="str">
        <f>IFERROR(__xludf.DUMMYFUNCTION("GOOGLETRANSLATE(I55,""zh-tw"",""en"")"),"R51")</f>
        <v>R51</v>
      </c>
      <c r="AD55" s="126" t="s">
        <v>2535</v>
      </c>
      <c r="AE55" s="167" t="s">
        <v>2536</v>
      </c>
      <c r="AF55" s="125" t="s">
        <v>2326</v>
      </c>
      <c r="AG55" s="93" t="s">
        <v>2526</v>
      </c>
      <c r="AH55" s="94" t="s">
        <v>2537</v>
      </c>
      <c r="AI55" s="168" t="s">
        <v>2538</v>
      </c>
      <c r="AJ55" s="96" t="s">
        <v>2314</v>
      </c>
      <c r="AK55" s="172"/>
      <c r="AL55" s="172"/>
    </row>
    <row r="56">
      <c r="A56" s="128" t="s">
        <v>2539</v>
      </c>
      <c r="B56" s="85" t="s">
        <v>2540</v>
      </c>
      <c r="C56" s="102" t="s">
        <v>2541</v>
      </c>
      <c r="D56" s="103" t="s">
        <v>2542</v>
      </c>
      <c r="E56" s="84" t="str">
        <f>IFERROR(__xludf.DUMMYFUNCTION("GOOGLETRANSLATE(A56,""zh-tw"",""ja"")"),"R52")</f>
        <v>R52</v>
      </c>
      <c r="F56" s="85" t="s">
        <v>2543</v>
      </c>
      <c r="G56" s="102" t="s">
        <v>2544</v>
      </c>
      <c r="H56" s="103" t="s">
        <v>2545</v>
      </c>
      <c r="I56" s="84" t="str">
        <f>IFERROR(__xludf.DUMMYFUNCTION("GOOGLETRANSLATE(A56,""zh-tw"",""en"")"),"R52")</f>
        <v>R52</v>
      </c>
      <c r="J56" s="85" t="s">
        <v>2546</v>
      </c>
      <c r="K56" s="102" t="s">
        <v>2547</v>
      </c>
      <c r="L56" s="103" t="s">
        <v>2548</v>
      </c>
      <c r="M56" s="137"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7"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4"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4" t="str">
        <f>IFERROR(__xludf.DUMMYFUNCTION("GOOGLETRANSLATE(E56,""zh-tw"",""en"")"),"R52")</f>
        <v>R52</v>
      </c>
      <c r="Z56" s="85" t="str">
        <f>IFERROR(__xludf.DUMMYFUNCTION("GOOGLETRANSLATE(B56,""zh-tw"",""ru"")"),"пугало")</f>
        <v>пугало</v>
      </c>
      <c r="AA56" s="165"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3" t="str">
        <f>IFERROR(__xludf.DUMMYFUNCTION("GOOGLETRANSLATE(D56,""zh-tw"",""RU"")"),"Получить предмет: Сердце Пугала")</f>
        <v>Получить предмет: Сердце Пугала</v>
      </c>
      <c r="AC56" s="164" t="str">
        <f>IFERROR(__xludf.DUMMYFUNCTION("GOOGLETRANSLATE(I56,""zh-tw"",""en"")"),"R52")</f>
        <v>R52</v>
      </c>
      <c r="AD56" s="85" t="s">
        <v>2549</v>
      </c>
      <c r="AE56" s="102" t="s">
        <v>2550</v>
      </c>
      <c r="AF56" s="103" t="s">
        <v>2551</v>
      </c>
      <c r="AG56" s="93" t="s">
        <v>2539</v>
      </c>
      <c r="AH56" s="94" t="s">
        <v>2552</v>
      </c>
      <c r="AI56" s="168" t="s">
        <v>2553</v>
      </c>
      <c r="AJ56" s="96" t="s">
        <v>2554</v>
      </c>
      <c r="AK56" s="172"/>
      <c r="AL56" s="172"/>
    </row>
    <row r="57">
      <c r="A57" s="128" t="s">
        <v>2555</v>
      </c>
      <c r="B57" s="100" t="s">
        <v>2556</v>
      </c>
      <c r="C57" s="97" t="s">
        <v>2557</v>
      </c>
      <c r="D57" s="52" t="s">
        <v>2558</v>
      </c>
      <c r="E57" s="128" t="str">
        <f>IFERROR(__xludf.DUMMYFUNCTION("GOOGLETRANSLATE(A57,""zh-tw"",""ja"")"),"R53")</f>
        <v>R53</v>
      </c>
      <c r="F57" s="100" t="s">
        <v>2556</v>
      </c>
      <c r="G57" s="97" t="s">
        <v>2559</v>
      </c>
      <c r="H57" s="52" t="s">
        <v>2560</v>
      </c>
      <c r="I57" s="128" t="str">
        <f>IFERROR(__xludf.DUMMYFUNCTION("GOOGLETRANSLATE(A57,""zh-tw"",""en"")"),"R53")</f>
        <v>R53</v>
      </c>
      <c r="J57" s="100" t="s">
        <v>2561</v>
      </c>
      <c r="K57" s="97" t="s">
        <v>2562</v>
      </c>
      <c r="L57" s="52" t="s">
        <v>2563</v>
      </c>
      <c r="M57" s="137"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7" t="str">
        <f>IFERROR(__xludf.DUMMYFUNCTION("GOOGLETRANSLATE(A57,""zh-tw"",""ja"")"),"R53")</f>
        <v>R53</v>
      </c>
      <c r="R57" s="100" t="s">
        <v>2564</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4"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4" t="str">
        <f>IFERROR(__xludf.DUMMYFUNCTION("GOOGLETRANSLATE(E57,""zh-tw"",""en"")"),"R53")</f>
        <v>R53</v>
      </c>
      <c r="Z57" s="100" t="str">
        <f>IFERROR(__xludf.DUMMYFUNCTION("GOOGLETRANSLATE(B57,""zh-tw"",""ru"")"),"Ниндзюцу-1")</f>
        <v>Ниндзюцу-1</v>
      </c>
      <c r="AA57" s="165"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4" t="str">
        <f>IFERROR(__xludf.DUMMYFUNCTION("GOOGLETRANSLATE(I57,""zh-tw"",""en"")"),"R53")</f>
        <v>R53</v>
      </c>
      <c r="AD57" s="126" t="s">
        <v>2565</v>
      </c>
      <c r="AE57" s="167" t="s">
        <v>2566</v>
      </c>
      <c r="AF57" s="125" t="s">
        <v>2567</v>
      </c>
      <c r="AG57" s="93" t="s">
        <v>2555</v>
      </c>
      <c r="AH57" s="94" t="s">
        <v>2568</v>
      </c>
      <c r="AI57" s="168" t="s">
        <v>2569</v>
      </c>
      <c r="AJ57" s="96" t="s">
        <v>2570</v>
      </c>
      <c r="AK57" s="172"/>
      <c r="AL57" s="172"/>
    </row>
    <row r="58">
      <c r="A58" s="128" t="s">
        <v>2571</v>
      </c>
      <c r="B58" s="100" t="s">
        <v>2572</v>
      </c>
      <c r="C58" s="97" t="s">
        <v>2573</v>
      </c>
      <c r="D58" s="52" t="s">
        <v>2574</v>
      </c>
      <c r="E58" s="128" t="str">
        <f>IFERROR(__xludf.DUMMYFUNCTION("GOOGLETRANSLATE(A58,""zh-tw"",""ja"")"),"R54")</f>
        <v>R54</v>
      </c>
      <c r="F58" s="100" t="s">
        <v>2572</v>
      </c>
      <c r="G58" s="97" t="s">
        <v>2575</v>
      </c>
      <c r="H58" s="52" t="s">
        <v>2576</v>
      </c>
      <c r="I58" s="128" t="str">
        <f>IFERROR(__xludf.DUMMYFUNCTION("GOOGLETRANSLATE(A58,""zh-tw"",""en"")"),"R54")</f>
        <v>R54</v>
      </c>
      <c r="J58" s="100" t="s">
        <v>2577</v>
      </c>
      <c r="K58" s="97" t="s">
        <v>2578</v>
      </c>
      <c r="L58" s="52" t="s">
        <v>2579</v>
      </c>
      <c r="M58" s="137"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7" t="str">
        <f>IFERROR(__xludf.DUMMYFUNCTION("GOOGLETRANSLATE(A58,""zh-tw"",""ja"")"),"R54")</f>
        <v>R54</v>
      </c>
      <c r="R58" s="100" t="s">
        <v>2580</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4"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4" t="str">
        <f>IFERROR(__xludf.DUMMYFUNCTION("GOOGLETRANSLATE(E58,""zh-tw"",""en"")"),"R54")</f>
        <v>R54</v>
      </c>
      <c r="Z58" s="100" t="str">
        <f>IFERROR(__xludf.DUMMYFUNCTION("GOOGLETRANSLATE(B58,""zh-tw"",""ru"")"),"Ниндзюцу-2")</f>
        <v>Ниндзюцу-2</v>
      </c>
      <c r="AA58" s="165"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4" t="str">
        <f>IFERROR(__xludf.DUMMYFUNCTION("GOOGLETRANSLATE(I58,""zh-tw"",""en"")"),"R54")</f>
        <v>R54</v>
      </c>
      <c r="AD58" s="126" t="s">
        <v>2581</v>
      </c>
      <c r="AE58" s="167" t="s">
        <v>2582</v>
      </c>
      <c r="AF58" s="125" t="s">
        <v>2583</v>
      </c>
      <c r="AG58" s="93" t="s">
        <v>2571</v>
      </c>
      <c r="AH58" s="94" t="s">
        <v>2584</v>
      </c>
      <c r="AI58" s="168" t="s">
        <v>2585</v>
      </c>
      <c r="AJ58" s="96" t="s">
        <v>2586</v>
      </c>
      <c r="AK58" s="172"/>
      <c r="AL58" s="172"/>
    </row>
    <row r="59">
      <c r="A59" s="128" t="s">
        <v>2587</v>
      </c>
      <c r="B59" s="100" t="s">
        <v>2588</v>
      </c>
      <c r="C59" s="97" t="s">
        <v>2589</v>
      </c>
      <c r="D59" s="52" t="s">
        <v>2590</v>
      </c>
      <c r="E59" s="128" t="str">
        <f>IFERROR(__xludf.DUMMYFUNCTION("GOOGLETRANSLATE(A59,""zh-tw"",""ja"")"),"R55")</f>
        <v>R55</v>
      </c>
      <c r="F59" s="100" t="s">
        <v>2591</v>
      </c>
      <c r="G59" s="97" t="s">
        <v>2592</v>
      </c>
      <c r="H59" s="52" t="s">
        <v>2593</v>
      </c>
      <c r="I59" s="128" t="str">
        <f>IFERROR(__xludf.DUMMYFUNCTION("GOOGLETRANSLATE(A59,""zh-tw"",""en"")"),"R55")</f>
        <v>R55</v>
      </c>
      <c r="J59" s="100" t="s">
        <v>2594</v>
      </c>
      <c r="K59" s="97" t="s">
        <v>2595</v>
      </c>
      <c r="L59" s="52" t="s">
        <v>2596</v>
      </c>
      <c r="M59" s="137"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7" t="str">
        <f>IFERROR(__xludf.DUMMYFUNCTION("GOOGLETRANSLATE(A59,""zh-tw"",""ja"")"),"R55")</f>
        <v>R55</v>
      </c>
      <c r="R59" s="100" t="s">
        <v>2597</v>
      </c>
      <c r="S59" s="97" t="s">
        <v>2598</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4"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4" t="str">
        <f>IFERROR(__xludf.DUMMYFUNCTION("GOOGLETRANSLATE(E59,""zh-tw"",""en"")"),"R55")</f>
        <v>R55</v>
      </c>
      <c r="Z59" s="100" t="str">
        <f>IFERROR(__xludf.DUMMYFUNCTION("GOOGLETRANSLATE(B59,""zh-tw"",""ru"")"),"Пояс горячей лавы Дацзяо")</f>
        <v>Пояс горячей лавы Дацзяо</v>
      </c>
      <c r="AA59" s="165"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4" t="str">
        <f>IFERROR(__xludf.DUMMYFUNCTION("GOOGLETRANSLATE(I59,""zh-tw"",""en"")"),"R55")</f>
        <v>R55</v>
      </c>
      <c r="AD59" s="126" t="s">
        <v>2599</v>
      </c>
      <c r="AE59" s="167" t="s">
        <v>2600</v>
      </c>
      <c r="AF59" s="125" t="s">
        <v>2601</v>
      </c>
      <c r="AG59" s="93" t="s">
        <v>2587</v>
      </c>
      <c r="AH59" s="94" t="s">
        <v>2602</v>
      </c>
      <c r="AI59" s="168" t="s">
        <v>2603</v>
      </c>
      <c r="AJ59" s="96" t="s">
        <v>2604</v>
      </c>
      <c r="AK59" s="172"/>
      <c r="AL59" s="172"/>
    </row>
    <row r="60">
      <c r="A60" s="128" t="s">
        <v>2605</v>
      </c>
      <c r="B60" s="100" t="s">
        <v>2606</v>
      </c>
      <c r="C60" s="97" t="s">
        <v>2607</v>
      </c>
      <c r="D60" s="52" t="s">
        <v>2608</v>
      </c>
      <c r="E60" s="128" t="str">
        <f>IFERROR(__xludf.DUMMYFUNCTION("GOOGLETRANSLATE(A60,""zh-tw"",""ja"")"),"R56")</f>
        <v>R56</v>
      </c>
      <c r="F60" s="100" t="s">
        <v>2609</v>
      </c>
      <c r="G60" s="106" t="s">
        <v>2610</v>
      </c>
      <c r="H60" s="52" t="s">
        <v>2611</v>
      </c>
      <c r="I60" s="128" t="str">
        <f>IFERROR(__xludf.DUMMYFUNCTION("GOOGLETRANSLATE(A60,""zh-tw"",""en"")"),"R56")</f>
        <v>R56</v>
      </c>
      <c r="J60" s="100" t="s">
        <v>2612</v>
      </c>
      <c r="K60" s="106" t="s">
        <v>2613</v>
      </c>
      <c r="L60" s="52" t="s">
        <v>2614</v>
      </c>
      <c r="M60" s="137"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7"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4"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4" t="str">
        <f>IFERROR(__xludf.DUMMYFUNCTION("GOOGLETRANSLATE(E60,""zh-tw"",""en"")"),"R56")</f>
        <v>R56</v>
      </c>
      <c r="Z60" s="100" t="str">
        <f>IFERROR(__xludf.DUMMYFUNCTION("GOOGLETRANSLATE(B60,""zh-tw"",""ru"")"),"жук")</f>
        <v>жук</v>
      </c>
      <c r="AA60" s="165"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4" t="str">
        <f>IFERROR(__xludf.DUMMYFUNCTION("GOOGLETRANSLATE(I60,""zh-tw"",""en"")"),"R56")</f>
        <v>R56</v>
      </c>
      <c r="AD60" s="126" t="s">
        <v>2615</v>
      </c>
      <c r="AE60" s="167" t="s">
        <v>2616</v>
      </c>
      <c r="AF60" s="125" t="s">
        <v>2617</v>
      </c>
      <c r="AG60" s="93" t="s">
        <v>2605</v>
      </c>
      <c r="AH60" s="94" t="s">
        <v>2618</v>
      </c>
      <c r="AI60" s="168" t="s">
        <v>2619</v>
      </c>
      <c r="AJ60" s="96" t="s">
        <v>2620</v>
      </c>
      <c r="AK60" s="172"/>
      <c r="AL60" s="172"/>
    </row>
    <row r="61">
      <c r="A61" s="128" t="s">
        <v>2621</v>
      </c>
      <c r="B61" s="100" t="s">
        <v>2622</v>
      </c>
      <c r="C61" s="97" t="s">
        <v>2499</v>
      </c>
      <c r="D61" s="52" t="s">
        <v>2623</v>
      </c>
      <c r="E61" s="128" t="str">
        <f>IFERROR(__xludf.DUMMYFUNCTION("GOOGLETRANSLATE(A61,""zh-tw"",""ja"")"),"R57")</f>
        <v>R57</v>
      </c>
      <c r="F61" s="100" t="s">
        <v>2624</v>
      </c>
      <c r="G61" s="97" t="s">
        <v>2625</v>
      </c>
      <c r="H61" s="52" t="s">
        <v>2626</v>
      </c>
      <c r="I61" s="128" t="str">
        <f>IFERROR(__xludf.DUMMYFUNCTION("GOOGLETRANSLATE(A61,""zh-tw"",""en"")"),"R57")</f>
        <v>R57</v>
      </c>
      <c r="J61" s="100" t="s">
        <v>2627</v>
      </c>
      <c r="K61" s="97" t="s">
        <v>2628</v>
      </c>
      <c r="L61" s="52" t="s">
        <v>2629</v>
      </c>
      <c r="M61" s="137"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7"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4" t="str">
        <f>IFERROR(__xludf.DUMMYFUNCTION("GOOGLETRANSLATE(A61,""zh-tw"",""en"")"),"R57")</f>
        <v>R57</v>
      </c>
      <c r="V61" s="88" t="str">
        <f>IFERROR(__xludf.DUMMYFUNCTION("GOOGLETRANSLATE(B61,""zh-tw"",""KO"")"),"쇼핑 카트-6")</f>
        <v>쇼핑 카트-6</v>
      </c>
      <c r="W61" s="89" t="str">
        <f>IFERROR(__xludf.DUMMYFUNCTION("GOOGLETRANSLATE(C61,""zh-tw"",""KO"")"),"매장 카트에 고정된 품목 중 하나")</f>
        <v>매장 카트에 고정된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4" t="str">
        <f>IFERROR(__xludf.DUMMYFUNCTION("GOOGLETRANSLATE(E61,""zh-tw"",""en"")"),"R57")</f>
        <v>R57</v>
      </c>
      <c r="Z61" s="100" t="str">
        <f>IFERROR(__xludf.DUMMYFUNCTION("GOOGLETRANSLATE(B61,""zh-tw"",""ru"")"),"Корзина-6")</f>
        <v>Корзина-6</v>
      </c>
      <c r="AA61" s="165"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0" t="s">
        <v>2605</v>
      </c>
      <c r="AD61" s="126" t="s">
        <v>2630</v>
      </c>
      <c r="AE61" s="167" t="s">
        <v>2631</v>
      </c>
      <c r="AF61" s="125" t="s">
        <v>2632</v>
      </c>
      <c r="AG61" s="93" t="s">
        <v>2621</v>
      </c>
      <c r="AH61" s="94" t="s">
        <v>2633</v>
      </c>
      <c r="AI61" s="168" t="s">
        <v>2634</v>
      </c>
      <c r="AJ61" s="96" t="s">
        <v>2635</v>
      </c>
      <c r="AK61" s="172"/>
      <c r="AL61" s="172"/>
    </row>
    <row r="62">
      <c r="A62" s="128" t="s">
        <v>2636</v>
      </c>
      <c r="B62" s="100" t="s">
        <v>2637</v>
      </c>
      <c r="C62" s="97" t="s">
        <v>2499</v>
      </c>
      <c r="D62" s="52" t="s">
        <v>2638</v>
      </c>
      <c r="E62" s="128" t="str">
        <f>IFERROR(__xludf.DUMMYFUNCTION("GOOGLETRANSLATE(A62,""zh-tw"",""ja"")"),"R58")</f>
        <v>R58</v>
      </c>
      <c r="F62" s="100" t="s">
        <v>2639</v>
      </c>
      <c r="G62" s="174" t="s">
        <v>2625</v>
      </c>
      <c r="H62" s="175" t="s">
        <v>2640</v>
      </c>
      <c r="I62" s="128" t="str">
        <f>IFERROR(__xludf.DUMMYFUNCTION("GOOGLETRANSLATE(A62,""zh-tw"",""en"")"),"R58")</f>
        <v>R58</v>
      </c>
      <c r="J62" s="100" t="s">
        <v>2641</v>
      </c>
      <c r="K62" s="97" t="s">
        <v>2628</v>
      </c>
      <c r="L62" s="52" t="s">
        <v>2642</v>
      </c>
      <c r="M62" s="137"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7"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4" t="str">
        <f>IFERROR(__xludf.DUMMYFUNCTION("GOOGLETRANSLATE(A62,""zh-tw"",""en"")"),"R58")</f>
        <v>R58</v>
      </c>
      <c r="V62" s="88" t="str">
        <f>IFERROR(__xludf.DUMMYFUNCTION("GOOGLETRANSLATE(B62,""zh-tw"",""KO"")"),"쇼핑 카트-7")</f>
        <v>쇼핑 카트-7</v>
      </c>
      <c r="W62" s="89" t="str">
        <f>IFERROR(__xludf.DUMMYFUNCTION("GOOGLETRANSLATE(C62,""zh-tw"",""KO"")"),"매장 카트에 고정된 품목 중 하나")</f>
        <v>매장 카트에 고정된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4" t="str">
        <f>IFERROR(__xludf.DUMMYFUNCTION("GOOGLETRANSLATE(E62,""zh-tw"",""en"")"),"R58")</f>
        <v>R58</v>
      </c>
      <c r="Z62" s="100" t="str">
        <f>IFERROR(__xludf.DUMMYFUNCTION("GOOGLETRANSLATE(B62,""zh-tw"",""ru"")"),"Корзина-7")</f>
        <v>Корзина-7</v>
      </c>
      <c r="AA62" s="165"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70" t="s">
        <v>2621</v>
      </c>
      <c r="AD62" s="126" t="s">
        <v>2643</v>
      </c>
      <c r="AE62" s="167" t="s">
        <v>2644</v>
      </c>
      <c r="AF62" s="125" t="s">
        <v>2645</v>
      </c>
      <c r="AG62" s="93" t="s">
        <v>2636</v>
      </c>
      <c r="AH62" s="94" t="s">
        <v>2646</v>
      </c>
      <c r="AI62" s="168" t="s">
        <v>2634</v>
      </c>
      <c r="AJ62" s="96" t="s">
        <v>2647</v>
      </c>
      <c r="AK62" s="172"/>
      <c r="AL62" s="172"/>
    </row>
    <row r="63">
      <c r="A63" s="84" t="s">
        <v>2648</v>
      </c>
      <c r="B63" s="88" t="s">
        <v>2649</v>
      </c>
      <c r="C63" s="130" t="s">
        <v>2650</v>
      </c>
      <c r="D63" s="127" t="s">
        <v>2651</v>
      </c>
      <c r="E63" s="84" t="s">
        <v>2648</v>
      </c>
      <c r="F63" s="88" t="s">
        <v>2652</v>
      </c>
      <c r="G63" s="108" t="s">
        <v>2653</v>
      </c>
      <c r="H63" s="121" t="s">
        <v>2654</v>
      </c>
      <c r="I63" s="84" t="s">
        <v>2648</v>
      </c>
      <c r="J63" s="88" t="s">
        <v>2655</v>
      </c>
      <c r="K63" s="108" t="s">
        <v>2656</v>
      </c>
      <c r="L63" s="121" t="s">
        <v>2657</v>
      </c>
      <c r="M63" s="84" t="s">
        <v>2648</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2648</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2648</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2648</v>
      </c>
      <c r="Z63" s="100" t="str">
        <f>IFERROR(__xludf.DUMMYFUNCTION("GOOGLETRANSLATE(B63,""zh-tw"",""ru"")"),"Зона разработки (рудник)-2")</f>
        <v>Зона разработки (рудник)-2</v>
      </c>
      <c r="AA63" s="165"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7" t="s">
        <v>2648</v>
      </c>
      <c r="AD63" s="88" t="s">
        <v>2658</v>
      </c>
      <c r="AE63" s="130" t="s">
        <v>2659</v>
      </c>
      <c r="AF63" s="127" t="s">
        <v>2660</v>
      </c>
      <c r="AG63" s="93" t="s">
        <v>2648</v>
      </c>
      <c r="AH63" s="140" t="s">
        <v>2661</v>
      </c>
      <c r="AI63" s="176" t="s">
        <v>2662</v>
      </c>
      <c r="AJ63" s="177" t="s">
        <v>2663</v>
      </c>
      <c r="AK63" s="142"/>
      <c r="AL63" s="142"/>
    </row>
    <row r="64">
      <c r="A64" s="84" t="s">
        <v>2664</v>
      </c>
      <c r="B64" s="88" t="s">
        <v>2665</v>
      </c>
      <c r="C64" s="130" t="s">
        <v>2666</v>
      </c>
      <c r="D64" s="127" t="s">
        <v>2667</v>
      </c>
      <c r="E64" s="84" t="s">
        <v>2664</v>
      </c>
      <c r="F64" s="88" t="s">
        <v>2668</v>
      </c>
      <c r="G64" s="108" t="s">
        <v>2669</v>
      </c>
      <c r="H64" s="121" t="s">
        <v>2670</v>
      </c>
      <c r="I64" s="84" t="s">
        <v>2664</v>
      </c>
      <c r="J64" s="88" t="s">
        <v>2671</v>
      </c>
      <c r="K64" s="106" t="s">
        <v>2672</v>
      </c>
      <c r="L64" s="121" t="s">
        <v>2673</v>
      </c>
      <c r="M64" s="84" t="s">
        <v>2664</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2664</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2664</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2664</v>
      </c>
      <c r="Z64" s="100" t="str">
        <f>IFERROR(__xludf.DUMMYFUNCTION("GOOGLETRANSLATE(B64,""zh-tw"",""ru"")"),"Скрытый канал")</f>
        <v>Скрытый канал</v>
      </c>
      <c r="AA64" s="165"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7" t="s">
        <v>2664</v>
      </c>
      <c r="AD64" s="88" t="s">
        <v>2674</v>
      </c>
      <c r="AE64" s="130" t="s">
        <v>2675</v>
      </c>
      <c r="AF64" s="127" t="s">
        <v>2676</v>
      </c>
      <c r="AG64" s="93" t="s">
        <v>2664</v>
      </c>
      <c r="AH64" s="140" t="s">
        <v>2677</v>
      </c>
      <c r="AI64" s="176" t="s">
        <v>2678</v>
      </c>
      <c r="AJ64" s="177" t="s">
        <v>2679</v>
      </c>
      <c r="AK64" s="142"/>
      <c r="AL64" s="142"/>
    </row>
    <row r="65">
      <c r="A65" s="84" t="s">
        <v>2680</v>
      </c>
      <c r="B65" s="88" t="s">
        <v>2681</v>
      </c>
      <c r="C65" s="130" t="s">
        <v>2682</v>
      </c>
      <c r="D65" s="127" t="s">
        <v>2683</v>
      </c>
      <c r="E65" s="84" t="s">
        <v>2680</v>
      </c>
      <c r="F65" s="88" t="s">
        <v>2684</v>
      </c>
      <c r="G65" s="108" t="s">
        <v>2685</v>
      </c>
      <c r="H65" s="121" t="s">
        <v>2686</v>
      </c>
      <c r="I65" s="84" t="s">
        <v>2680</v>
      </c>
      <c r="J65" s="88" t="s">
        <v>2687</v>
      </c>
      <c r="K65" s="108" t="s">
        <v>2688</v>
      </c>
      <c r="L65" s="121" t="s">
        <v>2689</v>
      </c>
      <c r="M65" s="84" t="s">
        <v>2680</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2680</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2680</v>
      </c>
      <c r="V65" s="88" t="str">
        <f>IFERROR(__xludf.DUMMYFUNCTION("GOOGLETRANSLATE(B65,""zh-tw"",""KO"")"),"개발 지역(광산)-3")</f>
        <v>개발 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2680</v>
      </c>
      <c r="Z65" s="100" t="str">
        <f>IFERROR(__xludf.DUMMYFUNCTION("GOOGLETRANSLATE(B65,""zh-tw"",""ru"")"),"Разрабатываемый участок (шахта)-3")</f>
        <v>Разрабатываемый участок (шахта)-3</v>
      </c>
      <c r="AA65" s="165"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7" t="s">
        <v>2680</v>
      </c>
      <c r="AD65" s="88" t="s">
        <v>2690</v>
      </c>
      <c r="AE65" s="130" t="s">
        <v>2691</v>
      </c>
      <c r="AF65" s="127" t="s">
        <v>2692</v>
      </c>
      <c r="AG65" s="93" t="s">
        <v>2680</v>
      </c>
      <c r="AH65" s="140" t="s">
        <v>2693</v>
      </c>
      <c r="AI65" s="176" t="s">
        <v>2694</v>
      </c>
      <c r="AJ65" s="177" t="s">
        <v>2695</v>
      </c>
      <c r="AK65" s="142"/>
      <c r="AL65" s="142"/>
    </row>
    <row r="66">
      <c r="A66" s="84" t="s">
        <v>2696</v>
      </c>
      <c r="B66" s="88" t="s">
        <v>2697</v>
      </c>
      <c r="C66" s="130" t="s">
        <v>2698</v>
      </c>
      <c r="D66" s="127" t="s">
        <v>2699</v>
      </c>
      <c r="E66" s="84" t="s">
        <v>2696</v>
      </c>
      <c r="F66" s="88" t="s">
        <v>2700</v>
      </c>
      <c r="G66" s="108" t="s">
        <v>2701</v>
      </c>
      <c r="H66" s="121" t="s">
        <v>2702</v>
      </c>
      <c r="I66" s="84" t="s">
        <v>2696</v>
      </c>
      <c r="J66" s="88" t="s">
        <v>2703</v>
      </c>
      <c r="K66" s="108" t="s">
        <v>2704</v>
      </c>
      <c r="L66" s="121" t="s">
        <v>2705</v>
      </c>
      <c r="M66" s="84" t="s">
        <v>2696</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2696</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2696</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2696</v>
      </c>
      <c r="Z66" s="100" t="str">
        <f>IFERROR(__xludf.DUMMYFUNCTION("GOOGLETRANSLATE(B66,""zh-tw"",""ru"")"),"Разрабатываемая площадь (рудник) - 4")</f>
        <v>Разрабатываемая площадь (рудник) - 4</v>
      </c>
      <c r="AA66" s="165"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7" t="s">
        <v>2696</v>
      </c>
      <c r="AD66" s="88" t="s">
        <v>2706</v>
      </c>
      <c r="AE66" s="130" t="s">
        <v>2707</v>
      </c>
      <c r="AF66" s="127" t="s">
        <v>2708</v>
      </c>
      <c r="AG66" s="93" t="s">
        <v>2696</v>
      </c>
      <c r="AH66" s="140" t="s">
        <v>2661</v>
      </c>
      <c r="AI66" s="176" t="s">
        <v>2709</v>
      </c>
      <c r="AJ66" s="177" t="s">
        <v>2710</v>
      </c>
      <c r="AK66" s="142"/>
      <c r="AL66" s="142"/>
    </row>
    <row r="67">
      <c r="A67" s="84" t="s">
        <v>2711</v>
      </c>
      <c r="B67" s="88" t="s">
        <v>2665</v>
      </c>
      <c r="C67" s="130" t="s">
        <v>2712</v>
      </c>
      <c r="D67" s="127" t="s">
        <v>2713</v>
      </c>
      <c r="E67" s="84" t="s">
        <v>2711</v>
      </c>
      <c r="F67" s="88" t="s">
        <v>2668</v>
      </c>
      <c r="G67" s="108" t="s">
        <v>2714</v>
      </c>
      <c r="H67" s="121" t="s">
        <v>2715</v>
      </c>
      <c r="I67" s="84" t="s">
        <v>2711</v>
      </c>
      <c r="J67" s="88" t="s">
        <v>2716</v>
      </c>
      <c r="K67" s="108" t="s">
        <v>2717</v>
      </c>
      <c r="L67" s="117" t="s">
        <v>2718</v>
      </c>
      <c r="M67" s="84" t="s">
        <v>2711</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2711</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2711</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2711</v>
      </c>
      <c r="Z67" s="100" t="str">
        <f>IFERROR(__xludf.DUMMYFUNCTION("GOOGLETRANSLATE(B67,""zh-tw"",""ru"")"),"Скрытый канал")</f>
        <v>Скрытый канал</v>
      </c>
      <c r="AA67" s="165"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7" t="s">
        <v>2711</v>
      </c>
      <c r="AD67" s="88" t="s">
        <v>2719</v>
      </c>
      <c r="AE67" s="130" t="s">
        <v>2720</v>
      </c>
      <c r="AF67" s="127" t="s">
        <v>2721</v>
      </c>
      <c r="AG67" s="93" t="s">
        <v>2711</v>
      </c>
      <c r="AH67" s="140" t="s">
        <v>2722</v>
      </c>
      <c r="AI67" s="176" t="s">
        <v>2723</v>
      </c>
      <c r="AJ67" s="177" t="s">
        <v>2724</v>
      </c>
      <c r="AK67" s="142"/>
      <c r="AL67" s="142"/>
    </row>
    <row r="68">
      <c r="A68" s="84" t="s">
        <v>2725</v>
      </c>
      <c r="B68" s="88" t="s">
        <v>2726</v>
      </c>
      <c r="C68" s="124" t="s">
        <v>2727</v>
      </c>
      <c r="D68" s="127" t="s">
        <v>2728</v>
      </c>
      <c r="E68" s="84" t="s">
        <v>2725</v>
      </c>
      <c r="F68" s="88" t="s">
        <v>2729</v>
      </c>
      <c r="G68" s="108" t="s">
        <v>2730</v>
      </c>
      <c r="H68" s="121" t="s">
        <v>2731</v>
      </c>
      <c r="I68" s="84" t="s">
        <v>2725</v>
      </c>
      <c r="J68" s="100" t="s">
        <v>2732</v>
      </c>
      <c r="K68" s="106" t="s">
        <v>2733</v>
      </c>
      <c r="L68" s="117" t="s">
        <v>2734</v>
      </c>
      <c r="M68" s="84" t="s">
        <v>2725</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2725</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2725</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2725</v>
      </c>
      <c r="Z68" s="100" t="str">
        <f>IFERROR(__xludf.DUMMYFUNCTION("GOOGLETRANSLATE(B68,""zh-tw"",""ru"")"),"Отправляйтесь в Загубленный лес")</f>
        <v>Отправляйтесь в Загубленный лес</v>
      </c>
      <c r="AA68" s="165"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7" t="s">
        <v>2725</v>
      </c>
      <c r="AD68" s="100" t="s">
        <v>2735</v>
      </c>
      <c r="AE68" s="124" t="s">
        <v>2736</v>
      </c>
      <c r="AF68" s="107" t="s">
        <v>2737</v>
      </c>
      <c r="AG68" s="93" t="s">
        <v>2725</v>
      </c>
      <c r="AH68" s="140" t="s">
        <v>2738</v>
      </c>
      <c r="AI68" s="178" t="s">
        <v>2739</v>
      </c>
      <c r="AJ68" s="177" t="s">
        <v>2740</v>
      </c>
      <c r="AK68" s="142"/>
      <c r="AL68" s="142"/>
    </row>
    <row r="69">
      <c r="A69" s="84" t="s">
        <v>2741</v>
      </c>
      <c r="B69" s="88" t="s">
        <v>2742</v>
      </c>
      <c r="C69" s="130" t="s">
        <v>2743</v>
      </c>
      <c r="D69" s="127" t="s">
        <v>2744</v>
      </c>
      <c r="E69" s="84" t="s">
        <v>2741</v>
      </c>
      <c r="F69" s="88" t="s">
        <v>2745</v>
      </c>
      <c r="G69" s="108" t="s">
        <v>2746</v>
      </c>
      <c r="H69" s="121" t="s">
        <v>2747</v>
      </c>
      <c r="I69" s="84" t="s">
        <v>2741</v>
      </c>
      <c r="J69" s="88" t="s">
        <v>2748</v>
      </c>
      <c r="K69" s="108" t="s">
        <v>2749</v>
      </c>
      <c r="L69" s="121" t="s">
        <v>2750</v>
      </c>
      <c r="M69" s="84" t="s">
        <v>2741</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2741</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2741</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2741</v>
      </c>
      <c r="Z69" s="100" t="str">
        <f>IFERROR(__xludf.DUMMYFUNCTION("GOOGLETRANSLATE(B69,""zh-tw"",""ru"")"),"Зона Босса Кролика-горничной-1")</f>
        <v>Зона Босса Кролика-горничной-1</v>
      </c>
      <c r="AA69" s="165" t="str">
        <f>IFERROR(__xludf.DUMMYFUNCTION("GOOGLETRANSLATE(C69,""zh-tw"",""RU"")"),"В «Лесу руин» вы можете добраться до зоны БОСС-а Кролика-Девушки с помощью специальных средств передвижения.")</f>
        <v>В «Лесу руин» вы можете добраться до зоны БОСС-а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7" t="s">
        <v>2741</v>
      </c>
      <c r="AD69" s="88" t="s">
        <v>2751</v>
      </c>
      <c r="AE69" s="130" t="s">
        <v>2752</v>
      </c>
      <c r="AF69" s="127" t="s">
        <v>2753</v>
      </c>
      <c r="AG69" s="93" t="s">
        <v>2741</v>
      </c>
      <c r="AH69" s="140" t="s">
        <v>2754</v>
      </c>
      <c r="AI69" s="176" t="s">
        <v>2755</v>
      </c>
      <c r="AJ69" s="177" t="s">
        <v>2756</v>
      </c>
      <c r="AK69" s="142"/>
      <c r="AL69" s="142"/>
    </row>
    <row r="70">
      <c r="A70" s="84" t="s">
        <v>2757</v>
      </c>
      <c r="B70" s="88" t="s">
        <v>2758</v>
      </c>
      <c r="C70" s="130" t="s">
        <v>2759</v>
      </c>
      <c r="D70" s="107" t="s">
        <v>2760</v>
      </c>
      <c r="E70" s="84" t="s">
        <v>2757</v>
      </c>
      <c r="F70" s="88" t="s">
        <v>2761</v>
      </c>
      <c r="G70" s="108" t="s">
        <v>2762</v>
      </c>
      <c r="H70" s="117" t="s">
        <v>2763</v>
      </c>
      <c r="I70" s="84" t="s">
        <v>2757</v>
      </c>
      <c r="J70" s="88" t="s">
        <v>2764</v>
      </c>
      <c r="K70" s="108" t="s">
        <v>2765</v>
      </c>
      <c r="L70" s="117" t="s">
        <v>2766</v>
      </c>
      <c r="M70" s="84" t="s">
        <v>2757</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2757</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2757</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2757</v>
      </c>
      <c r="Z70" s="100" t="str">
        <f>IFERROR(__xludf.DUMMYFUNCTION("GOOGLETRANSLATE(B70,""zh-tw"",""ru"")"),"Зона босса Кролика-горничной-2")</f>
        <v>Зона босса Кролика-горничной-2</v>
      </c>
      <c r="AA70" s="165"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подлежит сбросу.")</f>
        <v>Пожалуйста, используйте с осторожностью.
*Не подлежит сбросу.</v>
      </c>
      <c r="AC70" s="137" t="s">
        <v>2757</v>
      </c>
      <c r="AD70" s="88" t="s">
        <v>2767</v>
      </c>
      <c r="AE70" s="130" t="s">
        <v>2768</v>
      </c>
      <c r="AF70" s="127" t="s">
        <v>2769</v>
      </c>
      <c r="AG70" s="93" t="s">
        <v>2757</v>
      </c>
      <c r="AH70" s="140" t="s">
        <v>2770</v>
      </c>
      <c r="AI70" s="176" t="s">
        <v>2771</v>
      </c>
      <c r="AJ70" s="123" t="s">
        <v>2772</v>
      </c>
      <c r="AK70" s="142"/>
      <c r="AL70" s="142"/>
    </row>
    <row r="71">
      <c r="A71" s="84" t="s">
        <v>2773</v>
      </c>
      <c r="B71" s="88" t="s">
        <v>2774</v>
      </c>
      <c r="C71" s="124" t="s">
        <v>2775</v>
      </c>
      <c r="D71" s="127" t="s">
        <v>2776</v>
      </c>
      <c r="E71" s="84" t="s">
        <v>2773</v>
      </c>
      <c r="F71" s="88" t="s">
        <v>2777</v>
      </c>
      <c r="G71" s="108" t="s">
        <v>2778</v>
      </c>
      <c r="H71" s="121" t="s">
        <v>2779</v>
      </c>
      <c r="I71" s="84" t="s">
        <v>2773</v>
      </c>
      <c r="J71" s="88" t="s">
        <v>2780</v>
      </c>
      <c r="K71" s="106" t="s">
        <v>2781</v>
      </c>
      <c r="L71" s="117" t="s">
        <v>2782</v>
      </c>
      <c r="M71" s="84" t="s">
        <v>2773</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2773</v>
      </c>
      <c r="R71" s="88" t="str">
        <f>IFERROR(__xludf.DUMMYFUNCTION("GOOGLETRANSLATE(B71,""zh-tw"",""es-MX"")"),"Área 3 del jefe conejo criada")</f>
        <v>Área 3 del jefe conejo criada</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2773</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2773</v>
      </c>
      <c r="Z71" s="100" t="str">
        <f>IFERROR(__xludf.DUMMYFUNCTION("GOOGLETRANSLATE(B71,""zh-tw"",""ru"")"),"Зона Босса Кролика-горничной-3")</f>
        <v>Зона Босса Кролика-горничной-3</v>
      </c>
      <c r="AA71" s="165"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2773</v>
      </c>
      <c r="AD71" s="88" t="s">
        <v>2783</v>
      </c>
      <c r="AE71" s="130" t="s">
        <v>2784</v>
      </c>
      <c r="AF71" s="127" t="s">
        <v>2785</v>
      </c>
      <c r="AG71" s="93" t="s">
        <v>2773</v>
      </c>
      <c r="AH71" s="140" t="s">
        <v>2786</v>
      </c>
      <c r="AI71" s="178" t="s">
        <v>2787</v>
      </c>
      <c r="AJ71" s="177" t="s">
        <v>2788</v>
      </c>
      <c r="AK71" s="142"/>
      <c r="AL71" s="142"/>
    </row>
    <row r="72">
      <c r="A72" s="84" t="s">
        <v>2789</v>
      </c>
      <c r="B72" s="88" t="s">
        <v>2790</v>
      </c>
      <c r="C72" s="124" t="s">
        <v>2791</v>
      </c>
      <c r="D72" s="107" t="s">
        <v>2792</v>
      </c>
      <c r="E72" s="84" t="s">
        <v>2789</v>
      </c>
      <c r="F72" s="88" t="s">
        <v>2793</v>
      </c>
      <c r="G72" s="106" t="s">
        <v>2794</v>
      </c>
      <c r="H72" s="117" t="s">
        <v>2795</v>
      </c>
      <c r="I72" s="84" t="s">
        <v>2789</v>
      </c>
      <c r="J72" s="88" t="s">
        <v>2796</v>
      </c>
      <c r="K72" s="106" t="s">
        <v>2797</v>
      </c>
      <c r="L72" s="117" t="s">
        <v>2798</v>
      </c>
      <c r="M72" s="84" t="s">
        <v>2789</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2789</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2789</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2789</v>
      </c>
      <c r="Z72" s="100" t="str">
        <f>IFERROR(__xludf.DUMMYFUNCTION("GOOGLETRANSLATE(B72,""zh-tw"",""ru"")"),"Зона босса Кролика-горничной 4")</f>
        <v>Зона босса Кролика-горничной 4</v>
      </c>
      <c r="AA72" s="165"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2789</v>
      </c>
      <c r="AD72" s="88" t="s">
        <v>2799</v>
      </c>
      <c r="AE72" s="130" t="s">
        <v>2800</v>
      </c>
      <c r="AF72" s="127" t="s">
        <v>2801</v>
      </c>
      <c r="AG72" s="93" t="s">
        <v>2789</v>
      </c>
      <c r="AH72" s="140" t="s">
        <v>2802</v>
      </c>
      <c r="AI72" s="178" t="s">
        <v>2803</v>
      </c>
      <c r="AJ72" s="110" t="s">
        <v>2804</v>
      </c>
      <c r="AK72" s="142"/>
      <c r="AL72" s="142"/>
    </row>
    <row r="73">
      <c r="A73" s="84" t="s">
        <v>2805</v>
      </c>
      <c r="B73" s="100" t="s">
        <v>2806</v>
      </c>
      <c r="C73" s="97" t="s">
        <v>2807</v>
      </c>
      <c r="D73" s="52" t="s">
        <v>2808</v>
      </c>
      <c r="E73" s="84" t="s">
        <v>2805</v>
      </c>
      <c r="F73" s="100" t="s">
        <v>2809</v>
      </c>
      <c r="G73" s="106" t="s">
        <v>2810</v>
      </c>
      <c r="H73" s="52" t="s">
        <v>2811</v>
      </c>
      <c r="I73" s="84" t="s">
        <v>2805</v>
      </c>
      <c r="J73" s="100" t="s">
        <v>2812</v>
      </c>
      <c r="K73" s="106" t="s">
        <v>2813</v>
      </c>
      <c r="L73" s="117" t="s">
        <v>2814</v>
      </c>
      <c r="M73" s="84" t="s">
        <v>2805</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2805</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2805</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2805</v>
      </c>
      <c r="Z73" s="100" t="str">
        <f>IFERROR(__xludf.DUMMYFUNCTION("GOOGLETRANSLATE(B73,""zh-tw"",""ru"")"),"Охотничий домик")</f>
        <v>Охотничий домик</v>
      </c>
      <c r="AA73" s="165"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в будущем будут добавлены NPC.")</f>
        <v>Полученное снаряжение: костюм охотника, пояс охотника.
*Ожидается, что в будущем будут добавлены NPC.</v>
      </c>
      <c r="AC73" s="84" t="s">
        <v>2805</v>
      </c>
      <c r="AD73" s="100" t="s">
        <v>2815</v>
      </c>
      <c r="AE73" s="106" t="s">
        <v>2816</v>
      </c>
      <c r="AF73" s="117" t="s">
        <v>2817</v>
      </c>
      <c r="AG73" s="93" t="s">
        <v>2805</v>
      </c>
      <c r="AH73" s="94" t="s">
        <v>2818</v>
      </c>
      <c r="AI73" s="178" t="s">
        <v>2819</v>
      </c>
      <c r="AJ73" s="123" t="s">
        <v>2820</v>
      </c>
      <c r="AK73" s="172"/>
      <c r="AL73" s="172"/>
    </row>
    <row r="74">
      <c r="A74" s="84" t="s">
        <v>2821</v>
      </c>
      <c r="B74" s="100" t="s">
        <v>2822</v>
      </c>
      <c r="C74" s="97" t="s">
        <v>2823</v>
      </c>
      <c r="D74" s="52" t="s">
        <v>2824</v>
      </c>
      <c r="E74" s="84" t="s">
        <v>2821</v>
      </c>
      <c r="F74" s="100" t="s">
        <v>2825</v>
      </c>
      <c r="G74" s="106" t="s">
        <v>2826</v>
      </c>
      <c r="H74" s="52" t="s">
        <v>2827</v>
      </c>
      <c r="I74" s="84" t="s">
        <v>2821</v>
      </c>
      <c r="J74" s="100" t="s">
        <v>2828</v>
      </c>
      <c r="K74" s="106" t="s">
        <v>2829</v>
      </c>
      <c r="L74" s="117" t="s">
        <v>2830</v>
      </c>
      <c r="M74" s="84" t="s">
        <v>2821</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2821</v>
      </c>
      <c r="R74" s="88" t="str">
        <f>IFERROR(__xludf.DUMMYFUNCTION("GOOGLETRANSLATE(B74,""zh-tw"",""es-MX"")"),"Cabaña del cazador - Sótano")</f>
        <v>Cabaña del cazador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2821</v>
      </c>
      <c r="V74" s="88" t="str">
        <f>IFERROR(__xludf.DUMMYFUNCTION("GOOGLETRANSLATE(B74,""zh-tw"",""KO"")"),"헌터스 롯지 - 지하")</f>
        <v>헌터스 롯지 - 지하</v>
      </c>
      <c r="W74" s="89" t="str">
        <f>IFERROR(__xludf.DUMMYFUNCTION("GOOGLETRANSLATE(C74,""zh-tw"",""KO"")"),"널빤지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2821</v>
      </c>
      <c r="Z74" s="100" t="str">
        <f>IFERROR(__xludf.DUMMYFUNCTION("GOOGLETRANSLATE(B74,""zh-tw"",""ru"")"),"Охотничий домик - Подвал")</f>
        <v>Охотничий домик - Подвал</v>
      </c>
      <c r="AA74" s="165"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2821</v>
      </c>
      <c r="AD74" s="100" t="s">
        <v>2831</v>
      </c>
      <c r="AE74" s="106" t="s">
        <v>2832</v>
      </c>
      <c r="AF74" s="117" t="s">
        <v>2833</v>
      </c>
      <c r="AG74" s="93" t="s">
        <v>2821</v>
      </c>
      <c r="AH74" s="94" t="s">
        <v>2834</v>
      </c>
      <c r="AI74" s="168" t="s">
        <v>2835</v>
      </c>
      <c r="AJ74" s="123" t="s">
        <v>2836</v>
      </c>
      <c r="AK74" s="172"/>
      <c r="AL74" s="172"/>
    </row>
    <row r="75">
      <c r="A75" s="84" t="s">
        <v>2837</v>
      </c>
      <c r="B75" s="100" t="s">
        <v>2838</v>
      </c>
      <c r="C75" s="97" t="s">
        <v>2839</v>
      </c>
      <c r="D75" s="52" t="s">
        <v>2840</v>
      </c>
      <c r="E75" s="84" t="s">
        <v>2837</v>
      </c>
      <c r="F75" s="100" t="s">
        <v>2841</v>
      </c>
      <c r="G75" s="106" t="s">
        <v>2842</v>
      </c>
      <c r="H75" s="52" t="s">
        <v>2843</v>
      </c>
      <c r="I75" s="84" t="s">
        <v>2837</v>
      </c>
      <c r="J75" s="100" t="s">
        <v>2844</v>
      </c>
      <c r="K75" s="106" t="s">
        <v>2845</v>
      </c>
      <c r="L75" s="117" t="s">
        <v>2846</v>
      </c>
      <c r="M75" s="84" t="s">
        <v>2837</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2837</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2837</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2837</v>
      </c>
      <c r="Z75" s="100" t="str">
        <f>IFERROR(__xludf.DUMMYFUNCTION("GOOGLETRANSLATE(B75,""zh-tw"",""ru"")"),"Скрытые реквизиты")</f>
        <v>Скрытые реквизиты</v>
      </c>
      <c r="AA75" s="165"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2837</v>
      </c>
      <c r="AD75" s="100" t="s">
        <v>2847</v>
      </c>
      <c r="AE75" s="106" t="str">
        <f>IFERROR(__xludf.DUMMYFUNCTION("GOOGLETRANSLATE(C75,""zh-tw"",""de"")"),"Im leuchtenden Bereich am Grund des Wassers in „Entwicklungsbereich (Mine)-2“")</f>
        <v>Im leuchtenden Bereich am Grund des Wassers in „Entwicklungsbereich (Mine)-2“</v>
      </c>
      <c r="AF75" s="117" t="s">
        <v>2848</v>
      </c>
      <c r="AG75" s="93" t="s">
        <v>2837</v>
      </c>
      <c r="AH75" s="94" t="s">
        <v>2849</v>
      </c>
      <c r="AI75" s="178" t="s">
        <v>2850</v>
      </c>
      <c r="AJ75" s="123" t="s">
        <v>2851</v>
      </c>
      <c r="AK75" s="172"/>
      <c r="AL75" s="172"/>
    </row>
    <row r="76">
      <c r="A76" s="84" t="s">
        <v>2852</v>
      </c>
      <c r="B76" s="100" t="s">
        <v>2838</v>
      </c>
      <c r="C76" s="97" t="s">
        <v>2853</v>
      </c>
      <c r="D76" s="52" t="s">
        <v>2854</v>
      </c>
      <c r="E76" s="84" t="s">
        <v>2852</v>
      </c>
      <c r="F76" s="100" t="s">
        <v>2841</v>
      </c>
      <c r="G76" s="106" t="str">
        <f>IFERROR(__xludf.DUMMYFUNCTION("GOOGLETRANSLATE(C76,""zh-tw"",""ja"")"),"「開発区（鉱山）-3」に入ってすぐ左側にある光る木箱の中")</f>
        <v>「開発区（鉱山）-3」に入ってすぐ左側にある光る木箱の中</v>
      </c>
      <c r="H76" s="52" t="s">
        <v>2855</v>
      </c>
      <c r="I76" s="84" t="s">
        <v>2852</v>
      </c>
      <c r="J76" s="100" t="s">
        <v>2844</v>
      </c>
      <c r="K76" s="106" t="s">
        <v>2856</v>
      </c>
      <c r="L76" s="117" t="s">
        <v>2857</v>
      </c>
      <c r="M76" s="84" t="s">
        <v>2852</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2852</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2852</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2852</v>
      </c>
      <c r="Z76" s="100" t="str">
        <f>IFERROR(__xludf.DUMMYFUNCTION("GOOGLETRANSLATE(B76,""zh-tw"",""ru"")"),"Скрытые реквизиты")</f>
        <v>Скрытые реквизиты</v>
      </c>
      <c r="AA76" s="165"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2852</v>
      </c>
      <c r="AD76" s="100" t="s">
        <v>2847</v>
      </c>
      <c r="AE76" s="106" t="str">
        <f>IFERROR(__xludf.DUMMYFUNCTION("GOOGLETRANSLATE(C76,""zh-tw"",""de"")"),"In der leuchtenden Holzkiste links nach dem Betreten von „Entwicklungsbereich (Mine)-3“")</f>
        <v>In der leuchtenden Holzkiste links nach dem Betreten von „Entwicklungsbereich (Mine)-3“</v>
      </c>
      <c r="AF76" s="117" t="s">
        <v>2858</v>
      </c>
      <c r="AG76" s="93" t="s">
        <v>2852</v>
      </c>
      <c r="AH76" s="94" t="s">
        <v>2849</v>
      </c>
      <c r="AI76" s="178" t="s">
        <v>2859</v>
      </c>
      <c r="AJ76" s="123" t="s">
        <v>2860</v>
      </c>
      <c r="AK76" s="172"/>
      <c r="AL76" s="172"/>
    </row>
    <row r="77">
      <c r="A77" s="84" t="s">
        <v>2861</v>
      </c>
      <c r="B77" s="100" t="s">
        <v>2838</v>
      </c>
      <c r="C77" s="97" t="s">
        <v>2862</v>
      </c>
      <c r="D77" s="52" t="s">
        <v>2863</v>
      </c>
      <c r="E77" s="84" t="s">
        <v>2861</v>
      </c>
      <c r="F77" s="100" t="s">
        <v>2841</v>
      </c>
      <c r="G77" s="106" t="s">
        <v>2864</v>
      </c>
      <c r="H77" s="52" t="s">
        <v>2865</v>
      </c>
      <c r="I77" s="84" t="s">
        <v>2861</v>
      </c>
      <c r="J77" s="100" t="s">
        <v>2844</v>
      </c>
      <c r="K77" s="106" t="s">
        <v>2866</v>
      </c>
      <c r="L77" s="117" t="s">
        <v>2867</v>
      </c>
      <c r="M77" s="84" t="s">
        <v>2861</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2861</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2861</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2861</v>
      </c>
      <c r="Z77" s="100" t="str">
        <f>IFERROR(__xludf.DUMMYFUNCTION("GOOGLETRANSLATE(B77,""zh-tw"",""ru"")"),"Скрытые реквизиты")</f>
        <v>Скрытые реквизиты</v>
      </c>
      <c r="AA77" s="165"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2861</v>
      </c>
      <c r="AD77" s="100" t="s">
        <v>2847</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2868</v>
      </c>
      <c r="AG77" s="93" t="s">
        <v>2861</v>
      </c>
      <c r="AH77" s="94" t="s">
        <v>2849</v>
      </c>
      <c r="AI77" s="178" t="s">
        <v>2869</v>
      </c>
      <c r="AJ77" s="123" t="s">
        <v>2870</v>
      </c>
      <c r="AK77" s="172"/>
      <c r="AL77" s="172"/>
    </row>
    <row r="78">
      <c r="A78" s="84" t="s">
        <v>2871</v>
      </c>
      <c r="B78" s="100" t="s">
        <v>2838</v>
      </c>
      <c r="C78" s="97" t="s">
        <v>2872</v>
      </c>
      <c r="D78" s="52" t="s">
        <v>2873</v>
      </c>
      <c r="E78" s="84" t="s">
        <v>2871</v>
      </c>
      <c r="F78" s="100" t="s">
        <v>2841</v>
      </c>
      <c r="G78" s="106" t="s">
        <v>2874</v>
      </c>
      <c r="H78" s="52" t="s">
        <v>2875</v>
      </c>
      <c r="I78" s="84" t="s">
        <v>2871</v>
      </c>
      <c r="J78" s="100" t="s">
        <v>2844</v>
      </c>
      <c r="K78" s="106" t="s">
        <v>2876</v>
      </c>
      <c r="L78" s="117" t="s">
        <v>2877</v>
      </c>
      <c r="M78" s="84" t="s">
        <v>2871</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2871</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2871</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2871</v>
      </c>
      <c r="Z78" s="100" t="str">
        <f>IFERROR(__xludf.DUMMYFUNCTION("GOOGLETRANSLATE(B78,""zh-tw"",""ru"")"),"Скрытые реквизиты")</f>
        <v>Скрытые реквизиты</v>
      </c>
      <c r="AA78" s="165"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2871</v>
      </c>
      <c r="AD78" s="100" t="s">
        <v>2847</v>
      </c>
      <c r="AE78" s="106" t="str">
        <f>IFERROR(__xludf.DUMMYFUNCTION("GOOGLETRANSLATE(C78,""zh-tw"",""de"")"),"Im Entwicklungsgebiet (Mine)-4 ist das Licht über der zentralen Treppe")</f>
        <v>Im Entwicklungsgebiet (Mine)-4 ist das Licht über der zentralen Treppe</v>
      </c>
      <c r="AF78" s="117" t="s">
        <v>2878</v>
      </c>
      <c r="AG78" s="93" t="s">
        <v>2871</v>
      </c>
      <c r="AH78" s="94" t="s">
        <v>2849</v>
      </c>
      <c r="AI78" s="178" t="s">
        <v>2879</v>
      </c>
      <c r="AJ78" s="123" t="s">
        <v>2880</v>
      </c>
      <c r="AK78" s="172"/>
      <c r="AL78" s="172"/>
    </row>
    <row r="79">
      <c r="A79" s="84" t="s">
        <v>2881</v>
      </c>
      <c r="B79" s="100" t="s">
        <v>2838</v>
      </c>
      <c r="C79" s="97" t="s">
        <v>2882</v>
      </c>
      <c r="D79" s="52" t="s">
        <v>2883</v>
      </c>
      <c r="E79" s="84" t="s">
        <v>2881</v>
      </c>
      <c r="F79" s="100" t="s">
        <v>2841</v>
      </c>
      <c r="G79" s="106" t="s">
        <v>2884</v>
      </c>
      <c r="H79" s="52" t="s">
        <v>2885</v>
      </c>
      <c r="I79" s="84" t="s">
        <v>2881</v>
      </c>
      <c r="J79" s="100" t="s">
        <v>2844</v>
      </c>
      <c r="K79" s="106" t="s">
        <v>2886</v>
      </c>
      <c r="L79" s="117" t="s">
        <v>2887</v>
      </c>
      <c r="M79" s="84" t="s">
        <v>2881</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2881</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2881</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2881</v>
      </c>
      <c r="Z79" s="100" t="str">
        <f>IFERROR(__xludf.DUMMYFUNCTION("GOOGLETRANSLATE(B79,""zh-tw"",""ru"")"),"Скрытые реквизиты")</f>
        <v>Скрытые реквизиты</v>
      </c>
      <c r="AA79" s="165"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2881</v>
      </c>
      <c r="AD79" s="100" t="s">
        <v>2847</v>
      </c>
      <c r="AE79" s="106" t="str">
        <f>IFERROR(__xludf.DUMMYFUNCTION("GOOGLETRANSLATE(C79,""zh-tw"",""de"")"),"Im Entwicklungsgebiet (Mine)-4, links nach dem Abstieg über die zentrale Treppe")</f>
        <v>Im Entwicklungsgebiet (Mine)-4, links nach dem Abstieg über die zentrale Treppe</v>
      </c>
      <c r="AF79" s="117" t="s">
        <v>2888</v>
      </c>
      <c r="AG79" s="93" t="s">
        <v>2881</v>
      </c>
      <c r="AH79" s="94" t="s">
        <v>2849</v>
      </c>
      <c r="AI79" s="178" t="s">
        <v>2889</v>
      </c>
      <c r="AJ79" s="123" t="s">
        <v>2890</v>
      </c>
      <c r="AK79" s="172"/>
      <c r="AL79" s="172"/>
    </row>
    <row r="80">
      <c r="A80" s="84" t="s">
        <v>2891</v>
      </c>
      <c r="B80" s="100" t="s">
        <v>2838</v>
      </c>
      <c r="C80" s="97" t="s">
        <v>2892</v>
      </c>
      <c r="D80" s="52" t="s">
        <v>2893</v>
      </c>
      <c r="E80" s="84" t="s">
        <v>2891</v>
      </c>
      <c r="F80" s="100" t="s">
        <v>2841</v>
      </c>
      <c r="G80" s="106" t="s">
        <v>2894</v>
      </c>
      <c r="H80" s="52" t="s">
        <v>2895</v>
      </c>
      <c r="I80" s="84" t="s">
        <v>2891</v>
      </c>
      <c r="J80" s="100" t="s">
        <v>2844</v>
      </c>
      <c r="K80" s="106" t="s">
        <v>2896</v>
      </c>
      <c r="L80" s="117" t="s">
        <v>2897</v>
      </c>
      <c r="M80" s="84" t="s">
        <v>2891</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2891</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2891</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2891</v>
      </c>
      <c r="Z80" s="100" t="str">
        <f>IFERROR(__xludf.DUMMYFUNCTION("GOOGLETRANSLATE(B80,""zh-tw"",""ru"")"),"Скрытые реквизиты")</f>
        <v>Скрытые реквизиты</v>
      </c>
      <c r="AA80" s="165"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2891</v>
      </c>
      <c r="AD80" s="100" t="s">
        <v>2847</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2898</v>
      </c>
      <c r="AG80" s="93" t="s">
        <v>2891</v>
      </c>
      <c r="AH80" s="94" t="s">
        <v>2849</v>
      </c>
      <c r="AI80" s="178" t="s">
        <v>2899</v>
      </c>
      <c r="AJ80" s="123" t="s">
        <v>2900</v>
      </c>
      <c r="AK80" s="172"/>
      <c r="AL80" s="172"/>
    </row>
    <row r="81">
      <c r="A81" s="84" t="s">
        <v>2901</v>
      </c>
      <c r="B81" s="100" t="s">
        <v>2902</v>
      </c>
      <c r="C81" s="97" t="s">
        <v>2903</v>
      </c>
      <c r="D81" s="52" t="s">
        <v>2904</v>
      </c>
      <c r="E81" s="84" t="s">
        <v>2901</v>
      </c>
      <c r="F81" s="100" t="s">
        <v>2905</v>
      </c>
      <c r="G81" s="106" t="s">
        <v>2906</v>
      </c>
      <c r="H81" s="52" t="s">
        <v>2907</v>
      </c>
      <c r="I81" s="84" t="s">
        <v>2901</v>
      </c>
      <c r="J81" s="100" t="s">
        <v>2908</v>
      </c>
      <c r="K81" s="106" t="s">
        <v>2909</v>
      </c>
      <c r="L81" s="117" t="s">
        <v>2910</v>
      </c>
      <c r="M81" s="84" t="s">
        <v>2901</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2901</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2901</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혐오감까지 느낀다")</f>
        <v>아무런 반응도 없고, 너무 자주 일어나면 혐오감까지 느낀다</v>
      </c>
      <c r="Y81" s="84" t="s">
        <v>2901</v>
      </c>
      <c r="Z81" s="100" t="str">
        <f>IFERROR(__xludf.DUMMYFUNCTION("GOOGLETRANSLATE(B81,""zh-tw"",""ru"")"),"АСАБА-1")</f>
        <v>АСАБА-1</v>
      </c>
      <c r="AA81" s="165"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2901</v>
      </c>
      <c r="AD81" s="100" t="str">
        <f>IFERROR(__xludf.DUMMYFUNCTION("GOOGLETRANSLATE(B81,""zh-tw"",""de"")"),"ASABA-1")</f>
        <v>ASABA-1</v>
      </c>
      <c r="AE81" s="106" t="str">
        <f>IFERROR(__xludf.DUMMYFUNCTION("GOOGLETRANSLATE(C81,""zh-tw"",""de"")"),"Füttern Sie ASABA – „normales Essen“")</f>
        <v>Füttern Sie ASABA – „normales Essen“</v>
      </c>
      <c r="AF81" s="117" t="s">
        <v>2911</v>
      </c>
      <c r="AG81" s="93" t="s">
        <v>2901</v>
      </c>
      <c r="AH81" s="94" t="s">
        <v>2908</v>
      </c>
      <c r="AI81" s="178" t="s">
        <v>2912</v>
      </c>
      <c r="AJ81" s="123" t="s">
        <v>2913</v>
      </c>
      <c r="AK81" s="172"/>
      <c r="AL81" s="172"/>
    </row>
    <row r="82">
      <c r="A82" s="84" t="s">
        <v>2914</v>
      </c>
      <c r="B82" s="100" t="s">
        <v>2915</v>
      </c>
      <c r="C82" s="97" t="s">
        <v>2916</v>
      </c>
      <c r="D82" s="52" t="s">
        <v>2917</v>
      </c>
      <c r="E82" s="84" t="s">
        <v>2914</v>
      </c>
      <c r="F82" s="100" t="s">
        <v>2918</v>
      </c>
      <c r="G82" s="106" t="s">
        <v>2919</v>
      </c>
      <c r="H82" s="52" t="s">
        <v>2920</v>
      </c>
      <c r="I82" s="84" t="s">
        <v>2914</v>
      </c>
      <c r="J82" s="100" t="s">
        <v>2921</v>
      </c>
      <c r="K82" s="106" t="s">
        <v>2922</v>
      </c>
      <c r="L82" s="117" t="s">
        <v>2923</v>
      </c>
      <c r="M82" s="84" t="s">
        <v>2914</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2914</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2914</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2914</v>
      </c>
      <c r="Z82" s="100" t="str">
        <f>IFERROR(__xludf.DUMMYFUNCTION("GOOGLETRANSLATE(B82,""zh-tw"",""ru"")"),"АСАБА-2")</f>
        <v>АСАБА-2</v>
      </c>
      <c r="AA82" s="165"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2914</v>
      </c>
      <c r="AD82" s="100" t="str">
        <f>IFERROR(__xludf.DUMMYFUNCTION("GOOGLETRANSLATE(B82,""zh-tw"",""de"")"),"ASABA-2")</f>
        <v>ASABA-2</v>
      </c>
      <c r="AE82" s="106" t="str">
        <f>IFERROR(__xludf.DUMMYFUNCTION("GOOGLETRANSLATE(C82,""zh-tw"",""de"")"),"Fütterung von ASABA-""Sister's Ahoge""")</f>
        <v>Fütterung von ASABA-"Sister's Ahoge"</v>
      </c>
      <c r="AF82" s="117" t="s">
        <v>2924</v>
      </c>
      <c r="AG82" s="93" t="s">
        <v>2914</v>
      </c>
      <c r="AH82" s="94" t="s">
        <v>2921</v>
      </c>
      <c r="AI82" s="178" t="s">
        <v>2925</v>
      </c>
      <c r="AJ82" s="123" t="s">
        <v>2926</v>
      </c>
      <c r="AK82" s="172"/>
      <c r="AL82" s="172"/>
    </row>
    <row r="83">
      <c r="A83" s="84" t="s">
        <v>2927</v>
      </c>
      <c r="B83" s="100" t="s">
        <v>2928</v>
      </c>
      <c r="C83" s="97" t="s">
        <v>2929</v>
      </c>
      <c r="D83" s="52" t="s">
        <v>2930</v>
      </c>
      <c r="E83" s="84" t="s">
        <v>2927</v>
      </c>
      <c r="F83" s="100" t="s">
        <v>2931</v>
      </c>
      <c r="G83" s="106" t="s">
        <v>2932</v>
      </c>
      <c r="H83" s="52" t="str">
        <f>IFERROR(__xludf.DUMMYFUNCTION("GOOGLETRANSLATE(D83,""zh-tw"",""ja"")"),"BUFFを取得")</f>
        <v>BUFFを取得</v>
      </c>
      <c r="I83" s="84" t="s">
        <v>2927</v>
      </c>
      <c r="J83" s="100" t="s">
        <v>2933</v>
      </c>
      <c r="K83" s="106" t="s">
        <v>2934</v>
      </c>
      <c r="L83" s="117" t="s">
        <v>2935</v>
      </c>
      <c r="M83" s="84" t="s">
        <v>2927</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2927</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2927</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2927</v>
      </c>
      <c r="Z83" s="100" t="str">
        <f>IFERROR(__xludf.DUMMYFUNCTION("GOOGLETRANSLATE(B83,""zh-tw"",""ru"")"),"АСАБА-3")</f>
        <v>АСАБА-3</v>
      </c>
      <c r="AA83" s="165"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2927</v>
      </c>
      <c r="AD83" s="100" t="str">
        <f>IFERROR(__xludf.DUMMYFUNCTION("GOOGLETRANSLATE(B83,""zh-tw"",""de"")"),"ASABA-3")</f>
        <v>ASABA-3</v>
      </c>
      <c r="AE83" s="106" t="str">
        <f>IFERROR(__xludf.DUMMYFUNCTION("GOOGLETRANSLATE(C83,""zh-tw"",""de"")"),"Füttere ASABA-""Erdbeere"", um BUFF zu erhalten")</f>
        <v>Füttere ASABA-"Erdbeere", um BUFF zu erhalten</v>
      </c>
      <c r="AF83" s="117" t="s">
        <v>2936</v>
      </c>
      <c r="AG83" s="93" t="s">
        <v>2927</v>
      </c>
      <c r="AH83" s="94" t="s">
        <v>2933</v>
      </c>
      <c r="AI83" s="178" t="s">
        <v>2937</v>
      </c>
      <c r="AJ83" s="123" t="s">
        <v>2938</v>
      </c>
      <c r="AK83" s="172"/>
      <c r="AL83" s="172"/>
    </row>
    <row r="84">
      <c r="A84" s="84" t="s">
        <v>2939</v>
      </c>
      <c r="B84" s="100" t="s">
        <v>2940</v>
      </c>
      <c r="C84" s="97" t="s">
        <v>2941</v>
      </c>
      <c r="D84" s="52" t="s">
        <v>2942</v>
      </c>
      <c r="E84" s="84" t="s">
        <v>2939</v>
      </c>
      <c r="F84" s="100" t="s">
        <v>2943</v>
      </c>
      <c r="G84" s="106" t="str">
        <f>IFERROR(__xludf.DUMMYFUNCTION("GOOGLETRANSLATE(C84,""zh-tw"",""ja"")"),"通常のアサバを倒すと「アサバのイチゴ」が手に入ります")</f>
        <v>通常のアサバを倒すと「アサバのイチゴ」が手に入ります</v>
      </c>
      <c r="H84" s="52" t="s">
        <v>2944</v>
      </c>
      <c r="I84" s="84" t="s">
        <v>2939</v>
      </c>
      <c r="J84" s="100" t="s">
        <v>2945</v>
      </c>
      <c r="K84" s="106" t="s">
        <v>2946</v>
      </c>
      <c r="L84" s="117" t="s">
        <v>2947</v>
      </c>
      <c r="M84" s="84" t="s">
        <v>2939</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2939</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2939</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2939</v>
      </c>
      <c r="Z84" s="100" t="str">
        <f>IFERROR(__xludf.DUMMYFUNCTION("GOOGLETRANSLATE(B84,""zh-tw"",""ru"")"),"АСАБА-4")</f>
        <v>АСАБА-4</v>
      </c>
      <c r="AA84" s="165"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2939</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2948</v>
      </c>
      <c r="AG84" s="93" t="s">
        <v>2939</v>
      </c>
      <c r="AH84" s="94" t="s">
        <v>2945</v>
      </c>
      <c r="AI84" s="178" t="s">
        <v>2949</v>
      </c>
      <c r="AJ84" s="123" t="s">
        <v>2950</v>
      </c>
      <c r="AK84" s="172"/>
      <c r="AL84" s="172"/>
    </row>
    <row r="85">
      <c r="A85" s="84" t="s">
        <v>2951</v>
      </c>
      <c r="B85" s="100" t="s">
        <v>2952</v>
      </c>
      <c r="C85" s="97" t="s">
        <v>2953</v>
      </c>
      <c r="D85" s="52" t="s">
        <v>2954</v>
      </c>
      <c r="E85" s="84" t="s">
        <v>2951</v>
      </c>
      <c r="F85" s="100" t="s">
        <v>2955</v>
      </c>
      <c r="G85" s="106" t="s">
        <v>2956</v>
      </c>
      <c r="H85" s="52" t="s">
        <v>2957</v>
      </c>
      <c r="I85" s="84" t="s">
        <v>2951</v>
      </c>
      <c r="J85" s="100" t="s">
        <v>2958</v>
      </c>
      <c r="K85" s="106" t="s">
        <v>2959</v>
      </c>
      <c r="L85" s="117" t="s">
        <v>2960</v>
      </c>
      <c r="M85" s="84" t="s">
        <v>2951</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2951</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2951</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2951</v>
      </c>
      <c r="Z85" s="100" t="str">
        <f>IFERROR(__xludf.DUMMYFUNCTION("GOOGLETRANSLATE(B85,""zh-tw"",""ru"")"),"АСАБА-5")</f>
        <v>АСАБА-5</v>
      </c>
      <c r="AA85" s="165"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2951</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2961</v>
      </c>
      <c r="AG85" s="93" t="s">
        <v>2951</v>
      </c>
      <c r="AH85" s="94" t="s">
        <v>2958</v>
      </c>
      <c r="AI85" s="178" t="s">
        <v>2962</v>
      </c>
      <c r="AJ85" s="123" t="s">
        <v>2963</v>
      </c>
      <c r="AK85" s="172"/>
      <c r="AL85" s="172"/>
    </row>
    <row r="86">
      <c r="A86" s="84" t="s">
        <v>2964</v>
      </c>
      <c r="B86" s="100" t="s">
        <v>2965</v>
      </c>
      <c r="C86" s="97" t="s">
        <v>2966</v>
      </c>
      <c r="D86" s="52" t="s">
        <v>2967</v>
      </c>
      <c r="E86" s="84" t="s">
        <v>2964</v>
      </c>
      <c r="F86" s="100" t="s">
        <v>2968</v>
      </c>
      <c r="G86" s="106" t="s">
        <v>2969</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2964</v>
      </c>
      <c r="J86" s="100" t="s">
        <v>2970</v>
      </c>
      <c r="K86" s="106" t="s">
        <v>2971</v>
      </c>
      <c r="L86" s="117" t="s">
        <v>2972</v>
      </c>
      <c r="M86" s="84" t="s">
        <v>2964</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2964</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2964</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2964</v>
      </c>
      <c r="Z86" s="100" t="str">
        <f>IFERROR(__xludf.DUMMYFUNCTION("GOOGLETRANSLATE(B86,""zh-tw"",""ru"")"),"АСАБА-6")</f>
        <v>АСАБА-6</v>
      </c>
      <c r="AA86" s="165"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2964</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2964</v>
      </c>
      <c r="AH86" s="94" t="s">
        <v>2970</v>
      </c>
      <c r="AI86" s="178" t="s">
        <v>2973</v>
      </c>
      <c r="AJ86" s="123" t="s">
        <v>2974</v>
      </c>
      <c r="AK86" s="172"/>
      <c r="AL86" s="172"/>
    </row>
    <row r="87">
      <c r="A87" s="84" t="s">
        <v>2975</v>
      </c>
      <c r="B87" s="100" t="s">
        <v>2976</v>
      </c>
      <c r="C87" s="97" t="s">
        <v>2977</v>
      </c>
      <c r="D87" s="52" t="s">
        <v>2978</v>
      </c>
      <c r="E87" s="84" t="s">
        <v>2975</v>
      </c>
      <c r="F87" s="100" t="s">
        <v>2976</v>
      </c>
      <c r="G87" s="174" t="s">
        <v>2979</v>
      </c>
      <c r="H87" s="175" t="s">
        <v>2980</v>
      </c>
      <c r="I87" s="84" t="s">
        <v>2975</v>
      </c>
      <c r="J87" s="100" t="s">
        <v>2976</v>
      </c>
      <c r="K87" s="97" t="s">
        <v>2981</v>
      </c>
      <c r="L87" s="52" t="s">
        <v>2982</v>
      </c>
      <c r="M87" s="84" t="s">
        <v>2975</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2975</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2975</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2975</v>
      </c>
      <c r="Z87" s="100" t="str">
        <f>IFERROR(__xludf.DUMMYFUNCTION("GOOGLETRANSLATE(B87,""zh-tw"",""ru"")"),"◉▽◉?")</f>
        <v>◉▽◉?</v>
      </c>
      <c r="AA87" s="165"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2975</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2975</v>
      </c>
      <c r="AH87" s="94" t="s">
        <v>2976</v>
      </c>
      <c r="AI87" s="168" t="s">
        <v>2983</v>
      </c>
      <c r="AJ87" s="123" t="s">
        <v>2984</v>
      </c>
      <c r="AK87" s="172"/>
      <c r="AL87" s="172"/>
    </row>
    <row r="88">
      <c r="A88" s="84" t="s">
        <v>2985</v>
      </c>
      <c r="B88" s="100" t="s">
        <v>2986</v>
      </c>
      <c r="C88" s="97" t="s">
        <v>2987</v>
      </c>
      <c r="D88" s="52" t="s">
        <v>2988</v>
      </c>
      <c r="E88" s="84" t="s">
        <v>2985</v>
      </c>
      <c r="F88" s="100" t="s">
        <v>2986</v>
      </c>
      <c r="G88" s="174" t="s">
        <v>2989</v>
      </c>
      <c r="H88" s="175" t="s">
        <v>2990</v>
      </c>
      <c r="I88" s="84" t="s">
        <v>2985</v>
      </c>
      <c r="J88" s="100" t="s">
        <v>2986</v>
      </c>
      <c r="K88" s="97" t="s">
        <v>2991</v>
      </c>
      <c r="L88" s="52" t="s">
        <v>2992</v>
      </c>
      <c r="M88" s="84" t="s">
        <v>2985</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2985</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2985</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2985</v>
      </c>
      <c r="Z88" s="100" t="str">
        <f>IFERROR(__xludf.DUMMYFUNCTION("GOOGLETRANSLATE(B88,""zh-tw"",""ru"")"),"◉▽◉!?")</f>
        <v>◉▽◉!?</v>
      </c>
      <c r="AA88" s="165"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2985</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2985</v>
      </c>
      <c r="AH88" s="94" t="s">
        <v>2986</v>
      </c>
      <c r="AI88" s="168" t="s">
        <v>2993</v>
      </c>
      <c r="AJ88" s="123" t="s">
        <v>2994</v>
      </c>
      <c r="AK88" s="172"/>
      <c r="AL88" s="172"/>
    </row>
    <row r="89">
      <c r="A89" s="84" t="s">
        <v>2995</v>
      </c>
      <c r="B89" s="100" t="s">
        <v>2996</v>
      </c>
      <c r="C89" s="97" t="s">
        <v>2997</v>
      </c>
      <c r="D89" s="52" t="s">
        <v>2998</v>
      </c>
      <c r="E89" s="84" t="s">
        <v>2995</v>
      </c>
      <c r="F89" s="100" t="s">
        <v>2996</v>
      </c>
      <c r="G89" s="174" t="s">
        <v>2999</v>
      </c>
      <c r="H89" s="175" t="s">
        <v>3000</v>
      </c>
      <c r="I89" s="84" t="s">
        <v>2995</v>
      </c>
      <c r="J89" s="100" t="s">
        <v>2996</v>
      </c>
      <c r="K89" s="97" t="s">
        <v>3001</v>
      </c>
      <c r="L89" s="52" t="s">
        <v>3002</v>
      </c>
      <c r="M89" s="84" t="s">
        <v>2995</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2995</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2995</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2995</v>
      </c>
      <c r="Z89" s="100" t="str">
        <f>IFERROR(__xludf.DUMMYFUNCTION("GOOGLETRANSLATE(B89,""zh-tw"",""ru"")"),"♔
◉▽◉")</f>
        <v>♔
◉▽◉</v>
      </c>
      <c r="AA89" s="165"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2995</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2995</v>
      </c>
      <c r="AH89" s="94" t="s">
        <v>2996</v>
      </c>
      <c r="AI89" s="168" t="s">
        <v>3003</v>
      </c>
      <c r="AJ89" s="179" t="s">
        <v>3004</v>
      </c>
      <c r="AK89" s="172"/>
      <c r="AL89" s="172"/>
    </row>
    <row r="90">
      <c r="A90" s="84" t="s">
        <v>3005</v>
      </c>
      <c r="B90" s="100" t="s">
        <v>3006</v>
      </c>
      <c r="C90" s="97" t="s">
        <v>3007</v>
      </c>
      <c r="D90" s="52" t="s">
        <v>3008</v>
      </c>
      <c r="E90" s="84" t="s">
        <v>3005</v>
      </c>
      <c r="F90" s="100" t="s">
        <v>3009</v>
      </c>
      <c r="G90" s="174" t="s">
        <v>3010</v>
      </c>
      <c r="H90" s="175" t="s">
        <v>3011</v>
      </c>
      <c r="I90" s="84" t="s">
        <v>3005</v>
      </c>
      <c r="J90" s="100" t="s">
        <v>3012</v>
      </c>
      <c r="K90" s="97" t="s">
        <v>3013</v>
      </c>
      <c r="L90" s="52" t="s">
        <v>3014</v>
      </c>
      <c r="M90" s="84" t="s">
        <v>3005</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3005</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3005</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3005</v>
      </c>
      <c r="Z90" s="100" t="str">
        <f>IFERROR(__xludf.DUMMYFUNCTION("GOOGLETRANSLATE(B90,""zh-tw"",""ru"")"),"Возвращение в воду")</f>
        <v>Возвращение в воду</v>
      </c>
      <c r="AA90" s="165"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3005</v>
      </c>
      <c r="AD90" s="100" t="s">
        <v>3015</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3016</v>
      </c>
      <c r="AG90" s="93" t="s">
        <v>3005</v>
      </c>
      <c r="AH90" s="94" t="s">
        <v>3017</v>
      </c>
      <c r="AI90" s="168" t="s">
        <v>3018</v>
      </c>
      <c r="AJ90" s="123" t="s">
        <v>3019</v>
      </c>
      <c r="AK90" s="172"/>
      <c r="AL90" s="172"/>
    </row>
    <row r="91">
      <c r="A91" s="84" t="s">
        <v>3020</v>
      </c>
      <c r="B91" s="100" t="s">
        <v>3021</v>
      </c>
      <c r="C91" s="97" t="s">
        <v>3022</v>
      </c>
      <c r="D91" s="52" t="s">
        <v>3023</v>
      </c>
      <c r="E91" s="84" t="s">
        <v>3020</v>
      </c>
      <c r="F91" s="100" t="s">
        <v>3024</v>
      </c>
      <c r="G91" s="174" t="s">
        <v>3025</v>
      </c>
      <c r="H91" s="175" t="s">
        <v>3026</v>
      </c>
      <c r="I91" s="84" t="s">
        <v>3020</v>
      </c>
      <c r="J91" s="100" t="s">
        <v>3027</v>
      </c>
      <c r="K91" s="97" t="s">
        <v>3028</v>
      </c>
      <c r="L91" s="52" t="s">
        <v>3029</v>
      </c>
      <c r="M91" s="84" t="s">
        <v>3020</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3020</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3020</v>
      </c>
      <c r="V91" s="88" t="str">
        <f>IFERROR(__xludf.DUMMYFUNCTION("GOOGLETRANSLATE(B91,""zh-tw"",""KO"")"),"빛나는 당근")</f>
        <v>빛나는 당근</v>
      </c>
      <c r="W91" s="89"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3020</v>
      </c>
      <c r="Z91" s="100" t="str">
        <f>IFERROR(__xludf.DUMMYFUNCTION("GOOGLETRANSLATE(B91,""zh-tw"",""ru"")"),"Светящаяся морковь")</f>
        <v>Светящаяся морковь</v>
      </c>
      <c r="AA91" s="165"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3020</v>
      </c>
      <c r="AD91" s="100" t="s">
        <v>3030</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3031</v>
      </c>
      <c r="AG91" s="93" t="s">
        <v>3020</v>
      </c>
      <c r="AH91" s="94" t="s">
        <v>3032</v>
      </c>
      <c r="AI91" s="168" t="s">
        <v>3033</v>
      </c>
      <c r="AJ91" s="120" t="s">
        <v>3034</v>
      </c>
      <c r="AK91" s="172"/>
      <c r="AL91" s="172"/>
    </row>
    <row r="92">
      <c r="A92" s="84" t="s">
        <v>3035</v>
      </c>
      <c r="B92" s="100" t="s">
        <v>3036</v>
      </c>
      <c r="C92" s="97" t="s">
        <v>3037</v>
      </c>
      <c r="D92" s="52" t="s">
        <v>590</v>
      </c>
      <c r="E92" s="84" t="s">
        <v>3035</v>
      </c>
      <c r="F92" s="100" t="s">
        <v>3038</v>
      </c>
      <c r="G92" s="174" t="s">
        <v>3039</v>
      </c>
      <c r="H92" s="175" t="s">
        <v>593</v>
      </c>
      <c r="I92" s="84" t="s">
        <v>3035</v>
      </c>
      <c r="J92" s="100" t="s">
        <v>3040</v>
      </c>
      <c r="K92" s="97" t="s">
        <v>3041</v>
      </c>
      <c r="L92" s="52" t="s">
        <v>2307</v>
      </c>
      <c r="M92" s="84" t="s">
        <v>3035</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3035</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3035</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3035</v>
      </c>
      <c r="Z92" s="100" t="str">
        <f>IFERROR(__xludf.DUMMYFUNCTION("GOOGLETRANSLATE(B92,""zh-tw"",""ru"")"),"Редька Меч")</f>
        <v>Редька Меч</v>
      </c>
      <c r="AA92" s="165"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3035</v>
      </c>
      <c r="AD92" s="100" t="s">
        <v>3042</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3035</v>
      </c>
      <c r="AH92" s="94" t="s">
        <v>3043</v>
      </c>
      <c r="AI92" s="168" t="s">
        <v>3044</v>
      </c>
      <c r="AJ92" s="123" t="s">
        <v>3045</v>
      </c>
      <c r="AK92" s="172"/>
      <c r="AL92" s="172"/>
    </row>
    <row r="93">
      <c r="A93" s="84" t="s">
        <v>3046</v>
      </c>
      <c r="B93" s="100" t="s">
        <v>3047</v>
      </c>
      <c r="C93" s="97" t="s">
        <v>3048</v>
      </c>
      <c r="D93" s="52" t="s">
        <v>590</v>
      </c>
      <c r="E93" s="84" t="s">
        <v>3046</v>
      </c>
      <c r="F93" s="100" t="s">
        <v>3049</v>
      </c>
      <c r="G93" s="174" t="s">
        <v>3050</v>
      </c>
      <c r="H93" s="175" t="s">
        <v>593</v>
      </c>
      <c r="I93" s="84" t="s">
        <v>3046</v>
      </c>
      <c r="J93" s="100" t="s">
        <v>3051</v>
      </c>
      <c r="K93" s="97" t="s">
        <v>3052</v>
      </c>
      <c r="L93" s="52" t="s">
        <v>2307</v>
      </c>
      <c r="M93" s="84" t="s">
        <v>3046</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3046</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3046</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3046</v>
      </c>
      <c r="Z93" s="100" t="str">
        <f>IFERROR(__xludf.DUMMYFUNCTION("GOOGLETRANSLATE(B93,""zh-tw"",""ru"")"),"Редька Меч-1")</f>
        <v>Редька Меч-1</v>
      </c>
      <c r="AA93" s="165"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3046</v>
      </c>
      <c r="AD93" s="100" t="s">
        <v>3053</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3046</v>
      </c>
      <c r="AH93" s="94" t="s">
        <v>3054</v>
      </c>
      <c r="AI93" s="168" t="s">
        <v>3055</v>
      </c>
      <c r="AJ93" s="123" t="s">
        <v>3045</v>
      </c>
      <c r="AK93" s="172"/>
      <c r="AL93" s="172"/>
    </row>
    <row r="94">
      <c r="A94" s="137"/>
      <c r="B94" s="88"/>
      <c r="C94" s="97"/>
      <c r="D94" s="52"/>
      <c r="E94" s="137"/>
      <c r="F94" s="88"/>
      <c r="G94" s="180"/>
      <c r="H94" s="181"/>
      <c r="I94" s="137"/>
      <c r="J94" s="88"/>
      <c r="K94" s="89"/>
      <c r="L94" s="55"/>
      <c r="M94" s="137"/>
      <c r="N94" s="182"/>
      <c r="O94" s="89"/>
      <c r="P94" s="55"/>
      <c r="Q94" s="183"/>
      <c r="R94" s="184"/>
      <c r="S94" s="185"/>
      <c r="T94" s="172"/>
      <c r="U94" s="183"/>
      <c r="V94" s="184"/>
      <c r="W94" s="185"/>
      <c r="X94" s="172"/>
      <c r="Y94" s="137"/>
      <c r="Z94" s="186"/>
      <c r="AA94" s="187"/>
      <c r="AB94" s="188"/>
      <c r="AC94" s="137"/>
      <c r="AD94" s="184"/>
      <c r="AE94" s="189"/>
      <c r="AF94" s="190"/>
      <c r="AG94" s="191"/>
      <c r="AH94" s="192"/>
      <c r="AI94" s="193"/>
      <c r="AJ94" s="172"/>
      <c r="AK94" s="172"/>
      <c r="AL94" s="172"/>
    </row>
    <row r="95">
      <c r="A95" s="137"/>
      <c r="B95" s="88"/>
      <c r="C95" s="89"/>
      <c r="D95" s="55"/>
      <c r="E95" s="137"/>
      <c r="F95" s="88"/>
      <c r="G95" s="180"/>
      <c r="H95" s="181"/>
      <c r="I95" s="137"/>
      <c r="J95" s="88"/>
      <c r="K95" s="89"/>
      <c r="L95" s="55"/>
      <c r="M95" s="137"/>
      <c r="N95" s="182"/>
      <c r="O95" s="89"/>
      <c r="P95" s="55"/>
      <c r="Q95" s="183"/>
      <c r="R95" s="184"/>
      <c r="S95" s="185"/>
      <c r="T95" s="172"/>
      <c r="U95" s="183"/>
      <c r="V95" s="184"/>
      <c r="W95" s="185"/>
      <c r="X95" s="172"/>
      <c r="Y95" s="137"/>
      <c r="Z95" s="186"/>
      <c r="AA95" s="187"/>
      <c r="AB95" s="188"/>
      <c r="AC95" s="137"/>
      <c r="AD95" s="184"/>
      <c r="AE95" s="189"/>
      <c r="AF95" s="190"/>
      <c r="AG95" s="191"/>
      <c r="AH95" s="192"/>
      <c r="AI95" s="193"/>
      <c r="AJ95" s="172"/>
      <c r="AK95" s="172"/>
      <c r="AL95" s="172"/>
    </row>
    <row r="96">
      <c r="A96" s="137"/>
      <c r="B96" s="88"/>
      <c r="C96" s="89"/>
      <c r="D96" s="55"/>
      <c r="E96" s="137"/>
      <c r="F96" s="88"/>
      <c r="G96" s="180"/>
      <c r="H96" s="181"/>
      <c r="I96" s="137"/>
      <c r="J96" s="88"/>
      <c r="K96" s="89"/>
      <c r="L96" s="55"/>
      <c r="M96" s="137"/>
      <c r="N96" s="182"/>
      <c r="O96" s="89"/>
      <c r="P96" s="55"/>
      <c r="Q96" s="183"/>
      <c r="R96" s="184"/>
      <c r="S96" s="185"/>
      <c r="T96" s="172"/>
      <c r="U96" s="183"/>
      <c r="V96" s="184"/>
      <c r="W96" s="185"/>
      <c r="X96" s="172"/>
      <c r="Y96" s="137"/>
      <c r="Z96" s="186"/>
      <c r="AA96" s="187"/>
      <c r="AB96" s="188"/>
      <c r="AC96" s="137"/>
      <c r="AD96" s="184"/>
      <c r="AE96" s="189"/>
      <c r="AF96" s="190"/>
      <c r="AG96" s="191"/>
      <c r="AH96" s="192"/>
      <c r="AI96" s="193"/>
      <c r="AJ96" s="172"/>
      <c r="AK96" s="172"/>
      <c r="AL96" s="172"/>
    </row>
    <row r="97">
      <c r="A97" s="137"/>
      <c r="B97" s="88"/>
      <c r="C97" s="89"/>
      <c r="D97" s="55"/>
      <c r="E97" s="137"/>
      <c r="F97" s="88"/>
      <c r="G97" s="180"/>
      <c r="H97" s="181"/>
      <c r="I97" s="137"/>
      <c r="J97" s="88"/>
      <c r="K97" s="89"/>
      <c r="L97" s="55"/>
      <c r="M97" s="137"/>
      <c r="N97" s="182"/>
      <c r="O97" s="89"/>
      <c r="P97" s="55"/>
      <c r="Q97" s="183"/>
      <c r="R97" s="184"/>
      <c r="S97" s="185"/>
      <c r="T97" s="172"/>
      <c r="U97" s="183"/>
      <c r="V97" s="184"/>
      <c r="W97" s="185"/>
      <c r="X97" s="172"/>
      <c r="Y97" s="137"/>
      <c r="Z97" s="186"/>
      <c r="AA97" s="187"/>
      <c r="AB97" s="188"/>
      <c r="AC97" s="137"/>
      <c r="AD97" s="184"/>
      <c r="AE97" s="189"/>
      <c r="AF97" s="190"/>
      <c r="AG97" s="191"/>
      <c r="AH97" s="192"/>
      <c r="AI97" s="193"/>
      <c r="AJ97" s="172"/>
      <c r="AK97" s="172"/>
      <c r="AL97" s="172"/>
    </row>
    <row r="98">
      <c r="A98" s="137"/>
      <c r="B98" s="88"/>
      <c r="C98" s="89"/>
      <c r="D98" s="55"/>
      <c r="E98" s="137"/>
      <c r="F98" s="88"/>
      <c r="G98" s="180"/>
      <c r="H98" s="181"/>
      <c r="I98" s="137"/>
      <c r="J98" s="88"/>
      <c r="K98" s="89"/>
      <c r="L98" s="55"/>
      <c r="M98" s="137"/>
      <c r="N98" s="182"/>
      <c r="O98" s="89"/>
      <c r="P98" s="55"/>
      <c r="Q98" s="183"/>
      <c r="R98" s="184"/>
      <c r="S98" s="185"/>
      <c r="T98" s="172"/>
      <c r="U98" s="183"/>
      <c r="V98" s="184"/>
      <c r="W98" s="185"/>
      <c r="X98" s="172"/>
      <c r="Y98" s="137"/>
      <c r="Z98" s="186"/>
      <c r="AA98" s="187"/>
      <c r="AB98" s="188"/>
      <c r="AC98" s="137"/>
      <c r="AD98" s="184"/>
      <c r="AE98" s="189"/>
      <c r="AF98" s="190"/>
      <c r="AG98" s="191"/>
      <c r="AH98" s="192"/>
      <c r="AI98" s="193"/>
      <c r="AJ98" s="172"/>
      <c r="AK98" s="172"/>
      <c r="AL98" s="172"/>
    </row>
    <row r="99">
      <c r="A99" s="137"/>
      <c r="B99" s="88"/>
      <c r="C99" s="89"/>
      <c r="D99" s="55"/>
      <c r="E99" s="137"/>
      <c r="F99" s="88"/>
      <c r="G99" s="180"/>
      <c r="H99" s="181"/>
      <c r="I99" s="137"/>
      <c r="J99" s="88"/>
      <c r="K99" s="89"/>
      <c r="L99" s="55"/>
      <c r="M99" s="137"/>
      <c r="N99" s="182"/>
      <c r="O99" s="89"/>
      <c r="P99" s="55"/>
      <c r="Q99" s="183"/>
      <c r="R99" s="184"/>
      <c r="S99" s="185"/>
      <c r="T99" s="172"/>
      <c r="U99" s="183"/>
      <c r="V99" s="184"/>
      <c r="W99" s="185"/>
      <c r="X99" s="172"/>
      <c r="Y99" s="137"/>
      <c r="Z99" s="186"/>
      <c r="AA99" s="187"/>
      <c r="AB99" s="188"/>
      <c r="AC99" s="137"/>
      <c r="AD99" s="184"/>
      <c r="AE99" s="189"/>
      <c r="AF99" s="190"/>
      <c r="AG99" s="191"/>
      <c r="AH99" s="192"/>
      <c r="AI99" s="193"/>
      <c r="AJ99" s="172"/>
      <c r="AK99" s="172"/>
      <c r="AL99" s="172"/>
    </row>
    <row r="100">
      <c r="A100" s="137"/>
      <c r="B100" s="88"/>
      <c r="C100" s="89"/>
      <c r="D100" s="55"/>
      <c r="E100" s="137"/>
      <c r="F100" s="88"/>
      <c r="G100" s="180"/>
      <c r="H100" s="181"/>
      <c r="I100" s="137"/>
      <c r="J100" s="88"/>
      <c r="K100" s="89"/>
      <c r="L100" s="55"/>
      <c r="M100" s="137"/>
      <c r="N100" s="182"/>
      <c r="O100" s="89"/>
      <c r="P100" s="55"/>
      <c r="Q100" s="183"/>
      <c r="R100" s="184"/>
      <c r="S100" s="185"/>
      <c r="T100" s="172"/>
      <c r="U100" s="183"/>
      <c r="V100" s="184"/>
      <c r="W100" s="185"/>
      <c r="X100" s="172"/>
      <c r="Y100" s="137"/>
      <c r="Z100" s="186"/>
      <c r="AA100" s="187"/>
      <c r="AB100" s="188"/>
      <c r="AC100" s="137"/>
      <c r="AD100" s="184"/>
      <c r="AE100" s="189"/>
      <c r="AF100" s="190"/>
      <c r="AG100" s="191"/>
      <c r="AH100" s="192"/>
      <c r="AI100" s="193"/>
      <c r="AJ100" s="172"/>
      <c r="AK100" s="172"/>
      <c r="AL100" s="172"/>
    </row>
    <row r="101">
      <c r="A101" s="137"/>
      <c r="B101" s="88"/>
      <c r="C101" s="89"/>
      <c r="D101" s="55"/>
      <c r="E101" s="137"/>
      <c r="F101" s="88"/>
      <c r="G101" s="180"/>
      <c r="H101" s="181"/>
      <c r="I101" s="137"/>
      <c r="J101" s="88"/>
      <c r="K101" s="89"/>
      <c r="L101" s="55"/>
      <c r="M101" s="137"/>
      <c r="N101" s="182"/>
      <c r="O101" s="89"/>
      <c r="P101" s="55"/>
      <c r="Q101" s="183"/>
      <c r="R101" s="184"/>
      <c r="S101" s="185"/>
      <c r="T101" s="172"/>
      <c r="U101" s="183"/>
      <c r="V101" s="184"/>
      <c r="W101" s="185"/>
      <c r="X101" s="172"/>
      <c r="Y101" s="137"/>
      <c r="Z101" s="186"/>
      <c r="AA101" s="187"/>
      <c r="AB101" s="188"/>
      <c r="AC101" s="137"/>
      <c r="AD101" s="184"/>
      <c r="AE101" s="189"/>
      <c r="AF101" s="190"/>
      <c r="AG101" s="191"/>
      <c r="AH101" s="192"/>
      <c r="AI101" s="193"/>
      <c r="AJ101" s="172"/>
      <c r="AK101" s="172"/>
      <c r="AL101" s="172"/>
    </row>
    <row r="102">
      <c r="A102" s="137"/>
      <c r="B102" s="88"/>
      <c r="C102" s="89"/>
      <c r="D102" s="55"/>
      <c r="E102" s="137"/>
      <c r="F102" s="88"/>
      <c r="G102" s="180"/>
      <c r="H102" s="181"/>
      <c r="I102" s="137"/>
      <c r="J102" s="88"/>
      <c r="K102" s="89"/>
      <c r="L102" s="55"/>
      <c r="M102" s="137"/>
      <c r="N102" s="182"/>
      <c r="O102" s="89"/>
      <c r="P102" s="55"/>
      <c r="Q102" s="183"/>
      <c r="R102" s="184"/>
      <c r="S102" s="185"/>
      <c r="T102" s="172"/>
      <c r="U102" s="183"/>
      <c r="V102" s="184"/>
      <c r="W102" s="185"/>
      <c r="X102" s="172"/>
      <c r="Y102" s="137"/>
      <c r="Z102" s="186"/>
      <c r="AA102" s="187"/>
      <c r="AB102" s="188"/>
      <c r="AC102" s="137"/>
      <c r="AD102" s="184"/>
      <c r="AE102" s="189"/>
      <c r="AF102" s="190"/>
      <c r="AG102" s="191"/>
      <c r="AH102" s="192"/>
      <c r="AI102" s="193"/>
      <c r="AJ102" s="172"/>
      <c r="AK102" s="172"/>
      <c r="AL102" s="172"/>
    </row>
    <row r="103">
      <c r="A103" s="137"/>
      <c r="B103" s="88"/>
      <c r="C103" s="89"/>
      <c r="D103" s="55"/>
      <c r="E103" s="137"/>
      <c r="F103" s="88"/>
      <c r="G103" s="180"/>
      <c r="H103" s="181"/>
      <c r="I103" s="137"/>
      <c r="J103" s="88"/>
      <c r="K103" s="89"/>
      <c r="L103" s="55"/>
      <c r="M103" s="137"/>
      <c r="N103" s="182"/>
      <c r="O103" s="89"/>
      <c r="P103" s="55"/>
      <c r="Q103" s="183"/>
      <c r="R103" s="184"/>
      <c r="S103" s="185"/>
      <c r="T103" s="172"/>
      <c r="U103" s="183"/>
      <c r="V103" s="184"/>
      <c r="W103" s="185"/>
      <c r="X103" s="172"/>
      <c r="Y103" s="137"/>
      <c r="Z103" s="186"/>
      <c r="AA103" s="187"/>
      <c r="AB103" s="188"/>
      <c r="AC103" s="137"/>
      <c r="AD103" s="184"/>
      <c r="AE103" s="189"/>
      <c r="AF103" s="190"/>
      <c r="AG103" s="191"/>
      <c r="AH103" s="192"/>
      <c r="AI103" s="193"/>
      <c r="AJ103" s="172"/>
      <c r="AK103" s="172"/>
      <c r="AL103" s="172"/>
    </row>
    <row r="104">
      <c r="A104" s="137"/>
      <c r="B104" s="88"/>
      <c r="C104" s="89"/>
      <c r="D104" s="55"/>
      <c r="E104" s="137"/>
      <c r="F104" s="88"/>
      <c r="G104" s="180"/>
      <c r="H104" s="181"/>
      <c r="I104" s="137"/>
      <c r="J104" s="88"/>
      <c r="K104" s="89"/>
      <c r="L104" s="55"/>
      <c r="M104" s="137"/>
      <c r="N104" s="182"/>
      <c r="O104" s="89"/>
      <c r="P104" s="55"/>
      <c r="Q104" s="183"/>
      <c r="R104" s="184"/>
      <c r="S104" s="185"/>
      <c r="T104" s="172"/>
      <c r="U104" s="183"/>
      <c r="V104" s="184"/>
      <c r="W104" s="185"/>
      <c r="X104" s="172"/>
      <c r="Y104" s="137"/>
      <c r="Z104" s="186"/>
      <c r="AA104" s="187"/>
      <c r="AB104" s="188"/>
      <c r="AC104" s="137"/>
      <c r="AD104" s="184"/>
      <c r="AE104" s="189"/>
      <c r="AF104" s="190"/>
      <c r="AG104" s="191"/>
      <c r="AH104" s="192"/>
      <c r="AI104" s="193"/>
      <c r="AJ104" s="172"/>
      <c r="AK104" s="172"/>
      <c r="AL104" s="172"/>
    </row>
    <row r="105">
      <c r="A105" s="137"/>
      <c r="B105" s="88"/>
      <c r="C105" s="89"/>
      <c r="D105" s="55"/>
      <c r="E105" s="137"/>
      <c r="F105" s="88"/>
      <c r="G105" s="180"/>
      <c r="H105" s="181"/>
      <c r="I105" s="137"/>
      <c r="J105" s="88"/>
      <c r="K105" s="89"/>
      <c r="L105" s="55"/>
      <c r="M105" s="137"/>
      <c r="N105" s="182"/>
      <c r="O105" s="89"/>
      <c r="P105" s="55"/>
      <c r="Q105" s="183"/>
      <c r="R105" s="184"/>
      <c r="S105" s="185"/>
      <c r="T105" s="172"/>
      <c r="U105" s="183"/>
      <c r="V105" s="184"/>
      <c r="W105" s="185"/>
      <c r="X105" s="172"/>
      <c r="Y105" s="137"/>
      <c r="Z105" s="186"/>
      <c r="AA105" s="187"/>
      <c r="AB105" s="188"/>
      <c r="AC105" s="137"/>
      <c r="AD105" s="184"/>
      <c r="AE105" s="189"/>
      <c r="AF105" s="190"/>
      <c r="AG105" s="191"/>
      <c r="AH105" s="192"/>
      <c r="AI105" s="193"/>
      <c r="AJ105" s="172"/>
      <c r="AK105" s="172"/>
      <c r="AL105" s="172"/>
    </row>
    <row r="106">
      <c r="A106" s="137"/>
      <c r="B106" s="88"/>
      <c r="C106" s="89"/>
      <c r="D106" s="55"/>
      <c r="E106" s="137"/>
      <c r="F106" s="88"/>
      <c r="G106" s="180"/>
      <c r="H106" s="181"/>
      <c r="I106" s="137"/>
      <c r="J106" s="88"/>
      <c r="K106" s="89"/>
      <c r="L106" s="55"/>
      <c r="M106" s="137"/>
      <c r="N106" s="182"/>
      <c r="O106" s="89"/>
      <c r="P106" s="55"/>
      <c r="Q106" s="183"/>
      <c r="R106" s="184"/>
      <c r="S106" s="185"/>
      <c r="T106" s="172"/>
      <c r="U106" s="183"/>
      <c r="V106" s="184"/>
      <c r="W106" s="185"/>
      <c r="X106" s="172"/>
      <c r="Y106" s="137"/>
      <c r="Z106" s="186"/>
      <c r="AA106" s="187"/>
      <c r="AB106" s="188"/>
      <c r="AC106" s="137"/>
      <c r="AD106" s="184"/>
      <c r="AE106" s="189"/>
      <c r="AF106" s="190"/>
      <c r="AG106" s="191"/>
      <c r="AH106" s="192"/>
      <c r="AI106" s="193"/>
      <c r="AJ106" s="172"/>
      <c r="AK106" s="172"/>
      <c r="AL106" s="172"/>
    </row>
    <row r="107">
      <c r="A107" s="137"/>
      <c r="B107" s="88"/>
      <c r="C107" s="89"/>
      <c r="D107" s="55"/>
      <c r="E107" s="137"/>
      <c r="F107" s="88"/>
      <c r="G107" s="180"/>
      <c r="H107" s="181"/>
      <c r="I107" s="137"/>
      <c r="J107" s="88"/>
      <c r="K107" s="89"/>
      <c r="L107" s="55"/>
      <c r="M107" s="137"/>
      <c r="N107" s="182"/>
      <c r="O107" s="89"/>
      <c r="P107" s="55"/>
      <c r="Q107" s="183"/>
      <c r="R107" s="184"/>
      <c r="S107" s="185"/>
      <c r="T107" s="172"/>
      <c r="U107" s="183"/>
      <c r="V107" s="184"/>
      <c r="W107" s="185"/>
      <c r="X107" s="172"/>
      <c r="Y107" s="137"/>
      <c r="Z107" s="186"/>
      <c r="AA107" s="187"/>
      <c r="AB107" s="188"/>
      <c r="AC107" s="137"/>
      <c r="AD107" s="184"/>
      <c r="AE107" s="189"/>
      <c r="AF107" s="190"/>
      <c r="AG107" s="191"/>
      <c r="AH107" s="192"/>
      <c r="AI107" s="193"/>
      <c r="AJ107" s="172"/>
      <c r="AK107" s="172"/>
      <c r="AL107" s="172"/>
    </row>
    <row r="108">
      <c r="A108" s="137"/>
      <c r="B108" s="88"/>
      <c r="C108" s="89"/>
      <c r="D108" s="55"/>
      <c r="E108" s="137"/>
      <c r="F108" s="88"/>
      <c r="G108" s="180"/>
      <c r="H108" s="181"/>
      <c r="I108" s="137"/>
      <c r="J108" s="88"/>
      <c r="K108" s="89"/>
      <c r="L108" s="55"/>
      <c r="M108" s="137"/>
      <c r="N108" s="182"/>
      <c r="O108" s="89"/>
      <c r="P108" s="55"/>
      <c r="Q108" s="183"/>
      <c r="R108" s="184"/>
      <c r="S108" s="185"/>
      <c r="T108" s="172"/>
      <c r="U108" s="183"/>
      <c r="V108" s="184"/>
      <c r="W108" s="185"/>
      <c r="X108" s="172"/>
      <c r="Y108" s="137"/>
      <c r="Z108" s="186"/>
      <c r="AA108" s="187"/>
      <c r="AB108" s="188"/>
      <c r="AC108" s="137"/>
      <c r="AD108" s="184"/>
      <c r="AE108" s="189"/>
      <c r="AF108" s="190"/>
      <c r="AG108" s="191"/>
      <c r="AH108" s="192"/>
      <c r="AI108" s="193"/>
      <c r="AJ108" s="172"/>
      <c r="AK108" s="172"/>
      <c r="AL108" s="172"/>
    </row>
    <row r="109">
      <c r="A109" s="137"/>
      <c r="B109" s="88"/>
      <c r="C109" s="89"/>
      <c r="D109" s="55"/>
      <c r="E109" s="137"/>
      <c r="F109" s="88"/>
      <c r="G109" s="180"/>
      <c r="H109" s="181"/>
      <c r="I109" s="137"/>
      <c r="J109" s="88"/>
      <c r="K109" s="89"/>
      <c r="L109" s="55"/>
      <c r="M109" s="137"/>
      <c r="N109" s="182"/>
      <c r="O109" s="89"/>
      <c r="P109" s="55"/>
      <c r="Q109" s="183"/>
      <c r="R109" s="184"/>
      <c r="S109" s="185"/>
      <c r="T109" s="172"/>
      <c r="U109" s="183"/>
      <c r="V109" s="184"/>
      <c r="W109" s="185"/>
      <c r="X109" s="172"/>
      <c r="Y109" s="137"/>
      <c r="Z109" s="186"/>
      <c r="AA109" s="187"/>
      <c r="AB109" s="188"/>
      <c r="AC109" s="137"/>
      <c r="AD109" s="184"/>
      <c r="AE109" s="189"/>
      <c r="AF109" s="190"/>
      <c r="AG109" s="191"/>
      <c r="AH109" s="192"/>
      <c r="AI109" s="193"/>
      <c r="AJ109" s="172"/>
      <c r="AK109" s="172"/>
      <c r="AL109" s="172"/>
    </row>
    <row r="110">
      <c r="A110" s="137"/>
      <c r="B110" s="88"/>
      <c r="C110" s="89"/>
      <c r="D110" s="55"/>
      <c r="E110" s="137"/>
      <c r="F110" s="88"/>
      <c r="G110" s="180"/>
      <c r="H110" s="181"/>
      <c r="I110" s="137"/>
      <c r="J110" s="88"/>
      <c r="K110" s="89"/>
      <c r="L110" s="55"/>
      <c r="M110" s="137"/>
      <c r="N110" s="182"/>
      <c r="O110" s="89"/>
      <c r="P110" s="55"/>
      <c r="Q110" s="183"/>
      <c r="R110" s="184"/>
      <c r="S110" s="185"/>
      <c r="T110" s="172"/>
      <c r="U110" s="183"/>
      <c r="V110" s="184"/>
      <c r="W110" s="185"/>
      <c r="X110" s="172"/>
      <c r="Y110" s="137"/>
      <c r="Z110" s="186"/>
      <c r="AA110" s="187"/>
      <c r="AB110" s="188"/>
      <c r="AC110" s="137"/>
      <c r="AD110" s="184"/>
      <c r="AE110" s="189"/>
      <c r="AF110" s="190"/>
      <c r="AG110" s="191"/>
      <c r="AH110" s="192"/>
      <c r="AI110" s="193"/>
      <c r="AJ110" s="172"/>
      <c r="AK110" s="172"/>
      <c r="AL110" s="172"/>
    </row>
    <row r="111">
      <c r="A111" s="137"/>
      <c r="B111" s="88"/>
      <c r="C111" s="89"/>
      <c r="D111" s="55"/>
      <c r="E111" s="137"/>
      <c r="F111" s="88"/>
      <c r="G111" s="180"/>
      <c r="H111" s="181"/>
      <c r="I111" s="137"/>
      <c r="J111" s="88"/>
      <c r="K111" s="89"/>
      <c r="L111" s="55"/>
      <c r="M111" s="137"/>
      <c r="N111" s="182"/>
      <c r="O111" s="89"/>
      <c r="P111" s="55"/>
      <c r="Q111" s="183"/>
      <c r="R111" s="184"/>
      <c r="S111" s="185"/>
      <c r="T111" s="172"/>
      <c r="U111" s="183"/>
      <c r="V111" s="184"/>
      <c r="W111" s="185"/>
      <c r="X111" s="172"/>
      <c r="Y111" s="137"/>
      <c r="Z111" s="186"/>
      <c r="AA111" s="187"/>
      <c r="AB111" s="188"/>
      <c r="AC111" s="137"/>
      <c r="AD111" s="184"/>
      <c r="AE111" s="189"/>
      <c r="AF111" s="190"/>
      <c r="AG111" s="191"/>
      <c r="AH111" s="192"/>
      <c r="AI111" s="193"/>
      <c r="AJ111" s="172"/>
      <c r="AK111" s="172"/>
      <c r="AL111" s="172"/>
    </row>
    <row r="112">
      <c r="A112" s="137"/>
      <c r="B112" s="88"/>
      <c r="C112" s="89"/>
      <c r="D112" s="55"/>
      <c r="E112" s="137"/>
      <c r="F112" s="88"/>
      <c r="G112" s="180"/>
      <c r="H112" s="181"/>
      <c r="I112" s="137"/>
      <c r="J112" s="88"/>
      <c r="K112" s="89"/>
      <c r="L112" s="55"/>
      <c r="M112" s="137"/>
      <c r="N112" s="182"/>
      <c r="O112" s="89"/>
      <c r="P112" s="55"/>
      <c r="Q112" s="183"/>
      <c r="R112" s="184"/>
      <c r="S112" s="185"/>
      <c r="T112" s="172"/>
      <c r="U112" s="183"/>
      <c r="V112" s="184"/>
      <c r="W112" s="185"/>
      <c r="X112" s="172"/>
      <c r="Y112" s="137"/>
      <c r="Z112" s="186"/>
      <c r="AA112" s="187"/>
      <c r="AB112" s="188"/>
      <c r="AC112" s="137"/>
      <c r="AD112" s="184"/>
      <c r="AE112" s="189"/>
      <c r="AF112" s="190"/>
      <c r="AG112" s="191"/>
      <c r="AH112" s="192"/>
      <c r="AI112" s="193"/>
      <c r="AJ112" s="172"/>
      <c r="AK112" s="172"/>
      <c r="AL112" s="172"/>
    </row>
    <row r="113">
      <c r="A113" s="137"/>
      <c r="B113" s="88"/>
      <c r="C113" s="89"/>
      <c r="D113" s="55"/>
      <c r="E113" s="137"/>
      <c r="F113" s="88"/>
      <c r="G113" s="180"/>
      <c r="H113" s="181"/>
      <c r="I113" s="137"/>
      <c r="J113" s="88"/>
      <c r="K113" s="89"/>
      <c r="L113" s="55"/>
      <c r="M113" s="137"/>
      <c r="N113" s="182"/>
      <c r="O113" s="89"/>
      <c r="P113" s="55"/>
      <c r="Q113" s="183"/>
      <c r="R113" s="184"/>
      <c r="S113" s="185"/>
      <c r="T113" s="172"/>
      <c r="U113" s="183"/>
      <c r="V113" s="184"/>
      <c r="W113" s="185"/>
      <c r="X113" s="172"/>
      <c r="Y113" s="137"/>
      <c r="Z113" s="186"/>
      <c r="AA113" s="187"/>
      <c r="AB113" s="188"/>
      <c r="AC113" s="137"/>
      <c r="AD113" s="184"/>
      <c r="AE113" s="189"/>
      <c r="AF113" s="190"/>
      <c r="AG113" s="191"/>
      <c r="AH113" s="192"/>
      <c r="AI113" s="193"/>
      <c r="AJ113" s="172"/>
      <c r="AK113" s="172"/>
      <c r="AL113" s="172"/>
    </row>
    <row r="114">
      <c r="A114" s="137"/>
      <c r="B114" s="88"/>
      <c r="C114" s="89"/>
      <c r="D114" s="55"/>
      <c r="E114" s="137"/>
      <c r="F114" s="88"/>
      <c r="G114" s="180"/>
      <c r="H114" s="181"/>
      <c r="I114" s="137"/>
      <c r="J114" s="88"/>
      <c r="K114" s="89"/>
      <c r="L114" s="55"/>
      <c r="M114" s="137"/>
      <c r="N114" s="182"/>
      <c r="O114" s="89"/>
      <c r="P114" s="55"/>
      <c r="Q114" s="183"/>
      <c r="R114" s="184"/>
      <c r="S114" s="185"/>
      <c r="T114" s="172"/>
      <c r="U114" s="183"/>
      <c r="V114" s="184"/>
      <c r="W114" s="185"/>
      <c r="X114" s="172"/>
      <c r="Y114" s="137"/>
      <c r="Z114" s="186"/>
      <c r="AA114" s="187"/>
      <c r="AB114" s="188"/>
      <c r="AC114" s="137"/>
      <c r="AD114" s="184"/>
      <c r="AE114" s="189"/>
      <c r="AF114" s="190"/>
      <c r="AG114" s="191"/>
      <c r="AH114" s="192"/>
      <c r="AI114" s="193"/>
      <c r="AJ114" s="172"/>
      <c r="AK114" s="172"/>
      <c r="AL114" s="172"/>
    </row>
    <row r="115">
      <c r="A115" s="137"/>
      <c r="B115" s="88"/>
      <c r="C115" s="89"/>
      <c r="D115" s="55"/>
      <c r="E115" s="137"/>
      <c r="F115" s="88"/>
      <c r="G115" s="180"/>
      <c r="H115" s="181"/>
      <c r="I115" s="137"/>
      <c r="J115" s="88"/>
      <c r="K115" s="89"/>
      <c r="L115" s="55"/>
      <c r="M115" s="137"/>
      <c r="N115" s="182"/>
      <c r="O115" s="89"/>
      <c r="P115" s="55"/>
      <c r="Q115" s="183"/>
      <c r="R115" s="184"/>
      <c r="S115" s="185"/>
      <c r="T115" s="172"/>
      <c r="U115" s="183"/>
      <c r="V115" s="184"/>
      <c r="W115" s="185"/>
      <c r="X115" s="172"/>
      <c r="Y115" s="137"/>
      <c r="Z115" s="186"/>
      <c r="AA115" s="187"/>
      <c r="AB115" s="188"/>
      <c r="AC115" s="137"/>
      <c r="AD115" s="184"/>
      <c r="AE115" s="189"/>
      <c r="AF115" s="190"/>
      <c r="AG115" s="191"/>
      <c r="AH115" s="192"/>
      <c r="AI115" s="193"/>
      <c r="AJ115" s="172"/>
      <c r="AK115" s="172"/>
      <c r="AL115" s="172"/>
    </row>
    <row r="116">
      <c r="A116" s="137"/>
      <c r="B116" s="88"/>
      <c r="C116" s="89"/>
      <c r="D116" s="55"/>
      <c r="E116" s="137"/>
      <c r="F116" s="88"/>
      <c r="G116" s="180"/>
      <c r="H116" s="181"/>
      <c r="I116" s="137"/>
      <c r="J116" s="88"/>
      <c r="K116" s="89"/>
      <c r="L116" s="55"/>
      <c r="M116" s="137"/>
      <c r="N116" s="182"/>
      <c r="O116" s="89"/>
      <c r="P116" s="55"/>
      <c r="Q116" s="183"/>
      <c r="R116" s="184"/>
      <c r="S116" s="185"/>
      <c r="T116" s="172"/>
      <c r="U116" s="183"/>
      <c r="V116" s="184"/>
      <c r="W116" s="185"/>
      <c r="X116" s="172"/>
      <c r="Y116" s="137"/>
      <c r="Z116" s="186"/>
      <c r="AA116" s="187"/>
      <c r="AB116" s="188"/>
      <c r="AC116" s="137"/>
      <c r="AD116" s="184"/>
      <c r="AE116" s="189"/>
      <c r="AF116" s="190"/>
      <c r="AG116" s="191"/>
      <c r="AH116" s="192"/>
      <c r="AI116" s="193"/>
      <c r="AJ116" s="172"/>
      <c r="AK116" s="172"/>
      <c r="AL116" s="172"/>
    </row>
    <row r="117">
      <c r="A117" s="137"/>
      <c r="B117" s="88"/>
      <c r="C117" s="89"/>
      <c r="D117" s="55"/>
      <c r="E117" s="137"/>
      <c r="F117" s="88"/>
      <c r="G117" s="180"/>
      <c r="H117" s="181"/>
      <c r="I117" s="137"/>
      <c r="J117" s="88"/>
      <c r="K117" s="89"/>
      <c r="L117" s="55"/>
      <c r="M117" s="137"/>
      <c r="N117" s="182"/>
      <c r="O117" s="89"/>
      <c r="P117" s="55"/>
      <c r="Q117" s="183"/>
      <c r="R117" s="184"/>
      <c r="S117" s="185"/>
      <c r="T117" s="172"/>
      <c r="U117" s="183"/>
      <c r="V117" s="184"/>
      <c r="W117" s="185"/>
      <c r="X117" s="172"/>
      <c r="Y117" s="137"/>
      <c r="Z117" s="186"/>
      <c r="AA117" s="187"/>
      <c r="AB117" s="188"/>
      <c r="AC117" s="137"/>
      <c r="AD117" s="184"/>
      <c r="AE117" s="189"/>
      <c r="AF117" s="190"/>
      <c r="AG117" s="191"/>
      <c r="AH117" s="192"/>
      <c r="AI117" s="193"/>
      <c r="AJ117" s="172"/>
      <c r="AK117" s="172"/>
      <c r="AL117" s="172"/>
    </row>
    <row r="118">
      <c r="A118" s="137"/>
      <c r="B118" s="88"/>
      <c r="C118" s="89"/>
      <c r="D118" s="55"/>
      <c r="E118" s="137"/>
      <c r="F118" s="88"/>
      <c r="G118" s="180"/>
      <c r="H118" s="181"/>
      <c r="I118" s="137"/>
      <c r="J118" s="88"/>
      <c r="K118" s="89"/>
      <c r="L118" s="55"/>
      <c r="M118" s="137"/>
      <c r="N118" s="182"/>
      <c r="O118" s="89"/>
      <c r="P118" s="55"/>
      <c r="Q118" s="183"/>
      <c r="R118" s="184"/>
      <c r="S118" s="185"/>
      <c r="T118" s="172"/>
      <c r="U118" s="183"/>
      <c r="V118" s="184"/>
      <c r="W118" s="185"/>
      <c r="X118" s="172"/>
      <c r="Y118" s="137"/>
      <c r="Z118" s="186"/>
      <c r="AA118" s="187"/>
      <c r="AB118" s="188"/>
      <c r="AC118" s="137"/>
      <c r="AD118" s="184"/>
      <c r="AE118" s="189"/>
      <c r="AF118" s="190"/>
      <c r="AG118" s="191"/>
      <c r="AH118" s="192"/>
      <c r="AI118" s="193"/>
      <c r="AJ118" s="172"/>
      <c r="AK118" s="172"/>
      <c r="AL118" s="172"/>
    </row>
    <row r="119">
      <c r="A119" s="137"/>
      <c r="B119" s="88"/>
      <c r="C119" s="89"/>
      <c r="D119" s="55"/>
      <c r="E119" s="137"/>
      <c r="F119" s="88"/>
      <c r="G119" s="180"/>
      <c r="H119" s="181"/>
      <c r="I119" s="137"/>
      <c r="J119" s="88"/>
      <c r="K119" s="89"/>
      <c r="L119" s="55"/>
      <c r="M119" s="137"/>
      <c r="N119" s="182"/>
      <c r="O119" s="89"/>
      <c r="P119" s="55"/>
      <c r="Q119" s="183"/>
      <c r="R119" s="184"/>
      <c r="S119" s="185"/>
      <c r="T119" s="172"/>
      <c r="U119" s="183"/>
      <c r="V119" s="184"/>
      <c r="W119" s="185"/>
      <c r="X119" s="172"/>
      <c r="Y119" s="137"/>
      <c r="Z119" s="186"/>
      <c r="AA119" s="187"/>
      <c r="AB119" s="188"/>
      <c r="AC119" s="137"/>
      <c r="AD119" s="184"/>
      <c r="AE119" s="189"/>
      <c r="AF119" s="190"/>
      <c r="AG119" s="191"/>
      <c r="AH119" s="192"/>
      <c r="AI119" s="193"/>
      <c r="AJ119" s="172"/>
      <c r="AK119" s="172"/>
      <c r="AL119" s="172"/>
    </row>
    <row r="120">
      <c r="A120" s="137"/>
      <c r="B120" s="88"/>
      <c r="C120" s="89"/>
      <c r="D120" s="55"/>
      <c r="E120" s="137"/>
      <c r="F120" s="88"/>
      <c r="G120" s="180"/>
      <c r="H120" s="181"/>
      <c r="I120" s="137"/>
      <c r="J120" s="88"/>
      <c r="K120" s="89"/>
      <c r="L120" s="55"/>
      <c r="M120" s="137"/>
      <c r="N120" s="182"/>
      <c r="O120" s="89"/>
      <c r="P120" s="55"/>
      <c r="Q120" s="183"/>
      <c r="R120" s="184"/>
      <c r="S120" s="185"/>
      <c r="T120" s="172"/>
      <c r="U120" s="183"/>
      <c r="V120" s="184"/>
      <c r="W120" s="185"/>
      <c r="X120" s="172"/>
      <c r="Y120" s="137"/>
      <c r="Z120" s="186"/>
      <c r="AA120" s="187"/>
      <c r="AB120" s="188"/>
      <c r="AC120" s="137"/>
      <c r="AD120" s="184"/>
      <c r="AE120" s="189"/>
      <c r="AF120" s="190"/>
      <c r="AG120" s="191"/>
      <c r="AH120" s="192"/>
      <c r="AI120" s="193"/>
      <c r="AJ120" s="172"/>
      <c r="AK120" s="172"/>
      <c r="AL120" s="172"/>
    </row>
    <row r="121">
      <c r="A121" s="137"/>
      <c r="B121" s="88"/>
      <c r="C121" s="89"/>
      <c r="D121" s="55"/>
      <c r="E121" s="137"/>
      <c r="F121" s="88"/>
      <c r="G121" s="180"/>
      <c r="H121" s="181"/>
      <c r="I121" s="137"/>
      <c r="J121" s="88"/>
      <c r="K121" s="89"/>
      <c r="L121" s="55"/>
      <c r="M121" s="137"/>
      <c r="N121" s="182"/>
      <c r="O121" s="89"/>
      <c r="P121" s="55"/>
      <c r="Q121" s="183"/>
      <c r="R121" s="184"/>
      <c r="S121" s="185"/>
      <c r="T121" s="172"/>
      <c r="U121" s="183"/>
      <c r="V121" s="184"/>
      <c r="W121" s="185"/>
      <c r="X121" s="172"/>
      <c r="Y121" s="137"/>
      <c r="Z121" s="186"/>
      <c r="AA121" s="187"/>
      <c r="AB121" s="188"/>
      <c r="AC121" s="137"/>
      <c r="AD121" s="184"/>
      <c r="AE121" s="189"/>
      <c r="AF121" s="190"/>
      <c r="AG121" s="191"/>
      <c r="AH121" s="192"/>
      <c r="AI121" s="193"/>
      <c r="AJ121" s="172"/>
      <c r="AK121" s="172"/>
      <c r="AL121" s="172"/>
    </row>
    <row r="122">
      <c r="A122" s="137"/>
      <c r="B122" s="88"/>
      <c r="C122" s="89"/>
      <c r="D122" s="55"/>
      <c r="E122" s="137"/>
      <c r="F122" s="88"/>
      <c r="G122" s="180"/>
      <c r="H122" s="181"/>
      <c r="I122" s="137"/>
      <c r="J122" s="88"/>
      <c r="K122" s="89"/>
      <c r="L122" s="55"/>
      <c r="M122" s="137"/>
      <c r="N122" s="182"/>
      <c r="O122" s="89"/>
      <c r="P122" s="55"/>
      <c r="Q122" s="183"/>
      <c r="R122" s="184"/>
      <c r="S122" s="185"/>
      <c r="T122" s="172"/>
      <c r="U122" s="183"/>
      <c r="V122" s="184"/>
      <c r="W122" s="185"/>
      <c r="X122" s="172"/>
      <c r="Y122" s="137"/>
      <c r="Z122" s="186"/>
      <c r="AA122" s="187"/>
      <c r="AB122" s="188"/>
      <c r="AC122" s="137"/>
      <c r="AD122" s="184"/>
      <c r="AE122" s="189"/>
      <c r="AF122" s="190"/>
      <c r="AG122" s="191"/>
      <c r="AH122" s="192"/>
      <c r="AI122" s="193"/>
      <c r="AJ122" s="172"/>
      <c r="AK122" s="172"/>
      <c r="AL122" s="172"/>
    </row>
    <row r="123">
      <c r="A123" s="137"/>
      <c r="B123" s="88"/>
      <c r="C123" s="89"/>
      <c r="D123" s="55"/>
      <c r="E123" s="137"/>
      <c r="F123" s="88"/>
      <c r="G123" s="180"/>
      <c r="H123" s="181"/>
      <c r="I123" s="137"/>
      <c r="J123" s="88"/>
      <c r="K123" s="89"/>
      <c r="L123" s="55"/>
      <c r="M123" s="137"/>
      <c r="N123" s="182"/>
      <c r="O123" s="89"/>
      <c r="P123" s="55"/>
      <c r="Q123" s="183"/>
      <c r="R123" s="184"/>
      <c r="S123" s="185"/>
      <c r="T123" s="172"/>
      <c r="U123" s="183"/>
      <c r="V123" s="184"/>
      <c r="W123" s="185"/>
      <c r="X123" s="172"/>
      <c r="Y123" s="137"/>
      <c r="Z123" s="186"/>
      <c r="AA123" s="187"/>
      <c r="AB123" s="188"/>
      <c r="AC123" s="137"/>
      <c r="AD123" s="184"/>
      <c r="AE123" s="189"/>
      <c r="AF123" s="190"/>
      <c r="AG123" s="191"/>
      <c r="AH123" s="192"/>
      <c r="AI123" s="193"/>
      <c r="AJ123" s="172"/>
      <c r="AK123" s="172"/>
      <c r="AL123" s="172"/>
    </row>
    <row r="124">
      <c r="A124" s="137"/>
      <c r="B124" s="88"/>
      <c r="C124" s="89"/>
      <c r="D124" s="55"/>
      <c r="E124" s="137"/>
      <c r="F124" s="88"/>
      <c r="G124" s="180"/>
      <c r="H124" s="181"/>
      <c r="I124" s="137"/>
      <c r="J124" s="88"/>
      <c r="K124" s="89"/>
      <c r="L124" s="55"/>
      <c r="M124" s="137"/>
      <c r="N124" s="182"/>
      <c r="O124" s="89"/>
      <c r="P124" s="55"/>
      <c r="Q124" s="183"/>
      <c r="R124" s="184"/>
      <c r="S124" s="185"/>
      <c r="T124" s="172"/>
      <c r="U124" s="183"/>
      <c r="V124" s="184"/>
      <c r="W124" s="185"/>
      <c r="X124" s="172"/>
      <c r="Y124" s="137"/>
      <c r="Z124" s="186"/>
      <c r="AA124" s="187"/>
      <c r="AB124" s="188"/>
      <c r="AC124" s="137"/>
      <c r="AD124" s="184"/>
      <c r="AE124" s="189"/>
      <c r="AF124" s="190"/>
      <c r="AG124" s="191"/>
      <c r="AH124" s="192"/>
      <c r="AI124" s="193"/>
      <c r="AJ124" s="172"/>
      <c r="AK124" s="172"/>
      <c r="AL124" s="172"/>
    </row>
    <row r="125">
      <c r="A125" s="137"/>
      <c r="B125" s="88"/>
      <c r="C125" s="89"/>
      <c r="D125" s="55"/>
      <c r="E125" s="137"/>
      <c r="F125" s="88"/>
      <c r="G125" s="180"/>
      <c r="H125" s="181"/>
      <c r="I125" s="137"/>
      <c r="J125" s="88"/>
      <c r="K125" s="89"/>
      <c r="L125" s="55"/>
      <c r="M125" s="137"/>
      <c r="N125" s="182"/>
      <c r="O125" s="89"/>
      <c r="P125" s="55"/>
      <c r="Q125" s="183"/>
      <c r="R125" s="184"/>
      <c r="S125" s="185"/>
      <c r="T125" s="172"/>
      <c r="U125" s="183"/>
      <c r="V125" s="184"/>
      <c r="W125" s="185"/>
      <c r="X125" s="172"/>
      <c r="Y125" s="137"/>
      <c r="Z125" s="186"/>
      <c r="AA125" s="187"/>
      <c r="AB125" s="188"/>
      <c r="AC125" s="137"/>
      <c r="AD125" s="184"/>
      <c r="AE125" s="189"/>
      <c r="AF125" s="190"/>
      <c r="AG125" s="191"/>
      <c r="AH125" s="192"/>
      <c r="AI125" s="193"/>
      <c r="AJ125" s="172"/>
      <c r="AK125" s="172"/>
      <c r="AL125" s="172"/>
    </row>
    <row r="126">
      <c r="A126" s="137"/>
      <c r="B126" s="88"/>
      <c r="C126" s="89"/>
      <c r="D126" s="55"/>
      <c r="E126" s="137"/>
      <c r="F126" s="88"/>
      <c r="G126" s="180"/>
      <c r="H126" s="181"/>
      <c r="I126" s="137"/>
      <c r="J126" s="88"/>
      <c r="K126" s="89"/>
      <c r="L126" s="55"/>
      <c r="M126" s="137"/>
      <c r="N126" s="182"/>
      <c r="O126" s="89"/>
      <c r="P126" s="55"/>
      <c r="Q126" s="183"/>
      <c r="R126" s="184"/>
      <c r="S126" s="185"/>
      <c r="T126" s="172"/>
      <c r="U126" s="183"/>
      <c r="V126" s="184"/>
      <c r="W126" s="185"/>
      <c r="X126" s="172"/>
      <c r="Y126" s="137"/>
      <c r="Z126" s="186"/>
      <c r="AA126" s="187"/>
      <c r="AB126" s="188"/>
      <c r="AC126" s="137"/>
      <c r="AD126" s="184"/>
      <c r="AE126" s="189"/>
      <c r="AF126" s="190"/>
      <c r="AG126" s="191"/>
      <c r="AH126" s="192"/>
      <c r="AI126" s="193"/>
      <c r="AJ126" s="172"/>
      <c r="AK126" s="172"/>
      <c r="AL126" s="172"/>
    </row>
    <row r="127">
      <c r="A127" s="137"/>
      <c r="B127" s="88"/>
      <c r="C127" s="89"/>
      <c r="D127" s="55"/>
      <c r="E127" s="137"/>
      <c r="F127" s="88"/>
      <c r="G127" s="180"/>
      <c r="H127" s="181"/>
      <c r="I127" s="137"/>
      <c r="J127" s="88"/>
      <c r="K127" s="89"/>
      <c r="L127" s="55"/>
      <c r="M127" s="137"/>
      <c r="N127" s="182"/>
      <c r="O127" s="89"/>
      <c r="P127" s="55"/>
      <c r="Q127" s="183"/>
      <c r="R127" s="184"/>
      <c r="S127" s="185"/>
      <c r="T127" s="172"/>
      <c r="U127" s="183"/>
      <c r="V127" s="184"/>
      <c r="W127" s="185"/>
      <c r="X127" s="172"/>
      <c r="Y127" s="137"/>
      <c r="Z127" s="186"/>
      <c r="AA127" s="187"/>
      <c r="AB127" s="188"/>
      <c r="AC127" s="137"/>
      <c r="AD127" s="184"/>
      <c r="AE127" s="189"/>
      <c r="AF127" s="190"/>
      <c r="AG127" s="191"/>
      <c r="AH127" s="192"/>
      <c r="AI127" s="193"/>
      <c r="AJ127" s="172"/>
      <c r="AK127" s="172"/>
      <c r="AL127" s="172"/>
    </row>
    <row r="128">
      <c r="A128" s="137"/>
      <c r="B128" s="88"/>
      <c r="C128" s="89"/>
      <c r="D128" s="55"/>
      <c r="E128" s="137"/>
      <c r="F128" s="88"/>
      <c r="G128" s="180"/>
      <c r="H128" s="181"/>
      <c r="I128" s="137"/>
      <c r="J128" s="88"/>
      <c r="K128" s="89"/>
      <c r="L128" s="55"/>
      <c r="M128" s="137"/>
      <c r="N128" s="182"/>
      <c r="O128" s="89"/>
      <c r="P128" s="55"/>
      <c r="Q128" s="183"/>
      <c r="R128" s="184"/>
      <c r="S128" s="185"/>
      <c r="T128" s="172"/>
      <c r="U128" s="183"/>
      <c r="V128" s="184"/>
      <c r="W128" s="185"/>
      <c r="X128" s="172"/>
      <c r="Y128" s="137"/>
      <c r="Z128" s="186"/>
      <c r="AA128" s="187"/>
      <c r="AB128" s="188"/>
      <c r="AC128" s="137"/>
      <c r="AD128" s="184"/>
      <c r="AE128" s="189"/>
      <c r="AF128" s="190"/>
      <c r="AG128" s="191"/>
      <c r="AH128" s="192"/>
      <c r="AI128" s="193"/>
      <c r="AJ128" s="172"/>
      <c r="AK128" s="172"/>
      <c r="AL128" s="172"/>
    </row>
    <row r="129">
      <c r="A129" s="137"/>
      <c r="B129" s="88"/>
      <c r="C129" s="89"/>
      <c r="D129" s="55"/>
      <c r="E129" s="137"/>
      <c r="F129" s="88"/>
      <c r="G129" s="180"/>
      <c r="H129" s="181"/>
      <c r="I129" s="137"/>
      <c r="J129" s="88"/>
      <c r="K129" s="89"/>
      <c r="L129" s="55"/>
      <c r="M129" s="137"/>
      <c r="N129" s="182"/>
      <c r="O129" s="89"/>
      <c r="P129" s="55"/>
      <c r="Q129" s="183"/>
      <c r="R129" s="184"/>
      <c r="S129" s="185"/>
      <c r="T129" s="172"/>
      <c r="U129" s="183"/>
      <c r="V129" s="184"/>
      <c r="W129" s="185"/>
      <c r="X129" s="172"/>
      <c r="Y129" s="137"/>
      <c r="Z129" s="186"/>
      <c r="AA129" s="187"/>
      <c r="AB129" s="188"/>
      <c r="AC129" s="137"/>
      <c r="AD129" s="184"/>
      <c r="AE129" s="189"/>
      <c r="AF129" s="190"/>
      <c r="AG129" s="191"/>
      <c r="AH129" s="192"/>
      <c r="AI129" s="193"/>
      <c r="AJ129" s="172"/>
      <c r="AK129" s="172"/>
      <c r="AL129" s="172"/>
    </row>
    <row r="130">
      <c r="A130" s="137"/>
      <c r="B130" s="88"/>
      <c r="C130" s="89"/>
      <c r="D130" s="55"/>
      <c r="E130" s="137"/>
      <c r="F130" s="88"/>
      <c r="G130" s="180"/>
      <c r="H130" s="181"/>
      <c r="I130" s="137"/>
      <c r="J130" s="88"/>
      <c r="K130" s="89"/>
      <c r="L130" s="55"/>
      <c r="M130" s="137"/>
      <c r="N130" s="182"/>
      <c r="O130" s="89"/>
      <c r="P130" s="55"/>
      <c r="Q130" s="183"/>
      <c r="R130" s="184"/>
      <c r="S130" s="185"/>
      <c r="T130" s="172"/>
      <c r="U130" s="183"/>
      <c r="V130" s="184"/>
      <c r="W130" s="185"/>
      <c r="X130" s="172"/>
      <c r="Y130" s="137"/>
      <c r="Z130" s="186"/>
      <c r="AA130" s="187"/>
      <c r="AB130" s="188"/>
      <c r="AC130" s="137"/>
      <c r="AD130" s="184"/>
      <c r="AE130" s="189"/>
      <c r="AF130" s="190"/>
      <c r="AG130" s="191"/>
      <c r="AH130" s="192"/>
      <c r="AI130" s="193"/>
      <c r="AJ130" s="172"/>
      <c r="AK130" s="172"/>
      <c r="AL130" s="172"/>
    </row>
    <row r="131">
      <c r="A131" s="137"/>
      <c r="B131" s="88"/>
      <c r="C131" s="89"/>
      <c r="D131" s="55"/>
      <c r="E131" s="137"/>
      <c r="F131" s="88"/>
      <c r="G131" s="180"/>
      <c r="H131" s="181"/>
      <c r="I131" s="137"/>
      <c r="J131" s="88"/>
      <c r="K131" s="89"/>
      <c r="L131" s="55"/>
      <c r="M131" s="137"/>
      <c r="N131" s="182"/>
      <c r="O131" s="89"/>
      <c r="P131" s="55"/>
      <c r="Q131" s="183"/>
      <c r="R131" s="184"/>
      <c r="S131" s="185"/>
      <c r="T131" s="172"/>
      <c r="U131" s="183"/>
      <c r="V131" s="184"/>
      <c r="W131" s="185"/>
      <c r="X131" s="172"/>
      <c r="Y131" s="137"/>
      <c r="Z131" s="186"/>
      <c r="AA131" s="187"/>
      <c r="AB131" s="188"/>
      <c r="AC131" s="137"/>
      <c r="AD131" s="184"/>
      <c r="AE131" s="189"/>
      <c r="AF131" s="190"/>
      <c r="AG131" s="191"/>
      <c r="AH131" s="192"/>
      <c r="AI131" s="193"/>
      <c r="AJ131" s="172"/>
      <c r="AK131" s="172"/>
      <c r="AL131" s="172"/>
    </row>
    <row r="132">
      <c r="A132" s="137"/>
      <c r="B132" s="88"/>
      <c r="C132" s="89"/>
      <c r="D132" s="55"/>
      <c r="E132" s="137"/>
      <c r="F132" s="88"/>
      <c r="G132" s="180"/>
      <c r="H132" s="181"/>
      <c r="I132" s="137"/>
      <c r="J132" s="88"/>
      <c r="K132" s="89"/>
      <c r="L132" s="55"/>
      <c r="M132" s="137"/>
      <c r="N132" s="182"/>
      <c r="O132" s="89"/>
      <c r="P132" s="55"/>
      <c r="Q132" s="183"/>
      <c r="R132" s="184"/>
      <c r="S132" s="185"/>
      <c r="T132" s="172"/>
      <c r="U132" s="183"/>
      <c r="V132" s="184"/>
      <c r="W132" s="185"/>
      <c r="X132" s="172"/>
      <c r="Y132" s="137"/>
      <c r="Z132" s="186"/>
      <c r="AA132" s="187"/>
      <c r="AB132" s="188"/>
      <c r="AC132" s="137"/>
      <c r="AD132" s="184"/>
      <c r="AE132" s="189"/>
      <c r="AF132" s="190"/>
      <c r="AG132" s="191"/>
      <c r="AH132" s="192"/>
      <c r="AI132" s="193"/>
      <c r="AJ132" s="172"/>
      <c r="AK132" s="172"/>
      <c r="AL132" s="172"/>
    </row>
    <row r="133">
      <c r="A133" s="137"/>
      <c r="B133" s="88"/>
      <c r="C133" s="89"/>
      <c r="D133" s="55"/>
      <c r="E133" s="137"/>
      <c r="F133" s="88"/>
      <c r="G133" s="180"/>
      <c r="H133" s="181"/>
      <c r="I133" s="137"/>
      <c r="J133" s="88"/>
      <c r="K133" s="89"/>
      <c r="L133" s="55"/>
      <c r="M133" s="137"/>
      <c r="N133" s="182"/>
      <c r="O133" s="89"/>
      <c r="P133" s="55"/>
      <c r="Q133" s="183"/>
      <c r="R133" s="184"/>
      <c r="S133" s="185"/>
      <c r="T133" s="172"/>
      <c r="U133" s="183"/>
      <c r="V133" s="184"/>
      <c r="W133" s="185"/>
      <c r="X133" s="172"/>
      <c r="Y133" s="137"/>
      <c r="Z133" s="186"/>
      <c r="AA133" s="187"/>
      <c r="AB133" s="188"/>
      <c r="AC133" s="137"/>
      <c r="AD133" s="184"/>
      <c r="AE133" s="189"/>
      <c r="AF133" s="190"/>
      <c r="AG133" s="191"/>
      <c r="AH133" s="192"/>
      <c r="AI133" s="193"/>
      <c r="AJ133" s="172"/>
      <c r="AK133" s="172"/>
      <c r="AL133" s="172"/>
    </row>
    <row r="134">
      <c r="A134" s="137"/>
      <c r="B134" s="88"/>
      <c r="C134" s="89"/>
      <c r="D134" s="55"/>
      <c r="E134" s="137"/>
      <c r="F134" s="88"/>
      <c r="G134" s="180"/>
      <c r="H134" s="181"/>
      <c r="I134" s="137"/>
      <c r="J134" s="88"/>
      <c r="K134" s="89"/>
      <c r="L134" s="55"/>
      <c r="M134" s="137"/>
      <c r="N134" s="182"/>
      <c r="O134" s="89"/>
      <c r="P134" s="55"/>
      <c r="Q134" s="183"/>
      <c r="R134" s="184"/>
      <c r="S134" s="185"/>
      <c r="T134" s="172"/>
      <c r="U134" s="183"/>
      <c r="V134" s="184"/>
      <c r="W134" s="185"/>
      <c r="X134" s="172"/>
      <c r="Y134" s="137"/>
      <c r="Z134" s="186"/>
      <c r="AA134" s="187"/>
      <c r="AB134" s="188"/>
      <c r="AC134" s="137"/>
      <c r="AD134" s="184"/>
      <c r="AE134" s="189"/>
      <c r="AF134" s="190"/>
      <c r="AG134" s="191"/>
      <c r="AH134" s="192"/>
      <c r="AI134" s="193"/>
      <c r="AJ134" s="172"/>
      <c r="AK134" s="172"/>
      <c r="AL134" s="172"/>
    </row>
    <row r="135">
      <c r="A135" s="137"/>
      <c r="B135" s="88"/>
      <c r="C135" s="89"/>
      <c r="D135" s="55"/>
      <c r="E135" s="137"/>
      <c r="F135" s="88"/>
      <c r="G135" s="180"/>
      <c r="H135" s="181"/>
      <c r="I135" s="137"/>
      <c r="J135" s="88"/>
      <c r="K135" s="89"/>
      <c r="L135" s="55"/>
      <c r="M135" s="137"/>
      <c r="N135" s="182"/>
      <c r="O135" s="89"/>
      <c r="P135" s="55"/>
      <c r="Q135" s="183"/>
      <c r="R135" s="184"/>
      <c r="S135" s="185"/>
      <c r="T135" s="172"/>
      <c r="U135" s="183"/>
      <c r="V135" s="184"/>
      <c r="W135" s="185"/>
      <c r="X135" s="172"/>
      <c r="Y135" s="137"/>
      <c r="Z135" s="186"/>
      <c r="AA135" s="187"/>
      <c r="AB135" s="188"/>
      <c r="AC135" s="137"/>
      <c r="AD135" s="184"/>
      <c r="AE135" s="189"/>
      <c r="AF135" s="190"/>
      <c r="AG135" s="191"/>
      <c r="AH135" s="192"/>
      <c r="AI135" s="193"/>
      <c r="AJ135" s="172"/>
      <c r="AK135" s="172"/>
      <c r="AL135" s="172"/>
    </row>
    <row r="136">
      <c r="A136" s="137"/>
      <c r="B136" s="88"/>
      <c r="C136" s="89"/>
      <c r="D136" s="55"/>
      <c r="E136" s="137"/>
      <c r="F136" s="88"/>
      <c r="G136" s="180"/>
      <c r="H136" s="181"/>
      <c r="I136" s="137"/>
      <c r="J136" s="88"/>
      <c r="K136" s="89"/>
      <c r="L136" s="55"/>
      <c r="M136" s="137"/>
      <c r="N136" s="182"/>
      <c r="O136" s="89"/>
      <c r="P136" s="55"/>
      <c r="Q136" s="183"/>
      <c r="R136" s="184"/>
      <c r="S136" s="185"/>
      <c r="T136" s="172"/>
      <c r="U136" s="183"/>
      <c r="V136" s="184"/>
      <c r="W136" s="185"/>
      <c r="X136" s="172"/>
      <c r="Y136" s="137"/>
      <c r="Z136" s="186"/>
      <c r="AA136" s="187"/>
      <c r="AB136" s="188"/>
      <c r="AC136" s="137"/>
      <c r="AD136" s="184"/>
      <c r="AE136" s="189"/>
      <c r="AF136" s="190"/>
      <c r="AG136" s="191"/>
      <c r="AH136" s="192"/>
      <c r="AI136" s="193"/>
      <c r="AJ136" s="172"/>
      <c r="AK136" s="172"/>
      <c r="AL136" s="172"/>
    </row>
    <row r="137">
      <c r="A137" s="137"/>
      <c r="B137" s="88"/>
      <c r="C137" s="89"/>
      <c r="D137" s="55"/>
      <c r="E137" s="137"/>
      <c r="F137" s="88"/>
      <c r="G137" s="180"/>
      <c r="H137" s="181"/>
      <c r="I137" s="137"/>
      <c r="J137" s="88"/>
      <c r="K137" s="89"/>
      <c r="L137" s="55"/>
      <c r="M137" s="137"/>
      <c r="N137" s="182"/>
      <c r="O137" s="89"/>
      <c r="P137" s="55"/>
      <c r="Q137" s="183"/>
      <c r="R137" s="184"/>
      <c r="S137" s="185"/>
      <c r="T137" s="172"/>
      <c r="U137" s="183"/>
      <c r="V137" s="184"/>
      <c r="W137" s="185"/>
      <c r="X137" s="172"/>
      <c r="Y137" s="137"/>
      <c r="Z137" s="186"/>
      <c r="AA137" s="187"/>
      <c r="AB137" s="188"/>
      <c r="AC137" s="137"/>
      <c r="AD137" s="184"/>
      <c r="AE137" s="189"/>
      <c r="AF137" s="190"/>
      <c r="AG137" s="191"/>
      <c r="AH137" s="192"/>
      <c r="AI137" s="193"/>
      <c r="AJ137" s="172"/>
      <c r="AK137" s="172"/>
      <c r="AL137" s="172"/>
    </row>
    <row r="138">
      <c r="A138" s="137"/>
      <c r="B138" s="88"/>
      <c r="C138" s="89"/>
      <c r="D138" s="55"/>
      <c r="E138" s="137"/>
      <c r="F138" s="88"/>
      <c r="G138" s="180"/>
      <c r="H138" s="181"/>
      <c r="I138" s="137"/>
      <c r="J138" s="88"/>
      <c r="K138" s="89"/>
      <c r="L138" s="55"/>
      <c r="M138" s="137"/>
      <c r="N138" s="182"/>
      <c r="O138" s="89"/>
      <c r="P138" s="55"/>
      <c r="Q138" s="183"/>
      <c r="R138" s="184"/>
      <c r="S138" s="185"/>
      <c r="T138" s="172"/>
      <c r="U138" s="183"/>
      <c r="V138" s="184"/>
      <c r="W138" s="185"/>
      <c r="X138" s="172"/>
      <c r="Y138" s="137"/>
      <c r="Z138" s="186"/>
      <c r="AA138" s="187"/>
      <c r="AB138" s="188"/>
      <c r="AC138" s="137"/>
      <c r="AD138" s="184"/>
      <c r="AE138" s="189"/>
      <c r="AF138" s="190"/>
      <c r="AG138" s="191"/>
      <c r="AH138" s="192"/>
      <c r="AI138" s="193"/>
      <c r="AJ138" s="172"/>
      <c r="AK138" s="172"/>
      <c r="AL138" s="172"/>
    </row>
    <row r="139">
      <c r="A139" s="137"/>
      <c r="B139" s="88"/>
      <c r="C139" s="89"/>
      <c r="D139" s="55"/>
      <c r="E139" s="137"/>
      <c r="F139" s="88"/>
      <c r="G139" s="180"/>
      <c r="H139" s="181"/>
      <c r="I139" s="137"/>
      <c r="J139" s="88"/>
      <c r="K139" s="89"/>
      <c r="L139" s="55"/>
      <c r="M139" s="137"/>
      <c r="N139" s="182"/>
      <c r="O139" s="89"/>
      <c r="P139" s="55"/>
      <c r="Q139" s="183"/>
      <c r="R139" s="184"/>
      <c r="S139" s="185"/>
      <c r="T139" s="172"/>
      <c r="U139" s="183"/>
      <c r="V139" s="184"/>
      <c r="W139" s="185"/>
      <c r="X139" s="172"/>
      <c r="Y139" s="137"/>
      <c r="Z139" s="186"/>
      <c r="AA139" s="187"/>
      <c r="AB139" s="188"/>
      <c r="AC139" s="137"/>
      <c r="AD139" s="184"/>
      <c r="AE139" s="189"/>
      <c r="AF139" s="190"/>
      <c r="AG139" s="191"/>
      <c r="AH139" s="192"/>
      <c r="AI139" s="193"/>
      <c r="AJ139" s="172"/>
      <c r="AK139" s="172"/>
      <c r="AL139" s="172"/>
    </row>
    <row r="140">
      <c r="A140" s="137"/>
      <c r="B140" s="88"/>
      <c r="C140" s="89"/>
      <c r="D140" s="55"/>
      <c r="E140" s="137"/>
      <c r="F140" s="88"/>
      <c r="G140" s="180"/>
      <c r="H140" s="181"/>
      <c r="I140" s="137"/>
      <c r="J140" s="88"/>
      <c r="K140" s="89"/>
      <c r="L140" s="55"/>
      <c r="M140" s="137"/>
      <c r="N140" s="182"/>
      <c r="O140" s="89"/>
      <c r="P140" s="55"/>
      <c r="Q140" s="183"/>
      <c r="R140" s="184"/>
      <c r="S140" s="185"/>
      <c r="T140" s="172"/>
      <c r="U140" s="183"/>
      <c r="V140" s="184"/>
      <c r="W140" s="185"/>
      <c r="X140" s="172"/>
      <c r="Y140" s="137"/>
      <c r="Z140" s="186"/>
      <c r="AA140" s="187"/>
      <c r="AB140" s="188"/>
      <c r="AC140" s="137"/>
      <c r="AD140" s="184"/>
      <c r="AE140" s="189"/>
      <c r="AF140" s="190"/>
      <c r="AG140" s="191"/>
      <c r="AH140" s="192"/>
      <c r="AI140" s="193"/>
      <c r="AJ140" s="172"/>
      <c r="AK140" s="172"/>
      <c r="AL140" s="172"/>
    </row>
    <row r="141">
      <c r="A141" s="137"/>
      <c r="B141" s="88"/>
      <c r="C141" s="89"/>
      <c r="D141" s="55"/>
      <c r="E141" s="137"/>
      <c r="F141" s="88"/>
      <c r="G141" s="180"/>
      <c r="H141" s="181"/>
      <c r="I141" s="137"/>
      <c r="J141" s="88"/>
      <c r="K141" s="89"/>
      <c r="L141" s="55"/>
      <c r="M141" s="137"/>
      <c r="N141" s="182"/>
      <c r="O141" s="89"/>
      <c r="P141" s="55"/>
      <c r="Q141" s="183"/>
      <c r="R141" s="184"/>
      <c r="S141" s="185"/>
      <c r="T141" s="172"/>
      <c r="U141" s="183"/>
      <c r="V141" s="184"/>
      <c r="W141" s="185"/>
      <c r="X141" s="172"/>
      <c r="Y141" s="137"/>
      <c r="Z141" s="186"/>
      <c r="AA141" s="187"/>
      <c r="AB141" s="188"/>
      <c r="AC141" s="137"/>
      <c r="AD141" s="184"/>
      <c r="AE141" s="189"/>
      <c r="AF141" s="190"/>
      <c r="AG141" s="191"/>
      <c r="AH141" s="192"/>
      <c r="AI141" s="193"/>
      <c r="AJ141" s="172"/>
      <c r="AK141" s="172"/>
      <c r="AL141" s="172"/>
    </row>
    <row r="142">
      <c r="A142" s="137"/>
      <c r="B142" s="88"/>
      <c r="C142" s="89"/>
      <c r="D142" s="55"/>
      <c r="E142" s="137"/>
      <c r="F142" s="88"/>
      <c r="G142" s="180"/>
      <c r="H142" s="181"/>
      <c r="I142" s="137"/>
      <c r="J142" s="88"/>
      <c r="K142" s="89"/>
      <c r="L142" s="55"/>
      <c r="M142" s="137"/>
      <c r="N142" s="182"/>
      <c r="O142" s="89"/>
      <c r="P142" s="55"/>
      <c r="Q142" s="183"/>
      <c r="R142" s="184"/>
      <c r="S142" s="185"/>
      <c r="T142" s="172"/>
      <c r="U142" s="183"/>
      <c r="V142" s="184"/>
      <c r="W142" s="185"/>
      <c r="X142" s="172"/>
      <c r="Y142" s="137"/>
      <c r="Z142" s="186"/>
      <c r="AA142" s="187"/>
      <c r="AB142" s="188"/>
      <c r="AC142" s="137"/>
      <c r="AD142" s="184"/>
      <c r="AE142" s="189"/>
      <c r="AF142" s="190"/>
      <c r="AG142" s="191"/>
      <c r="AH142" s="192"/>
      <c r="AI142" s="193"/>
      <c r="AJ142" s="172"/>
      <c r="AK142" s="172"/>
      <c r="AL142" s="172"/>
    </row>
    <row r="143">
      <c r="A143" s="137"/>
      <c r="B143" s="88"/>
      <c r="C143" s="89"/>
      <c r="D143" s="55"/>
      <c r="E143" s="137"/>
      <c r="F143" s="88"/>
      <c r="G143" s="180"/>
      <c r="H143" s="181"/>
      <c r="I143" s="137"/>
      <c r="J143" s="88"/>
      <c r="K143" s="89"/>
      <c r="L143" s="55"/>
      <c r="M143" s="137"/>
      <c r="N143" s="182"/>
      <c r="O143" s="89"/>
      <c r="P143" s="55"/>
      <c r="Q143" s="183"/>
      <c r="R143" s="184"/>
      <c r="S143" s="185"/>
      <c r="T143" s="172"/>
      <c r="U143" s="183"/>
      <c r="V143" s="184"/>
      <c r="W143" s="185"/>
      <c r="X143" s="172"/>
      <c r="Y143" s="137"/>
      <c r="Z143" s="186"/>
      <c r="AA143" s="187"/>
      <c r="AB143" s="188"/>
      <c r="AC143" s="137"/>
      <c r="AD143" s="184"/>
      <c r="AE143" s="189"/>
      <c r="AF143" s="190"/>
      <c r="AG143" s="191"/>
      <c r="AH143" s="192"/>
      <c r="AI143" s="193"/>
      <c r="AJ143" s="172"/>
      <c r="AK143" s="172"/>
      <c r="AL143" s="172"/>
    </row>
    <row r="144">
      <c r="A144" s="137"/>
      <c r="B144" s="88"/>
      <c r="C144" s="89"/>
      <c r="D144" s="55"/>
      <c r="E144" s="137"/>
      <c r="F144" s="88"/>
      <c r="G144" s="180"/>
      <c r="H144" s="181"/>
      <c r="I144" s="137"/>
      <c r="J144" s="88"/>
      <c r="K144" s="89"/>
      <c r="L144" s="55"/>
      <c r="M144" s="137"/>
      <c r="N144" s="182"/>
      <c r="O144" s="89"/>
      <c r="P144" s="55"/>
      <c r="Q144" s="183"/>
      <c r="R144" s="184"/>
      <c r="S144" s="185"/>
      <c r="T144" s="172"/>
      <c r="U144" s="183"/>
      <c r="V144" s="184"/>
      <c r="W144" s="185"/>
      <c r="X144" s="172"/>
      <c r="Y144" s="137"/>
      <c r="Z144" s="186"/>
      <c r="AA144" s="187"/>
      <c r="AB144" s="188"/>
      <c r="AC144" s="137"/>
      <c r="AD144" s="184"/>
      <c r="AE144" s="189"/>
      <c r="AF144" s="190"/>
      <c r="AG144" s="191"/>
      <c r="AH144" s="192"/>
      <c r="AI144" s="193"/>
      <c r="AJ144" s="172"/>
      <c r="AK144" s="172"/>
      <c r="AL144" s="172"/>
    </row>
    <row r="145">
      <c r="A145" s="137"/>
      <c r="B145" s="88"/>
      <c r="C145" s="89"/>
      <c r="D145" s="55"/>
      <c r="E145" s="137"/>
      <c r="F145" s="88"/>
      <c r="G145" s="180"/>
      <c r="H145" s="181"/>
      <c r="I145" s="137"/>
      <c r="J145" s="88"/>
      <c r="K145" s="89"/>
      <c r="L145" s="55"/>
      <c r="M145" s="137"/>
      <c r="N145" s="182"/>
      <c r="O145" s="89"/>
      <c r="P145" s="55"/>
      <c r="Q145" s="183"/>
      <c r="R145" s="184"/>
      <c r="S145" s="185"/>
      <c r="T145" s="172"/>
      <c r="U145" s="183"/>
      <c r="V145" s="184"/>
      <c r="W145" s="185"/>
      <c r="X145" s="172"/>
      <c r="Y145" s="137"/>
      <c r="Z145" s="186"/>
      <c r="AA145" s="187"/>
      <c r="AB145" s="188"/>
      <c r="AC145" s="137"/>
      <c r="AD145" s="184"/>
      <c r="AE145" s="189"/>
      <c r="AF145" s="190"/>
      <c r="AG145" s="191"/>
      <c r="AH145" s="192"/>
      <c r="AI145" s="193"/>
      <c r="AJ145" s="172"/>
      <c r="AK145" s="172"/>
      <c r="AL145" s="172"/>
    </row>
    <row r="146">
      <c r="A146" s="137"/>
      <c r="B146" s="88"/>
      <c r="C146" s="89"/>
      <c r="D146" s="55"/>
      <c r="E146" s="137"/>
      <c r="F146" s="88"/>
      <c r="G146" s="180"/>
      <c r="H146" s="181"/>
      <c r="I146" s="137"/>
      <c r="J146" s="88"/>
      <c r="K146" s="89"/>
      <c r="L146" s="55"/>
      <c r="M146" s="137"/>
      <c r="N146" s="182"/>
      <c r="O146" s="89"/>
      <c r="P146" s="55"/>
      <c r="Q146" s="183"/>
      <c r="R146" s="184"/>
      <c r="S146" s="185"/>
      <c r="T146" s="172"/>
      <c r="U146" s="183"/>
      <c r="V146" s="184"/>
      <c r="W146" s="185"/>
      <c r="X146" s="172"/>
      <c r="Y146" s="137"/>
      <c r="Z146" s="186"/>
      <c r="AA146" s="187"/>
      <c r="AB146" s="188"/>
      <c r="AC146" s="137"/>
      <c r="AD146" s="184"/>
      <c r="AE146" s="189"/>
      <c r="AF146" s="190"/>
      <c r="AG146" s="191"/>
      <c r="AH146" s="192"/>
      <c r="AI146" s="193"/>
      <c r="AJ146" s="172"/>
      <c r="AK146" s="172"/>
      <c r="AL146" s="172"/>
    </row>
    <row r="147">
      <c r="A147" s="137"/>
      <c r="B147" s="88"/>
      <c r="C147" s="89"/>
      <c r="D147" s="55"/>
      <c r="E147" s="137"/>
      <c r="F147" s="88"/>
      <c r="G147" s="180"/>
      <c r="H147" s="181"/>
      <c r="I147" s="137"/>
      <c r="J147" s="88"/>
      <c r="K147" s="89"/>
      <c r="L147" s="55"/>
      <c r="M147" s="137"/>
      <c r="N147" s="182"/>
      <c r="O147" s="89"/>
      <c r="P147" s="55"/>
      <c r="Q147" s="183"/>
      <c r="R147" s="184"/>
      <c r="S147" s="185"/>
      <c r="T147" s="172"/>
      <c r="U147" s="183"/>
      <c r="V147" s="184"/>
      <c r="W147" s="185"/>
      <c r="X147" s="172"/>
      <c r="Y147" s="137"/>
      <c r="Z147" s="186"/>
      <c r="AA147" s="187"/>
      <c r="AB147" s="188"/>
      <c r="AC147" s="137"/>
      <c r="AD147" s="184"/>
      <c r="AE147" s="189"/>
      <c r="AF147" s="190"/>
      <c r="AG147" s="191"/>
      <c r="AH147" s="192"/>
      <c r="AI147" s="193"/>
      <c r="AJ147" s="172"/>
      <c r="AK147" s="172"/>
      <c r="AL147" s="172"/>
    </row>
    <row r="148">
      <c r="A148" s="137"/>
      <c r="B148" s="88"/>
      <c r="C148" s="89"/>
      <c r="D148" s="55"/>
      <c r="E148" s="137"/>
      <c r="F148" s="88"/>
      <c r="G148" s="180"/>
      <c r="H148" s="181"/>
      <c r="I148" s="137"/>
      <c r="J148" s="88"/>
      <c r="K148" s="89"/>
      <c r="L148" s="55"/>
      <c r="M148" s="137"/>
      <c r="N148" s="182"/>
      <c r="O148" s="89"/>
      <c r="P148" s="55"/>
      <c r="Q148" s="183"/>
      <c r="R148" s="184"/>
      <c r="S148" s="185"/>
      <c r="T148" s="172"/>
      <c r="U148" s="183"/>
      <c r="V148" s="184"/>
      <c r="W148" s="185"/>
      <c r="X148" s="172"/>
      <c r="Y148" s="137"/>
      <c r="Z148" s="186"/>
      <c r="AA148" s="187"/>
      <c r="AB148" s="188"/>
      <c r="AC148" s="137"/>
      <c r="AD148" s="184"/>
      <c r="AE148" s="189"/>
      <c r="AF148" s="190"/>
      <c r="AG148" s="191"/>
      <c r="AH148" s="192"/>
      <c r="AI148" s="193"/>
      <c r="AJ148" s="172"/>
      <c r="AK148" s="172"/>
      <c r="AL148" s="172"/>
    </row>
    <row r="149">
      <c r="A149" s="137"/>
      <c r="B149" s="88"/>
      <c r="C149" s="89"/>
      <c r="D149" s="55"/>
      <c r="E149" s="137"/>
      <c r="F149" s="88"/>
      <c r="G149" s="180"/>
      <c r="H149" s="181"/>
      <c r="I149" s="137"/>
      <c r="J149" s="88"/>
      <c r="K149" s="89"/>
      <c r="L149" s="55"/>
      <c r="M149" s="137"/>
      <c r="N149" s="182"/>
      <c r="O149" s="89"/>
      <c r="P149" s="55"/>
      <c r="Q149" s="183"/>
      <c r="R149" s="184"/>
      <c r="S149" s="185"/>
      <c r="T149" s="172"/>
      <c r="U149" s="183"/>
      <c r="V149" s="184"/>
      <c r="W149" s="185"/>
      <c r="X149" s="172"/>
      <c r="Y149" s="137"/>
      <c r="Z149" s="186"/>
      <c r="AA149" s="187"/>
      <c r="AB149" s="188"/>
      <c r="AC149" s="137"/>
      <c r="AD149" s="184"/>
      <c r="AE149" s="189"/>
      <c r="AF149" s="190"/>
      <c r="AG149" s="191"/>
      <c r="AH149" s="192"/>
      <c r="AI149" s="193"/>
      <c r="AJ149" s="172"/>
      <c r="AK149" s="172"/>
      <c r="AL149" s="172"/>
    </row>
    <row r="150">
      <c r="A150" s="137"/>
      <c r="B150" s="88"/>
      <c r="C150" s="89"/>
      <c r="D150" s="55"/>
      <c r="E150" s="137"/>
      <c r="F150" s="88"/>
      <c r="G150" s="180"/>
      <c r="H150" s="181"/>
      <c r="I150" s="137"/>
      <c r="J150" s="88"/>
      <c r="K150" s="89"/>
      <c r="L150" s="55"/>
      <c r="M150" s="137"/>
      <c r="N150" s="182"/>
      <c r="O150" s="89"/>
      <c r="P150" s="55"/>
      <c r="Q150" s="183"/>
      <c r="R150" s="184"/>
      <c r="S150" s="185"/>
      <c r="T150" s="172"/>
      <c r="U150" s="183"/>
      <c r="V150" s="184"/>
      <c r="W150" s="185"/>
      <c r="X150" s="172"/>
      <c r="Y150" s="137"/>
      <c r="Z150" s="186"/>
      <c r="AA150" s="187"/>
      <c r="AB150" s="188"/>
      <c r="AC150" s="137"/>
      <c r="AD150" s="184"/>
      <c r="AE150" s="189"/>
      <c r="AF150" s="190"/>
      <c r="AG150" s="191"/>
      <c r="AH150" s="192"/>
      <c r="AI150" s="193"/>
      <c r="AJ150" s="172"/>
      <c r="AK150" s="172"/>
      <c r="AL150" s="172"/>
    </row>
    <row r="151">
      <c r="A151" s="137"/>
      <c r="B151" s="88"/>
      <c r="C151" s="89"/>
      <c r="D151" s="55"/>
      <c r="E151" s="137"/>
      <c r="F151" s="88"/>
      <c r="G151" s="180"/>
      <c r="H151" s="181"/>
      <c r="I151" s="137"/>
      <c r="J151" s="88"/>
      <c r="K151" s="89"/>
      <c r="L151" s="55"/>
      <c r="M151" s="137"/>
      <c r="N151" s="182"/>
      <c r="O151" s="89"/>
      <c r="P151" s="55"/>
      <c r="Q151" s="183"/>
      <c r="R151" s="184"/>
      <c r="S151" s="185"/>
      <c r="T151" s="172"/>
      <c r="U151" s="183"/>
      <c r="V151" s="184"/>
      <c r="W151" s="185"/>
      <c r="X151" s="172"/>
      <c r="Y151" s="137"/>
      <c r="Z151" s="186"/>
      <c r="AA151" s="187"/>
      <c r="AB151" s="188"/>
      <c r="AC151" s="137"/>
      <c r="AD151" s="184"/>
      <c r="AE151" s="189"/>
      <c r="AF151" s="190"/>
      <c r="AG151" s="191"/>
      <c r="AH151" s="192"/>
      <c r="AI151" s="193"/>
      <c r="AJ151" s="172"/>
      <c r="AK151" s="172"/>
      <c r="AL151" s="172"/>
    </row>
    <row r="152">
      <c r="A152" s="137"/>
      <c r="B152" s="88"/>
      <c r="C152" s="89"/>
      <c r="D152" s="55"/>
      <c r="E152" s="137"/>
      <c r="F152" s="88"/>
      <c r="G152" s="180"/>
      <c r="H152" s="181"/>
      <c r="I152" s="137"/>
      <c r="J152" s="88"/>
      <c r="K152" s="89"/>
      <c r="L152" s="55"/>
      <c r="M152" s="137"/>
      <c r="N152" s="182"/>
      <c r="O152" s="89"/>
      <c r="P152" s="55"/>
      <c r="Q152" s="183"/>
      <c r="R152" s="184"/>
      <c r="S152" s="185"/>
      <c r="T152" s="172"/>
      <c r="U152" s="183"/>
      <c r="V152" s="184"/>
      <c r="W152" s="185"/>
      <c r="X152" s="172"/>
      <c r="Y152" s="137"/>
      <c r="Z152" s="186"/>
      <c r="AA152" s="187"/>
      <c r="AB152" s="188"/>
      <c r="AC152" s="137"/>
      <c r="AD152" s="184"/>
      <c r="AE152" s="189"/>
      <c r="AF152" s="190"/>
      <c r="AG152" s="191"/>
      <c r="AH152" s="192"/>
      <c r="AI152" s="193"/>
      <c r="AJ152" s="172"/>
      <c r="AK152" s="172"/>
      <c r="AL152" s="172"/>
    </row>
    <row r="153">
      <c r="A153" s="137"/>
      <c r="B153" s="88"/>
      <c r="C153" s="89"/>
      <c r="D153" s="55"/>
      <c r="E153" s="137"/>
      <c r="F153" s="88"/>
      <c r="G153" s="180"/>
      <c r="H153" s="181"/>
      <c r="I153" s="137"/>
      <c r="J153" s="88"/>
      <c r="K153" s="89"/>
      <c r="L153" s="55"/>
      <c r="M153" s="137"/>
      <c r="N153" s="182"/>
      <c r="O153" s="89"/>
      <c r="P153" s="55"/>
      <c r="Q153" s="183"/>
      <c r="R153" s="184"/>
      <c r="S153" s="185"/>
      <c r="T153" s="172"/>
      <c r="U153" s="183"/>
      <c r="V153" s="184"/>
      <c r="W153" s="185"/>
      <c r="X153" s="172"/>
      <c r="Y153" s="137"/>
      <c r="Z153" s="186"/>
      <c r="AA153" s="187"/>
      <c r="AB153" s="188"/>
      <c r="AC153" s="137"/>
      <c r="AD153" s="184"/>
      <c r="AE153" s="189"/>
      <c r="AF153" s="190"/>
      <c r="AG153" s="191"/>
      <c r="AH153" s="192"/>
      <c r="AI153" s="193"/>
      <c r="AJ153" s="172"/>
      <c r="AK153" s="172"/>
      <c r="AL153" s="172"/>
    </row>
    <row r="154">
      <c r="A154" s="137"/>
      <c r="B154" s="88"/>
      <c r="C154" s="89"/>
      <c r="D154" s="55"/>
      <c r="E154" s="137"/>
      <c r="F154" s="88"/>
      <c r="G154" s="180"/>
      <c r="H154" s="181"/>
      <c r="I154" s="137"/>
      <c r="J154" s="88"/>
      <c r="K154" s="89"/>
      <c r="L154" s="55"/>
      <c r="M154" s="137"/>
      <c r="N154" s="182"/>
      <c r="O154" s="89"/>
      <c r="P154" s="55"/>
      <c r="Q154" s="183"/>
      <c r="R154" s="184"/>
      <c r="S154" s="185"/>
      <c r="T154" s="172"/>
      <c r="U154" s="183"/>
      <c r="V154" s="184"/>
      <c r="W154" s="185"/>
      <c r="X154" s="172"/>
      <c r="Y154" s="137"/>
      <c r="Z154" s="186"/>
      <c r="AA154" s="187"/>
      <c r="AB154" s="188"/>
      <c r="AC154" s="137"/>
      <c r="AD154" s="184"/>
      <c r="AE154" s="189"/>
      <c r="AF154" s="190"/>
      <c r="AG154" s="191"/>
      <c r="AH154" s="192"/>
      <c r="AI154" s="193"/>
      <c r="AJ154" s="172"/>
      <c r="AK154" s="172"/>
      <c r="AL154" s="172"/>
    </row>
    <row r="155">
      <c r="A155" s="137"/>
      <c r="B155" s="88"/>
      <c r="C155" s="89"/>
      <c r="D155" s="55"/>
      <c r="E155" s="137"/>
      <c r="F155" s="88"/>
      <c r="G155" s="180"/>
      <c r="H155" s="181"/>
      <c r="I155" s="137"/>
      <c r="J155" s="88"/>
      <c r="K155" s="89"/>
      <c r="L155" s="55"/>
      <c r="M155" s="137"/>
      <c r="N155" s="182"/>
      <c r="O155" s="89"/>
      <c r="P155" s="55"/>
      <c r="Q155" s="183"/>
      <c r="R155" s="184"/>
      <c r="S155" s="185"/>
      <c r="T155" s="172"/>
      <c r="U155" s="183"/>
      <c r="V155" s="184"/>
      <c r="W155" s="185"/>
      <c r="X155" s="172"/>
      <c r="Y155" s="137"/>
      <c r="Z155" s="186"/>
      <c r="AA155" s="187"/>
      <c r="AB155" s="188"/>
      <c r="AC155" s="137"/>
      <c r="AD155" s="184"/>
      <c r="AE155" s="189"/>
      <c r="AF155" s="190"/>
      <c r="AG155" s="191"/>
      <c r="AH155" s="192"/>
      <c r="AI155" s="193"/>
      <c r="AJ155" s="172"/>
      <c r="AK155" s="172"/>
      <c r="AL155" s="172"/>
    </row>
    <row r="156">
      <c r="A156" s="137"/>
      <c r="B156" s="88"/>
      <c r="C156" s="89"/>
      <c r="D156" s="55"/>
      <c r="E156" s="137"/>
      <c r="F156" s="88"/>
      <c r="G156" s="180"/>
      <c r="H156" s="181"/>
      <c r="I156" s="137"/>
      <c r="J156" s="88"/>
      <c r="K156" s="89"/>
      <c r="L156" s="55"/>
      <c r="M156" s="137"/>
      <c r="N156" s="182"/>
      <c r="O156" s="89"/>
      <c r="P156" s="55"/>
      <c r="Q156" s="183"/>
      <c r="R156" s="184"/>
      <c r="S156" s="185"/>
      <c r="T156" s="172"/>
      <c r="U156" s="183"/>
      <c r="V156" s="184"/>
      <c r="W156" s="185"/>
      <c r="X156" s="172"/>
      <c r="Y156" s="137"/>
      <c r="Z156" s="186"/>
      <c r="AA156" s="187"/>
      <c r="AB156" s="188"/>
      <c r="AC156" s="137"/>
      <c r="AD156" s="184"/>
      <c r="AE156" s="189"/>
      <c r="AF156" s="190"/>
      <c r="AG156" s="191"/>
      <c r="AH156" s="192"/>
      <c r="AI156" s="193"/>
      <c r="AJ156" s="172"/>
      <c r="AK156" s="172"/>
      <c r="AL156" s="172"/>
    </row>
    <row r="157">
      <c r="A157" s="137"/>
      <c r="B157" s="88"/>
      <c r="C157" s="89"/>
      <c r="D157" s="55"/>
      <c r="E157" s="137"/>
      <c r="F157" s="88"/>
      <c r="G157" s="180"/>
      <c r="H157" s="181"/>
      <c r="I157" s="137"/>
      <c r="J157" s="88"/>
      <c r="K157" s="89"/>
      <c r="L157" s="55"/>
      <c r="M157" s="137"/>
      <c r="N157" s="182"/>
      <c r="O157" s="89"/>
      <c r="P157" s="55"/>
      <c r="Q157" s="183"/>
      <c r="R157" s="184"/>
      <c r="S157" s="185"/>
      <c r="T157" s="172"/>
      <c r="U157" s="183"/>
      <c r="V157" s="184"/>
      <c r="W157" s="185"/>
      <c r="X157" s="172"/>
      <c r="Y157" s="137"/>
      <c r="Z157" s="186"/>
      <c r="AA157" s="187"/>
      <c r="AB157" s="188"/>
      <c r="AC157" s="137"/>
      <c r="AD157" s="184"/>
      <c r="AE157" s="189"/>
      <c r="AF157" s="190"/>
      <c r="AG157" s="191"/>
      <c r="AH157" s="192"/>
      <c r="AI157" s="193"/>
      <c r="AJ157" s="172"/>
      <c r="AK157" s="172"/>
      <c r="AL157" s="172"/>
    </row>
    <row r="158">
      <c r="A158" s="137"/>
      <c r="B158" s="88"/>
      <c r="C158" s="89"/>
      <c r="D158" s="55"/>
      <c r="E158" s="137"/>
      <c r="F158" s="88"/>
      <c r="G158" s="180"/>
      <c r="H158" s="181"/>
      <c r="I158" s="137"/>
      <c r="J158" s="88"/>
      <c r="K158" s="89"/>
      <c r="L158" s="55"/>
      <c r="M158" s="137"/>
      <c r="N158" s="182"/>
      <c r="O158" s="89"/>
      <c r="P158" s="55"/>
      <c r="Q158" s="183"/>
      <c r="R158" s="184"/>
      <c r="S158" s="185"/>
      <c r="T158" s="172"/>
      <c r="U158" s="183"/>
      <c r="V158" s="184"/>
      <c r="W158" s="185"/>
      <c r="X158" s="172"/>
      <c r="Y158" s="137"/>
      <c r="Z158" s="186"/>
      <c r="AA158" s="187"/>
      <c r="AB158" s="188"/>
      <c r="AC158" s="137"/>
      <c r="AD158" s="184"/>
      <c r="AE158" s="189"/>
      <c r="AF158" s="190"/>
      <c r="AG158" s="191"/>
      <c r="AH158" s="192"/>
      <c r="AI158" s="193"/>
      <c r="AJ158" s="172"/>
      <c r="AK158" s="172"/>
      <c r="AL158" s="172"/>
    </row>
    <row r="159">
      <c r="A159" s="137"/>
      <c r="B159" s="88"/>
      <c r="C159" s="89"/>
      <c r="D159" s="55"/>
      <c r="E159" s="137"/>
      <c r="F159" s="88"/>
      <c r="G159" s="180"/>
      <c r="H159" s="181"/>
      <c r="I159" s="137"/>
      <c r="J159" s="88"/>
      <c r="K159" s="89"/>
      <c r="L159" s="55"/>
      <c r="M159" s="137"/>
      <c r="N159" s="182"/>
      <c r="O159" s="89"/>
      <c r="P159" s="55"/>
      <c r="Q159" s="183"/>
      <c r="R159" s="184"/>
      <c r="S159" s="185"/>
      <c r="T159" s="172"/>
      <c r="U159" s="183"/>
      <c r="V159" s="184"/>
      <c r="W159" s="185"/>
      <c r="X159" s="172"/>
      <c r="Y159" s="137"/>
      <c r="Z159" s="186"/>
      <c r="AA159" s="187"/>
      <c r="AB159" s="188"/>
      <c r="AC159" s="137"/>
      <c r="AD159" s="184"/>
      <c r="AE159" s="189"/>
      <c r="AF159" s="190"/>
      <c r="AG159" s="191"/>
      <c r="AH159" s="192"/>
      <c r="AI159" s="193"/>
      <c r="AJ159" s="172"/>
      <c r="AK159" s="172"/>
      <c r="AL159" s="172"/>
    </row>
    <row r="160">
      <c r="A160" s="137"/>
      <c r="B160" s="88"/>
      <c r="C160" s="89"/>
      <c r="D160" s="55"/>
      <c r="E160" s="137"/>
      <c r="F160" s="88"/>
      <c r="G160" s="180"/>
      <c r="H160" s="181"/>
      <c r="I160" s="137"/>
      <c r="J160" s="88"/>
      <c r="K160" s="89"/>
      <c r="L160" s="55"/>
      <c r="M160" s="137"/>
      <c r="N160" s="182"/>
      <c r="O160" s="89"/>
      <c r="P160" s="55"/>
      <c r="Q160" s="183"/>
      <c r="R160" s="184"/>
      <c r="S160" s="185"/>
      <c r="T160" s="172"/>
      <c r="U160" s="183"/>
      <c r="V160" s="184"/>
      <c r="W160" s="185"/>
      <c r="X160" s="172"/>
      <c r="Y160" s="137"/>
      <c r="Z160" s="186"/>
      <c r="AA160" s="187"/>
      <c r="AB160" s="188"/>
      <c r="AC160" s="137"/>
      <c r="AD160" s="184"/>
      <c r="AE160" s="189"/>
      <c r="AF160" s="190"/>
      <c r="AG160" s="191"/>
      <c r="AH160" s="192"/>
      <c r="AI160" s="193"/>
      <c r="AJ160" s="172"/>
      <c r="AK160" s="172"/>
      <c r="AL160" s="172"/>
    </row>
    <row r="161">
      <c r="A161" s="137"/>
      <c r="B161" s="88"/>
      <c r="C161" s="89"/>
      <c r="D161" s="55"/>
      <c r="E161" s="137"/>
      <c r="F161" s="88"/>
      <c r="G161" s="180"/>
      <c r="H161" s="181"/>
      <c r="I161" s="137"/>
      <c r="J161" s="88"/>
      <c r="K161" s="89"/>
      <c r="L161" s="55"/>
      <c r="M161" s="137"/>
      <c r="N161" s="182"/>
      <c r="O161" s="89"/>
      <c r="P161" s="55"/>
      <c r="Q161" s="183"/>
      <c r="R161" s="184"/>
      <c r="S161" s="185"/>
      <c r="T161" s="172"/>
      <c r="U161" s="183"/>
      <c r="V161" s="184"/>
      <c r="W161" s="185"/>
      <c r="X161" s="172"/>
      <c r="Y161" s="137"/>
      <c r="Z161" s="186"/>
      <c r="AA161" s="187"/>
      <c r="AB161" s="188"/>
      <c r="AC161" s="137"/>
      <c r="AD161" s="184"/>
      <c r="AE161" s="189"/>
      <c r="AF161" s="190"/>
      <c r="AG161" s="191"/>
      <c r="AH161" s="192"/>
      <c r="AI161" s="193"/>
      <c r="AJ161" s="172"/>
      <c r="AK161" s="172"/>
      <c r="AL161" s="172"/>
    </row>
    <row r="162">
      <c r="A162" s="137"/>
      <c r="B162" s="88"/>
      <c r="C162" s="89"/>
      <c r="D162" s="55"/>
      <c r="E162" s="137"/>
      <c r="F162" s="88"/>
      <c r="G162" s="180"/>
      <c r="H162" s="181"/>
      <c r="I162" s="137"/>
      <c r="J162" s="88"/>
      <c r="K162" s="89"/>
      <c r="L162" s="55"/>
      <c r="M162" s="137"/>
      <c r="N162" s="182"/>
      <c r="O162" s="89"/>
      <c r="P162" s="55"/>
      <c r="Q162" s="183"/>
      <c r="R162" s="184"/>
      <c r="S162" s="185"/>
      <c r="T162" s="172"/>
      <c r="U162" s="183"/>
      <c r="V162" s="184"/>
      <c r="W162" s="185"/>
      <c r="X162" s="172"/>
      <c r="Y162" s="137"/>
      <c r="Z162" s="186"/>
      <c r="AA162" s="187"/>
      <c r="AB162" s="188"/>
      <c r="AC162" s="137"/>
      <c r="AD162" s="184"/>
      <c r="AE162" s="189"/>
      <c r="AF162" s="190"/>
      <c r="AG162" s="191"/>
      <c r="AH162" s="192"/>
      <c r="AI162" s="193"/>
      <c r="AJ162" s="172"/>
      <c r="AK162" s="172"/>
      <c r="AL162" s="172"/>
    </row>
    <row r="163">
      <c r="A163" s="137"/>
      <c r="B163" s="88"/>
      <c r="C163" s="89"/>
      <c r="D163" s="55"/>
      <c r="E163" s="137"/>
      <c r="F163" s="88"/>
      <c r="G163" s="180"/>
      <c r="H163" s="181"/>
      <c r="I163" s="137"/>
      <c r="J163" s="88"/>
      <c r="K163" s="89"/>
      <c r="L163" s="55"/>
      <c r="M163" s="137"/>
      <c r="N163" s="182"/>
      <c r="O163" s="89"/>
      <c r="P163" s="55"/>
      <c r="Q163" s="183"/>
      <c r="R163" s="184"/>
      <c r="S163" s="185"/>
      <c r="T163" s="172"/>
      <c r="U163" s="183"/>
      <c r="V163" s="184"/>
      <c r="W163" s="185"/>
      <c r="X163" s="172"/>
      <c r="Y163" s="137"/>
      <c r="Z163" s="186"/>
      <c r="AA163" s="187"/>
      <c r="AB163" s="188"/>
      <c r="AC163" s="137"/>
      <c r="AD163" s="184"/>
      <c r="AE163" s="189"/>
      <c r="AF163" s="190"/>
      <c r="AG163" s="191"/>
      <c r="AH163" s="192"/>
      <c r="AI163" s="193"/>
      <c r="AJ163" s="172"/>
      <c r="AK163" s="172"/>
      <c r="AL163" s="172"/>
    </row>
    <row r="164">
      <c r="A164" s="137"/>
      <c r="B164" s="88"/>
      <c r="C164" s="89"/>
      <c r="D164" s="55"/>
      <c r="E164" s="137"/>
      <c r="F164" s="88"/>
      <c r="G164" s="180"/>
      <c r="H164" s="181"/>
      <c r="I164" s="137"/>
      <c r="J164" s="88"/>
      <c r="K164" s="89"/>
      <c r="L164" s="55"/>
      <c r="M164" s="137"/>
      <c r="N164" s="182"/>
      <c r="O164" s="89"/>
      <c r="P164" s="55"/>
      <c r="Q164" s="183"/>
      <c r="R164" s="184"/>
      <c r="S164" s="185"/>
      <c r="T164" s="172"/>
      <c r="U164" s="183"/>
      <c r="V164" s="184"/>
      <c r="W164" s="185"/>
      <c r="X164" s="172"/>
      <c r="Y164" s="137"/>
      <c r="Z164" s="186"/>
      <c r="AA164" s="187"/>
      <c r="AB164" s="188"/>
      <c r="AC164" s="137"/>
      <c r="AD164" s="184"/>
      <c r="AE164" s="189"/>
      <c r="AF164" s="190"/>
      <c r="AG164" s="191"/>
      <c r="AH164" s="192"/>
      <c r="AI164" s="193"/>
      <c r="AJ164" s="172"/>
      <c r="AK164" s="172"/>
      <c r="AL164" s="172"/>
    </row>
    <row r="165">
      <c r="A165" s="137"/>
      <c r="B165" s="88"/>
      <c r="C165" s="89"/>
      <c r="D165" s="55"/>
      <c r="E165" s="137"/>
      <c r="F165" s="88"/>
      <c r="G165" s="180"/>
      <c r="H165" s="181"/>
      <c r="I165" s="137"/>
      <c r="J165" s="88"/>
      <c r="K165" s="89"/>
      <c r="L165" s="55"/>
      <c r="M165" s="137"/>
      <c r="N165" s="182"/>
      <c r="O165" s="89"/>
      <c r="P165" s="55"/>
      <c r="Q165" s="183"/>
      <c r="R165" s="184"/>
      <c r="S165" s="185"/>
      <c r="T165" s="172"/>
      <c r="U165" s="183"/>
      <c r="V165" s="184"/>
      <c r="W165" s="185"/>
      <c r="X165" s="172"/>
      <c r="Y165" s="137"/>
      <c r="Z165" s="186"/>
      <c r="AA165" s="187"/>
      <c r="AB165" s="188"/>
      <c r="AC165" s="137"/>
      <c r="AD165" s="184"/>
      <c r="AE165" s="189"/>
      <c r="AF165" s="190"/>
      <c r="AG165" s="191"/>
      <c r="AH165" s="192"/>
      <c r="AI165" s="193"/>
      <c r="AJ165" s="172"/>
      <c r="AK165" s="172"/>
      <c r="AL165" s="172"/>
    </row>
    <row r="166">
      <c r="A166" s="137"/>
      <c r="B166" s="88"/>
      <c r="C166" s="89"/>
      <c r="D166" s="55"/>
      <c r="E166" s="137"/>
      <c r="F166" s="88"/>
      <c r="G166" s="180"/>
      <c r="H166" s="181"/>
      <c r="I166" s="137"/>
      <c r="J166" s="88"/>
      <c r="K166" s="89"/>
      <c r="L166" s="55"/>
      <c r="M166" s="137"/>
      <c r="N166" s="182"/>
      <c r="O166" s="89"/>
      <c r="P166" s="55"/>
      <c r="Q166" s="183"/>
      <c r="R166" s="184"/>
      <c r="S166" s="185"/>
      <c r="T166" s="172"/>
      <c r="U166" s="183"/>
      <c r="V166" s="184"/>
      <c r="W166" s="185"/>
      <c r="X166" s="172"/>
      <c r="Y166" s="137"/>
      <c r="Z166" s="186"/>
      <c r="AA166" s="187"/>
      <c r="AB166" s="188"/>
      <c r="AC166" s="137"/>
      <c r="AD166" s="184"/>
      <c r="AE166" s="189"/>
      <c r="AF166" s="190"/>
      <c r="AG166" s="191"/>
      <c r="AH166" s="192"/>
      <c r="AI166" s="193"/>
      <c r="AJ166" s="172"/>
      <c r="AK166" s="172"/>
      <c r="AL166" s="172"/>
    </row>
    <row r="167">
      <c r="A167" s="137"/>
      <c r="B167" s="88"/>
      <c r="C167" s="89"/>
      <c r="D167" s="55"/>
      <c r="E167" s="137"/>
      <c r="F167" s="88"/>
      <c r="G167" s="180"/>
      <c r="H167" s="181"/>
      <c r="I167" s="137"/>
      <c r="J167" s="88"/>
      <c r="K167" s="89"/>
      <c r="L167" s="55"/>
      <c r="M167" s="137"/>
      <c r="N167" s="182"/>
      <c r="O167" s="89"/>
      <c r="P167" s="55"/>
      <c r="Q167" s="183"/>
      <c r="R167" s="184"/>
      <c r="S167" s="185"/>
      <c r="T167" s="172"/>
      <c r="U167" s="183"/>
      <c r="V167" s="184"/>
      <c r="W167" s="185"/>
      <c r="X167" s="172"/>
      <c r="Y167" s="137"/>
      <c r="Z167" s="186"/>
      <c r="AA167" s="187"/>
      <c r="AB167" s="188"/>
      <c r="AC167" s="137"/>
      <c r="AD167" s="184"/>
      <c r="AE167" s="189"/>
      <c r="AF167" s="190"/>
      <c r="AG167" s="191"/>
      <c r="AH167" s="192"/>
      <c r="AI167" s="193"/>
      <c r="AJ167" s="172"/>
      <c r="AK167" s="172"/>
      <c r="AL167" s="172"/>
    </row>
    <row r="168">
      <c r="A168" s="137"/>
      <c r="B168" s="88"/>
      <c r="C168" s="89"/>
      <c r="D168" s="55"/>
      <c r="E168" s="137"/>
      <c r="F168" s="88"/>
      <c r="G168" s="180"/>
      <c r="H168" s="181"/>
      <c r="I168" s="137"/>
      <c r="J168" s="88"/>
      <c r="K168" s="89"/>
      <c r="L168" s="55"/>
      <c r="M168" s="137"/>
      <c r="N168" s="182"/>
      <c r="O168" s="89"/>
      <c r="P168" s="55"/>
      <c r="Q168" s="183"/>
      <c r="R168" s="184"/>
      <c r="S168" s="185"/>
      <c r="T168" s="172"/>
      <c r="U168" s="183"/>
      <c r="V168" s="184"/>
      <c r="W168" s="185"/>
      <c r="X168" s="172"/>
      <c r="Y168" s="137"/>
      <c r="Z168" s="186"/>
      <c r="AA168" s="187"/>
      <c r="AB168" s="188"/>
      <c r="AC168" s="137"/>
      <c r="AD168" s="184"/>
      <c r="AE168" s="189"/>
      <c r="AF168" s="190"/>
      <c r="AG168" s="191"/>
      <c r="AH168" s="192"/>
      <c r="AI168" s="193"/>
      <c r="AJ168" s="172"/>
      <c r="AK168" s="172"/>
      <c r="AL168" s="172"/>
    </row>
    <row r="169">
      <c r="A169" s="137"/>
      <c r="B169" s="88"/>
      <c r="C169" s="89"/>
      <c r="D169" s="55"/>
      <c r="E169" s="137"/>
      <c r="F169" s="88"/>
      <c r="G169" s="180"/>
      <c r="H169" s="181"/>
      <c r="I169" s="137"/>
      <c r="J169" s="88"/>
      <c r="K169" s="89"/>
      <c r="L169" s="55"/>
      <c r="M169" s="137"/>
      <c r="N169" s="182"/>
      <c r="O169" s="89"/>
      <c r="P169" s="55"/>
      <c r="Q169" s="183"/>
      <c r="R169" s="184"/>
      <c r="S169" s="185"/>
      <c r="T169" s="172"/>
      <c r="U169" s="183"/>
      <c r="V169" s="184"/>
      <c r="W169" s="185"/>
      <c r="X169" s="172"/>
      <c r="Y169" s="137"/>
      <c r="Z169" s="186"/>
      <c r="AA169" s="187"/>
      <c r="AB169" s="188"/>
      <c r="AC169" s="137"/>
      <c r="AD169" s="184"/>
      <c r="AE169" s="189"/>
      <c r="AF169" s="190"/>
      <c r="AG169" s="191"/>
      <c r="AH169" s="192"/>
      <c r="AI169" s="193"/>
      <c r="AJ169" s="172"/>
      <c r="AK169" s="172"/>
      <c r="AL169" s="172"/>
    </row>
    <row r="170">
      <c r="A170" s="137"/>
      <c r="B170" s="88"/>
      <c r="C170" s="89"/>
      <c r="D170" s="55"/>
      <c r="E170" s="137"/>
      <c r="F170" s="88"/>
      <c r="G170" s="180"/>
      <c r="H170" s="181"/>
      <c r="I170" s="137"/>
      <c r="J170" s="88"/>
      <c r="K170" s="89"/>
      <c r="L170" s="55"/>
      <c r="M170" s="137"/>
      <c r="N170" s="182"/>
      <c r="O170" s="89"/>
      <c r="P170" s="55"/>
      <c r="Q170" s="183"/>
      <c r="R170" s="184"/>
      <c r="S170" s="185"/>
      <c r="T170" s="172"/>
      <c r="U170" s="183"/>
      <c r="V170" s="184"/>
      <c r="W170" s="185"/>
      <c r="X170" s="172"/>
      <c r="Y170" s="137"/>
      <c r="Z170" s="186"/>
      <c r="AA170" s="187"/>
      <c r="AB170" s="188"/>
      <c r="AC170" s="137"/>
      <c r="AD170" s="184"/>
      <c r="AE170" s="189"/>
      <c r="AF170" s="190"/>
      <c r="AG170" s="191"/>
      <c r="AH170" s="192"/>
      <c r="AI170" s="193"/>
      <c r="AJ170" s="172"/>
      <c r="AK170" s="172"/>
      <c r="AL170" s="172"/>
    </row>
    <row r="171">
      <c r="A171" s="137"/>
      <c r="B171" s="88"/>
      <c r="C171" s="89"/>
      <c r="D171" s="55"/>
      <c r="E171" s="137"/>
      <c r="F171" s="88"/>
      <c r="G171" s="180"/>
      <c r="H171" s="181"/>
      <c r="I171" s="137"/>
      <c r="J171" s="88"/>
      <c r="K171" s="89"/>
      <c r="L171" s="55"/>
      <c r="M171" s="137"/>
      <c r="N171" s="182"/>
      <c r="O171" s="89"/>
      <c r="P171" s="55"/>
      <c r="Q171" s="183"/>
      <c r="R171" s="184"/>
      <c r="S171" s="185"/>
      <c r="T171" s="172"/>
      <c r="U171" s="183"/>
      <c r="V171" s="184"/>
      <c r="W171" s="185"/>
      <c r="X171" s="172"/>
      <c r="Y171" s="137"/>
      <c r="Z171" s="186"/>
      <c r="AA171" s="187"/>
      <c r="AB171" s="188"/>
      <c r="AC171" s="137"/>
      <c r="AD171" s="184"/>
      <c r="AE171" s="189"/>
      <c r="AF171" s="190"/>
      <c r="AG171" s="191"/>
      <c r="AH171" s="192"/>
      <c r="AI171" s="193"/>
      <c r="AJ171" s="172"/>
      <c r="AK171" s="172"/>
      <c r="AL171" s="172"/>
    </row>
    <row r="172">
      <c r="A172" s="137"/>
      <c r="B172" s="88"/>
      <c r="C172" s="89"/>
      <c r="D172" s="55"/>
      <c r="E172" s="137"/>
      <c r="F172" s="88"/>
      <c r="G172" s="180"/>
      <c r="H172" s="181"/>
      <c r="I172" s="137"/>
      <c r="J172" s="88"/>
      <c r="K172" s="89"/>
      <c r="L172" s="55"/>
      <c r="M172" s="137"/>
      <c r="N172" s="182"/>
      <c r="O172" s="89"/>
      <c r="P172" s="55"/>
      <c r="Q172" s="183"/>
      <c r="R172" s="184"/>
      <c r="S172" s="185"/>
      <c r="T172" s="172"/>
      <c r="U172" s="183"/>
      <c r="V172" s="184"/>
      <c r="W172" s="185"/>
      <c r="X172" s="172"/>
      <c r="Y172" s="137"/>
      <c r="Z172" s="186"/>
      <c r="AA172" s="187"/>
      <c r="AB172" s="188"/>
      <c r="AC172" s="137"/>
      <c r="AD172" s="184"/>
      <c r="AE172" s="189"/>
      <c r="AF172" s="190"/>
      <c r="AG172" s="191"/>
      <c r="AH172" s="192"/>
      <c r="AI172" s="193"/>
      <c r="AJ172" s="172"/>
      <c r="AK172" s="172"/>
      <c r="AL172" s="172"/>
    </row>
    <row r="173">
      <c r="A173" s="137"/>
      <c r="B173" s="88"/>
      <c r="C173" s="89"/>
      <c r="D173" s="55"/>
      <c r="E173" s="137"/>
      <c r="F173" s="88"/>
      <c r="G173" s="180"/>
      <c r="H173" s="181"/>
      <c r="I173" s="137"/>
      <c r="J173" s="88"/>
      <c r="K173" s="89"/>
      <c r="L173" s="55"/>
      <c r="M173" s="137"/>
      <c r="N173" s="182"/>
      <c r="O173" s="89"/>
      <c r="P173" s="55"/>
      <c r="Q173" s="183"/>
      <c r="R173" s="184"/>
      <c r="S173" s="185"/>
      <c r="T173" s="172"/>
      <c r="U173" s="183"/>
      <c r="V173" s="184"/>
      <c r="W173" s="185"/>
      <c r="X173" s="172"/>
      <c r="Y173" s="137"/>
      <c r="Z173" s="186"/>
      <c r="AA173" s="187"/>
      <c r="AB173" s="188"/>
      <c r="AC173" s="137"/>
      <c r="AD173" s="184"/>
      <c r="AE173" s="189"/>
      <c r="AF173" s="190"/>
      <c r="AG173" s="191"/>
      <c r="AH173" s="192"/>
      <c r="AI173" s="193"/>
      <c r="AJ173" s="172"/>
      <c r="AK173" s="172"/>
      <c r="AL173" s="172"/>
    </row>
    <row r="174">
      <c r="A174" s="137"/>
      <c r="B174" s="88"/>
      <c r="C174" s="89"/>
      <c r="D174" s="55"/>
      <c r="E174" s="137"/>
      <c r="F174" s="88"/>
      <c r="G174" s="180"/>
      <c r="H174" s="181"/>
      <c r="I174" s="137"/>
      <c r="J174" s="88"/>
      <c r="K174" s="89"/>
      <c r="L174" s="55"/>
      <c r="M174" s="137"/>
      <c r="N174" s="182"/>
      <c r="O174" s="89"/>
      <c r="P174" s="55"/>
      <c r="Q174" s="183"/>
      <c r="R174" s="184"/>
      <c r="S174" s="185"/>
      <c r="T174" s="172"/>
      <c r="U174" s="183"/>
      <c r="V174" s="184"/>
      <c r="W174" s="185"/>
      <c r="X174" s="172"/>
      <c r="Y174" s="137"/>
      <c r="Z174" s="186"/>
      <c r="AA174" s="187"/>
      <c r="AB174" s="188"/>
      <c r="AC174" s="137"/>
      <c r="AD174" s="184"/>
      <c r="AE174" s="189"/>
      <c r="AF174" s="190"/>
      <c r="AG174" s="191"/>
      <c r="AH174" s="192"/>
      <c r="AI174" s="193"/>
      <c r="AJ174" s="172"/>
      <c r="AK174" s="172"/>
      <c r="AL174" s="172"/>
    </row>
    <row r="175">
      <c r="A175" s="137"/>
      <c r="B175" s="88"/>
      <c r="C175" s="89"/>
      <c r="D175" s="55"/>
      <c r="E175" s="137"/>
      <c r="F175" s="88"/>
      <c r="G175" s="180"/>
      <c r="H175" s="181"/>
      <c r="I175" s="137"/>
      <c r="J175" s="88"/>
      <c r="K175" s="89"/>
      <c r="L175" s="55"/>
      <c r="M175" s="137"/>
      <c r="N175" s="182"/>
      <c r="O175" s="89"/>
      <c r="P175" s="55"/>
      <c r="Q175" s="183"/>
      <c r="R175" s="184"/>
      <c r="S175" s="185"/>
      <c r="T175" s="172"/>
      <c r="U175" s="183"/>
      <c r="V175" s="184"/>
      <c r="W175" s="185"/>
      <c r="X175" s="172"/>
      <c r="Y175" s="137"/>
      <c r="Z175" s="186"/>
      <c r="AA175" s="187"/>
      <c r="AB175" s="188"/>
      <c r="AC175" s="137"/>
      <c r="AD175" s="184"/>
      <c r="AE175" s="189"/>
      <c r="AF175" s="190"/>
      <c r="AG175" s="191"/>
      <c r="AH175" s="192"/>
      <c r="AI175" s="193"/>
      <c r="AJ175" s="172"/>
      <c r="AK175" s="172"/>
      <c r="AL175" s="172"/>
    </row>
    <row r="176">
      <c r="A176" s="137"/>
      <c r="B176" s="88"/>
      <c r="C176" s="89"/>
      <c r="D176" s="55"/>
      <c r="E176" s="137"/>
      <c r="F176" s="88"/>
      <c r="G176" s="180"/>
      <c r="H176" s="181"/>
      <c r="I176" s="137"/>
      <c r="J176" s="88"/>
      <c r="K176" s="89"/>
      <c r="L176" s="55"/>
      <c r="M176" s="137"/>
      <c r="N176" s="182"/>
      <c r="O176" s="89"/>
      <c r="P176" s="55"/>
      <c r="Q176" s="183"/>
      <c r="R176" s="184"/>
      <c r="S176" s="185"/>
      <c r="T176" s="172"/>
      <c r="U176" s="183"/>
      <c r="V176" s="184"/>
      <c r="W176" s="185"/>
      <c r="X176" s="172"/>
      <c r="Y176" s="137"/>
      <c r="Z176" s="186"/>
      <c r="AA176" s="187"/>
      <c r="AB176" s="188"/>
      <c r="AC176" s="137"/>
      <c r="AD176" s="184"/>
      <c r="AE176" s="189"/>
      <c r="AF176" s="190"/>
      <c r="AG176" s="191"/>
      <c r="AH176" s="192"/>
      <c r="AI176" s="193"/>
      <c r="AJ176" s="172"/>
      <c r="AK176" s="172"/>
      <c r="AL176" s="172"/>
    </row>
    <row r="177">
      <c r="A177" s="137"/>
      <c r="B177" s="88"/>
      <c r="C177" s="89"/>
      <c r="D177" s="55"/>
      <c r="E177" s="137"/>
      <c r="F177" s="88"/>
      <c r="G177" s="180"/>
      <c r="H177" s="181"/>
      <c r="I177" s="137"/>
      <c r="J177" s="88"/>
      <c r="K177" s="89"/>
      <c r="L177" s="55"/>
      <c r="M177" s="137"/>
      <c r="N177" s="182"/>
      <c r="O177" s="89"/>
      <c r="P177" s="55"/>
      <c r="Q177" s="183"/>
      <c r="R177" s="184"/>
      <c r="S177" s="185"/>
      <c r="T177" s="172"/>
      <c r="U177" s="183"/>
      <c r="V177" s="184"/>
      <c r="W177" s="185"/>
      <c r="X177" s="172"/>
      <c r="Y177" s="137"/>
      <c r="Z177" s="186"/>
      <c r="AA177" s="187"/>
      <c r="AB177" s="188"/>
      <c r="AC177" s="137"/>
      <c r="AD177" s="184"/>
      <c r="AE177" s="189"/>
      <c r="AF177" s="190"/>
      <c r="AG177" s="191"/>
      <c r="AH177" s="192"/>
      <c r="AI177" s="193"/>
      <c r="AJ177" s="172"/>
      <c r="AK177" s="172"/>
      <c r="AL177" s="172"/>
    </row>
    <row r="178">
      <c r="A178" s="137"/>
      <c r="B178" s="88"/>
      <c r="C178" s="89"/>
      <c r="D178" s="55"/>
      <c r="E178" s="137"/>
      <c r="F178" s="88"/>
      <c r="G178" s="180"/>
      <c r="H178" s="181"/>
      <c r="I178" s="137"/>
      <c r="J178" s="88"/>
      <c r="K178" s="89"/>
      <c r="L178" s="55"/>
      <c r="M178" s="137"/>
      <c r="N178" s="182"/>
      <c r="O178" s="89"/>
      <c r="P178" s="55"/>
      <c r="Q178" s="183"/>
      <c r="R178" s="184"/>
      <c r="S178" s="185"/>
      <c r="T178" s="172"/>
      <c r="U178" s="183"/>
      <c r="V178" s="184"/>
      <c r="W178" s="185"/>
      <c r="X178" s="172"/>
      <c r="Y178" s="137"/>
      <c r="Z178" s="186"/>
      <c r="AA178" s="187"/>
      <c r="AB178" s="188"/>
      <c r="AC178" s="137"/>
      <c r="AD178" s="184"/>
      <c r="AE178" s="189"/>
      <c r="AF178" s="190"/>
      <c r="AG178" s="191"/>
      <c r="AH178" s="192"/>
      <c r="AI178" s="193"/>
      <c r="AJ178" s="172"/>
      <c r="AK178" s="172"/>
      <c r="AL178" s="172"/>
    </row>
    <row r="179">
      <c r="A179" s="137"/>
      <c r="B179" s="88"/>
      <c r="C179" s="89"/>
      <c r="D179" s="55"/>
      <c r="E179" s="137"/>
      <c r="F179" s="88"/>
      <c r="G179" s="180"/>
      <c r="H179" s="181"/>
      <c r="I179" s="137"/>
      <c r="J179" s="88"/>
      <c r="K179" s="89"/>
      <c r="L179" s="55"/>
      <c r="M179" s="137"/>
      <c r="N179" s="182"/>
      <c r="O179" s="89"/>
      <c r="P179" s="55"/>
      <c r="Q179" s="183"/>
      <c r="R179" s="184"/>
      <c r="S179" s="185"/>
      <c r="T179" s="172"/>
      <c r="U179" s="183"/>
      <c r="V179" s="184"/>
      <c r="W179" s="185"/>
      <c r="X179" s="172"/>
      <c r="Y179" s="137"/>
      <c r="Z179" s="186"/>
      <c r="AA179" s="187"/>
      <c r="AB179" s="188"/>
      <c r="AC179" s="137"/>
      <c r="AD179" s="184"/>
      <c r="AE179" s="189"/>
      <c r="AF179" s="190"/>
      <c r="AG179" s="191"/>
      <c r="AH179" s="192"/>
      <c r="AI179" s="193"/>
      <c r="AJ179" s="172"/>
      <c r="AK179" s="172"/>
      <c r="AL179" s="172"/>
    </row>
    <row r="180">
      <c r="A180" s="137"/>
      <c r="B180" s="88"/>
      <c r="C180" s="89"/>
      <c r="D180" s="55"/>
      <c r="E180" s="137"/>
      <c r="F180" s="88"/>
      <c r="G180" s="180"/>
      <c r="H180" s="181"/>
      <c r="I180" s="137"/>
      <c r="J180" s="88"/>
      <c r="K180" s="89"/>
      <c r="L180" s="55"/>
      <c r="M180" s="137"/>
      <c r="N180" s="182"/>
      <c r="O180" s="89"/>
      <c r="P180" s="55"/>
      <c r="Q180" s="183"/>
      <c r="R180" s="184"/>
      <c r="S180" s="185"/>
      <c r="T180" s="172"/>
      <c r="U180" s="183"/>
      <c r="V180" s="184"/>
      <c r="W180" s="185"/>
      <c r="X180" s="172"/>
      <c r="Y180" s="137"/>
      <c r="Z180" s="186"/>
      <c r="AA180" s="187"/>
      <c r="AB180" s="188"/>
      <c r="AC180" s="137"/>
      <c r="AD180" s="184"/>
      <c r="AE180" s="189"/>
      <c r="AF180" s="190"/>
      <c r="AG180" s="191"/>
      <c r="AH180" s="192"/>
      <c r="AI180" s="193"/>
      <c r="AJ180" s="172"/>
      <c r="AK180" s="172"/>
      <c r="AL180" s="172"/>
    </row>
    <row r="181">
      <c r="A181" s="137"/>
      <c r="B181" s="88"/>
      <c r="C181" s="89"/>
      <c r="D181" s="55"/>
      <c r="E181" s="137"/>
      <c r="F181" s="88"/>
      <c r="G181" s="180"/>
      <c r="H181" s="181"/>
      <c r="I181" s="137"/>
      <c r="J181" s="88"/>
      <c r="K181" s="89"/>
      <c r="L181" s="55"/>
      <c r="M181" s="137"/>
      <c r="N181" s="182"/>
      <c r="O181" s="89"/>
      <c r="P181" s="55"/>
      <c r="Q181" s="183"/>
      <c r="R181" s="184"/>
      <c r="S181" s="185"/>
      <c r="T181" s="172"/>
      <c r="U181" s="183"/>
      <c r="V181" s="184"/>
      <c r="W181" s="185"/>
      <c r="X181" s="172"/>
      <c r="Y181" s="137"/>
      <c r="Z181" s="186"/>
      <c r="AA181" s="187"/>
      <c r="AB181" s="188"/>
      <c r="AC181" s="137"/>
      <c r="AD181" s="184"/>
      <c r="AE181" s="189"/>
      <c r="AF181" s="190"/>
      <c r="AG181" s="191"/>
      <c r="AH181" s="192"/>
      <c r="AI181" s="193"/>
      <c r="AJ181" s="172"/>
      <c r="AK181" s="172"/>
      <c r="AL181" s="172"/>
    </row>
    <row r="182">
      <c r="A182" s="137"/>
      <c r="B182" s="88"/>
      <c r="C182" s="89"/>
      <c r="D182" s="55"/>
      <c r="E182" s="137"/>
      <c r="F182" s="88"/>
      <c r="G182" s="180"/>
      <c r="H182" s="181"/>
      <c r="I182" s="137"/>
      <c r="J182" s="88"/>
      <c r="K182" s="89"/>
      <c r="L182" s="55"/>
      <c r="M182" s="137"/>
      <c r="N182" s="182"/>
      <c r="O182" s="89"/>
      <c r="P182" s="55"/>
      <c r="Q182" s="183"/>
      <c r="R182" s="184"/>
      <c r="S182" s="185"/>
      <c r="T182" s="172"/>
      <c r="U182" s="183"/>
      <c r="V182" s="184"/>
      <c r="W182" s="185"/>
      <c r="X182" s="172"/>
      <c r="Y182" s="137"/>
      <c r="Z182" s="186"/>
      <c r="AA182" s="187"/>
      <c r="AB182" s="188"/>
      <c r="AC182" s="137"/>
      <c r="AD182" s="184"/>
      <c r="AE182" s="189"/>
      <c r="AF182" s="190"/>
      <c r="AG182" s="191"/>
      <c r="AH182" s="192"/>
      <c r="AI182" s="193"/>
      <c r="AJ182" s="172"/>
      <c r="AK182" s="172"/>
      <c r="AL182" s="172"/>
    </row>
    <row r="183">
      <c r="A183" s="137"/>
      <c r="B183" s="88"/>
      <c r="C183" s="89"/>
      <c r="D183" s="55"/>
      <c r="E183" s="137"/>
      <c r="F183" s="88"/>
      <c r="G183" s="180"/>
      <c r="H183" s="181"/>
      <c r="I183" s="137"/>
      <c r="J183" s="88"/>
      <c r="K183" s="89"/>
      <c r="L183" s="55"/>
      <c r="M183" s="137"/>
      <c r="N183" s="182"/>
      <c r="O183" s="89"/>
      <c r="P183" s="55"/>
      <c r="Q183" s="183"/>
      <c r="R183" s="184"/>
      <c r="S183" s="185"/>
      <c r="T183" s="172"/>
      <c r="U183" s="183"/>
      <c r="V183" s="184"/>
      <c r="W183" s="185"/>
      <c r="X183" s="172"/>
      <c r="Y183" s="137"/>
      <c r="Z183" s="186"/>
      <c r="AA183" s="187"/>
      <c r="AB183" s="188"/>
      <c r="AC183" s="137"/>
      <c r="AD183" s="184"/>
      <c r="AE183" s="189"/>
      <c r="AF183" s="190"/>
      <c r="AG183" s="191"/>
      <c r="AH183" s="192"/>
      <c r="AI183" s="193"/>
      <c r="AJ183" s="172"/>
      <c r="AK183" s="172"/>
      <c r="AL183" s="172"/>
    </row>
    <row r="184">
      <c r="A184" s="137"/>
      <c r="B184" s="88"/>
      <c r="C184" s="89"/>
      <c r="D184" s="55"/>
      <c r="E184" s="137"/>
      <c r="F184" s="88"/>
      <c r="G184" s="180"/>
      <c r="H184" s="181"/>
      <c r="I184" s="137"/>
      <c r="J184" s="88"/>
      <c r="K184" s="89"/>
      <c r="L184" s="55"/>
      <c r="M184" s="137"/>
      <c r="N184" s="182"/>
      <c r="O184" s="89"/>
      <c r="P184" s="55"/>
      <c r="Q184" s="183"/>
      <c r="R184" s="184"/>
      <c r="S184" s="185"/>
      <c r="T184" s="172"/>
      <c r="U184" s="183"/>
      <c r="V184" s="184"/>
      <c r="W184" s="185"/>
      <c r="X184" s="172"/>
      <c r="Y184" s="137"/>
      <c r="Z184" s="186"/>
      <c r="AA184" s="187"/>
      <c r="AB184" s="188"/>
      <c r="AC184" s="137"/>
      <c r="AD184" s="184"/>
      <c r="AE184" s="189"/>
      <c r="AF184" s="190"/>
      <c r="AG184" s="191"/>
      <c r="AH184" s="192"/>
      <c r="AI184" s="193"/>
      <c r="AJ184" s="172"/>
      <c r="AK184" s="172"/>
      <c r="AL184" s="172"/>
    </row>
    <row r="185">
      <c r="A185" s="137"/>
      <c r="B185" s="88"/>
      <c r="C185" s="89"/>
      <c r="D185" s="55"/>
      <c r="E185" s="137"/>
      <c r="F185" s="88"/>
      <c r="G185" s="180"/>
      <c r="H185" s="181"/>
      <c r="I185" s="137"/>
      <c r="J185" s="88"/>
      <c r="K185" s="89"/>
      <c r="L185" s="55"/>
      <c r="M185" s="137"/>
      <c r="N185" s="182"/>
      <c r="O185" s="89"/>
      <c r="P185" s="55"/>
      <c r="Q185" s="183"/>
      <c r="R185" s="184"/>
      <c r="S185" s="185"/>
      <c r="T185" s="172"/>
      <c r="U185" s="183"/>
      <c r="V185" s="184"/>
      <c r="W185" s="185"/>
      <c r="X185" s="172"/>
      <c r="Y185" s="137"/>
      <c r="Z185" s="186"/>
      <c r="AA185" s="187"/>
      <c r="AB185" s="188"/>
      <c r="AC185" s="137"/>
      <c r="AD185" s="184"/>
      <c r="AE185" s="189"/>
      <c r="AF185" s="190"/>
      <c r="AG185" s="191"/>
      <c r="AH185" s="192"/>
      <c r="AI185" s="193"/>
      <c r="AJ185" s="172"/>
      <c r="AK185" s="172"/>
      <c r="AL185" s="172"/>
    </row>
    <row r="186">
      <c r="A186" s="137"/>
      <c r="B186" s="88"/>
      <c r="C186" s="89"/>
      <c r="D186" s="55"/>
      <c r="E186" s="137"/>
      <c r="F186" s="88"/>
      <c r="G186" s="180"/>
      <c r="H186" s="181"/>
      <c r="I186" s="137"/>
      <c r="J186" s="88"/>
      <c r="K186" s="89"/>
      <c r="L186" s="55"/>
      <c r="M186" s="137"/>
      <c r="N186" s="182"/>
      <c r="O186" s="89"/>
      <c r="P186" s="55"/>
      <c r="Q186" s="183"/>
      <c r="R186" s="184"/>
      <c r="S186" s="185"/>
      <c r="T186" s="172"/>
      <c r="U186" s="183"/>
      <c r="V186" s="184"/>
      <c r="W186" s="185"/>
      <c r="X186" s="172"/>
      <c r="Y186" s="137"/>
      <c r="Z186" s="186"/>
      <c r="AA186" s="187"/>
      <c r="AB186" s="188"/>
      <c r="AC186" s="137"/>
      <c r="AD186" s="184"/>
      <c r="AE186" s="189"/>
      <c r="AF186" s="190"/>
      <c r="AG186" s="191"/>
      <c r="AH186" s="192"/>
      <c r="AI186" s="193"/>
      <c r="AJ186" s="172"/>
      <c r="AK186" s="172"/>
      <c r="AL186" s="172"/>
    </row>
    <row r="187">
      <c r="A187" s="137"/>
      <c r="B187" s="88"/>
      <c r="C187" s="89"/>
      <c r="D187" s="55"/>
      <c r="E187" s="137"/>
      <c r="F187" s="88"/>
      <c r="G187" s="180"/>
      <c r="H187" s="181"/>
      <c r="I187" s="137"/>
      <c r="J187" s="88"/>
      <c r="K187" s="89"/>
      <c r="L187" s="55"/>
      <c r="M187" s="137"/>
      <c r="N187" s="182"/>
      <c r="O187" s="89"/>
      <c r="P187" s="55"/>
      <c r="Q187" s="183"/>
      <c r="R187" s="184"/>
      <c r="S187" s="185"/>
      <c r="T187" s="172"/>
      <c r="U187" s="183"/>
      <c r="V187" s="184"/>
      <c r="W187" s="185"/>
      <c r="X187" s="172"/>
      <c r="Y187" s="137"/>
      <c r="Z187" s="186"/>
      <c r="AA187" s="187"/>
      <c r="AB187" s="188"/>
      <c r="AC187" s="137"/>
      <c r="AD187" s="184"/>
      <c r="AE187" s="189"/>
      <c r="AF187" s="190"/>
      <c r="AG187" s="191"/>
      <c r="AH187" s="192"/>
      <c r="AI187" s="193"/>
      <c r="AJ187" s="172"/>
      <c r="AK187" s="172"/>
      <c r="AL187" s="172"/>
    </row>
    <row r="188">
      <c r="A188" s="137"/>
      <c r="B188" s="88"/>
      <c r="C188" s="89"/>
      <c r="D188" s="55"/>
      <c r="E188" s="137"/>
      <c r="F188" s="88"/>
      <c r="G188" s="180"/>
      <c r="H188" s="181"/>
      <c r="I188" s="137"/>
      <c r="J188" s="88"/>
      <c r="K188" s="89"/>
      <c r="L188" s="55"/>
      <c r="M188" s="137"/>
      <c r="N188" s="182"/>
      <c r="O188" s="89"/>
      <c r="P188" s="55"/>
      <c r="Q188" s="183"/>
      <c r="R188" s="184"/>
      <c r="S188" s="185"/>
      <c r="T188" s="172"/>
      <c r="U188" s="183"/>
      <c r="V188" s="184"/>
      <c r="W188" s="185"/>
      <c r="X188" s="172"/>
      <c r="Y188" s="137"/>
      <c r="Z188" s="186"/>
      <c r="AA188" s="187"/>
      <c r="AB188" s="188"/>
      <c r="AC188" s="137"/>
      <c r="AD188" s="184"/>
      <c r="AE188" s="189"/>
      <c r="AF188" s="190"/>
      <c r="AG188" s="191"/>
      <c r="AH188" s="192"/>
      <c r="AI188" s="193"/>
      <c r="AJ188" s="172"/>
      <c r="AK188" s="172"/>
      <c r="AL188" s="172"/>
    </row>
    <row r="189">
      <c r="A189" s="137"/>
      <c r="B189" s="88"/>
      <c r="C189" s="89"/>
      <c r="D189" s="55"/>
      <c r="E189" s="137"/>
      <c r="F189" s="88"/>
      <c r="G189" s="180"/>
      <c r="H189" s="181"/>
      <c r="I189" s="137"/>
      <c r="J189" s="88"/>
      <c r="K189" s="89"/>
      <c r="L189" s="55"/>
      <c r="M189" s="137"/>
      <c r="N189" s="182"/>
      <c r="O189" s="89"/>
      <c r="P189" s="55"/>
      <c r="Q189" s="183"/>
      <c r="R189" s="184"/>
      <c r="S189" s="185"/>
      <c r="T189" s="172"/>
      <c r="U189" s="183"/>
      <c r="V189" s="184"/>
      <c r="W189" s="185"/>
      <c r="X189" s="172"/>
      <c r="Y189" s="137"/>
      <c r="Z189" s="186"/>
      <c r="AA189" s="187"/>
      <c r="AB189" s="188"/>
      <c r="AC189" s="137"/>
      <c r="AD189" s="184"/>
      <c r="AE189" s="189"/>
      <c r="AF189" s="190"/>
      <c r="AG189" s="191"/>
      <c r="AH189" s="192"/>
      <c r="AI189" s="193"/>
      <c r="AJ189" s="172"/>
      <c r="AK189" s="172"/>
      <c r="AL189" s="172"/>
    </row>
    <row r="190">
      <c r="A190" s="137"/>
      <c r="B190" s="88"/>
      <c r="C190" s="89"/>
      <c r="D190" s="55"/>
      <c r="E190" s="137"/>
      <c r="F190" s="88"/>
      <c r="G190" s="180"/>
      <c r="H190" s="181"/>
      <c r="I190" s="137"/>
      <c r="J190" s="88"/>
      <c r="K190" s="89"/>
      <c r="L190" s="55"/>
      <c r="M190" s="137"/>
      <c r="N190" s="182"/>
      <c r="O190" s="89"/>
      <c r="P190" s="55"/>
      <c r="Q190" s="183"/>
      <c r="R190" s="184"/>
      <c r="S190" s="185"/>
      <c r="T190" s="172"/>
      <c r="U190" s="183"/>
      <c r="V190" s="184"/>
      <c r="W190" s="185"/>
      <c r="X190" s="172"/>
      <c r="Y190" s="137"/>
      <c r="Z190" s="186"/>
      <c r="AA190" s="187"/>
      <c r="AB190" s="188"/>
      <c r="AC190" s="137"/>
      <c r="AD190" s="184"/>
      <c r="AE190" s="189"/>
      <c r="AF190" s="190"/>
      <c r="AG190" s="191"/>
      <c r="AH190" s="192"/>
      <c r="AI190" s="193"/>
      <c r="AJ190" s="172"/>
      <c r="AK190" s="172"/>
      <c r="AL190" s="172"/>
    </row>
    <row r="191">
      <c r="A191" s="137"/>
      <c r="B191" s="88"/>
      <c r="C191" s="89"/>
      <c r="D191" s="55"/>
      <c r="E191" s="137"/>
      <c r="F191" s="88"/>
      <c r="G191" s="180"/>
      <c r="H191" s="181"/>
      <c r="I191" s="137"/>
      <c r="J191" s="88"/>
      <c r="K191" s="89"/>
      <c r="L191" s="55"/>
      <c r="M191" s="137"/>
      <c r="N191" s="182"/>
      <c r="O191" s="89"/>
      <c r="P191" s="55"/>
      <c r="Q191" s="183"/>
      <c r="R191" s="184"/>
      <c r="S191" s="185"/>
      <c r="T191" s="172"/>
      <c r="U191" s="183"/>
      <c r="V191" s="184"/>
      <c r="W191" s="185"/>
      <c r="X191" s="172"/>
      <c r="Y191" s="137"/>
      <c r="Z191" s="186"/>
      <c r="AA191" s="187"/>
      <c r="AB191" s="188"/>
      <c r="AC191" s="137"/>
      <c r="AD191" s="184"/>
      <c r="AE191" s="189"/>
      <c r="AF191" s="190"/>
      <c r="AG191" s="191"/>
      <c r="AH191" s="192"/>
      <c r="AI191" s="193"/>
      <c r="AJ191" s="172"/>
      <c r="AK191" s="172"/>
      <c r="AL191" s="172"/>
    </row>
    <row r="192">
      <c r="A192" s="137"/>
      <c r="B192" s="88"/>
      <c r="C192" s="89"/>
      <c r="D192" s="55"/>
      <c r="E192" s="137"/>
      <c r="F192" s="88"/>
      <c r="G192" s="180"/>
      <c r="H192" s="181"/>
      <c r="I192" s="137"/>
      <c r="J192" s="88"/>
      <c r="K192" s="89"/>
      <c r="L192" s="55"/>
      <c r="M192" s="137"/>
      <c r="N192" s="182"/>
      <c r="O192" s="89"/>
      <c r="P192" s="55"/>
      <c r="Q192" s="183"/>
      <c r="R192" s="184"/>
      <c r="S192" s="185"/>
      <c r="T192" s="172"/>
      <c r="U192" s="183"/>
      <c r="V192" s="184"/>
      <c r="W192" s="185"/>
      <c r="X192" s="172"/>
      <c r="Y192" s="137"/>
      <c r="Z192" s="186"/>
      <c r="AA192" s="187"/>
      <c r="AB192" s="188"/>
      <c r="AC192" s="137"/>
      <c r="AD192" s="184"/>
      <c r="AE192" s="189"/>
      <c r="AF192" s="190"/>
      <c r="AG192" s="191"/>
      <c r="AH192" s="192"/>
      <c r="AI192" s="193"/>
      <c r="AJ192" s="172"/>
      <c r="AK192" s="172"/>
      <c r="AL192" s="172"/>
    </row>
    <row r="193">
      <c r="A193" s="137"/>
      <c r="B193" s="88"/>
      <c r="C193" s="89"/>
      <c r="D193" s="55"/>
      <c r="E193" s="137"/>
      <c r="F193" s="88"/>
      <c r="G193" s="180"/>
      <c r="H193" s="181"/>
      <c r="I193" s="137"/>
      <c r="J193" s="88"/>
      <c r="K193" s="89"/>
      <c r="L193" s="55"/>
      <c r="M193" s="137"/>
      <c r="N193" s="182"/>
      <c r="O193" s="89"/>
      <c r="P193" s="55"/>
      <c r="Q193" s="183"/>
      <c r="R193" s="184"/>
      <c r="S193" s="185"/>
      <c r="T193" s="172"/>
      <c r="U193" s="183"/>
      <c r="V193" s="184"/>
      <c r="W193" s="185"/>
      <c r="X193" s="172"/>
      <c r="Y193" s="137"/>
      <c r="Z193" s="186"/>
      <c r="AA193" s="187"/>
      <c r="AB193" s="188"/>
      <c r="AC193" s="137"/>
      <c r="AD193" s="184"/>
      <c r="AE193" s="189"/>
      <c r="AF193" s="190"/>
      <c r="AG193" s="191"/>
      <c r="AH193" s="192"/>
      <c r="AI193" s="193"/>
      <c r="AJ193" s="172"/>
      <c r="AK193" s="172"/>
      <c r="AL193" s="172"/>
    </row>
    <row r="194">
      <c r="A194" s="137"/>
      <c r="B194" s="88"/>
      <c r="C194" s="89"/>
      <c r="D194" s="55"/>
      <c r="E194" s="137"/>
      <c r="F194" s="88"/>
      <c r="G194" s="180"/>
      <c r="H194" s="181"/>
      <c r="I194" s="137"/>
      <c r="J194" s="88"/>
      <c r="K194" s="89"/>
      <c r="L194" s="55"/>
      <c r="M194" s="137"/>
      <c r="N194" s="182"/>
      <c r="O194" s="89"/>
      <c r="P194" s="55"/>
      <c r="Q194" s="183"/>
      <c r="R194" s="184"/>
      <c r="S194" s="185"/>
      <c r="T194" s="172"/>
      <c r="U194" s="183"/>
      <c r="V194" s="184"/>
      <c r="W194" s="185"/>
      <c r="X194" s="172"/>
      <c r="Y194" s="137"/>
      <c r="Z194" s="186"/>
      <c r="AA194" s="187"/>
      <c r="AB194" s="188"/>
      <c r="AC194" s="137"/>
      <c r="AD194" s="184"/>
      <c r="AE194" s="189"/>
      <c r="AF194" s="190"/>
      <c r="AG194" s="191"/>
      <c r="AH194" s="192"/>
      <c r="AI194" s="193"/>
      <c r="AJ194" s="172"/>
      <c r="AK194" s="172"/>
      <c r="AL194" s="172"/>
    </row>
    <row r="195">
      <c r="A195" s="137"/>
      <c r="B195" s="88"/>
      <c r="C195" s="89"/>
      <c r="D195" s="55"/>
      <c r="E195" s="137"/>
      <c r="F195" s="88"/>
      <c r="G195" s="180"/>
      <c r="H195" s="181"/>
      <c r="I195" s="137"/>
      <c r="J195" s="88"/>
      <c r="K195" s="89"/>
      <c r="L195" s="55"/>
      <c r="M195" s="137"/>
      <c r="N195" s="182"/>
      <c r="O195" s="89"/>
      <c r="P195" s="55"/>
      <c r="Q195" s="183"/>
      <c r="R195" s="184"/>
      <c r="S195" s="185"/>
      <c r="T195" s="172"/>
      <c r="U195" s="183"/>
      <c r="V195" s="184"/>
      <c r="W195" s="185"/>
      <c r="X195" s="172"/>
      <c r="Y195" s="137"/>
      <c r="Z195" s="186"/>
      <c r="AA195" s="187"/>
      <c r="AB195" s="188"/>
      <c r="AC195" s="137"/>
      <c r="AD195" s="184"/>
      <c r="AE195" s="189"/>
      <c r="AF195" s="190"/>
      <c r="AG195" s="191"/>
      <c r="AH195" s="192"/>
      <c r="AI195" s="193"/>
      <c r="AJ195" s="172"/>
      <c r="AK195" s="172"/>
      <c r="AL195" s="172"/>
    </row>
    <row r="196">
      <c r="A196" s="137"/>
      <c r="B196" s="88"/>
      <c r="C196" s="89"/>
      <c r="D196" s="55"/>
      <c r="E196" s="137"/>
      <c r="F196" s="88"/>
      <c r="G196" s="180"/>
      <c r="H196" s="181"/>
      <c r="I196" s="137"/>
      <c r="J196" s="88"/>
      <c r="K196" s="89"/>
      <c r="L196" s="55"/>
      <c r="M196" s="137"/>
      <c r="N196" s="182"/>
      <c r="O196" s="89"/>
      <c r="P196" s="55"/>
      <c r="Q196" s="183"/>
      <c r="R196" s="184"/>
      <c r="S196" s="185"/>
      <c r="T196" s="172"/>
      <c r="U196" s="183"/>
      <c r="V196" s="184"/>
      <c r="W196" s="185"/>
      <c r="X196" s="172"/>
      <c r="Y196" s="137"/>
      <c r="Z196" s="186"/>
      <c r="AA196" s="187"/>
      <c r="AB196" s="188"/>
      <c r="AC196" s="137"/>
      <c r="AD196" s="184"/>
      <c r="AE196" s="189"/>
      <c r="AF196" s="190"/>
      <c r="AG196" s="191"/>
      <c r="AH196" s="192"/>
      <c r="AI196" s="193"/>
      <c r="AJ196" s="172"/>
      <c r="AK196" s="172"/>
      <c r="AL196" s="172"/>
    </row>
    <row r="197">
      <c r="A197" s="137"/>
      <c r="B197" s="88"/>
      <c r="C197" s="89"/>
      <c r="D197" s="55"/>
      <c r="E197" s="137"/>
      <c r="F197" s="88"/>
      <c r="G197" s="180"/>
      <c r="H197" s="181"/>
      <c r="I197" s="137"/>
      <c r="J197" s="88"/>
      <c r="K197" s="89"/>
      <c r="L197" s="55"/>
      <c r="M197" s="137"/>
      <c r="N197" s="182"/>
      <c r="O197" s="89"/>
      <c r="P197" s="55"/>
      <c r="Q197" s="183"/>
      <c r="R197" s="184"/>
      <c r="S197" s="185"/>
      <c r="T197" s="172"/>
      <c r="U197" s="183"/>
      <c r="V197" s="184"/>
      <c r="W197" s="185"/>
      <c r="X197" s="172"/>
      <c r="Y197" s="137"/>
      <c r="Z197" s="186"/>
      <c r="AA197" s="187"/>
      <c r="AB197" s="188"/>
      <c r="AC197" s="137"/>
      <c r="AD197" s="184"/>
      <c r="AE197" s="189"/>
      <c r="AF197" s="190"/>
      <c r="AG197" s="191"/>
      <c r="AH197" s="192"/>
      <c r="AI197" s="193"/>
      <c r="AJ197" s="172"/>
      <c r="AK197" s="172"/>
      <c r="AL197" s="172"/>
    </row>
    <row r="198">
      <c r="A198" s="137"/>
      <c r="B198" s="88"/>
      <c r="C198" s="89"/>
      <c r="D198" s="55"/>
      <c r="E198" s="137"/>
      <c r="F198" s="88"/>
      <c r="G198" s="180"/>
      <c r="H198" s="181"/>
      <c r="I198" s="137"/>
      <c r="J198" s="88"/>
      <c r="K198" s="89"/>
      <c r="L198" s="55"/>
      <c r="M198" s="137"/>
      <c r="N198" s="182"/>
      <c r="O198" s="89"/>
      <c r="P198" s="55"/>
      <c r="Q198" s="183"/>
      <c r="R198" s="184"/>
      <c r="S198" s="185"/>
      <c r="T198" s="172"/>
      <c r="U198" s="183"/>
      <c r="V198" s="184"/>
      <c r="W198" s="185"/>
      <c r="X198" s="172"/>
      <c r="Y198" s="137"/>
      <c r="Z198" s="186"/>
      <c r="AA198" s="187"/>
      <c r="AB198" s="188"/>
      <c r="AC198" s="137"/>
      <c r="AD198" s="184"/>
      <c r="AE198" s="189"/>
      <c r="AF198" s="190"/>
      <c r="AG198" s="191"/>
      <c r="AH198" s="192"/>
      <c r="AI198" s="193"/>
      <c r="AJ198" s="172"/>
      <c r="AK198" s="172"/>
      <c r="AL198" s="172"/>
    </row>
    <row r="199">
      <c r="A199" s="137"/>
      <c r="B199" s="88"/>
      <c r="C199" s="89"/>
      <c r="D199" s="55"/>
      <c r="E199" s="137"/>
      <c r="F199" s="88"/>
      <c r="G199" s="180"/>
      <c r="H199" s="181"/>
      <c r="I199" s="137"/>
      <c r="J199" s="88"/>
      <c r="K199" s="89"/>
      <c r="L199" s="55"/>
      <c r="M199" s="137"/>
      <c r="N199" s="182"/>
      <c r="O199" s="89"/>
      <c r="P199" s="55"/>
      <c r="Q199" s="183"/>
      <c r="R199" s="184"/>
      <c r="S199" s="185"/>
      <c r="T199" s="172"/>
      <c r="U199" s="183"/>
      <c r="V199" s="184"/>
      <c r="W199" s="185"/>
      <c r="X199" s="172"/>
      <c r="Y199" s="137"/>
      <c r="Z199" s="186"/>
      <c r="AA199" s="187"/>
      <c r="AB199" s="188"/>
      <c r="AC199" s="137"/>
      <c r="AD199" s="184"/>
      <c r="AE199" s="189"/>
      <c r="AF199" s="190"/>
      <c r="AG199" s="191"/>
      <c r="AH199" s="192"/>
      <c r="AI199" s="193"/>
      <c r="AJ199" s="172"/>
      <c r="AK199" s="172"/>
      <c r="AL199" s="172"/>
    </row>
    <row r="200">
      <c r="A200" s="137"/>
      <c r="B200" s="88"/>
      <c r="C200" s="89"/>
      <c r="D200" s="55"/>
      <c r="E200" s="137"/>
      <c r="F200" s="88"/>
      <c r="G200" s="180"/>
      <c r="H200" s="181"/>
      <c r="I200" s="137"/>
      <c r="J200" s="88"/>
      <c r="K200" s="89"/>
      <c r="L200" s="55"/>
      <c r="M200" s="137"/>
      <c r="N200" s="182"/>
      <c r="O200" s="89"/>
      <c r="P200" s="55"/>
      <c r="Q200" s="183"/>
      <c r="R200" s="184"/>
      <c r="S200" s="185"/>
      <c r="T200" s="172"/>
      <c r="U200" s="183"/>
      <c r="V200" s="184"/>
      <c r="W200" s="185"/>
      <c r="X200" s="172"/>
      <c r="Y200" s="137"/>
      <c r="Z200" s="186"/>
      <c r="AA200" s="187"/>
      <c r="AB200" s="188"/>
      <c r="AC200" s="137"/>
      <c r="AD200" s="184"/>
      <c r="AE200" s="189"/>
      <c r="AF200" s="190"/>
      <c r="AG200" s="191"/>
      <c r="AH200" s="192"/>
      <c r="AI200" s="193"/>
      <c r="AJ200" s="172"/>
      <c r="AK200" s="172"/>
      <c r="AL200" s="172"/>
    </row>
    <row r="201">
      <c r="A201" s="137"/>
      <c r="B201" s="88"/>
      <c r="C201" s="89"/>
      <c r="D201" s="55"/>
      <c r="E201" s="137"/>
      <c r="F201" s="88"/>
      <c r="G201" s="180"/>
      <c r="H201" s="181"/>
      <c r="I201" s="137"/>
      <c r="J201" s="88"/>
      <c r="K201" s="89"/>
      <c r="L201" s="55"/>
      <c r="M201" s="137"/>
      <c r="N201" s="182"/>
      <c r="O201" s="89"/>
      <c r="P201" s="55"/>
      <c r="Q201" s="183"/>
      <c r="R201" s="184"/>
      <c r="S201" s="185"/>
      <c r="T201" s="172"/>
      <c r="U201" s="183"/>
      <c r="V201" s="184"/>
      <c r="W201" s="185"/>
      <c r="X201" s="172"/>
      <c r="Y201" s="137"/>
      <c r="Z201" s="186"/>
      <c r="AA201" s="187"/>
      <c r="AB201" s="188"/>
      <c r="AC201" s="137"/>
      <c r="AD201" s="184"/>
      <c r="AE201" s="189"/>
      <c r="AF201" s="190"/>
      <c r="AG201" s="191"/>
      <c r="AH201" s="192"/>
      <c r="AI201" s="193"/>
      <c r="AJ201" s="172"/>
      <c r="AK201" s="172"/>
      <c r="AL201" s="172"/>
    </row>
    <row r="202">
      <c r="A202" s="137"/>
      <c r="B202" s="88"/>
      <c r="C202" s="89"/>
      <c r="D202" s="55"/>
      <c r="E202" s="137"/>
      <c r="F202" s="88"/>
      <c r="G202" s="180"/>
      <c r="H202" s="181"/>
      <c r="I202" s="137"/>
      <c r="J202" s="88"/>
      <c r="K202" s="89"/>
      <c r="L202" s="55"/>
      <c r="M202" s="137"/>
      <c r="N202" s="182"/>
      <c r="O202" s="89"/>
      <c r="P202" s="55"/>
      <c r="Q202" s="183"/>
      <c r="R202" s="184"/>
      <c r="S202" s="185"/>
      <c r="T202" s="172"/>
      <c r="U202" s="183"/>
      <c r="V202" s="184"/>
      <c r="W202" s="185"/>
      <c r="X202" s="172"/>
      <c r="Y202" s="137"/>
      <c r="Z202" s="186"/>
      <c r="AA202" s="187"/>
      <c r="AB202" s="188"/>
      <c r="AC202" s="137"/>
      <c r="AD202" s="184"/>
      <c r="AE202" s="189"/>
      <c r="AF202" s="190"/>
      <c r="AG202" s="191"/>
      <c r="AH202" s="192"/>
      <c r="AI202" s="193"/>
      <c r="AJ202" s="172"/>
      <c r="AK202" s="172"/>
      <c r="AL202" s="172"/>
    </row>
    <row r="203">
      <c r="A203" s="137"/>
      <c r="B203" s="88"/>
      <c r="C203" s="89"/>
      <c r="D203" s="55"/>
      <c r="E203" s="137"/>
      <c r="F203" s="88"/>
      <c r="G203" s="180"/>
      <c r="H203" s="181"/>
      <c r="I203" s="137"/>
      <c r="J203" s="88"/>
      <c r="K203" s="89"/>
      <c r="L203" s="55"/>
      <c r="M203" s="137"/>
      <c r="N203" s="182"/>
      <c r="O203" s="89"/>
      <c r="P203" s="55"/>
      <c r="Q203" s="183"/>
      <c r="R203" s="184"/>
      <c r="S203" s="185"/>
      <c r="T203" s="172"/>
      <c r="U203" s="183"/>
      <c r="V203" s="184"/>
      <c r="W203" s="185"/>
      <c r="X203" s="172"/>
      <c r="Y203" s="137"/>
      <c r="Z203" s="186"/>
      <c r="AA203" s="187"/>
      <c r="AB203" s="188"/>
      <c r="AC203" s="137"/>
      <c r="AD203" s="184"/>
      <c r="AE203" s="189"/>
      <c r="AF203" s="190"/>
      <c r="AG203" s="191"/>
      <c r="AH203" s="192"/>
      <c r="AI203" s="193"/>
      <c r="AJ203" s="172"/>
      <c r="AK203" s="172"/>
      <c r="AL203" s="172"/>
    </row>
    <row r="204">
      <c r="A204" s="137"/>
      <c r="B204" s="88"/>
      <c r="C204" s="89"/>
      <c r="D204" s="55"/>
      <c r="E204" s="137"/>
      <c r="F204" s="88"/>
      <c r="G204" s="180"/>
      <c r="H204" s="181"/>
      <c r="I204" s="137"/>
      <c r="J204" s="88"/>
      <c r="K204" s="89"/>
      <c r="L204" s="55"/>
      <c r="M204" s="137"/>
      <c r="N204" s="182"/>
      <c r="O204" s="89"/>
      <c r="P204" s="55"/>
      <c r="Q204" s="183"/>
      <c r="R204" s="184"/>
      <c r="S204" s="185"/>
      <c r="T204" s="172"/>
      <c r="U204" s="183"/>
      <c r="V204" s="184"/>
      <c r="W204" s="185"/>
      <c r="X204" s="172"/>
      <c r="Y204" s="137"/>
      <c r="Z204" s="186"/>
      <c r="AA204" s="187"/>
      <c r="AB204" s="188"/>
      <c r="AC204" s="137"/>
      <c r="AD204" s="184"/>
      <c r="AE204" s="189"/>
      <c r="AF204" s="190"/>
      <c r="AG204" s="191"/>
      <c r="AH204" s="192"/>
      <c r="AI204" s="193"/>
      <c r="AJ204" s="172"/>
      <c r="AK204" s="172"/>
      <c r="AL204" s="172"/>
    </row>
    <row r="205">
      <c r="A205" s="137"/>
      <c r="B205" s="88"/>
      <c r="C205" s="89"/>
      <c r="D205" s="55"/>
      <c r="E205" s="137"/>
      <c r="F205" s="88"/>
      <c r="G205" s="180"/>
      <c r="H205" s="181"/>
      <c r="I205" s="137"/>
      <c r="J205" s="88"/>
      <c r="K205" s="89"/>
      <c r="L205" s="55"/>
      <c r="M205" s="137"/>
      <c r="N205" s="182"/>
      <c r="O205" s="89"/>
      <c r="P205" s="55"/>
      <c r="Q205" s="183"/>
      <c r="R205" s="184"/>
      <c r="S205" s="185"/>
      <c r="T205" s="172"/>
      <c r="U205" s="183"/>
      <c r="V205" s="184"/>
      <c r="W205" s="185"/>
      <c r="X205" s="172"/>
      <c r="Y205" s="137"/>
      <c r="Z205" s="186"/>
      <c r="AA205" s="187"/>
      <c r="AB205" s="188"/>
      <c r="AC205" s="137"/>
      <c r="AD205" s="184"/>
      <c r="AE205" s="189"/>
      <c r="AF205" s="190"/>
      <c r="AG205" s="191"/>
      <c r="AH205" s="192"/>
      <c r="AI205" s="193"/>
      <c r="AJ205" s="172"/>
      <c r="AK205" s="172"/>
      <c r="AL205" s="172"/>
    </row>
    <row r="206">
      <c r="A206" s="137"/>
      <c r="B206" s="88"/>
      <c r="C206" s="89"/>
      <c r="D206" s="55"/>
      <c r="E206" s="137"/>
      <c r="F206" s="88"/>
      <c r="G206" s="180"/>
      <c r="H206" s="181"/>
      <c r="I206" s="137"/>
      <c r="J206" s="88"/>
      <c r="K206" s="89"/>
      <c r="L206" s="55"/>
      <c r="M206" s="137"/>
      <c r="N206" s="182"/>
      <c r="O206" s="89"/>
      <c r="P206" s="55"/>
      <c r="Q206" s="183"/>
      <c r="R206" s="184"/>
      <c r="S206" s="185"/>
      <c r="T206" s="172"/>
      <c r="U206" s="183"/>
      <c r="V206" s="184"/>
      <c r="W206" s="185"/>
      <c r="X206" s="172"/>
      <c r="Y206" s="137"/>
      <c r="Z206" s="186"/>
      <c r="AA206" s="187"/>
      <c r="AB206" s="188"/>
      <c r="AC206" s="137"/>
      <c r="AD206" s="184"/>
      <c r="AE206" s="189"/>
      <c r="AF206" s="190"/>
      <c r="AG206" s="191"/>
      <c r="AH206" s="192"/>
      <c r="AI206" s="193"/>
      <c r="AJ206" s="172"/>
      <c r="AK206" s="172"/>
      <c r="AL206" s="172"/>
    </row>
    <row r="207">
      <c r="A207" s="137"/>
      <c r="B207" s="88"/>
      <c r="C207" s="89"/>
      <c r="D207" s="55"/>
      <c r="E207" s="137"/>
      <c r="F207" s="88"/>
      <c r="G207" s="180"/>
      <c r="H207" s="181"/>
      <c r="I207" s="137"/>
      <c r="J207" s="88"/>
      <c r="K207" s="89"/>
      <c r="L207" s="55"/>
      <c r="M207" s="137"/>
      <c r="N207" s="182"/>
      <c r="O207" s="89"/>
      <c r="P207" s="55"/>
      <c r="Q207" s="183"/>
      <c r="R207" s="184"/>
      <c r="S207" s="185"/>
      <c r="T207" s="172"/>
      <c r="U207" s="183"/>
      <c r="V207" s="184"/>
      <c r="W207" s="185"/>
      <c r="X207" s="172"/>
      <c r="Y207" s="137"/>
      <c r="Z207" s="186"/>
      <c r="AA207" s="187"/>
      <c r="AB207" s="188"/>
      <c r="AC207" s="137"/>
      <c r="AD207" s="184"/>
      <c r="AE207" s="189"/>
      <c r="AF207" s="190"/>
      <c r="AG207" s="191"/>
      <c r="AH207" s="192"/>
      <c r="AI207" s="193"/>
      <c r="AJ207" s="172"/>
      <c r="AK207" s="172"/>
      <c r="AL207" s="172"/>
    </row>
    <row r="208">
      <c r="A208" s="137"/>
      <c r="B208" s="88"/>
      <c r="C208" s="89"/>
      <c r="D208" s="55"/>
      <c r="E208" s="137"/>
      <c r="F208" s="88"/>
      <c r="G208" s="180"/>
      <c r="H208" s="181"/>
      <c r="I208" s="137"/>
      <c r="J208" s="88"/>
      <c r="K208" s="89"/>
      <c r="L208" s="55"/>
      <c r="M208" s="137"/>
      <c r="N208" s="182"/>
      <c r="O208" s="89"/>
      <c r="P208" s="55"/>
      <c r="Q208" s="183"/>
      <c r="R208" s="184"/>
      <c r="S208" s="185"/>
      <c r="T208" s="172"/>
      <c r="U208" s="183"/>
      <c r="V208" s="184"/>
      <c r="W208" s="185"/>
      <c r="X208" s="172"/>
      <c r="Y208" s="137"/>
      <c r="Z208" s="186"/>
      <c r="AA208" s="187"/>
      <c r="AB208" s="188"/>
      <c r="AC208" s="137"/>
      <c r="AD208" s="184"/>
      <c r="AE208" s="189"/>
      <c r="AF208" s="190"/>
      <c r="AG208" s="191"/>
      <c r="AH208" s="192"/>
      <c r="AI208" s="193"/>
      <c r="AJ208" s="172"/>
      <c r="AK208" s="172"/>
      <c r="AL208" s="172"/>
    </row>
    <row r="209">
      <c r="A209" s="137"/>
      <c r="B209" s="88"/>
      <c r="C209" s="89"/>
      <c r="D209" s="55"/>
      <c r="E209" s="137"/>
      <c r="F209" s="88"/>
      <c r="G209" s="180"/>
      <c r="H209" s="181"/>
      <c r="I209" s="137"/>
      <c r="J209" s="88"/>
      <c r="K209" s="89"/>
      <c r="L209" s="55"/>
      <c r="M209" s="137"/>
      <c r="N209" s="182"/>
      <c r="O209" s="89"/>
      <c r="P209" s="55"/>
      <c r="Q209" s="183"/>
      <c r="R209" s="184"/>
      <c r="S209" s="185"/>
      <c r="T209" s="172"/>
      <c r="U209" s="183"/>
      <c r="V209" s="184"/>
      <c r="W209" s="185"/>
      <c r="X209" s="172"/>
      <c r="Y209" s="137"/>
      <c r="Z209" s="186"/>
      <c r="AA209" s="187"/>
      <c r="AB209" s="188"/>
      <c r="AC209" s="137"/>
      <c r="AD209" s="184"/>
      <c r="AE209" s="189"/>
      <c r="AF209" s="190"/>
      <c r="AG209" s="191"/>
      <c r="AH209" s="192"/>
      <c r="AI209" s="193"/>
      <c r="AJ209" s="172"/>
      <c r="AK209" s="172"/>
      <c r="AL209" s="172"/>
    </row>
    <row r="210">
      <c r="A210" s="137"/>
      <c r="B210" s="88"/>
      <c r="C210" s="89"/>
      <c r="D210" s="55"/>
      <c r="E210" s="137"/>
      <c r="F210" s="88"/>
      <c r="G210" s="180"/>
      <c r="H210" s="181"/>
      <c r="I210" s="137"/>
      <c r="J210" s="88"/>
      <c r="K210" s="89"/>
      <c r="L210" s="55"/>
      <c r="M210" s="137"/>
      <c r="N210" s="182"/>
      <c r="O210" s="89"/>
      <c r="P210" s="55"/>
      <c r="Q210" s="183"/>
      <c r="R210" s="184"/>
      <c r="S210" s="185"/>
      <c r="T210" s="172"/>
      <c r="U210" s="183"/>
      <c r="V210" s="184"/>
      <c r="W210" s="185"/>
      <c r="X210" s="172"/>
      <c r="Y210" s="137"/>
      <c r="Z210" s="186"/>
      <c r="AA210" s="187"/>
      <c r="AB210" s="188"/>
      <c r="AC210" s="137"/>
      <c r="AD210" s="184"/>
      <c r="AE210" s="189"/>
      <c r="AF210" s="190"/>
      <c r="AG210" s="191"/>
      <c r="AH210" s="192"/>
      <c r="AI210" s="193"/>
      <c r="AJ210" s="172"/>
      <c r="AK210" s="172"/>
      <c r="AL210" s="172"/>
    </row>
    <row r="211">
      <c r="A211" s="137"/>
      <c r="B211" s="88"/>
      <c r="C211" s="89"/>
      <c r="D211" s="55"/>
      <c r="E211" s="137"/>
      <c r="F211" s="88"/>
      <c r="G211" s="180"/>
      <c r="H211" s="181"/>
      <c r="I211" s="137"/>
      <c r="J211" s="88"/>
      <c r="K211" s="89"/>
      <c r="L211" s="55"/>
      <c r="M211" s="137"/>
      <c r="N211" s="182"/>
      <c r="O211" s="89"/>
      <c r="P211" s="55"/>
      <c r="Q211" s="183"/>
      <c r="R211" s="184"/>
      <c r="S211" s="185"/>
      <c r="T211" s="172"/>
      <c r="U211" s="183"/>
      <c r="V211" s="184"/>
      <c r="W211" s="185"/>
      <c r="X211" s="172"/>
      <c r="Y211" s="137"/>
      <c r="Z211" s="186"/>
      <c r="AA211" s="187"/>
      <c r="AB211" s="188"/>
      <c r="AC211" s="137"/>
      <c r="AD211" s="184"/>
      <c r="AE211" s="189"/>
      <c r="AF211" s="190"/>
      <c r="AG211" s="191"/>
      <c r="AH211" s="192"/>
      <c r="AI211" s="193"/>
      <c r="AJ211" s="172"/>
      <c r="AK211" s="172"/>
      <c r="AL211" s="172"/>
    </row>
    <row r="212">
      <c r="A212" s="137"/>
      <c r="B212" s="88"/>
      <c r="C212" s="89"/>
      <c r="D212" s="55"/>
      <c r="E212" s="137"/>
      <c r="F212" s="88"/>
      <c r="G212" s="180"/>
      <c r="H212" s="181"/>
      <c r="I212" s="137"/>
      <c r="J212" s="88"/>
      <c r="K212" s="89"/>
      <c r="L212" s="55"/>
      <c r="M212" s="137"/>
      <c r="N212" s="182"/>
      <c r="O212" s="89"/>
      <c r="P212" s="55"/>
      <c r="Q212" s="183"/>
      <c r="R212" s="184"/>
      <c r="S212" s="185"/>
      <c r="T212" s="172"/>
      <c r="U212" s="183"/>
      <c r="V212" s="184"/>
      <c r="W212" s="185"/>
      <c r="X212" s="172"/>
      <c r="Y212" s="137"/>
      <c r="Z212" s="186"/>
      <c r="AA212" s="187"/>
      <c r="AB212" s="188"/>
      <c r="AC212" s="137"/>
      <c r="AD212" s="184"/>
      <c r="AE212" s="189"/>
      <c r="AF212" s="190"/>
      <c r="AG212" s="191"/>
      <c r="AH212" s="192"/>
      <c r="AI212" s="193"/>
      <c r="AJ212" s="172"/>
      <c r="AK212" s="172"/>
      <c r="AL212" s="172"/>
    </row>
    <row r="213">
      <c r="A213" s="137"/>
      <c r="B213" s="88"/>
      <c r="C213" s="89"/>
      <c r="D213" s="55"/>
      <c r="E213" s="137"/>
      <c r="F213" s="88"/>
      <c r="G213" s="180"/>
      <c r="H213" s="181"/>
      <c r="I213" s="137"/>
      <c r="J213" s="88"/>
      <c r="K213" s="89"/>
      <c r="L213" s="55"/>
      <c r="M213" s="137"/>
      <c r="N213" s="182"/>
      <c r="O213" s="89"/>
      <c r="P213" s="55"/>
      <c r="Q213" s="183"/>
      <c r="R213" s="184"/>
      <c r="S213" s="185"/>
      <c r="T213" s="172"/>
      <c r="U213" s="183"/>
      <c r="V213" s="184"/>
      <c r="W213" s="185"/>
      <c r="X213" s="172"/>
      <c r="Y213" s="137"/>
      <c r="Z213" s="186"/>
      <c r="AA213" s="187"/>
      <c r="AB213" s="188"/>
      <c r="AC213" s="137"/>
      <c r="AD213" s="184"/>
      <c r="AE213" s="189"/>
      <c r="AF213" s="190"/>
      <c r="AG213" s="191"/>
      <c r="AH213" s="192"/>
      <c r="AI213" s="193"/>
      <c r="AJ213" s="172"/>
      <c r="AK213" s="172"/>
      <c r="AL213" s="172"/>
    </row>
    <row r="214">
      <c r="A214" s="137"/>
      <c r="B214" s="88"/>
      <c r="C214" s="89"/>
      <c r="D214" s="55"/>
      <c r="E214" s="137"/>
      <c r="F214" s="88"/>
      <c r="G214" s="180"/>
      <c r="H214" s="181"/>
      <c r="I214" s="137"/>
      <c r="J214" s="88"/>
      <c r="K214" s="89"/>
      <c r="L214" s="55"/>
      <c r="M214" s="137"/>
      <c r="N214" s="182"/>
      <c r="O214" s="89"/>
      <c r="P214" s="55"/>
      <c r="Q214" s="183"/>
      <c r="R214" s="184"/>
      <c r="S214" s="185"/>
      <c r="T214" s="172"/>
      <c r="U214" s="183"/>
      <c r="V214" s="184"/>
      <c r="W214" s="185"/>
      <c r="X214" s="172"/>
      <c r="Y214" s="137"/>
      <c r="Z214" s="186"/>
      <c r="AA214" s="187"/>
      <c r="AB214" s="188"/>
      <c r="AC214" s="137"/>
      <c r="AD214" s="184"/>
      <c r="AE214" s="189"/>
      <c r="AF214" s="190"/>
      <c r="AG214" s="191"/>
      <c r="AH214" s="192"/>
      <c r="AI214" s="193"/>
      <c r="AJ214" s="172"/>
      <c r="AK214" s="172"/>
      <c r="AL214" s="172"/>
    </row>
    <row r="215">
      <c r="A215" s="137"/>
      <c r="B215" s="88"/>
      <c r="C215" s="89"/>
      <c r="D215" s="55"/>
      <c r="E215" s="137"/>
      <c r="F215" s="88"/>
      <c r="G215" s="180"/>
      <c r="H215" s="181"/>
      <c r="I215" s="137"/>
      <c r="J215" s="88"/>
      <c r="K215" s="89"/>
      <c r="L215" s="55"/>
      <c r="M215" s="137"/>
      <c r="N215" s="182"/>
      <c r="O215" s="89"/>
      <c r="P215" s="55"/>
      <c r="Q215" s="183"/>
      <c r="R215" s="184"/>
      <c r="S215" s="185"/>
      <c r="T215" s="172"/>
      <c r="U215" s="183"/>
      <c r="V215" s="184"/>
      <c r="W215" s="185"/>
      <c r="X215" s="172"/>
      <c r="Y215" s="137"/>
      <c r="Z215" s="186"/>
      <c r="AA215" s="187"/>
      <c r="AB215" s="188"/>
      <c r="AC215" s="137"/>
      <c r="AD215" s="184"/>
      <c r="AE215" s="189"/>
      <c r="AF215" s="190"/>
      <c r="AG215" s="191"/>
      <c r="AH215" s="192"/>
      <c r="AI215" s="193"/>
      <c r="AJ215" s="172"/>
      <c r="AK215" s="172"/>
      <c r="AL215" s="172"/>
    </row>
    <row r="216">
      <c r="A216" s="137"/>
      <c r="B216" s="88"/>
      <c r="C216" s="89"/>
      <c r="D216" s="55"/>
      <c r="E216" s="137"/>
      <c r="F216" s="88"/>
      <c r="G216" s="180"/>
      <c r="H216" s="181"/>
      <c r="I216" s="137"/>
      <c r="J216" s="88"/>
      <c r="K216" s="89"/>
      <c r="L216" s="55"/>
      <c r="M216" s="137"/>
      <c r="N216" s="182"/>
      <c r="O216" s="89"/>
      <c r="P216" s="55"/>
      <c r="Q216" s="183"/>
      <c r="R216" s="184"/>
      <c r="S216" s="185"/>
      <c r="T216" s="172"/>
      <c r="U216" s="183"/>
      <c r="V216" s="184"/>
      <c r="W216" s="185"/>
      <c r="X216" s="172"/>
      <c r="Y216" s="137"/>
      <c r="Z216" s="186"/>
      <c r="AA216" s="187"/>
      <c r="AB216" s="188"/>
      <c r="AC216" s="137"/>
      <c r="AD216" s="184"/>
      <c r="AE216" s="189"/>
      <c r="AF216" s="190"/>
      <c r="AG216" s="191"/>
      <c r="AH216" s="192"/>
      <c r="AI216" s="193"/>
      <c r="AJ216" s="172"/>
      <c r="AK216" s="172"/>
      <c r="AL216" s="172"/>
    </row>
    <row r="217">
      <c r="A217" s="137"/>
      <c r="B217" s="88"/>
      <c r="C217" s="89"/>
      <c r="D217" s="55"/>
      <c r="E217" s="137"/>
      <c r="F217" s="88"/>
      <c r="G217" s="180"/>
      <c r="H217" s="181"/>
      <c r="I217" s="137"/>
      <c r="J217" s="88"/>
      <c r="K217" s="89"/>
      <c r="L217" s="55"/>
      <c r="M217" s="137"/>
      <c r="N217" s="182"/>
      <c r="O217" s="89"/>
      <c r="P217" s="55"/>
      <c r="Q217" s="183"/>
      <c r="R217" s="184"/>
      <c r="S217" s="185"/>
      <c r="T217" s="172"/>
      <c r="U217" s="183"/>
      <c r="V217" s="184"/>
      <c r="W217" s="185"/>
      <c r="X217" s="172"/>
      <c r="Y217" s="137"/>
      <c r="Z217" s="186"/>
      <c r="AA217" s="187"/>
      <c r="AB217" s="188"/>
      <c r="AC217" s="137"/>
      <c r="AD217" s="184"/>
      <c r="AE217" s="189"/>
      <c r="AF217" s="190"/>
      <c r="AG217" s="191"/>
      <c r="AH217" s="192"/>
      <c r="AI217" s="193"/>
      <c r="AJ217" s="172"/>
      <c r="AK217" s="172"/>
      <c r="AL217" s="172"/>
    </row>
    <row r="218">
      <c r="A218" s="137"/>
      <c r="B218" s="88"/>
      <c r="C218" s="89"/>
      <c r="D218" s="55"/>
      <c r="E218" s="137"/>
      <c r="F218" s="88"/>
      <c r="G218" s="180"/>
      <c r="H218" s="181"/>
      <c r="I218" s="137"/>
      <c r="J218" s="88"/>
      <c r="K218" s="89"/>
      <c r="L218" s="55"/>
      <c r="M218" s="137"/>
      <c r="N218" s="182"/>
      <c r="O218" s="89"/>
      <c r="P218" s="55"/>
      <c r="Q218" s="183"/>
      <c r="R218" s="184"/>
      <c r="S218" s="185"/>
      <c r="T218" s="172"/>
      <c r="U218" s="183"/>
      <c r="V218" s="184"/>
      <c r="W218" s="185"/>
      <c r="X218" s="172"/>
      <c r="Y218" s="137"/>
      <c r="Z218" s="186"/>
      <c r="AA218" s="187"/>
      <c r="AB218" s="188"/>
      <c r="AC218" s="137"/>
      <c r="AD218" s="184"/>
      <c r="AE218" s="189"/>
      <c r="AF218" s="190"/>
      <c r="AG218" s="191"/>
      <c r="AH218" s="192"/>
      <c r="AI218" s="193"/>
      <c r="AJ218" s="172"/>
      <c r="AK218" s="172"/>
      <c r="AL218" s="172"/>
    </row>
    <row r="219">
      <c r="A219" s="137"/>
      <c r="B219" s="88"/>
      <c r="C219" s="89"/>
      <c r="D219" s="55"/>
      <c r="E219" s="137"/>
      <c r="F219" s="88"/>
      <c r="G219" s="180"/>
      <c r="H219" s="181"/>
      <c r="I219" s="137"/>
      <c r="J219" s="88"/>
      <c r="K219" s="89"/>
      <c r="L219" s="55"/>
      <c r="M219" s="137"/>
      <c r="N219" s="182"/>
      <c r="O219" s="89"/>
      <c r="P219" s="55"/>
      <c r="Q219" s="183"/>
      <c r="R219" s="184"/>
      <c r="S219" s="185"/>
      <c r="T219" s="172"/>
      <c r="U219" s="183"/>
      <c r="V219" s="184"/>
      <c r="W219" s="185"/>
      <c r="X219" s="172"/>
      <c r="Y219" s="137"/>
      <c r="Z219" s="186"/>
      <c r="AA219" s="187"/>
      <c r="AB219" s="188"/>
      <c r="AC219" s="137"/>
      <c r="AD219" s="184"/>
      <c r="AE219" s="189"/>
      <c r="AF219" s="190"/>
      <c r="AG219" s="191"/>
      <c r="AH219" s="192"/>
      <c r="AI219" s="193"/>
      <c r="AJ219" s="172"/>
      <c r="AK219" s="172"/>
      <c r="AL219" s="172"/>
    </row>
    <row r="220">
      <c r="A220" s="137"/>
      <c r="B220" s="88"/>
      <c r="C220" s="89"/>
      <c r="D220" s="55"/>
      <c r="E220" s="137"/>
      <c r="F220" s="88"/>
      <c r="G220" s="180"/>
      <c r="H220" s="181"/>
      <c r="I220" s="137"/>
      <c r="J220" s="88"/>
      <c r="K220" s="89"/>
      <c r="L220" s="55"/>
      <c r="M220" s="137"/>
      <c r="N220" s="182"/>
      <c r="O220" s="89"/>
      <c r="P220" s="55"/>
      <c r="Q220" s="183"/>
      <c r="R220" s="184"/>
      <c r="S220" s="185"/>
      <c r="T220" s="172"/>
      <c r="U220" s="183"/>
      <c r="V220" s="184"/>
      <c r="W220" s="185"/>
      <c r="X220" s="172"/>
      <c r="Y220" s="137"/>
      <c r="Z220" s="186"/>
      <c r="AA220" s="187"/>
      <c r="AB220" s="188"/>
      <c r="AC220" s="137"/>
      <c r="AD220" s="184"/>
      <c r="AE220" s="189"/>
      <c r="AF220" s="190"/>
      <c r="AG220" s="191"/>
      <c r="AH220" s="192"/>
      <c r="AI220" s="193"/>
      <c r="AJ220" s="172"/>
      <c r="AK220" s="172"/>
      <c r="AL220" s="172"/>
    </row>
    <row r="221">
      <c r="A221" s="137"/>
      <c r="B221" s="88"/>
      <c r="C221" s="89"/>
      <c r="D221" s="55"/>
      <c r="E221" s="137"/>
      <c r="F221" s="88"/>
      <c r="G221" s="180"/>
      <c r="H221" s="181"/>
      <c r="I221" s="137"/>
      <c r="J221" s="88"/>
      <c r="K221" s="89"/>
      <c r="L221" s="55"/>
      <c r="M221" s="137"/>
      <c r="N221" s="182"/>
      <c r="O221" s="89"/>
      <c r="P221" s="55"/>
      <c r="Q221" s="183"/>
      <c r="R221" s="184"/>
      <c r="S221" s="185"/>
      <c r="T221" s="172"/>
      <c r="U221" s="183"/>
      <c r="V221" s="184"/>
      <c r="W221" s="185"/>
      <c r="X221" s="172"/>
      <c r="Y221" s="137"/>
      <c r="Z221" s="186"/>
      <c r="AA221" s="187"/>
      <c r="AB221" s="188"/>
      <c r="AC221" s="137"/>
      <c r="AD221" s="184"/>
      <c r="AE221" s="189"/>
      <c r="AF221" s="190"/>
      <c r="AG221" s="191"/>
      <c r="AH221" s="192"/>
      <c r="AI221" s="193"/>
      <c r="AJ221" s="172"/>
      <c r="AK221" s="172"/>
      <c r="AL221" s="172"/>
    </row>
    <row r="222">
      <c r="A222" s="137"/>
      <c r="B222" s="88"/>
      <c r="C222" s="89"/>
      <c r="D222" s="55"/>
      <c r="E222" s="137"/>
      <c r="F222" s="88"/>
      <c r="G222" s="180"/>
      <c r="H222" s="181"/>
      <c r="I222" s="137"/>
      <c r="J222" s="88"/>
      <c r="K222" s="89"/>
      <c r="L222" s="55"/>
      <c r="M222" s="137"/>
      <c r="N222" s="182"/>
      <c r="O222" s="89"/>
      <c r="P222" s="55"/>
      <c r="Q222" s="183"/>
      <c r="R222" s="184"/>
      <c r="S222" s="185"/>
      <c r="T222" s="172"/>
      <c r="U222" s="183"/>
      <c r="V222" s="184"/>
      <c r="W222" s="185"/>
      <c r="X222" s="172"/>
      <c r="Y222" s="137"/>
      <c r="Z222" s="186"/>
      <c r="AA222" s="187"/>
      <c r="AB222" s="188"/>
      <c r="AC222" s="137"/>
      <c r="AD222" s="184"/>
      <c r="AE222" s="189"/>
      <c r="AF222" s="190"/>
      <c r="AG222" s="191"/>
      <c r="AH222" s="192"/>
      <c r="AI222" s="193"/>
      <c r="AJ222" s="172"/>
      <c r="AK222" s="172"/>
      <c r="AL222" s="172"/>
    </row>
    <row r="223">
      <c r="A223" s="137"/>
      <c r="B223" s="88"/>
      <c r="C223" s="89"/>
      <c r="D223" s="55"/>
      <c r="E223" s="137"/>
      <c r="F223" s="88"/>
      <c r="G223" s="180"/>
      <c r="H223" s="181"/>
      <c r="I223" s="137"/>
      <c r="J223" s="88"/>
      <c r="K223" s="89"/>
      <c r="L223" s="55"/>
      <c r="M223" s="137"/>
      <c r="N223" s="182"/>
      <c r="O223" s="89"/>
      <c r="P223" s="55"/>
      <c r="Q223" s="183"/>
      <c r="R223" s="184"/>
      <c r="S223" s="185"/>
      <c r="T223" s="172"/>
      <c r="U223" s="183"/>
      <c r="V223" s="184"/>
      <c r="W223" s="185"/>
      <c r="X223" s="172"/>
      <c r="Y223" s="137"/>
      <c r="Z223" s="186"/>
      <c r="AA223" s="187"/>
      <c r="AB223" s="188"/>
      <c r="AC223" s="137"/>
      <c r="AD223" s="184"/>
      <c r="AE223" s="189"/>
      <c r="AF223" s="190"/>
      <c r="AG223" s="191"/>
      <c r="AH223" s="192"/>
      <c r="AI223" s="193"/>
      <c r="AJ223" s="172"/>
      <c r="AK223" s="172"/>
      <c r="AL223" s="172"/>
    </row>
    <row r="224">
      <c r="A224" s="137"/>
      <c r="B224" s="88"/>
      <c r="C224" s="89"/>
      <c r="D224" s="55"/>
      <c r="E224" s="137"/>
      <c r="F224" s="88"/>
      <c r="G224" s="180"/>
      <c r="H224" s="181"/>
      <c r="I224" s="137"/>
      <c r="J224" s="88"/>
      <c r="K224" s="89"/>
      <c r="L224" s="55"/>
      <c r="M224" s="137"/>
      <c r="N224" s="182"/>
      <c r="O224" s="89"/>
      <c r="P224" s="55"/>
      <c r="Q224" s="183"/>
      <c r="R224" s="184"/>
      <c r="S224" s="185"/>
      <c r="T224" s="172"/>
      <c r="U224" s="183"/>
      <c r="V224" s="184"/>
      <c r="W224" s="185"/>
      <c r="X224" s="172"/>
      <c r="Y224" s="137"/>
      <c r="Z224" s="186"/>
      <c r="AA224" s="187"/>
      <c r="AB224" s="188"/>
      <c r="AC224" s="137"/>
      <c r="AD224" s="184"/>
      <c r="AE224" s="189"/>
      <c r="AF224" s="190"/>
      <c r="AG224" s="191"/>
      <c r="AH224" s="192"/>
      <c r="AI224" s="193"/>
      <c r="AJ224" s="172"/>
      <c r="AK224" s="172"/>
      <c r="AL224" s="172"/>
    </row>
    <row r="225">
      <c r="A225" s="137"/>
      <c r="B225" s="88"/>
      <c r="C225" s="89"/>
      <c r="D225" s="55"/>
      <c r="E225" s="137"/>
      <c r="F225" s="88"/>
      <c r="G225" s="180"/>
      <c r="H225" s="181"/>
      <c r="I225" s="137"/>
      <c r="J225" s="88"/>
      <c r="K225" s="89"/>
      <c r="L225" s="55"/>
      <c r="M225" s="137"/>
      <c r="N225" s="182"/>
      <c r="O225" s="89"/>
      <c r="P225" s="55"/>
      <c r="Q225" s="183"/>
      <c r="R225" s="184"/>
      <c r="S225" s="185"/>
      <c r="T225" s="172"/>
      <c r="U225" s="183"/>
      <c r="V225" s="184"/>
      <c r="W225" s="185"/>
      <c r="X225" s="172"/>
      <c r="Y225" s="137"/>
      <c r="Z225" s="186"/>
      <c r="AA225" s="187"/>
      <c r="AB225" s="188"/>
      <c r="AC225" s="137"/>
      <c r="AD225" s="184"/>
      <c r="AE225" s="189"/>
      <c r="AF225" s="190"/>
      <c r="AG225" s="191"/>
      <c r="AH225" s="192"/>
      <c r="AI225" s="193"/>
      <c r="AJ225" s="172"/>
      <c r="AK225" s="172"/>
      <c r="AL225" s="172"/>
    </row>
    <row r="226">
      <c r="A226" s="137"/>
      <c r="B226" s="88"/>
      <c r="C226" s="89"/>
      <c r="D226" s="55"/>
      <c r="E226" s="137"/>
      <c r="F226" s="88"/>
      <c r="G226" s="180"/>
      <c r="H226" s="181"/>
      <c r="I226" s="137"/>
      <c r="J226" s="88"/>
      <c r="K226" s="89"/>
      <c r="L226" s="55"/>
      <c r="M226" s="137"/>
      <c r="N226" s="182"/>
      <c r="O226" s="89"/>
      <c r="P226" s="55"/>
      <c r="Q226" s="183"/>
      <c r="R226" s="184"/>
      <c r="S226" s="185"/>
      <c r="T226" s="172"/>
      <c r="U226" s="183"/>
      <c r="V226" s="184"/>
      <c r="W226" s="185"/>
      <c r="X226" s="172"/>
      <c r="Y226" s="137"/>
      <c r="Z226" s="186"/>
      <c r="AA226" s="187"/>
      <c r="AB226" s="188"/>
      <c r="AC226" s="137"/>
      <c r="AD226" s="184"/>
      <c r="AE226" s="189"/>
      <c r="AF226" s="190"/>
      <c r="AG226" s="191"/>
      <c r="AH226" s="192"/>
      <c r="AI226" s="193"/>
      <c r="AJ226" s="172"/>
      <c r="AK226" s="172"/>
      <c r="AL226" s="172"/>
    </row>
    <row r="227">
      <c r="A227" s="137"/>
      <c r="B227" s="88"/>
      <c r="C227" s="89"/>
      <c r="D227" s="55"/>
      <c r="E227" s="137"/>
      <c r="F227" s="88"/>
      <c r="G227" s="180"/>
      <c r="H227" s="181"/>
      <c r="I227" s="137"/>
      <c r="J227" s="88"/>
      <c r="K227" s="89"/>
      <c r="L227" s="55"/>
      <c r="M227" s="137"/>
      <c r="N227" s="182"/>
      <c r="O227" s="89"/>
      <c r="P227" s="55"/>
      <c r="Q227" s="183"/>
      <c r="R227" s="184"/>
      <c r="S227" s="185"/>
      <c r="T227" s="172"/>
      <c r="U227" s="183"/>
      <c r="V227" s="184"/>
      <c r="W227" s="185"/>
      <c r="X227" s="172"/>
      <c r="Y227" s="137"/>
      <c r="Z227" s="186"/>
      <c r="AA227" s="187"/>
      <c r="AB227" s="188"/>
      <c r="AC227" s="137"/>
      <c r="AD227" s="184"/>
      <c r="AE227" s="189"/>
      <c r="AF227" s="190"/>
      <c r="AG227" s="191"/>
      <c r="AH227" s="192"/>
      <c r="AI227" s="193"/>
      <c r="AJ227" s="172"/>
      <c r="AK227" s="172"/>
      <c r="AL227" s="172"/>
    </row>
    <row r="228">
      <c r="A228" s="137"/>
      <c r="B228" s="88"/>
      <c r="C228" s="89"/>
      <c r="D228" s="55"/>
      <c r="E228" s="137"/>
      <c r="F228" s="88"/>
      <c r="G228" s="180"/>
      <c r="H228" s="181"/>
      <c r="I228" s="137"/>
      <c r="J228" s="88"/>
      <c r="K228" s="89"/>
      <c r="L228" s="55"/>
      <c r="M228" s="137"/>
      <c r="N228" s="182"/>
      <c r="O228" s="89"/>
      <c r="P228" s="55"/>
      <c r="Q228" s="183"/>
      <c r="R228" s="184"/>
      <c r="S228" s="185"/>
      <c r="T228" s="172"/>
      <c r="U228" s="183"/>
      <c r="V228" s="184"/>
      <c r="W228" s="185"/>
      <c r="X228" s="172"/>
      <c r="Y228" s="137"/>
      <c r="Z228" s="186"/>
      <c r="AA228" s="187"/>
      <c r="AB228" s="188"/>
      <c r="AC228" s="137"/>
      <c r="AD228" s="184"/>
      <c r="AE228" s="189"/>
      <c r="AF228" s="190"/>
      <c r="AG228" s="191"/>
      <c r="AH228" s="192"/>
      <c r="AI228" s="193"/>
      <c r="AJ228" s="172"/>
      <c r="AK228" s="172"/>
      <c r="AL228" s="172"/>
    </row>
    <row r="229">
      <c r="A229" s="137"/>
      <c r="B229" s="88"/>
      <c r="C229" s="89"/>
      <c r="D229" s="55"/>
      <c r="E229" s="137"/>
      <c r="F229" s="88"/>
      <c r="G229" s="180"/>
      <c r="H229" s="181"/>
      <c r="I229" s="137"/>
      <c r="J229" s="88"/>
      <c r="K229" s="89"/>
      <c r="L229" s="55"/>
      <c r="M229" s="137"/>
      <c r="N229" s="182"/>
      <c r="O229" s="89"/>
      <c r="P229" s="55"/>
      <c r="Q229" s="183"/>
      <c r="R229" s="184"/>
      <c r="S229" s="185"/>
      <c r="T229" s="172"/>
      <c r="U229" s="183"/>
      <c r="V229" s="184"/>
      <c r="W229" s="185"/>
      <c r="X229" s="172"/>
      <c r="Y229" s="137"/>
      <c r="Z229" s="186"/>
      <c r="AA229" s="187"/>
      <c r="AB229" s="188"/>
      <c r="AC229" s="137"/>
      <c r="AD229" s="184"/>
      <c r="AE229" s="189"/>
      <c r="AF229" s="190"/>
      <c r="AG229" s="191"/>
      <c r="AH229" s="192"/>
      <c r="AI229" s="193"/>
      <c r="AJ229" s="172"/>
      <c r="AK229" s="172"/>
      <c r="AL229" s="172"/>
    </row>
    <row r="230">
      <c r="A230" s="137"/>
      <c r="B230" s="88"/>
      <c r="C230" s="89"/>
      <c r="D230" s="55"/>
      <c r="E230" s="137"/>
      <c r="F230" s="88"/>
      <c r="G230" s="180"/>
      <c r="H230" s="181"/>
      <c r="I230" s="137"/>
      <c r="J230" s="88"/>
      <c r="K230" s="89"/>
      <c r="L230" s="55"/>
      <c r="M230" s="137"/>
      <c r="N230" s="182"/>
      <c r="O230" s="89"/>
      <c r="P230" s="55"/>
      <c r="Q230" s="183"/>
      <c r="R230" s="184"/>
      <c r="S230" s="185"/>
      <c r="T230" s="172"/>
      <c r="U230" s="183"/>
      <c r="V230" s="184"/>
      <c r="W230" s="185"/>
      <c r="X230" s="172"/>
      <c r="Y230" s="137"/>
      <c r="Z230" s="186"/>
      <c r="AA230" s="187"/>
      <c r="AB230" s="188"/>
      <c r="AC230" s="137"/>
      <c r="AD230" s="184"/>
      <c r="AE230" s="189"/>
      <c r="AF230" s="190"/>
      <c r="AG230" s="191"/>
      <c r="AH230" s="192"/>
      <c r="AI230" s="193"/>
      <c r="AJ230" s="172"/>
      <c r="AK230" s="172"/>
      <c r="AL230" s="172"/>
    </row>
    <row r="231">
      <c r="A231" s="137"/>
      <c r="B231" s="88"/>
      <c r="C231" s="89"/>
      <c r="D231" s="55"/>
      <c r="E231" s="137"/>
      <c r="F231" s="88"/>
      <c r="G231" s="180"/>
      <c r="H231" s="181"/>
      <c r="I231" s="137"/>
      <c r="J231" s="88"/>
      <c r="K231" s="89"/>
      <c r="L231" s="55"/>
      <c r="M231" s="137"/>
      <c r="N231" s="182"/>
      <c r="O231" s="89"/>
      <c r="P231" s="55"/>
      <c r="Q231" s="183"/>
      <c r="R231" s="184"/>
      <c r="S231" s="185"/>
      <c r="T231" s="172"/>
      <c r="U231" s="183"/>
      <c r="V231" s="184"/>
      <c r="W231" s="185"/>
      <c r="X231" s="172"/>
      <c r="Y231" s="137"/>
      <c r="Z231" s="186"/>
      <c r="AA231" s="187"/>
      <c r="AB231" s="188"/>
      <c r="AC231" s="137"/>
      <c r="AD231" s="184"/>
      <c r="AE231" s="189"/>
      <c r="AF231" s="190"/>
      <c r="AG231" s="143"/>
      <c r="AH231" s="143"/>
      <c r="AI231" s="143"/>
      <c r="AJ231" s="143"/>
      <c r="AK231" s="172"/>
      <c r="AL231" s="172"/>
    </row>
    <row r="232">
      <c r="A232" s="137"/>
      <c r="B232" s="88"/>
      <c r="C232" s="89"/>
      <c r="D232" s="55"/>
      <c r="E232" s="137"/>
      <c r="F232" s="88"/>
      <c r="G232" s="180"/>
      <c r="H232" s="181"/>
      <c r="I232" s="137"/>
      <c r="J232" s="88"/>
      <c r="K232" s="89"/>
      <c r="L232" s="55"/>
      <c r="M232" s="137"/>
      <c r="N232" s="182"/>
      <c r="O232" s="89"/>
      <c r="P232" s="55"/>
      <c r="Q232" s="183"/>
      <c r="R232" s="184"/>
      <c r="S232" s="185"/>
      <c r="T232" s="172"/>
      <c r="U232" s="183"/>
      <c r="V232" s="184"/>
      <c r="W232" s="185"/>
      <c r="X232" s="172"/>
      <c r="Y232" s="137"/>
      <c r="Z232" s="186"/>
      <c r="AA232" s="187"/>
      <c r="AB232" s="188"/>
      <c r="AC232" s="137"/>
      <c r="AD232" s="184"/>
      <c r="AE232" s="189"/>
      <c r="AF232" s="190"/>
      <c r="AG232" s="143"/>
      <c r="AH232" s="143"/>
      <c r="AI232" s="143"/>
      <c r="AJ232" s="143"/>
      <c r="AK232" s="172"/>
      <c r="AL232" s="172"/>
    </row>
    <row r="233">
      <c r="A233" s="137"/>
      <c r="B233" s="88"/>
      <c r="C233" s="89"/>
      <c r="D233" s="55"/>
      <c r="E233" s="137"/>
      <c r="F233" s="88"/>
      <c r="G233" s="180"/>
      <c r="H233" s="181"/>
      <c r="I233" s="137"/>
      <c r="J233" s="88"/>
      <c r="K233" s="89"/>
      <c r="L233" s="55"/>
      <c r="M233" s="137"/>
      <c r="N233" s="182"/>
      <c r="O233" s="89"/>
      <c r="P233" s="55"/>
      <c r="Q233" s="183"/>
      <c r="R233" s="184"/>
      <c r="S233" s="185"/>
      <c r="T233" s="172"/>
      <c r="U233" s="183"/>
      <c r="V233" s="184"/>
      <c r="W233" s="185"/>
      <c r="X233" s="172"/>
      <c r="Y233" s="137"/>
      <c r="Z233" s="186"/>
      <c r="AA233" s="187"/>
      <c r="AB233" s="188"/>
      <c r="AC233" s="137"/>
      <c r="AD233" s="184"/>
      <c r="AE233" s="189"/>
      <c r="AF233" s="190"/>
      <c r="AG233" s="143"/>
      <c r="AH233" s="143"/>
      <c r="AI233" s="143"/>
      <c r="AJ233" s="143"/>
      <c r="AK233" s="172"/>
      <c r="AL233" s="172"/>
    </row>
    <row r="234">
      <c r="A234" s="137"/>
      <c r="B234" s="88"/>
      <c r="C234" s="89"/>
      <c r="D234" s="55"/>
      <c r="E234" s="137"/>
      <c r="F234" s="88"/>
      <c r="G234" s="180"/>
      <c r="H234" s="181"/>
      <c r="I234" s="137"/>
      <c r="J234" s="88"/>
      <c r="K234" s="89"/>
      <c r="L234" s="55"/>
      <c r="M234" s="137"/>
      <c r="N234" s="182"/>
      <c r="O234" s="89"/>
      <c r="P234" s="55"/>
      <c r="Q234" s="183"/>
      <c r="R234" s="184"/>
      <c r="S234" s="185"/>
      <c r="T234" s="172"/>
      <c r="U234" s="183"/>
      <c r="V234" s="184"/>
      <c r="W234" s="185"/>
      <c r="X234" s="172"/>
      <c r="Y234" s="137"/>
      <c r="Z234" s="186"/>
      <c r="AA234" s="187"/>
      <c r="AB234" s="188"/>
      <c r="AC234" s="137"/>
      <c r="AD234" s="184"/>
      <c r="AE234" s="189"/>
      <c r="AF234" s="190"/>
      <c r="AG234" s="143"/>
      <c r="AH234" s="143"/>
      <c r="AI234" s="143"/>
      <c r="AJ234" s="143"/>
      <c r="AK234" s="172"/>
      <c r="AL234" s="172"/>
    </row>
    <row r="235">
      <c r="A235" s="137"/>
      <c r="B235" s="88"/>
      <c r="C235" s="89"/>
      <c r="D235" s="55"/>
      <c r="E235" s="137"/>
      <c r="F235" s="88"/>
      <c r="G235" s="180"/>
      <c r="H235" s="181"/>
      <c r="I235" s="137"/>
      <c r="J235" s="88"/>
      <c r="K235" s="89"/>
      <c r="L235" s="55"/>
      <c r="M235" s="137"/>
      <c r="N235" s="182"/>
      <c r="O235" s="89"/>
      <c r="P235" s="55"/>
      <c r="Q235" s="183"/>
      <c r="R235" s="184"/>
      <c r="S235" s="185"/>
      <c r="T235" s="172"/>
      <c r="U235" s="183"/>
      <c r="V235" s="184"/>
      <c r="W235" s="185"/>
      <c r="X235" s="172"/>
      <c r="Y235" s="137"/>
      <c r="Z235" s="186"/>
      <c r="AA235" s="187"/>
      <c r="AB235" s="188"/>
      <c r="AC235" s="137"/>
      <c r="AD235" s="184"/>
      <c r="AE235" s="189"/>
      <c r="AF235" s="190"/>
      <c r="AG235" s="143"/>
      <c r="AH235" s="143"/>
      <c r="AI235" s="143"/>
      <c r="AJ235" s="143"/>
      <c r="AK235" s="172"/>
      <c r="AL235" s="172"/>
    </row>
    <row r="236">
      <c r="A236" s="137"/>
      <c r="B236" s="88"/>
      <c r="C236" s="89"/>
      <c r="D236" s="55"/>
      <c r="E236" s="137"/>
      <c r="F236" s="88"/>
      <c r="G236" s="180"/>
      <c r="H236" s="181"/>
      <c r="I236" s="137"/>
      <c r="J236" s="88"/>
      <c r="K236" s="89"/>
      <c r="L236" s="55"/>
      <c r="M236" s="137"/>
      <c r="N236" s="182"/>
      <c r="O236" s="89"/>
      <c r="P236" s="55"/>
      <c r="Q236" s="183"/>
      <c r="R236" s="184"/>
      <c r="S236" s="185"/>
      <c r="T236" s="172"/>
      <c r="U236" s="183"/>
      <c r="V236" s="184"/>
      <c r="W236" s="185"/>
      <c r="X236" s="172"/>
      <c r="Y236" s="137"/>
      <c r="Z236" s="186"/>
      <c r="AA236" s="187"/>
      <c r="AB236" s="188"/>
      <c r="AC236" s="137"/>
      <c r="AD236" s="184"/>
      <c r="AE236" s="189"/>
      <c r="AF236" s="190"/>
      <c r="AG236" s="143"/>
      <c r="AH236" s="143"/>
      <c r="AI236" s="143"/>
      <c r="AJ236" s="143"/>
      <c r="AK236" s="172"/>
      <c r="AL236" s="172"/>
    </row>
    <row r="237">
      <c r="A237" s="137"/>
      <c r="B237" s="88"/>
      <c r="C237" s="89"/>
      <c r="D237" s="55"/>
      <c r="E237" s="137"/>
      <c r="F237" s="88"/>
      <c r="G237" s="180"/>
      <c r="H237" s="181"/>
      <c r="I237" s="137"/>
      <c r="J237" s="88"/>
      <c r="K237" s="89"/>
      <c r="L237" s="55"/>
      <c r="M237" s="137"/>
      <c r="N237" s="182"/>
      <c r="O237" s="89"/>
      <c r="P237" s="55"/>
      <c r="Q237" s="183"/>
      <c r="R237" s="184"/>
      <c r="S237" s="185"/>
      <c r="T237" s="172"/>
      <c r="U237" s="183"/>
      <c r="V237" s="184"/>
      <c r="W237" s="185"/>
      <c r="X237" s="172"/>
      <c r="Y237" s="137"/>
      <c r="Z237" s="186"/>
      <c r="AA237" s="187"/>
      <c r="AB237" s="188"/>
      <c r="AC237" s="137"/>
      <c r="AD237" s="184"/>
      <c r="AE237" s="189"/>
      <c r="AF237" s="190"/>
      <c r="AG237" s="143"/>
      <c r="AH237" s="143"/>
      <c r="AI237" s="143"/>
      <c r="AJ237" s="143"/>
      <c r="AK237" s="172"/>
      <c r="AL237" s="172"/>
    </row>
    <row r="238">
      <c r="A238" s="137"/>
      <c r="B238" s="88"/>
      <c r="C238" s="89"/>
      <c r="D238" s="55"/>
      <c r="E238" s="137"/>
      <c r="F238" s="88"/>
      <c r="G238" s="180"/>
      <c r="H238" s="181"/>
      <c r="I238" s="137"/>
      <c r="J238" s="88"/>
      <c r="K238" s="89"/>
      <c r="L238" s="55"/>
      <c r="M238" s="137"/>
      <c r="N238" s="182"/>
      <c r="O238" s="89"/>
      <c r="P238" s="55"/>
      <c r="Q238" s="183"/>
      <c r="R238" s="184"/>
      <c r="S238" s="185"/>
      <c r="T238" s="172"/>
      <c r="U238" s="183"/>
      <c r="V238" s="184"/>
      <c r="W238" s="185"/>
      <c r="X238" s="172"/>
      <c r="Y238" s="137"/>
      <c r="Z238" s="186"/>
      <c r="AA238" s="187"/>
      <c r="AB238" s="188"/>
      <c r="AC238" s="137"/>
      <c r="AD238" s="184"/>
      <c r="AE238" s="189"/>
      <c r="AF238" s="190"/>
      <c r="AG238" s="143"/>
      <c r="AH238" s="143"/>
      <c r="AI238" s="143"/>
      <c r="AJ238" s="143"/>
      <c r="AK238" s="172"/>
      <c r="AL238" s="172"/>
    </row>
    <row r="239">
      <c r="A239" s="137"/>
      <c r="B239" s="88"/>
      <c r="C239" s="89"/>
      <c r="D239" s="55"/>
      <c r="E239" s="137"/>
      <c r="F239" s="88"/>
      <c r="G239" s="180"/>
      <c r="H239" s="181"/>
      <c r="I239" s="137"/>
      <c r="J239" s="88"/>
      <c r="K239" s="89"/>
      <c r="L239" s="55"/>
      <c r="M239" s="137"/>
      <c r="N239" s="182"/>
      <c r="O239" s="89"/>
      <c r="P239" s="55"/>
      <c r="Q239" s="183"/>
      <c r="R239" s="184"/>
      <c r="S239" s="185"/>
      <c r="T239" s="172"/>
      <c r="U239" s="183"/>
      <c r="V239" s="184"/>
      <c r="W239" s="185"/>
      <c r="X239" s="172"/>
      <c r="Y239" s="137"/>
      <c r="Z239" s="186"/>
      <c r="AA239" s="187"/>
      <c r="AB239" s="188"/>
      <c r="AC239" s="137"/>
      <c r="AD239" s="184"/>
      <c r="AE239" s="189"/>
      <c r="AF239" s="190"/>
      <c r="AG239" s="143"/>
      <c r="AH239" s="143"/>
      <c r="AI239" s="143"/>
      <c r="AJ239" s="143"/>
      <c r="AK239" s="172"/>
      <c r="AL239" s="172"/>
    </row>
    <row r="240">
      <c r="A240" s="137"/>
      <c r="B240" s="88"/>
      <c r="C240" s="89"/>
      <c r="D240" s="55"/>
      <c r="E240" s="137"/>
      <c r="F240" s="88"/>
      <c r="G240" s="180"/>
      <c r="H240" s="181"/>
      <c r="I240" s="137"/>
      <c r="J240" s="88"/>
      <c r="K240" s="89"/>
      <c r="L240" s="55"/>
      <c r="M240" s="137"/>
      <c r="N240" s="182"/>
      <c r="O240" s="89"/>
      <c r="P240" s="55"/>
      <c r="Q240" s="183"/>
      <c r="R240" s="184"/>
      <c r="S240" s="185"/>
      <c r="T240" s="172"/>
      <c r="U240" s="183"/>
      <c r="V240" s="184"/>
      <c r="W240" s="185"/>
      <c r="X240" s="172"/>
      <c r="Y240" s="137"/>
      <c r="Z240" s="186"/>
      <c r="AA240" s="187"/>
      <c r="AB240" s="188"/>
      <c r="AC240" s="137"/>
      <c r="AD240" s="184"/>
      <c r="AE240" s="189"/>
      <c r="AF240" s="190"/>
      <c r="AG240" s="143"/>
      <c r="AH240" s="143"/>
      <c r="AI240" s="143"/>
      <c r="AJ240" s="143"/>
      <c r="AK240" s="172"/>
      <c r="AL240" s="172"/>
    </row>
    <row r="241">
      <c r="A241" s="137"/>
      <c r="B241" s="88"/>
      <c r="C241" s="89"/>
      <c r="D241" s="55"/>
      <c r="E241" s="137"/>
      <c r="F241" s="88"/>
      <c r="G241" s="180"/>
      <c r="H241" s="181"/>
      <c r="I241" s="137"/>
      <c r="J241" s="88"/>
      <c r="K241" s="89"/>
      <c r="L241" s="55"/>
      <c r="M241" s="137"/>
      <c r="N241" s="182"/>
      <c r="O241" s="89"/>
      <c r="P241" s="55"/>
      <c r="Q241" s="183"/>
      <c r="R241" s="184"/>
      <c r="S241" s="185"/>
      <c r="T241" s="172"/>
      <c r="U241" s="183"/>
      <c r="V241" s="184"/>
      <c r="W241" s="185"/>
      <c r="X241" s="172"/>
      <c r="Y241" s="137"/>
      <c r="Z241" s="186"/>
      <c r="AA241" s="187"/>
      <c r="AB241" s="188"/>
      <c r="AC241" s="137"/>
      <c r="AD241" s="184"/>
      <c r="AE241" s="189"/>
      <c r="AF241" s="190"/>
      <c r="AG241" s="143"/>
      <c r="AH241" s="143"/>
      <c r="AI241" s="143"/>
      <c r="AJ241" s="143"/>
      <c r="AK241" s="172"/>
      <c r="AL241" s="172"/>
    </row>
    <row r="242">
      <c r="A242" s="137"/>
      <c r="B242" s="88"/>
      <c r="C242" s="89"/>
      <c r="D242" s="55"/>
      <c r="E242" s="137"/>
      <c r="F242" s="88"/>
      <c r="G242" s="180"/>
      <c r="H242" s="181"/>
      <c r="I242" s="137"/>
      <c r="J242" s="88"/>
      <c r="K242" s="89"/>
      <c r="L242" s="55"/>
      <c r="M242" s="137"/>
      <c r="N242" s="182"/>
      <c r="O242" s="89"/>
      <c r="P242" s="55"/>
      <c r="Q242" s="183"/>
      <c r="R242" s="184"/>
      <c r="S242" s="185"/>
      <c r="T242" s="172"/>
      <c r="U242" s="183"/>
      <c r="V242" s="184"/>
      <c r="W242" s="185"/>
      <c r="X242" s="172"/>
      <c r="Y242" s="137"/>
      <c r="Z242" s="186"/>
      <c r="AA242" s="187"/>
      <c r="AB242" s="188"/>
      <c r="AC242" s="137"/>
      <c r="AD242" s="184"/>
      <c r="AE242" s="189"/>
      <c r="AF242" s="190"/>
      <c r="AG242" s="143"/>
      <c r="AH242" s="143"/>
      <c r="AI242" s="143"/>
      <c r="AJ242" s="143"/>
      <c r="AK242" s="172"/>
      <c r="AL242" s="172"/>
    </row>
    <row r="243">
      <c r="A243" s="137"/>
      <c r="B243" s="88"/>
      <c r="C243" s="89"/>
      <c r="D243" s="55"/>
      <c r="E243" s="137"/>
      <c r="F243" s="88"/>
      <c r="G243" s="180"/>
      <c r="H243" s="181"/>
      <c r="I243" s="137"/>
      <c r="J243" s="88"/>
      <c r="K243" s="89"/>
      <c r="L243" s="55"/>
      <c r="M243" s="137"/>
      <c r="N243" s="182"/>
      <c r="O243" s="89"/>
      <c r="P243" s="55"/>
      <c r="Q243" s="183"/>
      <c r="R243" s="184"/>
      <c r="S243" s="185"/>
      <c r="T243" s="172"/>
      <c r="U243" s="183"/>
      <c r="V243" s="184"/>
      <c r="W243" s="185"/>
      <c r="X243" s="172"/>
      <c r="Y243" s="137"/>
      <c r="Z243" s="186"/>
      <c r="AA243" s="187"/>
      <c r="AB243" s="188"/>
      <c r="AC243" s="137"/>
      <c r="AD243" s="184"/>
      <c r="AE243" s="189"/>
      <c r="AF243" s="190"/>
      <c r="AG243" s="143"/>
      <c r="AH243" s="143"/>
      <c r="AI243" s="143"/>
      <c r="AJ243" s="143"/>
      <c r="AK243" s="172"/>
      <c r="AL243" s="172"/>
    </row>
    <row r="244">
      <c r="A244" s="137"/>
      <c r="B244" s="88"/>
      <c r="C244" s="89"/>
      <c r="D244" s="55"/>
      <c r="E244" s="137"/>
      <c r="F244" s="88"/>
      <c r="G244" s="180"/>
      <c r="H244" s="181"/>
      <c r="I244" s="137"/>
      <c r="J244" s="88"/>
      <c r="K244" s="89"/>
      <c r="L244" s="55"/>
      <c r="M244" s="137"/>
      <c r="N244" s="182"/>
      <c r="O244" s="89"/>
      <c r="P244" s="55"/>
      <c r="Q244" s="183"/>
      <c r="R244" s="184"/>
      <c r="S244" s="185"/>
      <c r="T244" s="172"/>
      <c r="U244" s="183"/>
      <c r="V244" s="184"/>
      <c r="W244" s="185"/>
      <c r="X244" s="172"/>
      <c r="Y244" s="137"/>
      <c r="Z244" s="186"/>
      <c r="AA244" s="187"/>
      <c r="AB244" s="188"/>
      <c r="AC244" s="137"/>
      <c r="AD244" s="184"/>
      <c r="AE244" s="189"/>
      <c r="AF244" s="190"/>
      <c r="AG244" s="143"/>
      <c r="AH244" s="143"/>
      <c r="AI244" s="143"/>
      <c r="AJ244" s="143"/>
      <c r="AK244" s="172"/>
      <c r="AL244" s="172"/>
    </row>
    <row r="245">
      <c r="A245" s="137"/>
      <c r="B245" s="88"/>
      <c r="C245" s="89"/>
      <c r="D245" s="55"/>
      <c r="E245" s="137"/>
      <c r="F245" s="88"/>
      <c r="G245" s="180"/>
      <c r="H245" s="181"/>
      <c r="I245" s="137"/>
      <c r="J245" s="88"/>
      <c r="K245" s="89"/>
      <c r="L245" s="55"/>
      <c r="M245" s="137"/>
      <c r="N245" s="182"/>
      <c r="O245" s="89"/>
      <c r="P245" s="55"/>
      <c r="Q245" s="183"/>
      <c r="R245" s="184"/>
      <c r="S245" s="185"/>
      <c r="T245" s="172"/>
      <c r="U245" s="183"/>
      <c r="V245" s="184"/>
      <c r="W245" s="185"/>
      <c r="X245" s="172"/>
      <c r="Y245" s="137"/>
      <c r="Z245" s="186"/>
      <c r="AA245" s="187"/>
      <c r="AB245" s="188"/>
      <c r="AC245" s="137"/>
      <c r="AD245" s="184"/>
      <c r="AE245" s="189"/>
      <c r="AF245" s="190"/>
      <c r="AG245" s="143"/>
      <c r="AH245" s="143"/>
      <c r="AI245" s="143"/>
      <c r="AJ245" s="143"/>
      <c r="AK245" s="172"/>
      <c r="AL245" s="172"/>
    </row>
    <row r="246">
      <c r="A246" s="137"/>
      <c r="B246" s="88"/>
      <c r="C246" s="89"/>
      <c r="D246" s="55"/>
      <c r="E246" s="137"/>
      <c r="F246" s="88"/>
      <c r="G246" s="180"/>
      <c r="H246" s="181"/>
      <c r="I246" s="137"/>
      <c r="J246" s="88"/>
      <c r="K246" s="89"/>
      <c r="L246" s="55"/>
      <c r="M246" s="137"/>
      <c r="N246" s="182"/>
      <c r="O246" s="89"/>
      <c r="P246" s="55"/>
      <c r="Q246" s="183"/>
      <c r="R246" s="184"/>
      <c r="S246" s="185"/>
      <c r="T246" s="172"/>
      <c r="U246" s="183"/>
      <c r="V246" s="184"/>
      <c r="W246" s="185"/>
      <c r="X246" s="172"/>
      <c r="Y246" s="137"/>
      <c r="Z246" s="186"/>
      <c r="AA246" s="187"/>
      <c r="AB246" s="188"/>
      <c r="AC246" s="137"/>
      <c r="AD246" s="184"/>
      <c r="AE246" s="189"/>
      <c r="AF246" s="190"/>
      <c r="AG246" s="143"/>
      <c r="AH246" s="143"/>
      <c r="AI246" s="143"/>
      <c r="AJ246" s="143"/>
      <c r="AK246" s="172"/>
      <c r="AL246" s="172"/>
    </row>
    <row r="247">
      <c r="A247" s="137"/>
      <c r="B247" s="88"/>
      <c r="C247" s="89"/>
      <c r="D247" s="55"/>
      <c r="E247" s="137"/>
      <c r="F247" s="88"/>
      <c r="G247" s="180"/>
      <c r="H247" s="181"/>
      <c r="I247" s="137"/>
      <c r="J247" s="88"/>
      <c r="K247" s="89"/>
      <c r="L247" s="55"/>
      <c r="M247" s="137"/>
      <c r="N247" s="182"/>
      <c r="O247" s="89"/>
      <c r="P247" s="55"/>
      <c r="Q247" s="183"/>
      <c r="R247" s="184"/>
      <c r="S247" s="185"/>
      <c r="T247" s="172"/>
      <c r="U247" s="183"/>
      <c r="V247" s="184"/>
      <c r="W247" s="185"/>
      <c r="X247" s="172"/>
      <c r="Y247" s="137"/>
      <c r="Z247" s="186"/>
      <c r="AA247" s="187"/>
      <c r="AB247" s="188"/>
      <c r="AC247" s="137"/>
      <c r="AD247" s="184"/>
      <c r="AE247" s="189"/>
      <c r="AF247" s="190"/>
      <c r="AG247" s="143"/>
      <c r="AH247" s="143"/>
      <c r="AI247" s="143"/>
      <c r="AJ247" s="143"/>
      <c r="AK247" s="172"/>
      <c r="AL247" s="172"/>
    </row>
    <row r="248">
      <c r="A248" s="137"/>
      <c r="B248" s="88"/>
      <c r="C248" s="89"/>
      <c r="D248" s="55"/>
      <c r="E248" s="137"/>
      <c r="F248" s="88"/>
      <c r="G248" s="180"/>
      <c r="H248" s="181"/>
      <c r="I248" s="137"/>
      <c r="J248" s="88"/>
      <c r="K248" s="89"/>
      <c r="L248" s="55"/>
      <c r="M248" s="137"/>
      <c r="N248" s="182"/>
      <c r="O248" s="89"/>
      <c r="P248" s="55"/>
      <c r="Q248" s="183"/>
      <c r="R248" s="184"/>
      <c r="S248" s="185"/>
      <c r="T248" s="172"/>
      <c r="U248" s="183"/>
      <c r="V248" s="184"/>
      <c r="W248" s="185"/>
      <c r="X248" s="172"/>
      <c r="Y248" s="137"/>
      <c r="Z248" s="186"/>
      <c r="AA248" s="187"/>
      <c r="AB248" s="188"/>
      <c r="AC248" s="137"/>
      <c r="AD248" s="184"/>
      <c r="AE248" s="189"/>
      <c r="AF248" s="190"/>
      <c r="AG248" s="143"/>
      <c r="AH248" s="143"/>
      <c r="AI248" s="143"/>
      <c r="AJ248" s="143"/>
      <c r="AK248" s="172"/>
      <c r="AL248" s="172"/>
    </row>
    <row r="249">
      <c r="A249" s="137"/>
      <c r="B249" s="88"/>
      <c r="C249" s="89"/>
      <c r="D249" s="55"/>
      <c r="E249" s="137"/>
      <c r="F249" s="88"/>
      <c r="G249" s="180"/>
      <c r="H249" s="181"/>
      <c r="I249" s="137"/>
      <c r="J249" s="88"/>
      <c r="K249" s="89"/>
      <c r="L249" s="55"/>
      <c r="M249" s="137"/>
      <c r="N249" s="182"/>
      <c r="O249" s="89"/>
      <c r="P249" s="55"/>
      <c r="Q249" s="183"/>
      <c r="R249" s="184"/>
      <c r="S249" s="185"/>
      <c r="T249" s="172"/>
      <c r="U249" s="183"/>
      <c r="V249" s="184"/>
      <c r="W249" s="185"/>
      <c r="X249" s="172"/>
      <c r="Y249" s="137"/>
      <c r="Z249" s="186"/>
      <c r="AA249" s="187"/>
      <c r="AB249" s="188"/>
      <c r="AC249" s="137"/>
      <c r="AD249" s="184"/>
      <c r="AE249" s="189"/>
      <c r="AF249" s="190"/>
      <c r="AG249" s="143"/>
      <c r="AH249" s="143"/>
      <c r="AI249" s="143"/>
      <c r="AJ249" s="143"/>
      <c r="AK249" s="172"/>
      <c r="AL249" s="172"/>
    </row>
    <row r="250">
      <c r="A250" s="137"/>
      <c r="B250" s="88"/>
      <c r="C250" s="89"/>
      <c r="D250" s="55"/>
      <c r="E250" s="137"/>
      <c r="F250" s="88"/>
      <c r="G250" s="180"/>
      <c r="H250" s="181"/>
      <c r="I250" s="137"/>
      <c r="J250" s="88"/>
      <c r="K250" s="89"/>
      <c r="L250" s="55"/>
      <c r="M250" s="137"/>
      <c r="N250" s="182"/>
      <c r="O250" s="89"/>
      <c r="P250" s="55"/>
      <c r="Q250" s="183"/>
      <c r="R250" s="184"/>
      <c r="S250" s="185"/>
      <c r="T250" s="172"/>
      <c r="U250" s="183"/>
      <c r="V250" s="184"/>
      <c r="W250" s="185"/>
      <c r="X250" s="172"/>
      <c r="Y250" s="137"/>
      <c r="Z250" s="186"/>
      <c r="AA250" s="187"/>
      <c r="AB250" s="188"/>
      <c r="AC250" s="137"/>
      <c r="AD250" s="184"/>
      <c r="AE250" s="189"/>
      <c r="AF250" s="190"/>
      <c r="AG250" s="143"/>
      <c r="AH250" s="143"/>
      <c r="AI250" s="143"/>
      <c r="AJ250" s="143"/>
      <c r="AK250" s="172"/>
      <c r="AL250" s="172"/>
    </row>
    <row r="251">
      <c r="A251" s="137"/>
      <c r="B251" s="88"/>
      <c r="C251" s="89"/>
      <c r="D251" s="55"/>
      <c r="E251" s="137"/>
      <c r="F251" s="88"/>
      <c r="G251" s="180"/>
      <c r="H251" s="181"/>
      <c r="I251" s="137"/>
      <c r="J251" s="88"/>
      <c r="K251" s="89"/>
      <c r="L251" s="55"/>
      <c r="M251" s="137"/>
      <c r="N251" s="182"/>
      <c r="O251" s="89"/>
      <c r="P251" s="55"/>
      <c r="Q251" s="183"/>
      <c r="R251" s="184"/>
      <c r="S251" s="185"/>
      <c r="T251" s="172"/>
      <c r="U251" s="183"/>
      <c r="V251" s="184"/>
      <c r="W251" s="185"/>
      <c r="X251" s="172"/>
      <c r="Y251" s="137"/>
      <c r="Z251" s="186"/>
      <c r="AA251" s="187"/>
      <c r="AB251" s="188"/>
      <c r="AC251" s="137"/>
      <c r="AD251" s="184"/>
      <c r="AE251" s="189"/>
      <c r="AF251" s="190"/>
      <c r="AG251" s="143"/>
      <c r="AH251" s="143"/>
      <c r="AI251" s="143"/>
      <c r="AJ251" s="143"/>
      <c r="AK251" s="172"/>
      <c r="AL251" s="172"/>
    </row>
    <row r="252">
      <c r="A252" s="137"/>
      <c r="B252" s="88"/>
      <c r="C252" s="89"/>
      <c r="D252" s="55"/>
      <c r="E252" s="137"/>
      <c r="F252" s="88"/>
      <c r="G252" s="180"/>
      <c r="H252" s="181"/>
      <c r="I252" s="137"/>
      <c r="J252" s="88"/>
      <c r="K252" s="89"/>
      <c r="L252" s="55"/>
      <c r="M252" s="137"/>
      <c r="N252" s="182"/>
      <c r="O252" s="89"/>
      <c r="P252" s="55"/>
      <c r="Q252" s="183"/>
      <c r="R252" s="184"/>
      <c r="S252" s="185"/>
      <c r="T252" s="172"/>
      <c r="U252" s="183"/>
      <c r="V252" s="184"/>
      <c r="W252" s="185"/>
      <c r="X252" s="172"/>
      <c r="Y252" s="137"/>
      <c r="Z252" s="186"/>
      <c r="AA252" s="187"/>
      <c r="AB252" s="188"/>
      <c r="AC252" s="137"/>
      <c r="AD252" s="184"/>
      <c r="AE252" s="189"/>
      <c r="AF252" s="190"/>
      <c r="AG252" s="143"/>
      <c r="AH252" s="143"/>
      <c r="AI252" s="143"/>
      <c r="AJ252" s="143"/>
      <c r="AK252" s="172"/>
      <c r="AL252" s="172"/>
    </row>
    <row r="253">
      <c r="A253" s="137"/>
      <c r="B253" s="88"/>
      <c r="C253" s="89"/>
      <c r="D253" s="55"/>
      <c r="E253" s="137"/>
      <c r="F253" s="88"/>
      <c r="G253" s="180"/>
      <c r="H253" s="181"/>
      <c r="I253" s="137"/>
      <c r="J253" s="88"/>
      <c r="K253" s="89"/>
      <c r="L253" s="55"/>
      <c r="M253" s="137"/>
      <c r="N253" s="182"/>
      <c r="O253" s="89"/>
      <c r="P253" s="55"/>
      <c r="Q253" s="183"/>
      <c r="R253" s="184"/>
      <c r="S253" s="185"/>
      <c r="T253" s="172"/>
      <c r="U253" s="183"/>
      <c r="V253" s="184"/>
      <c r="W253" s="185"/>
      <c r="X253" s="172"/>
      <c r="Y253" s="137"/>
      <c r="Z253" s="186"/>
      <c r="AA253" s="187"/>
      <c r="AB253" s="188"/>
      <c r="AC253" s="137"/>
      <c r="AD253" s="184"/>
      <c r="AE253" s="189"/>
      <c r="AF253" s="190"/>
      <c r="AG253" s="143"/>
      <c r="AH253" s="143"/>
      <c r="AI253" s="143"/>
      <c r="AJ253" s="143"/>
      <c r="AK253" s="172"/>
      <c r="AL253" s="172"/>
    </row>
    <row r="254">
      <c r="A254" s="137"/>
      <c r="B254" s="88"/>
      <c r="C254" s="89"/>
      <c r="D254" s="55"/>
      <c r="E254" s="137"/>
      <c r="F254" s="88"/>
      <c r="G254" s="180"/>
      <c r="H254" s="181"/>
      <c r="I254" s="137"/>
      <c r="J254" s="88"/>
      <c r="K254" s="89"/>
      <c r="L254" s="55"/>
      <c r="M254" s="137"/>
      <c r="N254" s="182"/>
      <c r="O254" s="89"/>
      <c r="P254" s="55"/>
      <c r="Q254" s="183"/>
      <c r="R254" s="184"/>
      <c r="S254" s="185"/>
      <c r="T254" s="172"/>
      <c r="U254" s="183"/>
      <c r="V254" s="184"/>
      <c r="W254" s="185"/>
      <c r="X254" s="172"/>
      <c r="Y254" s="137"/>
      <c r="Z254" s="186"/>
      <c r="AA254" s="187"/>
      <c r="AB254" s="188"/>
      <c r="AC254" s="137"/>
      <c r="AD254" s="184"/>
      <c r="AE254" s="189"/>
      <c r="AF254" s="190"/>
      <c r="AG254" s="143"/>
      <c r="AH254" s="143"/>
      <c r="AI254" s="143"/>
      <c r="AJ254" s="143"/>
      <c r="AK254" s="172"/>
      <c r="AL254" s="172"/>
    </row>
    <row r="255">
      <c r="A255" s="137"/>
      <c r="B255" s="88"/>
      <c r="C255" s="89"/>
      <c r="D255" s="55"/>
      <c r="E255" s="137"/>
      <c r="F255" s="88"/>
      <c r="G255" s="180"/>
      <c r="H255" s="181"/>
      <c r="I255" s="137"/>
      <c r="J255" s="88"/>
      <c r="K255" s="89"/>
      <c r="L255" s="55"/>
      <c r="M255" s="137"/>
      <c r="N255" s="182"/>
      <c r="O255" s="89"/>
      <c r="P255" s="55"/>
      <c r="Q255" s="183"/>
      <c r="R255" s="184"/>
      <c r="S255" s="185"/>
      <c r="T255" s="172"/>
      <c r="U255" s="183"/>
      <c r="V255" s="184"/>
      <c r="W255" s="185"/>
      <c r="X255" s="172"/>
      <c r="Y255" s="137"/>
      <c r="Z255" s="186"/>
      <c r="AA255" s="187"/>
      <c r="AB255" s="188"/>
      <c r="AC255" s="137"/>
      <c r="AD255" s="184"/>
      <c r="AE255" s="189"/>
      <c r="AF255" s="190"/>
      <c r="AG255" s="143"/>
      <c r="AH255" s="143"/>
      <c r="AI255" s="143"/>
      <c r="AJ255" s="143"/>
      <c r="AK255" s="172"/>
      <c r="AL255" s="172"/>
    </row>
    <row r="256">
      <c r="A256" s="137"/>
      <c r="B256" s="88"/>
      <c r="C256" s="89"/>
      <c r="D256" s="55"/>
      <c r="E256" s="137"/>
      <c r="F256" s="88"/>
      <c r="G256" s="180"/>
      <c r="H256" s="181"/>
      <c r="I256" s="137"/>
      <c r="J256" s="88"/>
      <c r="K256" s="89"/>
      <c r="L256" s="55"/>
      <c r="M256" s="137"/>
      <c r="N256" s="182"/>
      <c r="O256" s="89"/>
      <c r="P256" s="55"/>
      <c r="Q256" s="183"/>
      <c r="R256" s="184"/>
      <c r="S256" s="185"/>
      <c r="T256" s="172"/>
      <c r="U256" s="183"/>
      <c r="V256" s="184"/>
      <c r="W256" s="185"/>
      <c r="X256" s="172"/>
      <c r="Y256" s="137"/>
      <c r="Z256" s="186"/>
      <c r="AA256" s="187"/>
      <c r="AB256" s="188"/>
      <c r="AC256" s="137"/>
      <c r="AD256" s="184"/>
      <c r="AE256" s="189"/>
      <c r="AF256" s="190"/>
      <c r="AG256" s="143"/>
      <c r="AH256" s="143"/>
      <c r="AI256" s="143"/>
      <c r="AJ256" s="143"/>
      <c r="AK256" s="172"/>
      <c r="AL256" s="172"/>
    </row>
    <row r="257">
      <c r="A257" s="137"/>
      <c r="B257" s="88"/>
      <c r="C257" s="89"/>
      <c r="D257" s="55"/>
      <c r="E257" s="137"/>
      <c r="F257" s="88"/>
      <c r="G257" s="180"/>
      <c r="H257" s="181"/>
      <c r="I257" s="137"/>
      <c r="J257" s="88"/>
      <c r="K257" s="89"/>
      <c r="L257" s="55"/>
      <c r="M257" s="137"/>
      <c r="N257" s="182"/>
      <c r="O257" s="89"/>
      <c r="P257" s="55"/>
      <c r="Q257" s="183"/>
      <c r="R257" s="184"/>
      <c r="S257" s="185"/>
      <c r="T257" s="172"/>
      <c r="U257" s="183"/>
      <c r="V257" s="184"/>
      <c r="W257" s="185"/>
      <c r="X257" s="172"/>
      <c r="Y257" s="137"/>
      <c r="Z257" s="186"/>
      <c r="AA257" s="187"/>
      <c r="AB257" s="188"/>
      <c r="AC257" s="137"/>
      <c r="AD257" s="184"/>
      <c r="AE257" s="189"/>
      <c r="AF257" s="190"/>
      <c r="AG257" s="143"/>
      <c r="AH257" s="143"/>
      <c r="AI257" s="143"/>
      <c r="AJ257" s="143"/>
      <c r="AK257" s="172"/>
      <c r="AL257" s="172"/>
    </row>
    <row r="258">
      <c r="A258" s="137"/>
      <c r="B258" s="88"/>
      <c r="C258" s="89"/>
      <c r="D258" s="55"/>
      <c r="E258" s="137"/>
      <c r="F258" s="88"/>
      <c r="G258" s="180"/>
      <c r="H258" s="181"/>
      <c r="I258" s="137"/>
      <c r="J258" s="88"/>
      <c r="K258" s="89"/>
      <c r="L258" s="55"/>
      <c r="M258" s="137"/>
      <c r="N258" s="182"/>
      <c r="O258" s="89"/>
      <c r="P258" s="55"/>
      <c r="Q258" s="183"/>
      <c r="R258" s="184"/>
      <c r="S258" s="185"/>
      <c r="T258" s="172"/>
      <c r="U258" s="183"/>
      <c r="V258" s="184"/>
      <c r="W258" s="185"/>
      <c r="X258" s="172"/>
      <c r="Y258" s="137"/>
      <c r="Z258" s="186"/>
      <c r="AA258" s="187"/>
      <c r="AB258" s="188"/>
      <c r="AC258" s="137"/>
      <c r="AD258" s="184"/>
      <c r="AE258" s="189"/>
      <c r="AF258" s="190"/>
      <c r="AG258" s="143"/>
      <c r="AH258" s="143"/>
      <c r="AI258" s="143"/>
      <c r="AJ258" s="143"/>
      <c r="AK258" s="172"/>
      <c r="AL258" s="172"/>
    </row>
    <row r="259">
      <c r="A259" s="137"/>
      <c r="B259" s="88"/>
      <c r="C259" s="89"/>
      <c r="D259" s="55"/>
      <c r="E259" s="137"/>
      <c r="F259" s="88"/>
      <c r="G259" s="180"/>
      <c r="H259" s="181"/>
      <c r="I259" s="137"/>
      <c r="J259" s="88"/>
      <c r="K259" s="89"/>
      <c r="L259" s="55"/>
      <c r="M259" s="137"/>
      <c r="N259" s="182"/>
      <c r="O259" s="89"/>
      <c r="P259" s="55"/>
      <c r="Q259" s="183"/>
      <c r="R259" s="184"/>
      <c r="S259" s="185"/>
      <c r="T259" s="172"/>
      <c r="U259" s="183"/>
      <c r="V259" s="184"/>
      <c r="W259" s="185"/>
      <c r="X259" s="172"/>
      <c r="Y259" s="137"/>
      <c r="Z259" s="186"/>
      <c r="AA259" s="187"/>
      <c r="AB259" s="188"/>
      <c r="AC259" s="137"/>
      <c r="AD259" s="184"/>
      <c r="AE259" s="189"/>
      <c r="AF259" s="190"/>
      <c r="AG259" s="143"/>
      <c r="AH259" s="143"/>
      <c r="AI259" s="143"/>
      <c r="AJ259" s="143"/>
      <c r="AK259" s="172"/>
      <c r="AL259" s="172"/>
    </row>
    <row r="260">
      <c r="A260" s="137"/>
      <c r="B260" s="88"/>
      <c r="C260" s="89"/>
      <c r="D260" s="55"/>
      <c r="E260" s="137"/>
      <c r="F260" s="88"/>
      <c r="G260" s="180"/>
      <c r="H260" s="181"/>
      <c r="I260" s="137"/>
      <c r="J260" s="88"/>
      <c r="K260" s="89"/>
      <c r="L260" s="55"/>
      <c r="M260" s="137"/>
      <c r="N260" s="182"/>
      <c r="O260" s="89"/>
      <c r="P260" s="55"/>
      <c r="Q260" s="183"/>
      <c r="R260" s="184"/>
      <c r="S260" s="185"/>
      <c r="T260" s="172"/>
      <c r="U260" s="183"/>
      <c r="V260" s="184"/>
      <c r="W260" s="185"/>
      <c r="X260" s="172"/>
      <c r="Y260" s="137"/>
      <c r="Z260" s="186"/>
      <c r="AA260" s="187"/>
      <c r="AB260" s="188"/>
      <c r="AC260" s="137"/>
      <c r="AD260" s="184"/>
      <c r="AE260" s="189"/>
      <c r="AF260" s="190"/>
      <c r="AG260" s="143"/>
      <c r="AH260" s="143"/>
      <c r="AI260" s="143"/>
      <c r="AJ260" s="143"/>
      <c r="AK260" s="172"/>
      <c r="AL260" s="172"/>
    </row>
    <row r="261">
      <c r="A261" s="137"/>
      <c r="B261" s="88"/>
      <c r="C261" s="89"/>
      <c r="D261" s="55"/>
      <c r="E261" s="137"/>
      <c r="F261" s="88"/>
      <c r="G261" s="180"/>
      <c r="H261" s="181"/>
      <c r="I261" s="137"/>
      <c r="J261" s="88"/>
      <c r="K261" s="89"/>
      <c r="L261" s="55"/>
      <c r="M261" s="137"/>
      <c r="N261" s="182"/>
      <c r="O261" s="89"/>
      <c r="P261" s="55"/>
      <c r="Q261" s="183"/>
      <c r="R261" s="184"/>
      <c r="S261" s="185"/>
      <c r="T261" s="172"/>
      <c r="U261" s="183"/>
      <c r="V261" s="184"/>
      <c r="W261" s="185"/>
      <c r="X261" s="172"/>
      <c r="Y261" s="137"/>
      <c r="Z261" s="186"/>
      <c r="AA261" s="187"/>
      <c r="AB261" s="188"/>
      <c r="AC261" s="137"/>
      <c r="AD261" s="184"/>
      <c r="AE261" s="189"/>
      <c r="AF261" s="190"/>
      <c r="AG261" s="143"/>
      <c r="AH261" s="143"/>
      <c r="AI261" s="143"/>
      <c r="AJ261" s="143"/>
      <c r="AK261" s="172"/>
      <c r="AL261" s="172"/>
    </row>
    <row r="262">
      <c r="A262" s="137"/>
      <c r="B262" s="88"/>
      <c r="C262" s="89"/>
      <c r="D262" s="55"/>
      <c r="E262" s="137"/>
      <c r="F262" s="88"/>
      <c r="G262" s="180"/>
      <c r="H262" s="181"/>
      <c r="I262" s="137"/>
      <c r="J262" s="88"/>
      <c r="K262" s="89"/>
      <c r="L262" s="55"/>
      <c r="M262" s="137"/>
      <c r="N262" s="182"/>
      <c r="O262" s="89"/>
      <c r="P262" s="55"/>
      <c r="Q262" s="183"/>
      <c r="R262" s="184"/>
      <c r="S262" s="185"/>
      <c r="T262" s="172"/>
      <c r="U262" s="183"/>
      <c r="V262" s="184"/>
      <c r="W262" s="185"/>
      <c r="X262" s="172"/>
      <c r="Y262" s="137"/>
      <c r="Z262" s="186"/>
      <c r="AA262" s="187"/>
      <c r="AB262" s="188"/>
      <c r="AC262" s="137"/>
      <c r="AD262" s="184"/>
      <c r="AE262" s="189"/>
      <c r="AF262" s="190"/>
      <c r="AG262" s="143"/>
      <c r="AH262" s="143"/>
      <c r="AI262" s="143"/>
      <c r="AJ262" s="143"/>
      <c r="AK262" s="172"/>
      <c r="AL262" s="172"/>
    </row>
    <row r="263">
      <c r="A263" s="137"/>
      <c r="B263" s="88"/>
      <c r="C263" s="89"/>
      <c r="D263" s="55"/>
      <c r="E263" s="137"/>
      <c r="F263" s="88"/>
      <c r="G263" s="180"/>
      <c r="H263" s="181"/>
      <c r="I263" s="137"/>
      <c r="J263" s="88"/>
      <c r="K263" s="89"/>
      <c r="L263" s="55"/>
      <c r="M263" s="137"/>
      <c r="N263" s="182"/>
      <c r="O263" s="89"/>
      <c r="P263" s="55"/>
      <c r="Q263" s="183"/>
      <c r="R263" s="184"/>
      <c r="S263" s="185"/>
      <c r="T263" s="172"/>
      <c r="U263" s="183"/>
      <c r="V263" s="184"/>
      <c r="W263" s="185"/>
      <c r="X263" s="172"/>
      <c r="Y263" s="137"/>
      <c r="Z263" s="186"/>
      <c r="AA263" s="187"/>
      <c r="AB263" s="188"/>
      <c r="AC263" s="137"/>
      <c r="AD263" s="184"/>
      <c r="AE263" s="189"/>
      <c r="AF263" s="190"/>
      <c r="AG263" s="143"/>
      <c r="AH263" s="143"/>
      <c r="AI263" s="143"/>
      <c r="AJ263" s="143"/>
      <c r="AK263" s="172"/>
      <c r="AL263" s="172"/>
    </row>
    <row r="264">
      <c r="A264" s="137"/>
      <c r="B264" s="88"/>
      <c r="C264" s="89"/>
      <c r="D264" s="55"/>
      <c r="E264" s="137"/>
      <c r="F264" s="88"/>
      <c r="G264" s="180"/>
      <c r="H264" s="181"/>
      <c r="I264" s="137"/>
      <c r="J264" s="88"/>
      <c r="K264" s="89"/>
      <c r="L264" s="55"/>
      <c r="M264" s="137"/>
      <c r="N264" s="182"/>
      <c r="O264" s="89"/>
      <c r="P264" s="55"/>
      <c r="Q264" s="183"/>
      <c r="R264" s="184"/>
      <c r="S264" s="185"/>
      <c r="T264" s="172"/>
      <c r="U264" s="183"/>
      <c r="V264" s="184"/>
      <c r="W264" s="185"/>
      <c r="X264" s="172"/>
      <c r="Y264" s="137"/>
      <c r="Z264" s="186"/>
      <c r="AA264" s="187"/>
      <c r="AB264" s="188"/>
      <c r="AC264" s="137"/>
      <c r="AD264" s="184"/>
      <c r="AE264" s="189"/>
      <c r="AF264" s="190"/>
      <c r="AG264" s="143"/>
      <c r="AH264" s="143"/>
      <c r="AI264" s="143"/>
      <c r="AJ264" s="143"/>
      <c r="AK264" s="172"/>
      <c r="AL264" s="172"/>
    </row>
    <row r="265">
      <c r="A265" s="137"/>
      <c r="B265" s="88"/>
      <c r="C265" s="89"/>
      <c r="D265" s="55"/>
      <c r="E265" s="137"/>
      <c r="F265" s="88"/>
      <c r="G265" s="180"/>
      <c r="H265" s="181"/>
      <c r="I265" s="137"/>
      <c r="J265" s="88"/>
      <c r="K265" s="89"/>
      <c r="L265" s="55"/>
      <c r="M265" s="137"/>
      <c r="N265" s="182"/>
      <c r="O265" s="89"/>
      <c r="P265" s="55"/>
      <c r="Q265" s="183"/>
      <c r="R265" s="184"/>
      <c r="S265" s="185"/>
      <c r="T265" s="172"/>
      <c r="U265" s="183"/>
      <c r="V265" s="184"/>
      <c r="W265" s="185"/>
      <c r="X265" s="172"/>
      <c r="Y265" s="137"/>
      <c r="Z265" s="186"/>
      <c r="AA265" s="187"/>
      <c r="AB265" s="188"/>
      <c r="AC265" s="137"/>
      <c r="AD265" s="184"/>
      <c r="AE265" s="189"/>
      <c r="AF265" s="190"/>
      <c r="AG265" s="143"/>
      <c r="AH265" s="143"/>
      <c r="AI265" s="143"/>
      <c r="AJ265" s="143"/>
      <c r="AK265" s="172"/>
      <c r="AL265" s="172"/>
    </row>
    <row r="266">
      <c r="A266" s="137"/>
      <c r="B266" s="88"/>
      <c r="C266" s="89"/>
      <c r="D266" s="55"/>
      <c r="E266" s="137"/>
      <c r="F266" s="88"/>
      <c r="G266" s="180"/>
      <c r="H266" s="181"/>
      <c r="I266" s="137"/>
      <c r="J266" s="88"/>
      <c r="K266" s="89"/>
      <c r="L266" s="55"/>
      <c r="M266" s="137"/>
      <c r="N266" s="182"/>
      <c r="O266" s="89"/>
      <c r="P266" s="55"/>
      <c r="Q266" s="183"/>
      <c r="R266" s="184"/>
      <c r="S266" s="185"/>
      <c r="T266" s="172"/>
      <c r="U266" s="183"/>
      <c r="V266" s="184"/>
      <c r="W266" s="185"/>
      <c r="X266" s="172"/>
      <c r="Y266" s="137"/>
      <c r="Z266" s="186"/>
      <c r="AA266" s="187"/>
      <c r="AB266" s="188"/>
      <c r="AC266" s="137"/>
      <c r="AD266" s="184"/>
      <c r="AE266" s="189"/>
      <c r="AF266" s="190"/>
      <c r="AG266" s="143"/>
      <c r="AH266" s="143"/>
      <c r="AI266" s="143"/>
      <c r="AJ266" s="143"/>
      <c r="AK266" s="172"/>
      <c r="AL266" s="172"/>
    </row>
    <row r="267">
      <c r="A267" s="137"/>
      <c r="B267" s="88"/>
      <c r="C267" s="89"/>
      <c r="D267" s="55"/>
      <c r="E267" s="137"/>
      <c r="F267" s="88"/>
      <c r="G267" s="180"/>
      <c r="H267" s="181"/>
      <c r="I267" s="137"/>
      <c r="J267" s="88"/>
      <c r="K267" s="89"/>
      <c r="L267" s="55"/>
      <c r="M267" s="137"/>
      <c r="N267" s="182"/>
      <c r="O267" s="89"/>
      <c r="P267" s="55"/>
      <c r="Q267" s="183"/>
      <c r="R267" s="184"/>
      <c r="S267" s="185"/>
      <c r="T267" s="172"/>
      <c r="U267" s="183"/>
      <c r="V267" s="184"/>
      <c r="W267" s="185"/>
      <c r="X267" s="172"/>
      <c r="Y267" s="137"/>
      <c r="Z267" s="186"/>
      <c r="AA267" s="187"/>
      <c r="AB267" s="188"/>
      <c r="AC267" s="137"/>
      <c r="AD267" s="184"/>
      <c r="AE267" s="189"/>
      <c r="AF267" s="190"/>
      <c r="AG267" s="143"/>
      <c r="AH267" s="143"/>
      <c r="AI267" s="143"/>
      <c r="AJ267" s="143"/>
      <c r="AK267" s="172"/>
      <c r="AL267" s="172"/>
    </row>
    <row r="268">
      <c r="A268" s="137"/>
      <c r="B268" s="88"/>
      <c r="C268" s="89"/>
      <c r="D268" s="55"/>
      <c r="E268" s="137"/>
      <c r="F268" s="88"/>
      <c r="G268" s="180"/>
      <c r="H268" s="181"/>
      <c r="I268" s="137"/>
      <c r="J268" s="88"/>
      <c r="K268" s="89"/>
      <c r="L268" s="55"/>
      <c r="M268" s="137"/>
      <c r="N268" s="182"/>
      <c r="O268" s="89"/>
      <c r="P268" s="55"/>
      <c r="Q268" s="183"/>
      <c r="R268" s="184"/>
      <c r="S268" s="185"/>
      <c r="T268" s="172"/>
      <c r="U268" s="183"/>
      <c r="V268" s="184"/>
      <c r="W268" s="185"/>
      <c r="X268" s="172"/>
      <c r="Y268" s="137"/>
      <c r="Z268" s="186"/>
      <c r="AA268" s="187"/>
      <c r="AB268" s="188"/>
      <c r="AC268" s="137"/>
      <c r="AD268" s="184"/>
      <c r="AE268" s="189"/>
      <c r="AF268" s="190"/>
      <c r="AG268" s="143"/>
      <c r="AH268" s="143"/>
      <c r="AI268" s="143"/>
      <c r="AJ268" s="143"/>
      <c r="AK268" s="172"/>
      <c r="AL268" s="172"/>
    </row>
    <row r="269">
      <c r="A269" s="137"/>
      <c r="B269" s="88"/>
      <c r="C269" s="89"/>
      <c r="D269" s="55"/>
      <c r="E269" s="137"/>
      <c r="F269" s="88"/>
      <c r="G269" s="180"/>
      <c r="H269" s="181"/>
      <c r="I269" s="137"/>
      <c r="J269" s="88"/>
      <c r="K269" s="89"/>
      <c r="L269" s="55"/>
      <c r="M269" s="137"/>
      <c r="N269" s="182"/>
      <c r="O269" s="89"/>
      <c r="P269" s="55"/>
      <c r="Q269" s="183"/>
      <c r="R269" s="184"/>
      <c r="S269" s="185"/>
      <c r="T269" s="172"/>
      <c r="U269" s="183"/>
      <c r="V269" s="184"/>
      <c r="W269" s="185"/>
      <c r="X269" s="172"/>
      <c r="Y269" s="137"/>
      <c r="Z269" s="186"/>
      <c r="AA269" s="187"/>
      <c r="AB269" s="188"/>
      <c r="AC269" s="137"/>
      <c r="AD269" s="184"/>
      <c r="AE269" s="189"/>
      <c r="AF269" s="190"/>
      <c r="AG269" s="143"/>
      <c r="AH269" s="143"/>
      <c r="AI269" s="143"/>
      <c r="AJ269" s="143"/>
      <c r="AK269" s="172"/>
      <c r="AL269" s="172"/>
    </row>
    <row r="270">
      <c r="A270" s="137"/>
      <c r="B270" s="88"/>
      <c r="C270" s="89"/>
      <c r="D270" s="55"/>
      <c r="E270" s="137"/>
      <c r="F270" s="88"/>
      <c r="G270" s="180"/>
      <c r="H270" s="181"/>
      <c r="I270" s="137"/>
      <c r="J270" s="88"/>
      <c r="K270" s="89"/>
      <c r="L270" s="55"/>
      <c r="M270" s="137"/>
      <c r="N270" s="182"/>
      <c r="O270" s="89"/>
      <c r="P270" s="55"/>
      <c r="Q270" s="183"/>
      <c r="R270" s="184"/>
      <c r="S270" s="185"/>
      <c r="T270" s="172"/>
      <c r="U270" s="183"/>
      <c r="V270" s="184"/>
      <c r="W270" s="185"/>
      <c r="X270" s="172"/>
      <c r="Y270" s="137"/>
      <c r="Z270" s="186"/>
      <c r="AA270" s="187"/>
      <c r="AB270" s="188"/>
      <c r="AC270" s="137"/>
      <c r="AD270" s="184"/>
      <c r="AE270" s="189"/>
      <c r="AF270" s="190"/>
      <c r="AG270" s="143"/>
      <c r="AH270" s="143"/>
      <c r="AI270" s="143"/>
      <c r="AJ270" s="143"/>
      <c r="AK270" s="172"/>
      <c r="AL270" s="172"/>
    </row>
    <row r="271">
      <c r="A271" s="137"/>
      <c r="B271" s="88"/>
      <c r="C271" s="89"/>
      <c r="D271" s="55"/>
      <c r="E271" s="137"/>
      <c r="F271" s="88"/>
      <c r="G271" s="180"/>
      <c r="H271" s="181"/>
      <c r="I271" s="137"/>
      <c r="J271" s="88"/>
      <c r="K271" s="89"/>
      <c r="L271" s="55"/>
      <c r="M271" s="137"/>
      <c r="N271" s="182"/>
      <c r="O271" s="89"/>
      <c r="P271" s="55"/>
      <c r="Q271" s="183"/>
      <c r="R271" s="184"/>
      <c r="S271" s="185"/>
      <c r="T271" s="172"/>
      <c r="U271" s="183"/>
      <c r="V271" s="184"/>
      <c r="W271" s="185"/>
      <c r="X271" s="172"/>
      <c r="Y271" s="137"/>
      <c r="Z271" s="186"/>
      <c r="AA271" s="187"/>
      <c r="AB271" s="188"/>
      <c r="AC271" s="137"/>
      <c r="AD271" s="184"/>
      <c r="AE271" s="189"/>
      <c r="AF271" s="190"/>
      <c r="AG271" s="143"/>
      <c r="AH271" s="143"/>
      <c r="AI271" s="143"/>
      <c r="AJ271" s="143"/>
      <c r="AK271" s="172"/>
      <c r="AL271" s="172"/>
    </row>
    <row r="272">
      <c r="A272" s="137"/>
      <c r="B272" s="88"/>
      <c r="C272" s="89"/>
      <c r="D272" s="55"/>
      <c r="E272" s="137"/>
      <c r="F272" s="88"/>
      <c r="G272" s="180"/>
      <c r="H272" s="181"/>
      <c r="I272" s="137"/>
      <c r="J272" s="88"/>
      <c r="K272" s="89"/>
      <c r="L272" s="55"/>
      <c r="M272" s="137"/>
      <c r="N272" s="182"/>
      <c r="O272" s="89"/>
      <c r="P272" s="55"/>
      <c r="Q272" s="183"/>
      <c r="R272" s="184"/>
      <c r="S272" s="185"/>
      <c r="T272" s="172"/>
      <c r="U272" s="183"/>
      <c r="V272" s="184"/>
      <c r="W272" s="185"/>
      <c r="X272" s="172"/>
      <c r="Y272" s="137"/>
      <c r="Z272" s="186"/>
      <c r="AA272" s="187"/>
      <c r="AB272" s="188"/>
      <c r="AC272" s="137"/>
      <c r="AD272" s="184"/>
      <c r="AE272" s="189"/>
      <c r="AF272" s="190"/>
      <c r="AG272" s="143"/>
      <c r="AH272" s="143"/>
      <c r="AI272" s="143"/>
      <c r="AJ272" s="143"/>
      <c r="AK272" s="172"/>
      <c r="AL272" s="172"/>
    </row>
    <row r="273">
      <c r="A273" s="137"/>
      <c r="B273" s="88"/>
      <c r="C273" s="89"/>
      <c r="D273" s="55"/>
      <c r="E273" s="137"/>
      <c r="F273" s="88"/>
      <c r="G273" s="180"/>
      <c r="H273" s="181"/>
      <c r="I273" s="137"/>
      <c r="J273" s="88"/>
      <c r="K273" s="89"/>
      <c r="L273" s="55"/>
      <c r="M273" s="137"/>
      <c r="N273" s="182"/>
      <c r="O273" s="89"/>
      <c r="P273" s="55"/>
      <c r="Q273" s="183"/>
      <c r="R273" s="184"/>
      <c r="S273" s="185"/>
      <c r="T273" s="172"/>
      <c r="U273" s="183"/>
      <c r="V273" s="184"/>
      <c r="W273" s="185"/>
      <c r="X273" s="172"/>
      <c r="Y273" s="137"/>
      <c r="Z273" s="186"/>
      <c r="AA273" s="187"/>
      <c r="AB273" s="188"/>
      <c r="AC273" s="137"/>
      <c r="AD273" s="184"/>
      <c r="AE273" s="189"/>
      <c r="AF273" s="190"/>
      <c r="AG273" s="143"/>
      <c r="AH273" s="143"/>
      <c r="AI273" s="143"/>
      <c r="AJ273" s="143"/>
      <c r="AK273" s="172"/>
      <c r="AL273" s="172"/>
    </row>
    <row r="274">
      <c r="A274" s="137"/>
      <c r="B274" s="88"/>
      <c r="C274" s="89"/>
      <c r="D274" s="55"/>
      <c r="E274" s="137"/>
      <c r="F274" s="88"/>
      <c r="G274" s="180"/>
      <c r="H274" s="181"/>
      <c r="I274" s="137"/>
      <c r="J274" s="88"/>
      <c r="K274" s="89"/>
      <c r="L274" s="55"/>
      <c r="M274" s="137"/>
      <c r="N274" s="182"/>
      <c r="O274" s="89"/>
      <c r="P274" s="55"/>
      <c r="Q274" s="183"/>
      <c r="R274" s="184"/>
      <c r="S274" s="185"/>
      <c r="T274" s="172"/>
      <c r="U274" s="183"/>
      <c r="V274" s="184"/>
      <c r="W274" s="185"/>
      <c r="X274" s="172"/>
      <c r="Y274" s="137"/>
      <c r="Z274" s="186"/>
      <c r="AA274" s="187"/>
      <c r="AB274" s="188"/>
      <c r="AC274" s="137"/>
      <c r="AD274" s="184"/>
      <c r="AE274" s="189"/>
      <c r="AF274" s="190"/>
      <c r="AG274" s="143"/>
      <c r="AH274" s="143"/>
      <c r="AI274" s="143"/>
      <c r="AJ274" s="143"/>
      <c r="AK274" s="172"/>
      <c r="AL274" s="172"/>
    </row>
    <row r="275">
      <c r="A275" s="137"/>
      <c r="B275" s="88"/>
      <c r="C275" s="89"/>
      <c r="D275" s="55"/>
      <c r="E275" s="137"/>
      <c r="F275" s="88"/>
      <c r="G275" s="180"/>
      <c r="H275" s="181"/>
      <c r="I275" s="137"/>
      <c r="J275" s="88"/>
      <c r="K275" s="89"/>
      <c r="L275" s="55"/>
      <c r="M275" s="137"/>
      <c r="N275" s="182"/>
      <c r="O275" s="89"/>
      <c r="P275" s="55"/>
      <c r="Q275" s="183"/>
      <c r="R275" s="184"/>
      <c r="S275" s="185"/>
      <c r="T275" s="172"/>
      <c r="U275" s="183"/>
      <c r="V275" s="184"/>
      <c r="W275" s="185"/>
      <c r="X275" s="172"/>
      <c r="Y275" s="137"/>
      <c r="Z275" s="186"/>
      <c r="AA275" s="187"/>
      <c r="AB275" s="188"/>
      <c r="AC275" s="137"/>
      <c r="AD275" s="184"/>
      <c r="AE275" s="189"/>
      <c r="AF275" s="190"/>
      <c r="AG275" s="143"/>
      <c r="AH275" s="143"/>
      <c r="AI275" s="143"/>
      <c r="AJ275" s="143"/>
      <c r="AK275" s="172"/>
      <c r="AL275" s="172"/>
    </row>
    <row r="276">
      <c r="A276" s="137"/>
      <c r="B276" s="88"/>
      <c r="C276" s="89"/>
      <c r="D276" s="55"/>
      <c r="E276" s="137"/>
      <c r="F276" s="88"/>
      <c r="G276" s="180"/>
      <c r="H276" s="181"/>
      <c r="I276" s="137"/>
      <c r="J276" s="88"/>
      <c r="K276" s="89"/>
      <c r="L276" s="55"/>
      <c r="M276" s="137"/>
      <c r="N276" s="182"/>
      <c r="O276" s="89"/>
      <c r="P276" s="55"/>
      <c r="Q276" s="183"/>
      <c r="R276" s="184"/>
      <c r="S276" s="185"/>
      <c r="T276" s="172"/>
      <c r="U276" s="183"/>
      <c r="V276" s="184"/>
      <c r="W276" s="185"/>
      <c r="X276" s="172"/>
      <c r="Y276" s="137"/>
      <c r="Z276" s="186"/>
      <c r="AA276" s="187"/>
      <c r="AB276" s="188"/>
      <c r="AC276" s="137"/>
      <c r="AD276" s="184"/>
      <c r="AE276" s="189"/>
      <c r="AF276" s="190"/>
      <c r="AG276" s="143"/>
      <c r="AH276" s="143"/>
      <c r="AI276" s="143"/>
      <c r="AJ276" s="143"/>
      <c r="AK276" s="172"/>
      <c r="AL276" s="172"/>
    </row>
    <row r="277">
      <c r="A277" s="137"/>
      <c r="B277" s="88"/>
      <c r="C277" s="89"/>
      <c r="D277" s="55"/>
      <c r="E277" s="137"/>
      <c r="F277" s="88"/>
      <c r="G277" s="180"/>
      <c r="H277" s="181"/>
      <c r="I277" s="137"/>
      <c r="J277" s="88"/>
      <c r="K277" s="89"/>
      <c r="L277" s="55"/>
      <c r="M277" s="137"/>
      <c r="N277" s="182"/>
      <c r="O277" s="89"/>
      <c r="P277" s="55"/>
      <c r="Q277" s="183"/>
      <c r="R277" s="184"/>
      <c r="S277" s="185"/>
      <c r="T277" s="172"/>
      <c r="U277" s="183"/>
      <c r="V277" s="184"/>
      <c r="W277" s="185"/>
      <c r="X277" s="172"/>
      <c r="Y277" s="137"/>
      <c r="Z277" s="186"/>
      <c r="AA277" s="187"/>
      <c r="AB277" s="188"/>
      <c r="AC277" s="137"/>
      <c r="AD277" s="184"/>
      <c r="AE277" s="189"/>
      <c r="AF277" s="190"/>
      <c r="AG277" s="143"/>
      <c r="AH277" s="143"/>
      <c r="AI277" s="143"/>
      <c r="AJ277" s="143"/>
      <c r="AK277" s="172"/>
      <c r="AL277" s="172"/>
    </row>
    <row r="278">
      <c r="A278" s="137"/>
      <c r="B278" s="88"/>
      <c r="C278" s="89"/>
      <c r="D278" s="55"/>
      <c r="E278" s="137"/>
      <c r="F278" s="88"/>
      <c r="G278" s="180"/>
      <c r="H278" s="181"/>
      <c r="I278" s="137"/>
      <c r="J278" s="88"/>
      <c r="K278" s="89"/>
      <c r="L278" s="55"/>
      <c r="M278" s="137"/>
      <c r="N278" s="182"/>
      <c r="O278" s="89"/>
      <c r="P278" s="55"/>
      <c r="Q278" s="183"/>
      <c r="R278" s="184"/>
      <c r="S278" s="185"/>
      <c r="T278" s="172"/>
      <c r="U278" s="183"/>
      <c r="V278" s="184"/>
      <c r="W278" s="185"/>
      <c r="X278" s="172"/>
      <c r="Y278" s="137"/>
      <c r="Z278" s="186"/>
      <c r="AA278" s="187"/>
      <c r="AB278" s="188"/>
      <c r="AC278" s="137"/>
      <c r="AD278" s="184"/>
      <c r="AE278" s="189"/>
      <c r="AF278" s="190"/>
      <c r="AG278" s="143"/>
      <c r="AH278" s="143"/>
      <c r="AI278" s="143"/>
      <c r="AJ278" s="143"/>
      <c r="AK278" s="172"/>
      <c r="AL278" s="172"/>
    </row>
    <row r="279">
      <c r="A279" s="137"/>
      <c r="B279" s="88"/>
      <c r="C279" s="89"/>
      <c r="D279" s="55"/>
      <c r="E279" s="137"/>
      <c r="F279" s="88"/>
      <c r="G279" s="180"/>
      <c r="H279" s="181"/>
      <c r="I279" s="137"/>
      <c r="J279" s="88"/>
      <c r="K279" s="89"/>
      <c r="L279" s="55"/>
      <c r="M279" s="137"/>
      <c r="N279" s="182"/>
      <c r="O279" s="89"/>
      <c r="P279" s="55"/>
      <c r="Q279" s="183"/>
      <c r="R279" s="184"/>
      <c r="S279" s="185"/>
      <c r="T279" s="172"/>
      <c r="U279" s="183"/>
      <c r="V279" s="184"/>
      <c r="W279" s="185"/>
      <c r="X279" s="172"/>
      <c r="Y279" s="137"/>
      <c r="Z279" s="186"/>
      <c r="AA279" s="187"/>
      <c r="AB279" s="188"/>
      <c r="AC279" s="137"/>
      <c r="AD279" s="184"/>
      <c r="AE279" s="189"/>
      <c r="AF279" s="190"/>
      <c r="AG279" s="143"/>
      <c r="AH279" s="143"/>
      <c r="AI279" s="143"/>
      <c r="AJ279" s="143"/>
      <c r="AK279" s="172"/>
      <c r="AL279" s="172"/>
    </row>
    <row r="280">
      <c r="A280" s="137"/>
      <c r="B280" s="88"/>
      <c r="C280" s="89"/>
      <c r="D280" s="55"/>
      <c r="E280" s="137"/>
      <c r="F280" s="88"/>
      <c r="G280" s="180"/>
      <c r="H280" s="181"/>
      <c r="I280" s="137"/>
      <c r="J280" s="88"/>
      <c r="K280" s="89"/>
      <c r="L280" s="55"/>
      <c r="M280" s="137"/>
      <c r="N280" s="182"/>
      <c r="O280" s="89"/>
      <c r="P280" s="55"/>
      <c r="Q280" s="183"/>
      <c r="R280" s="184"/>
      <c r="S280" s="185"/>
      <c r="T280" s="172"/>
      <c r="U280" s="183"/>
      <c r="V280" s="184"/>
      <c r="W280" s="185"/>
      <c r="X280" s="172"/>
      <c r="Y280" s="137"/>
      <c r="Z280" s="186"/>
      <c r="AA280" s="187"/>
      <c r="AB280" s="188"/>
      <c r="AC280" s="137"/>
      <c r="AD280" s="184"/>
      <c r="AE280" s="189"/>
      <c r="AF280" s="190"/>
      <c r="AG280" s="143"/>
      <c r="AH280" s="143"/>
      <c r="AI280" s="143"/>
      <c r="AJ280" s="143"/>
      <c r="AK280" s="172"/>
      <c r="AL280" s="172"/>
    </row>
    <row r="281">
      <c r="A281" s="137"/>
      <c r="B281" s="88"/>
      <c r="C281" s="89"/>
      <c r="D281" s="55"/>
      <c r="E281" s="137"/>
      <c r="F281" s="88"/>
      <c r="G281" s="180"/>
      <c r="H281" s="181"/>
      <c r="I281" s="137"/>
      <c r="J281" s="88"/>
      <c r="K281" s="89"/>
      <c r="L281" s="55"/>
      <c r="M281" s="137"/>
      <c r="N281" s="182"/>
      <c r="O281" s="89"/>
      <c r="P281" s="55"/>
      <c r="Q281" s="183"/>
      <c r="R281" s="184"/>
      <c r="S281" s="185"/>
      <c r="T281" s="172"/>
      <c r="U281" s="183"/>
      <c r="V281" s="184"/>
      <c r="W281" s="185"/>
      <c r="X281" s="172"/>
      <c r="Y281" s="137"/>
      <c r="Z281" s="186"/>
      <c r="AA281" s="187"/>
      <c r="AB281" s="188"/>
      <c r="AC281" s="137"/>
      <c r="AD281" s="184"/>
      <c r="AE281" s="189"/>
      <c r="AF281" s="190"/>
      <c r="AG281" s="143"/>
      <c r="AH281" s="143"/>
      <c r="AI281" s="143"/>
      <c r="AJ281" s="143"/>
      <c r="AK281" s="172"/>
      <c r="AL281" s="172"/>
    </row>
    <row r="282">
      <c r="A282" s="137"/>
      <c r="B282" s="88"/>
      <c r="C282" s="89"/>
      <c r="D282" s="55"/>
      <c r="E282" s="137"/>
      <c r="F282" s="88"/>
      <c r="G282" s="180"/>
      <c r="H282" s="181"/>
      <c r="I282" s="137"/>
      <c r="J282" s="88"/>
      <c r="K282" s="89"/>
      <c r="L282" s="55"/>
      <c r="M282" s="137"/>
      <c r="N282" s="182"/>
      <c r="O282" s="89"/>
      <c r="P282" s="55"/>
      <c r="Q282" s="183"/>
      <c r="R282" s="184"/>
      <c r="S282" s="185"/>
      <c r="T282" s="172"/>
      <c r="U282" s="183"/>
      <c r="V282" s="184"/>
      <c r="W282" s="185"/>
      <c r="X282" s="172"/>
      <c r="Y282" s="137"/>
      <c r="Z282" s="186"/>
      <c r="AA282" s="187"/>
      <c r="AB282" s="188"/>
      <c r="AC282" s="137"/>
      <c r="AD282" s="184"/>
      <c r="AE282" s="189"/>
      <c r="AF282" s="190"/>
      <c r="AG282" s="143"/>
      <c r="AH282" s="143"/>
      <c r="AI282" s="143"/>
      <c r="AJ282" s="143"/>
      <c r="AK282" s="172"/>
      <c r="AL282" s="172"/>
    </row>
    <row r="283">
      <c r="A283" s="137"/>
      <c r="B283" s="88"/>
      <c r="C283" s="89"/>
      <c r="D283" s="55"/>
      <c r="E283" s="137"/>
      <c r="F283" s="88"/>
      <c r="G283" s="180"/>
      <c r="H283" s="181"/>
      <c r="I283" s="137"/>
      <c r="J283" s="88"/>
      <c r="K283" s="89"/>
      <c r="L283" s="55"/>
      <c r="M283" s="137"/>
      <c r="N283" s="182"/>
      <c r="O283" s="89"/>
      <c r="P283" s="55"/>
      <c r="Q283" s="183"/>
      <c r="R283" s="184"/>
      <c r="S283" s="185"/>
      <c r="T283" s="172"/>
      <c r="U283" s="183"/>
      <c r="V283" s="184"/>
      <c r="W283" s="185"/>
      <c r="X283" s="172"/>
      <c r="Y283" s="137"/>
      <c r="Z283" s="186"/>
      <c r="AA283" s="187"/>
      <c r="AB283" s="188"/>
      <c r="AC283" s="137"/>
      <c r="AD283" s="184"/>
      <c r="AE283" s="189"/>
      <c r="AF283" s="190"/>
      <c r="AG283" s="143"/>
      <c r="AH283" s="143"/>
      <c r="AI283" s="143"/>
      <c r="AJ283" s="143"/>
      <c r="AK283" s="172"/>
      <c r="AL283" s="172"/>
    </row>
    <row r="284">
      <c r="A284" s="137"/>
      <c r="B284" s="88"/>
      <c r="C284" s="89"/>
      <c r="D284" s="55"/>
      <c r="E284" s="137"/>
      <c r="F284" s="88"/>
      <c r="G284" s="180"/>
      <c r="H284" s="181"/>
      <c r="I284" s="137"/>
      <c r="J284" s="88"/>
      <c r="K284" s="89"/>
      <c r="L284" s="55"/>
      <c r="M284" s="137"/>
      <c r="N284" s="182"/>
      <c r="O284" s="89"/>
      <c r="P284" s="55"/>
      <c r="Q284" s="183"/>
      <c r="R284" s="184"/>
      <c r="S284" s="185"/>
      <c r="T284" s="172"/>
      <c r="U284" s="183"/>
      <c r="V284" s="184"/>
      <c r="W284" s="185"/>
      <c r="X284" s="172"/>
      <c r="Y284" s="137"/>
      <c r="Z284" s="186"/>
      <c r="AA284" s="187"/>
      <c r="AB284" s="188"/>
      <c r="AC284" s="137"/>
      <c r="AD284" s="184"/>
      <c r="AE284" s="189"/>
      <c r="AF284" s="190"/>
      <c r="AG284" s="143"/>
      <c r="AH284" s="143"/>
      <c r="AI284" s="143"/>
      <c r="AJ284" s="143"/>
      <c r="AK284" s="172"/>
      <c r="AL284" s="172"/>
    </row>
    <row r="285">
      <c r="A285" s="137"/>
      <c r="B285" s="88"/>
      <c r="C285" s="89"/>
      <c r="D285" s="55"/>
      <c r="E285" s="137"/>
      <c r="F285" s="88"/>
      <c r="G285" s="180"/>
      <c r="H285" s="181"/>
      <c r="I285" s="137"/>
      <c r="J285" s="88"/>
      <c r="K285" s="89"/>
      <c r="L285" s="55"/>
      <c r="M285" s="137"/>
      <c r="N285" s="182"/>
      <c r="O285" s="89"/>
      <c r="P285" s="55"/>
      <c r="Q285" s="183"/>
      <c r="R285" s="184"/>
      <c r="S285" s="185"/>
      <c r="T285" s="172"/>
      <c r="U285" s="183"/>
      <c r="V285" s="184"/>
      <c r="W285" s="185"/>
      <c r="X285" s="172"/>
      <c r="Y285" s="137"/>
      <c r="Z285" s="186"/>
      <c r="AA285" s="187"/>
      <c r="AB285" s="188"/>
      <c r="AC285" s="137"/>
      <c r="AD285" s="184"/>
      <c r="AE285" s="189"/>
      <c r="AF285" s="190"/>
      <c r="AG285" s="143"/>
      <c r="AH285" s="143"/>
      <c r="AI285" s="143"/>
      <c r="AJ285" s="143"/>
      <c r="AK285" s="172"/>
      <c r="AL285" s="172"/>
    </row>
    <row r="286">
      <c r="A286" s="137"/>
      <c r="B286" s="88"/>
      <c r="C286" s="89"/>
      <c r="D286" s="55"/>
      <c r="E286" s="137"/>
      <c r="F286" s="88"/>
      <c r="G286" s="180"/>
      <c r="H286" s="181"/>
      <c r="I286" s="137"/>
      <c r="J286" s="88"/>
      <c r="K286" s="89"/>
      <c r="L286" s="55"/>
      <c r="M286" s="137"/>
      <c r="N286" s="182"/>
      <c r="O286" s="89"/>
      <c r="P286" s="55"/>
      <c r="Q286" s="183"/>
      <c r="R286" s="184"/>
      <c r="S286" s="185"/>
      <c r="T286" s="172"/>
      <c r="U286" s="183"/>
      <c r="V286" s="184"/>
      <c r="W286" s="185"/>
      <c r="X286" s="172"/>
      <c r="Y286" s="137"/>
      <c r="Z286" s="186"/>
      <c r="AA286" s="187"/>
      <c r="AB286" s="188"/>
      <c r="AC286" s="137"/>
      <c r="AD286" s="184"/>
      <c r="AE286" s="189"/>
      <c r="AF286" s="190"/>
      <c r="AG286" s="143"/>
      <c r="AH286" s="143"/>
      <c r="AI286" s="143"/>
      <c r="AJ286" s="143"/>
      <c r="AK286" s="172"/>
      <c r="AL286" s="172"/>
    </row>
    <row r="287">
      <c r="A287" s="137"/>
      <c r="B287" s="88"/>
      <c r="C287" s="89"/>
      <c r="D287" s="55"/>
      <c r="E287" s="137"/>
      <c r="F287" s="88"/>
      <c r="G287" s="180"/>
      <c r="H287" s="181"/>
      <c r="I287" s="137"/>
      <c r="J287" s="88"/>
      <c r="K287" s="89"/>
      <c r="L287" s="55"/>
      <c r="M287" s="137"/>
      <c r="N287" s="182"/>
      <c r="O287" s="89"/>
      <c r="P287" s="55"/>
      <c r="Q287" s="183"/>
      <c r="R287" s="184"/>
      <c r="S287" s="185"/>
      <c r="T287" s="172"/>
      <c r="U287" s="183"/>
      <c r="V287" s="184"/>
      <c r="W287" s="185"/>
      <c r="X287" s="172"/>
      <c r="Y287" s="137"/>
      <c r="Z287" s="186"/>
      <c r="AA287" s="187"/>
      <c r="AB287" s="188"/>
      <c r="AC287" s="137"/>
      <c r="AD287" s="184"/>
      <c r="AE287" s="189"/>
      <c r="AF287" s="190"/>
      <c r="AG287" s="143"/>
      <c r="AH287" s="143"/>
      <c r="AI287" s="143"/>
      <c r="AJ287" s="143"/>
      <c r="AK287" s="172"/>
      <c r="AL287" s="172"/>
    </row>
    <row r="288">
      <c r="A288" s="137"/>
      <c r="B288" s="88"/>
      <c r="C288" s="89"/>
      <c r="D288" s="55"/>
      <c r="E288" s="137"/>
      <c r="F288" s="88"/>
      <c r="G288" s="180"/>
      <c r="H288" s="181"/>
      <c r="I288" s="137"/>
      <c r="J288" s="88"/>
      <c r="K288" s="89"/>
      <c r="L288" s="55"/>
      <c r="M288" s="137"/>
      <c r="N288" s="182"/>
      <c r="O288" s="89"/>
      <c r="P288" s="55"/>
      <c r="Q288" s="183"/>
      <c r="R288" s="184"/>
      <c r="S288" s="185"/>
      <c r="T288" s="172"/>
      <c r="U288" s="183"/>
      <c r="V288" s="184"/>
      <c r="W288" s="185"/>
      <c r="X288" s="172"/>
      <c r="Y288" s="137"/>
      <c r="Z288" s="186"/>
      <c r="AA288" s="187"/>
      <c r="AB288" s="188"/>
      <c r="AC288" s="137"/>
      <c r="AD288" s="184"/>
      <c r="AE288" s="189"/>
      <c r="AF288" s="190"/>
      <c r="AG288" s="143"/>
      <c r="AH288" s="143"/>
      <c r="AI288" s="143"/>
      <c r="AJ288" s="143"/>
      <c r="AK288" s="172"/>
      <c r="AL288" s="172"/>
    </row>
    <row r="289">
      <c r="A289" s="137"/>
      <c r="B289" s="88"/>
      <c r="C289" s="89"/>
      <c r="D289" s="55"/>
      <c r="E289" s="137"/>
      <c r="F289" s="88"/>
      <c r="G289" s="180"/>
      <c r="H289" s="181"/>
      <c r="I289" s="137"/>
      <c r="J289" s="88"/>
      <c r="K289" s="89"/>
      <c r="L289" s="55"/>
      <c r="M289" s="137"/>
      <c r="N289" s="182"/>
      <c r="O289" s="89"/>
      <c r="P289" s="55"/>
      <c r="Q289" s="183"/>
      <c r="R289" s="184"/>
      <c r="S289" s="185"/>
      <c r="T289" s="172"/>
      <c r="U289" s="183"/>
      <c r="V289" s="184"/>
      <c r="W289" s="185"/>
      <c r="X289" s="172"/>
      <c r="Y289" s="137"/>
      <c r="Z289" s="186"/>
      <c r="AA289" s="187"/>
      <c r="AB289" s="188"/>
      <c r="AC289" s="137"/>
      <c r="AD289" s="184"/>
      <c r="AE289" s="189"/>
      <c r="AF289" s="190"/>
      <c r="AG289" s="143"/>
      <c r="AH289" s="143"/>
      <c r="AI289" s="143"/>
      <c r="AJ289" s="143"/>
      <c r="AK289" s="172"/>
      <c r="AL289" s="172"/>
    </row>
    <row r="290">
      <c r="A290" s="137"/>
      <c r="B290" s="88"/>
      <c r="C290" s="89"/>
      <c r="D290" s="55"/>
      <c r="E290" s="137"/>
      <c r="F290" s="88"/>
      <c r="G290" s="180"/>
      <c r="H290" s="181"/>
      <c r="I290" s="137"/>
      <c r="J290" s="88"/>
      <c r="K290" s="89"/>
      <c r="L290" s="55"/>
      <c r="M290" s="137"/>
      <c r="N290" s="182"/>
      <c r="O290" s="89"/>
      <c r="P290" s="55"/>
      <c r="Q290" s="183"/>
      <c r="R290" s="184"/>
      <c r="S290" s="185"/>
      <c r="T290" s="172"/>
      <c r="U290" s="183"/>
      <c r="V290" s="184"/>
      <c r="W290" s="185"/>
      <c r="X290" s="172"/>
      <c r="Y290" s="137"/>
      <c r="Z290" s="186"/>
      <c r="AA290" s="187"/>
      <c r="AB290" s="188"/>
      <c r="AC290" s="137"/>
      <c r="AD290" s="184"/>
      <c r="AE290" s="189"/>
      <c r="AF290" s="190"/>
      <c r="AG290" s="143"/>
      <c r="AH290" s="143"/>
      <c r="AI290" s="143"/>
      <c r="AJ290" s="143"/>
      <c r="AK290" s="172"/>
      <c r="AL290" s="172"/>
    </row>
    <row r="291">
      <c r="A291" s="137"/>
      <c r="B291" s="88"/>
      <c r="C291" s="89"/>
      <c r="D291" s="55"/>
      <c r="E291" s="137"/>
      <c r="F291" s="88"/>
      <c r="G291" s="180"/>
      <c r="H291" s="181"/>
      <c r="I291" s="137"/>
      <c r="J291" s="88"/>
      <c r="K291" s="89"/>
      <c r="L291" s="55"/>
      <c r="M291" s="137"/>
      <c r="N291" s="182"/>
      <c r="O291" s="89"/>
      <c r="P291" s="55"/>
      <c r="Q291" s="183"/>
      <c r="R291" s="184"/>
      <c r="S291" s="185"/>
      <c r="T291" s="172"/>
      <c r="U291" s="183"/>
      <c r="V291" s="184"/>
      <c r="W291" s="185"/>
      <c r="X291" s="172"/>
      <c r="Y291" s="137"/>
      <c r="Z291" s="186"/>
      <c r="AA291" s="187"/>
      <c r="AB291" s="188"/>
      <c r="AC291" s="137"/>
      <c r="AD291" s="184"/>
      <c r="AE291" s="189"/>
      <c r="AF291" s="190"/>
      <c r="AG291" s="143"/>
      <c r="AH291" s="143"/>
      <c r="AI291" s="143"/>
      <c r="AJ291" s="143"/>
      <c r="AK291" s="172"/>
      <c r="AL291" s="172"/>
    </row>
    <row r="292">
      <c r="A292" s="137"/>
      <c r="B292" s="88"/>
      <c r="C292" s="89"/>
      <c r="D292" s="55"/>
      <c r="E292" s="137"/>
      <c r="F292" s="88"/>
      <c r="G292" s="180"/>
      <c r="H292" s="181"/>
      <c r="I292" s="137"/>
      <c r="J292" s="88"/>
      <c r="K292" s="89"/>
      <c r="L292" s="55"/>
      <c r="M292" s="137"/>
      <c r="N292" s="182"/>
      <c r="O292" s="89"/>
      <c r="P292" s="55"/>
      <c r="Q292" s="183"/>
      <c r="R292" s="184"/>
      <c r="S292" s="185"/>
      <c r="T292" s="172"/>
      <c r="U292" s="183"/>
      <c r="V292" s="184"/>
      <c r="W292" s="185"/>
      <c r="X292" s="172"/>
      <c r="Y292" s="137"/>
      <c r="Z292" s="186"/>
      <c r="AA292" s="187"/>
      <c r="AB292" s="188"/>
      <c r="AC292" s="137"/>
      <c r="AD292" s="184"/>
      <c r="AE292" s="189"/>
      <c r="AF292" s="190"/>
      <c r="AG292" s="143"/>
      <c r="AH292" s="143"/>
      <c r="AI292" s="143"/>
      <c r="AJ292" s="143"/>
      <c r="AK292" s="172"/>
      <c r="AL292" s="172"/>
    </row>
    <row r="293">
      <c r="A293" s="137"/>
      <c r="B293" s="88"/>
      <c r="C293" s="89"/>
      <c r="D293" s="55"/>
      <c r="E293" s="137"/>
      <c r="F293" s="88"/>
      <c r="G293" s="180"/>
      <c r="H293" s="181"/>
      <c r="I293" s="137"/>
      <c r="J293" s="88"/>
      <c r="K293" s="89"/>
      <c r="L293" s="55"/>
      <c r="M293" s="137"/>
      <c r="N293" s="182"/>
      <c r="O293" s="89"/>
      <c r="P293" s="55"/>
      <c r="Q293" s="183"/>
      <c r="R293" s="184"/>
      <c r="S293" s="185"/>
      <c r="T293" s="172"/>
      <c r="U293" s="183"/>
      <c r="V293" s="184"/>
      <c r="W293" s="185"/>
      <c r="X293" s="172"/>
      <c r="Y293" s="137"/>
      <c r="Z293" s="186"/>
      <c r="AA293" s="187"/>
      <c r="AB293" s="188"/>
      <c r="AC293" s="137"/>
      <c r="AD293" s="184"/>
      <c r="AE293" s="189"/>
      <c r="AF293" s="190"/>
      <c r="AG293" s="143"/>
      <c r="AH293" s="143"/>
      <c r="AI293" s="143"/>
      <c r="AJ293" s="143"/>
      <c r="AK293" s="172"/>
      <c r="AL293" s="172"/>
    </row>
    <row r="294">
      <c r="A294" s="137"/>
      <c r="B294" s="88"/>
      <c r="C294" s="89"/>
      <c r="D294" s="55"/>
      <c r="E294" s="137"/>
      <c r="F294" s="88"/>
      <c r="G294" s="180"/>
      <c r="H294" s="181"/>
      <c r="I294" s="137"/>
      <c r="J294" s="88"/>
      <c r="K294" s="89"/>
      <c r="L294" s="55"/>
      <c r="M294" s="137"/>
      <c r="N294" s="182"/>
      <c r="O294" s="89"/>
      <c r="P294" s="55"/>
      <c r="Q294" s="183"/>
      <c r="R294" s="184"/>
      <c r="S294" s="185"/>
      <c r="T294" s="172"/>
      <c r="U294" s="183"/>
      <c r="V294" s="184"/>
      <c r="W294" s="185"/>
      <c r="X294" s="172"/>
      <c r="Y294" s="137"/>
      <c r="Z294" s="186"/>
      <c r="AA294" s="187"/>
      <c r="AB294" s="188"/>
      <c r="AC294" s="137"/>
      <c r="AD294" s="184"/>
      <c r="AE294" s="189"/>
      <c r="AF294" s="190"/>
      <c r="AG294" s="143"/>
      <c r="AH294" s="143"/>
      <c r="AI294" s="143"/>
      <c r="AJ294" s="143"/>
      <c r="AK294" s="172"/>
      <c r="AL294" s="172"/>
    </row>
    <row r="295">
      <c r="A295" s="137"/>
      <c r="B295" s="88"/>
      <c r="C295" s="89"/>
      <c r="D295" s="55"/>
      <c r="E295" s="137"/>
      <c r="F295" s="88"/>
      <c r="G295" s="180"/>
      <c r="H295" s="181"/>
      <c r="I295" s="137"/>
      <c r="J295" s="88"/>
      <c r="K295" s="89"/>
      <c r="L295" s="55"/>
      <c r="M295" s="137"/>
      <c r="N295" s="182"/>
      <c r="O295" s="89"/>
      <c r="P295" s="55"/>
      <c r="Q295" s="183"/>
      <c r="R295" s="184"/>
      <c r="S295" s="185"/>
      <c r="T295" s="172"/>
      <c r="U295" s="183"/>
      <c r="V295" s="184"/>
      <c r="W295" s="185"/>
      <c r="X295" s="172"/>
      <c r="Y295" s="137"/>
      <c r="Z295" s="186"/>
      <c r="AA295" s="187"/>
      <c r="AB295" s="188"/>
      <c r="AC295" s="137"/>
      <c r="AD295" s="184"/>
      <c r="AE295" s="189"/>
      <c r="AF295" s="190"/>
      <c r="AG295" s="143"/>
      <c r="AH295" s="143"/>
      <c r="AI295" s="143"/>
      <c r="AJ295" s="143"/>
      <c r="AK295" s="172"/>
      <c r="AL295" s="172"/>
    </row>
    <row r="296">
      <c r="A296" s="137"/>
      <c r="B296" s="88"/>
      <c r="C296" s="89"/>
      <c r="D296" s="55"/>
      <c r="E296" s="137"/>
      <c r="F296" s="88"/>
      <c r="G296" s="180"/>
      <c r="H296" s="181"/>
      <c r="I296" s="137"/>
      <c r="J296" s="88"/>
      <c r="K296" s="89"/>
      <c r="L296" s="55"/>
      <c r="M296" s="137"/>
      <c r="N296" s="182"/>
      <c r="O296" s="89"/>
      <c r="P296" s="55"/>
      <c r="Q296" s="183"/>
      <c r="R296" s="184"/>
      <c r="S296" s="185"/>
      <c r="T296" s="172"/>
      <c r="U296" s="183"/>
      <c r="V296" s="184"/>
      <c r="W296" s="185"/>
      <c r="X296" s="172"/>
      <c r="Y296" s="137"/>
      <c r="Z296" s="186"/>
      <c r="AA296" s="187"/>
      <c r="AB296" s="188"/>
      <c r="AC296" s="137"/>
      <c r="AD296" s="184"/>
      <c r="AE296" s="189"/>
      <c r="AF296" s="190"/>
      <c r="AG296" s="143"/>
      <c r="AH296" s="143"/>
      <c r="AI296" s="143"/>
      <c r="AJ296" s="143"/>
      <c r="AK296" s="172"/>
      <c r="AL296" s="172"/>
    </row>
    <row r="297">
      <c r="A297" s="137"/>
      <c r="B297" s="88"/>
      <c r="C297" s="89"/>
      <c r="D297" s="55"/>
      <c r="E297" s="137"/>
      <c r="F297" s="88"/>
      <c r="G297" s="180"/>
      <c r="H297" s="181"/>
      <c r="I297" s="137"/>
      <c r="J297" s="88"/>
      <c r="K297" s="89"/>
      <c r="L297" s="55"/>
      <c r="M297" s="137"/>
      <c r="N297" s="182"/>
      <c r="O297" s="89"/>
      <c r="P297" s="55"/>
      <c r="Q297" s="183"/>
      <c r="R297" s="184"/>
      <c r="S297" s="185"/>
      <c r="T297" s="172"/>
      <c r="U297" s="183"/>
      <c r="V297" s="184"/>
      <c r="W297" s="185"/>
      <c r="X297" s="172"/>
      <c r="Y297" s="137"/>
      <c r="Z297" s="186"/>
      <c r="AA297" s="187"/>
      <c r="AB297" s="188"/>
      <c r="AC297" s="137"/>
      <c r="AD297" s="184"/>
      <c r="AE297" s="189"/>
      <c r="AF297" s="190"/>
      <c r="AG297" s="143"/>
      <c r="AH297" s="143"/>
      <c r="AI297" s="143"/>
      <c r="AJ297" s="143"/>
      <c r="AK297" s="172"/>
      <c r="AL297" s="172"/>
    </row>
    <row r="298">
      <c r="A298" s="137"/>
      <c r="B298" s="88"/>
      <c r="C298" s="89"/>
      <c r="D298" s="55"/>
      <c r="E298" s="137"/>
      <c r="F298" s="88"/>
      <c r="G298" s="180"/>
      <c r="H298" s="181"/>
      <c r="I298" s="137"/>
      <c r="J298" s="88"/>
      <c r="K298" s="89"/>
      <c r="L298" s="55"/>
      <c r="M298" s="137"/>
      <c r="N298" s="182"/>
      <c r="O298" s="89"/>
      <c r="P298" s="55"/>
      <c r="Q298" s="183"/>
      <c r="R298" s="184"/>
      <c r="S298" s="185"/>
      <c r="T298" s="172"/>
      <c r="U298" s="183"/>
      <c r="V298" s="184"/>
      <c r="W298" s="185"/>
      <c r="X298" s="172"/>
      <c r="Y298" s="137"/>
      <c r="Z298" s="186"/>
      <c r="AA298" s="187"/>
      <c r="AB298" s="188"/>
      <c r="AC298" s="137"/>
      <c r="AD298" s="184"/>
      <c r="AE298" s="189"/>
      <c r="AF298" s="190"/>
      <c r="AG298" s="143"/>
      <c r="AH298" s="143"/>
      <c r="AI298" s="143"/>
      <c r="AJ298" s="143"/>
      <c r="AK298" s="172"/>
      <c r="AL298" s="172"/>
    </row>
    <row r="299">
      <c r="A299" s="137"/>
      <c r="B299" s="88"/>
      <c r="C299" s="89"/>
      <c r="D299" s="55"/>
      <c r="E299" s="137"/>
      <c r="F299" s="88"/>
      <c r="G299" s="180"/>
      <c r="H299" s="181"/>
      <c r="I299" s="137"/>
      <c r="J299" s="88"/>
      <c r="K299" s="89"/>
      <c r="L299" s="55"/>
      <c r="M299" s="137"/>
      <c r="N299" s="182"/>
      <c r="O299" s="89"/>
      <c r="P299" s="55"/>
      <c r="Q299" s="183"/>
      <c r="R299" s="184"/>
      <c r="S299" s="185"/>
      <c r="T299" s="172"/>
      <c r="U299" s="183"/>
      <c r="V299" s="184"/>
      <c r="W299" s="185"/>
      <c r="X299" s="172"/>
      <c r="Y299" s="137"/>
      <c r="Z299" s="186"/>
      <c r="AA299" s="187"/>
      <c r="AB299" s="188"/>
      <c r="AC299" s="137"/>
      <c r="AD299" s="184"/>
      <c r="AE299" s="189"/>
      <c r="AF299" s="190"/>
      <c r="AG299" s="143"/>
      <c r="AH299" s="143"/>
      <c r="AI299" s="143"/>
      <c r="AJ299" s="143"/>
      <c r="AK299" s="172"/>
      <c r="AL299" s="172"/>
    </row>
    <row r="300">
      <c r="A300" s="137"/>
      <c r="B300" s="88"/>
      <c r="C300" s="89"/>
      <c r="D300" s="55"/>
      <c r="E300" s="137"/>
      <c r="F300" s="88"/>
      <c r="G300" s="180"/>
      <c r="H300" s="181"/>
      <c r="I300" s="137"/>
      <c r="J300" s="88"/>
      <c r="K300" s="89"/>
      <c r="L300" s="55"/>
      <c r="M300" s="137"/>
      <c r="N300" s="182"/>
      <c r="O300" s="89"/>
      <c r="P300" s="55"/>
      <c r="Q300" s="183"/>
      <c r="R300" s="184"/>
      <c r="S300" s="185"/>
      <c r="T300" s="172"/>
      <c r="U300" s="183"/>
      <c r="V300" s="184"/>
      <c r="W300" s="185"/>
      <c r="X300" s="172"/>
      <c r="Y300" s="137"/>
      <c r="Z300" s="186"/>
      <c r="AA300" s="187"/>
      <c r="AB300" s="188"/>
      <c r="AC300" s="137"/>
      <c r="AD300" s="184"/>
      <c r="AE300" s="189"/>
      <c r="AF300" s="190"/>
      <c r="AG300" s="143"/>
      <c r="AH300" s="143"/>
      <c r="AI300" s="143"/>
      <c r="AJ300" s="143"/>
      <c r="AK300" s="172"/>
      <c r="AL300" s="172"/>
    </row>
    <row r="301">
      <c r="A301" s="137"/>
      <c r="B301" s="88"/>
      <c r="C301" s="89"/>
      <c r="D301" s="55"/>
      <c r="E301" s="137"/>
      <c r="F301" s="88"/>
      <c r="G301" s="180"/>
      <c r="H301" s="181"/>
      <c r="I301" s="137"/>
      <c r="J301" s="88"/>
      <c r="K301" s="89"/>
      <c r="L301" s="55"/>
      <c r="M301" s="137"/>
      <c r="N301" s="182"/>
      <c r="O301" s="89"/>
      <c r="P301" s="55"/>
      <c r="Q301" s="183"/>
      <c r="R301" s="184"/>
      <c r="S301" s="185"/>
      <c r="T301" s="172"/>
      <c r="U301" s="183"/>
      <c r="V301" s="184"/>
      <c r="W301" s="185"/>
      <c r="X301" s="172"/>
      <c r="Y301" s="137"/>
      <c r="Z301" s="186"/>
      <c r="AA301" s="187"/>
      <c r="AB301" s="188"/>
      <c r="AC301" s="137"/>
      <c r="AD301" s="184"/>
      <c r="AE301" s="189"/>
      <c r="AF301" s="190"/>
      <c r="AG301" s="143"/>
      <c r="AH301" s="143"/>
      <c r="AI301" s="143"/>
      <c r="AJ301" s="143"/>
      <c r="AK301" s="172"/>
      <c r="AL301" s="172"/>
    </row>
    <row r="302">
      <c r="A302" s="137"/>
      <c r="B302" s="88"/>
      <c r="C302" s="89"/>
      <c r="D302" s="55"/>
      <c r="E302" s="137"/>
      <c r="F302" s="88"/>
      <c r="G302" s="180"/>
      <c r="H302" s="181"/>
      <c r="I302" s="137"/>
      <c r="J302" s="88"/>
      <c r="K302" s="89"/>
      <c r="L302" s="55"/>
      <c r="M302" s="137"/>
      <c r="N302" s="182"/>
      <c r="O302" s="89"/>
      <c r="P302" s="55"/>
      <c r="Q302" s="183"/>
      <c r="R302" s="184"/>
      <c r="S302" s="185"/>
      <c r="T302" s="172"/>
      <c r="U302" s="183"/>
      <c r="V302" s="184"/>
      <c r="W302" s="185"/>
      <c r="X302" s="172"/>
      <c r="Y302" s="137"/>
      <c r="Z302" s="186"/>
      <c r="AA302" s="187"/>
      <c r="AB302" s="188"/>
      <c r="AC302" s="137"/>
      <c r="AD302" s="184"/>
      <c r="AE302" s="189"/>
      <c r="AF302" s="190"/>
      <c r="AG302" s="143"/>
      <c r="AH302" s="143"/>
      <c r="AI302" s="143"/>
      <c r="AJ302" s="143"/>
      <c r="AK302" s="172"/>
      <c r="AL302" s="172"/>
    </row>
    <row r="303">
      <c r="A303" s="137"/>
      <c r="B303" s="88"/>
      <c r="C303" s="89"/>
      <c r="D303" s="55"/>
      <c r="E303" s="137"/>
      <c r="F303" s="88"/>
      <c r="G303" s="180"/>
      <c r="H303" s="181"/>
      <c r="I303" s="137"/>
      <c r="J303" s="88"/>
      <c r="K303" s="89"/>
      <c r="L303" s="55"/>
      <c r="M303" s="137"/>
      <c r="N303" s="182"/>
      <c r="O303" s="89"/>
      <c r="P303" s="55"/>
      <c r="Q303" s="183"/>
      <c r="R303" s="184"/>
      <c r="S303" s="185"/>
      <c r="T303" s="172"/>
      <c r="U303" s="183"/>
      <c r="V303" s="184"/>
      <c r="W303" s="185"/>
      <c r="X303" s="172"/>
      <c r="Y303" s="137"/>
      <c r="Z303" s="186"/>
      <c r="AA303" s="187"/>
      <c r="AB303" s="188"/>
      <c r="AC303" s="137"/>
      <c r="AD303" s="184"/>
      <c r="AE303" s="189"/>
      <c r="AF303" s="190"/>
      <c r="AG303" s="143"/>
      <c r="AH303" s="143"/>
      <c r="AI303" s="143"/>
      <c r="AJ303" s="143"/>
      <c r="AK303" s="172"/>
      <c r="AL303" s="172"/>
    </row>
    <row r="304">
      <c r="A304" s="137"/>
      <c r="B304" s="88"/>
      <c r="C304" s="89"/>
      <c r="D304" s="55"/>
      <c r="E304" s="137"/>
      <c r="F304" s="88"/>
      <c r="G304" s="180"/>
      <c r="H304" s="181"/>
      <c r="I304" s="137"/>
      <c r="J304" s="88"/>
      <c r="K304" s="89"/>
      <c r="L304" s="55"/>
      <c r="M304" s="137"/>
      <c r="N304" s="182"/>
      <c r="O304" s="89"/>
      <c r="P304" s="55"/>
      <c r="Q304" s="183"/>
      <c r="R304" s="184"/>
      <c r="S304" s="185"/>
      <c r="T304" s="172"/>
      <c r="U304" s="183"/>
      <c r="V304" s="184"/>
      <c r="W304" s="185"/>
      <c r="X304" s="172"/>
      <c r="Y304" s="137"/>
      <c r="Z304" s="186"/>
      <c r="AA304" s="187"/>
      <c r="AB304" s="188"/>
      <c r="AC304" s="137"/>
      <c r="AD304" s="184"/>
      <c r="AE304" s="189"/>
      <c r="AF304" s="190"/>
      <c r="AG304" s="143"/>
      <c r="AH304" s="143"/>
      <c r="AI304" s="143"/>
      <c r="AJ304" s="143"/>
      <c r="AK304" s="172"/>
      <c r="AL304" s="172"/>
    </row>
    <row r="305">
      <c r="A305" s="137"/>
      <c r="B305" s="88"/>
      <c r="C305" s="89"/>
      <c r="D305" s="55"/>
      <c r="E305" s="137"/>
      <c r="F305" s="88"/>
      <c r="G305" s="180"/>
      <c r="H305" s="181"/>
      <c r="I305" s="137"/>
      <c r="J305" s="88"/>
      <c r="K305" s="89"/>
      <c r="L305" s="55"/>
      <c r="M305" s="137"/>
      <c r="N305" s="182"/>
      <c r="O305" s="89"/>
      <c r="P305" s="55"/>
      <c r="Q305" s="183"/>
      <c r="R305" s="184"/>
      <c r="S305" s="185"/>
      <c r="T305" s="172"/>
      <c r="U305" s="183"/>
      <c r="V305" s="184"/>
      <c r="W305" s="185"/>
      <c r="X305" s="172"/>
      <c r="Y305" s="137"/>
      <c r="Z305" s="186"/>
      <c r="AA305" s="187"/>
      <c r="AB305" s="188"/>
      <c r="AC305" s="137"/>
      <c r="AD305" s="184"/>
      <c r="AE305" s="189"/>
      <c r="AF305" s="190"/>
      <c r="AG305" s="143"/>
      <c r="AH305" s="143"/>
      <c r="AI305" s="143"/>
      <c r="AJ305" s="143"/>
      <c r="AK305" s="172"/>
      <c r="AL305" s="172"/>
    </row>
    <row r="306">
      <c r="A306" s="137"/>
      <c r="B306" s="88"/>
      <c r="C306" s="89"/>
      <c r="D306" s="55"/>
      <c r="E306" s="137"/>
      <c r="F306" s="88"/>
      <c r="G306" s="180"/>
      <c r="H306" s="181"/>
      <c r="I306" s="137"/>
      <c r="J306" s="88"/>
      <c r="K306" s="89"/>
      <c r="L306" s="55"/>
      <c r="M306" s="137"/>
      <c r="N306" s="182"/>
      <c r="O306" s="89"/>
      <c r="P306" s="55"/>
      <c r="Q306" s="183"/>
      <c r="R306" s="184"/>
      <c r="S306" s="185"/>
      <c r="T306" s="172"/>
      <c r="U306" s="183"/>
      <c r="V306" s="184"/>
      <c r="W306" s="185"/>
      <c r="X306" s="172"/>
      <c r="Y306" s="137"/>
      <c r="Z306" s="186"/>
      <c r="AA306" s="187"/>
      <c r="AB306" s="188"/>
      <c r="AC306" s="137"/>
      <c r="AD306" s="184"/>
      <c r="AE306" s="189"/>
      <c r="AF306" s="190"/>
      <c r="AG306" s="143"/>
      <c r="AH306" s="143"/>
      <c r="AI306" s="143"/>
      <c r="AJ306" s="143"/>
      <c r="AK306" s="172"/>
      <c r="AL306" s="172"/>
    </row>
    <row r="307">
      <c r="A307" s="137"/>
      <c r="B307" s="88"/>
      <c r="C307" s="89"/>
      <c r="D307" s="55"/>
      <c r="E307" s="137"/>
      <c r="F307" s="88"/>
      <c r="G307" s="180"/>
      <c r="H307" s="181"/>
      <c r="I307" s="137"/>
      <c r="J307" s="88"/>
      <c r="K307" s="89"/>
      <c r="L307" s="55"/>
      <c r="M307" s="137"/>
      <c r="N307" s="182"/>
      <c r="O307" s="89"/>
      <c r="P307" s="55"/>
      <c r="Q307" s="183"/>
      <c r="R307" s="184"/>
      <c r="S307" s="185"/>
      <c r="T307" s="172"/>
      <c r="U307" s="183"/>
      <c r="V307" s="184"/>
      <c r="W307" s="185"/>
      <c r="X307" s="172"/>
      <c r="Y307" s="137"/>
      <c r="Z307" s="186"/>
      <c r="AA307" s="187"/>
      <c r="AB307" s="188"/>
      <c r="AC307" s="137"/>
      <c r="AD307" s="184"/>
      <c r="AE307" s="189"/>
      <c r="AF307" s="190"/>
      <c r="AG307" s="143"/>
      <c r="AH307" s="143"/>
      <c r="AI307" s="143"/>
      <c r="AJ307" s="143"/>
      <c r="AK307" s="172"/>
      <c r="AL307" s="172"/>
    </row>
    <row r="308">
      <c r="A308" s="137"/>
      <c r="B308" s="88"/>
      <c r="C308" s="89"/>
      <c r="D308" s="55"/>
      <c r="E308" s="137"/>
      <c r="F308" s="88"/>
      <c r="G308" s="180"/>
      <c r="H308" s="181"/>
      <c r="I308" s="137"/>
      <c r="J308" s="88"/>
      <c r="K308" s="89"/>
      <c r="L308" s="55"/>
      <c r="M308" s="137"/>
      <c r="N308" s="182"/>
      <c r="O308" s="89"/>
      <c r="P308" s="55"/>
      <c r="Q308" s="183"/>
      <c r="R308" s="184"/>
      <c r="S308" s="185"/>
      <c r="T308" s="172"/>
      <c r="U308" s="183"/>
      <c r="V308" s="184"/>
      <c r="W308" s="185"/>
      <c r="X308" s="172"/>
      <c r="Y308" s="137"/>
      <c r="Z308" s="186"/>
      <c r="AA308" s="187"/>
      <c r="AB308" s="188"/>
      <c r="AC308" s="137"/>
      <c r="AD308" s="184"/>
      <c r="AE308" s="189"/>
      <c r="AF308" s="190"/>
      <c r="AG308" s="143"/>
      <c r="AH308" s="143"/>
      <c r="AI308" s="143"/>
      <c r="AJ308" s="143"/>
      <c r="AK308" s="172"/>
      <c r="AL308" s="172"/>
    </row>
    <row r="309">
      <c r="A309" s="137"/>
      <c r="B309" s="88"/>
      <c r="C309" s="89"/>
      <c r="D309" s="55"/>
      <c r="E309" s="137"/>
      <c r="F309" s="88"/>
      <c r="G309" s="180"/>
      <c r="H309" s="181"/>
      <c r="I309" s="137"/>
      <c r="J309" s="88"/>
      <c r="K309" s="89"/>
      <c r="L309" s="55"/>
      <c r="M309" s="137"/>
      <c r="N309" s="182"/>
      <c r="O309" s="89"/>
      <c r="P309" s="55"/>
      <c r="Q309" s="183"/>
      <c r="R309" s="184"/>
      <c r="S309" s="185"/>
      <c r="T309" s="172"/>
      <c r="U309" s="183"/>
      <c r="V309" s="184"/>
      <c r="W309" s="185"/>
      <c r="X309" s="172"/>
      <c r="Y309" s="137"/>
      <c r="Z309" s="186"/>
      <c r="AA309" s="187"/>
      <c r="AB309" s="188"/>
      <c r="AC309" s="137"/>
      <c r="AD309" s="184"/>
      <c r="AE309" s="189"/>
      <c r="AF309" s="190"/>
      <c r="AG309" s="143"/>
      <c r="AH309" s="143"/>
      <c r="AI309" s="143"/>
      <c r="AJ309" s="143"/>
      <c r="AK309" s="172"/>
      <c r="AL309" s="172"/>
    </row>
    <row r="310">
      <c r="A310" s="137"/>
      <c r="B310" s="88"/>
      <c r="C310" s="89"/>
      <c r="D310" s="55"/>
      <c r="E310" s="137"/>
      <c r="F310" s="88"/>
      <c r="G310" s="180"/>
      <c r="H310" s="181"/>
      <c r="I310" s="137"/>
      <c r="J310" s="88"/>
      <c r="K310" s="89"/>
      <c r="L310" s="55"/>
      <c r="M310" s="137"/>
      <c r="N310" s="182"/>
      <c r="O310" s="89"/>
      <c r="P310" s="55"/>
      <c r="Q310" s="183"/>
      <c r="R310" s="184"/>
      <c r="S310" s="185"/>
      <c r="T310" s="172"/>
      <c r="U310" s="183"/>
      <c r="V310" s="184"/>
      <c r="W310" s="185"/>
      <c r="X310" s="172"/>
      <c r="Y310" s="137"/>
      <c r="Z310" s="186"/>
      <c r="AA310" s="187"/>
      <c r="AB310" s="188"/>
      <c r="AC310" s="137"/>
      <c r="AD310" s="184"/>
      <c r="AE310" s="189"/>
      <c r="AF310" s="190"/>
      <c r="AG310" s="143"/>
      <c r="AH310" s="143"/>
      <c r="AI310" s="143"/>
      <c r="AJ310" s="143"/>
      <c r="AK310" s="172"/>
      <c r="AL310" s="172"/>
    </row>
    <row r="311">
      <c r="A311" s="137"/>
      <c r="B311" s="88"/>
      <c r="C311" s="89"/>
      <c r="D311" s="55"/>
      <c r="E311" s="137"/>
      <c r="F311" s="88"/>
      <c r="G311" s="180"/>
      <c r="H311" s="181"/>
      <c r="I311" s="137"/>
      <c r="J311" s="88"/>
      <c r="K311" s="89"/>
      <c r="L311" s="55"/>
      <c r="M311" s="137"/>
      <c r="N311" s="182"/>
      <c r="O311" s="89"/>
      <c r="P311" s="55"/>
      <c r="Q311" s="183"/>
      <c r="R311" s="184"/>
      <c r="S311" s="185"/>
      <c r="T311" s="172"/>
      <c r="U311" s="183"/>
      <c r="V311" s="184"/>
      <c r="W311" s="185"/>
      <c r="X311" s="172"/>
      <c r="Y311" s="137"/>
      <c r="Z311" s="186"/>
      <c r="AA311" s="187"/>
      <c r="AB311" s="188"/>
      <c r="AC311" s="137"/>
      <c r="AD311" s="184"/>
      <c r="AE311" s="189"/>
      <c r="AF311" s="190"/>
      <c r="AG311" s="143"/>
      <c r="AH311" s="143"/>
      <c r="AI311" s="143"/>
      <c r="AJ311" s="143"/>
      <c r="AK311" s="172"/>
      <c r="AL311" s="172"/>
    </row>
    <row r="312">
      <c r="A312" s="137"/>
      <c r="B312" s="88"/>
      <c r="C312" s="89"/>
      <c r="D312" s="55"/>
      <c r="E312" s="137"/>
      <c r="F312" s="88"/>
      <c r="G312" s="180"/>
      <c r="H312" s="181"/>
      <c r="I312" s="137"/>
      <c r="J312" s="88"/>
      <c r="K312" s="89"/>
      <c r="L312" s="55"/>
      <c r="M312" s="137"/>
      <c r="N312" s="182"/>
      <c r="O312" s="89"/>
      <c r="P312" s="55"/>
      <c r="Q312" s="183"/>
      <c r="R312" s="184"/>
      <c r="S312" s="185"/>
      <c r="T312" s="172"/>
      <c r="U312" s="183"/>
      <c r="V312" s="184"/>
      <c r="W312" s="185"/>
      <c r="X312" s="172"/>
      <c r="Y312" s="137"/>
      <c r="Z312" s="186"/>
      <c r="AA312" s="187"/>
      <c r="AB312" s="188"/>
      <c r="AC312" s="137"/>
      <c r="AD312" s="184"/>
      <c r="AE312" s="189"/>
      <c r="AF312" s="190"/>
      <c r="AG312" s="143"/>
      <c r="AH312" s="143"/>
      <c r="AI312" s="143"/>
      <c r="AJ312" s="143"/>
      <c r="AK312" s="172"/>
      <c r="AL312" s="172"/>
    </row>
    <row r="313">
      <c r="A313" s="137"/>
      <c r="B313" s="88"/>
      <c r="C313" s="89"/>
      <c r="D313" s="55"/>
      <c r="E313" s="137"/>
      <c r="F313" s="88"/>
      <c r="G313" s="180"/>
      <c r="H313" s="181"/>
      <c r="I313" s="137"/>
      <c r="J313" s="88"/>
      <c r="K313" s="89"/>
      <c r="L313" s="55"/>
      <c r="M313" s="137"/>
      <c r="N313" s="182"/>
      <c r="O313" s="89"/>
      <c r="P313" s="55"/>
      <c r="Q313" s="183"/>
      <c r="R313" s="184"/>
      <c r="S313" s="185"/>
      <c r="T313" s="172"/>
      <c r="U313" s="183"/>
      <c r="V313" s="184"/>
      <c r="W313" s="185"/>
      <c r="X313" s="172"/>
      <c r="Y313" s="137"/>
      <c r="Z313" s="186"/>
      <c r="AA313" s="187"/>
      <c r="AB313" s="188"/>
      <c r="AC313" s="137"/>
      <c r="AD313" s="184"/>
      <c r="AE313" s="189"/>
      <c r="AF313" s="190"/>
      <c r="AG313" s="143"/>
      <c r="AH313" s="143"/>
      <c r="AI313" s="143"/>
      <c r="AJ313" s="143"/>
      <c r="AK313" s="172"/>
      <c r="AL313" s="172"/>
    </row>
    <row r="314">
      <c r="A314" s="137"/>
      <c r="B314" s="88"/>
      <c r="C314" s="89"/>
      <c r="D314" s="55"/>
      <c r="E314" s="137"/>
      <c r="F314" s="88"/>
      <c r="G314" s="180"/>
      <c r="H314" s="181"/>
      <c r="I314" s="137"/>
      <c r="J314" s="88"/>
      <c r="K314" s="89"/>
      <c r="L314" s="55"/>
      <c r="M314" s="137"/>
      <c r="N314" s="182"/>
      <c r="O314" s="89"/>
      <c r="P314" s="55"/>
      <c r="Q314" s="183"/>
      <c r="R314" s="184"/>
      <c r="S314" s="185"/>
      <c r="T314" s="172"/>
      <c r="U314" s="183"/>
      <c r="V314" s="184"/>
      <c r="W314" s="185"/>
      <c r="X314" s="172"/>
      <c r="Y314" s="137"/>
      <c r="Z314" s="186"/>
      <c r="AA314" s="187"/>
      <c r="AB314" s="188"/>
      <c r="AC314" s="137"/>
      <c r="AD314" s="184"/>
      <c r="AE314" s="189"/>
      <c r="AF314" s="190"/>
      <c r="AG314" s="143"/>
      <c r="AH314" s="143"/>
      <c r="AI314" s="143"/>
      <c r="AJ314" s="143"/>
      <c r="AK314" s="172"/>
      <c r="AL314" s="172"/>
    </row>
    <row r="315">
      <c r="A315" s="137"/>
      <c r="B315" s="88"/>
      <c r="C315" s="89"/>
      <c r="D315" s="55"/>
      <c r="E315" s="137"/>
      <c r="F315" s="88"/>
      <c r="G315" s="180"/>
      <c r="H315" s="181"/>
      <c r="I315" s="137"/>
      <c r="J315" s="88"/>
      <c r="K315" s="89"/>
      <c r="L315" s="55"/>
      <c r="M315" s="137"/>
      <c r="N315" s="182"/>
      <c r="O315" s="89"/>
      <c r="P315" s="55"/>
      <c r="Q315" s="183"/>
      <c r="R315" s="184"/>
      <c r="S315" s="185"/>
      <c r="T315" s="172"/>
      <c r="U315" s="183"/>
      <c r="V315" s="184"/>
      <c r="W315" s="185"/>
      <c r="X315" s="172"/>
      <c r="Y315" s="137"/>
      <c r="Z315" s="186"/>
      <c r="AA315" s="187"/>
      <c r="AB315" s="188"/>
      <c r="AC315" s="137"/>
      <c r="AD315" s="184"/>
      <c r="AE315" s="189"/>
      <c r="AF315" s="190"/>
      <c r="AG315" s="143"/>
      <c r="AH315" s="143"/>
      <c r="AI315" s="143"/>
      <c r="AJ315" s="143"/>
      <c r="AK315" s="172"/>
      <c r="AL315" s="172"/>
    </row>
    <row r="316">
      <c r="A316" s="137"/>
      <c r="B316" s="88"/>
      <c r="C316" s="89"/>
      <c r="D316" s="55"/>
      <c r="E316" s="137"/>
      <c r="F316" s="88"/>
      <c r="G316" s="180"/>
      <c r="H316" s="181"/>
      <c r="I316" s="137"/>
      <c r="J316" s="88"/>
      <c r="K316" s="89"/>
      <c r="L316" s="55"/>
      <c r="M316" s="137"/>
      <c r="N316" s="182"/>
      <c r="O316" s="89"/>
      <c r="P316" s="55"/>
      <c r="Q316" s="183"/>
      <c r="R316" s="184"/>
      <c r="S316" s="185"/>
      <c r="T316" s="172"/>
      <c r="U316" s="183"/>
      <c r="V316" s="184"/>
      <c r="W316" s="185"/>
      <c r="X316" s="172"/>
      <c r="Y316" s="137"/>
      <c r="Z316" s="186"/>
      <c r="AA316" s="187"/>
      <c r="AB316" s="188"/>
      <c r="AC316" s="137"/>
      <c r="AD316" s="184"/>
      <c r="AE316" s="189"/>
      <c r="AF316" s="190"/>
      <c r="AG316" s="143"/>
      <c r="AH316" s="143"/>
      <c r="AI316" s="143"/>
      <c r="AJ316" s="143"/>
      <c r="AK316" s="172"/>
      <c r="AL316" s="172"/>
    </row>
    <row r="317">
      <c r="A317" s="137"/>
      <c r="B317" s="88"/>
      <c r="C317" s="89"/>
      <c r="D317" s="55"/>
      <c r="E317" s="137"/>
      <c r="F317" s="88"/>
      <c r="G317" s="180"/>
      <c r="H317" s="181"/>
      <c r="I317" s="137"/>
      <c r="J317" s="88"/>
      <c r="K317" s="89"/>
      <c r="L317" s="55"/>
      <c r="M317" s="137"/>
      <c r="N317" s="182"/>
      <c r="O317" s="89"/>
      <c r="P317" s="55"/>
      <c r="Q317" s="183"/>
      <c r="R317" s="184"/>
      <c r="S317" s="185"/>
      <c r="T317" s="172"/>
      <c r="U317" s="183"/>
      <c r="V317" s="184"/>
      <c r="W317" s="185"/>
      <c r="X317" s="172"/>
      <c r="Y317" s="137"/>
      <c r="Z317" s="186"/>
      <c r="AA317" s="187"/>
      <c r="AB317" s="188"/>
      <c r="AC317" s="137"/>
      <c r="AD317" s="184"/>
      <c r="AE317" s="189"/>
      <c r="AF317" s="190"/>
      <c r="AG317" s="143"/>
      <c r="AH317" s="143"/>
      <c r="AI317" s="143"/>
      <c r="AJ317" s="143"/>
      <c r="AK317" s="172"/>
      <c r="AL317" s="172"/>
    </row>
    <row r="318">
      <c r="A318" s="137"/>
      <c r="B318" s="88"/>
      <c r="C318" s="89"/>
      <c r="D318" s="55"/>
      <c r="E318" s="137"/>
      <c r="F318" s="88"/>
      <c r="G318" s="180"/>
      <c r="H318" s="181"/>
      <c r="I318" s="137"/>
      <c r="J318" s="88"/>
      <c r="K318" s="89"/>
      <c r="L318" s="55"/>
      <c r="M318" s="137"/>
      <c r="N318" s="182"/>
      <c r="O318" s="89"/>
      <c r="P318" s="55"/>
      <c r="Q318" s="183"/>
      <c r="R318" s="184"/>
      <c r="S318" s="185"/>
      <c r="T318" s="172"/>
      <c r="U318" s="183"/>
      <c r="V318" s="184"/>
      <c r="W318" s="185"/>
      <c r="X318" s="172"/>
      <c r="Y318" s="137"/>
      <c r="Z318" s="186"/>
      <c r="AA318" s="187"/>
      <c r="AB318" s="188"/>
      <c r="AC318" s="137"/>
      <c r="AD318" s="184"/>
      <c r="AE318" s="189"/>
      <c r="AF318" s="190"/>
      <c r="AG318" s="143"/>
      <c r="AH318" s="143"/>
      <c r="AI318" s="143"/>
      <c r="AJ318" s="143"/>
      <c r="AK318" s="172"/>
      <c r="AL318" s="172"/>
    </row>
    <row r="319">
      <c r="A319" s="137"/>
      <c r="B319" s="88"/>
      <c r="C319" s="89"/>
      <c r="D319" s="55"/>
      <c r="E319" s="137"/>
      <c r="F319" s="88"/>
      <c r="G319" s="180"/>
      <c r="H319" s="181"/>
      <c r="I319" s="137"/>
      <c r="J319" s="88"/>
      <c r="K319" s="89"/>
      <c r="L319" s="55"/>
      <c r="M319" s="137"/>
      <c r="N319" s="182"/>
      <c r="O319" s="89"/>
      <c r="P319" s="55"/>
      <c r="Q319" s="183"/>
      <c r="R319" s="184"/>
      <c r="S319" s="185"/>
      <c r="T319" s="172"/>
      <c r="U319" s="183"/>
      <c r="V319" s="184"/>
      <c r="W319" s="185"/>
      <c r="X319" s="172"/>
      <c r="Y319" s="137"/>
      <c r="Z319" s="186"/>
      <c r="AA319" s="187"/>
      <c r="AB319" s="188"/>
      <c r="AC319" s="137"/>
      <c r="AD319" s="184"/>
      <c r="AE319" s="189"/>
      <c r="AF319" s="190"/>
      <c r="AG319" s="143"/>
      <c r="AH319" s="143"/>
      <c r="AI319" s="143"/>
      <c r="AJ319" s="143"/>
      <c r="AK319" s="172"/>
      <c r="AL319" s="172"/>
    </row>
    <row r="320">
      <c r="A320" s="137"/>
      <c r="B320" s="88"/>
      <c r="C320" s="89"/>
      <c r="D320" s="55"/>
      <c r="E320" s="137"/>
      <c r="F320" s="88"/>
      <c r="G320" s="180"/>
      <c r="H320" s="181"/>
      <c r="I320" s="137"/>
      <c r="J320" s="88"/>
      <c r="K320" s="89"/>
      <c r="L320" s="55"/>
      <c r="M320" s="137"/>
      <c r="N320" s="182"/>
      <c r="O320" s="89"/>
      <c r="P320" s="55"/>
      <c r="Q320" s="183"/>
      <c r="R320" s="184"/>
      <c r="S320" s="185"/>
      <c r="T320" s="172"/>
      <c r="U320" s="183"/>
      <c r="V320" s="184"/>
      <c r="W320" s="185"/>
      <c r="X320" s="172"/>
      <c r="Y320" s="137"/>
      <c r="Z320" s="186"/>
      <c r="AA320" s="187"/>
      <c r="AB320" s="188"/>
      <c r="AC320" s="137"/>
      <c r="AD320" s="184"/>
      <c r="AE320" s="189"/>
      <c r="AF320" s="190"/>
      <c r="AG320" s="143"/>
      <c r="AH320" s="143"/>
      <c r="AI320" s="143"/>
      <c r="AJ320" s="143"/>
      <c r="AK320" s="172"/>
      <c r="AL320" s="172"/>
    </row>
    <row r="321">
      <c r="A321" s="137"/>
      <c r="B321" s="88"/>
      <c r="C321" s="89"/>
      <c r="D321" s="55"/>
      <c r="E321" s="137"/>
      <c r="F321" s="88"/>
      <c r="G321" s="180"/>
      <c r="H321" s="181"/>
      <c r="I321" s="137"/>
      <c r="J321" s="88"/>
      <c r="K321" s="89"/>
      <c r="L321" s="55"/>
      <c r="M321" s="137"/>
      <c r="N321" s="182"/>
      <c r="O321" s="89"/>
      <c r="P321" s="55"/>
      <c r="Q321" s="183"/>
      <c r="R321" s="184"/>
      <c r="S321" s="185"/>
      <c r="T321" s="172"/>
      <c r="U321" s="183"/>
      <c r="V321" s="184"/>
      <c r="W321" s="185"/>
      <c r="X321" s="172"/>
      <c r="Y321" s="137"/>
      <c r="Z321" s="186"/>
      <c r="AA321" s="187"/>
      <c r="AB321" s="188"/>
      <c r="AC321" s="137"/>
      <c r="AD321" s="184"/>
      <c r="AE321" s="189"/>
      <c r="AF321" s="190"/>
      <c r="AG321" s="143"/>
      <c r="AH321" s="143"/>
      <c r="AI321" s="143"/>
      <c r="AJ321" s="143"/>
      <c r="AK321" s="172"/>
      <c r="AL321" s="172"/>
    </row>
    <row r="322">
      <c r="A322" s="137"/>
      <c r="B322" s="88"/>
      <c r="C322" s="89"/>
      <c r="D322" s="55"/>
      <c r="E322" s="137"/>
      <c r="F322" s="88"/>
      <c r="G322" s="180"/>
      <c r="H322" s="181"/>
      <c r="I322" s="137"/>
      <c r="J322" s="88"/>
      <c r="K322" s="89"/>
      <c r="L322" s="55"/>
      <c r="M322" s="137"/>
      <c r="N322" s="182"/>
      <c r="O322" s="89"/>
      <c r="P322" s="55"/>
      <c r="Q322" s="183"/>
      <c r="R322" s="184"/>
      <c r="S322" s="185"/>
      <c r="T322" s="172"/>
      <c r="U322" s="183"/>
      <c r="V322" s="184"/>
      <c r="W322" s="185"/>
      <c r="X322" s="172"/>
      <c r="Y322" s="137"/>
      <c r="Z322" s="186"/>
      <c r="AA322" s="187"/>
      <c r="AB322" s="188"/>
      <c r="AC322" s="137"/>
      <c r="AD322" s="184"/>
      <c r="AE322" s="189"/>
      <c r="AF322" s="190"/>
      <c r="AG322" s="143"/>
      <c r="AH322" s="143"/>
      <c r="AI322" s="143"/>
      <c r="AJ322" s="143"/>
      <c r="AK322" s="172"/>
      <c r="AL322" s="172"/>
    </row>
    <row r="323">
      <c r="A323" s="137"/>
      <c r="B323" s="88"/>
      <c r="C323" s="89"/>
      <c r="D323" s="55"/>
      <c r="E323" s="137"/>
      <c r="F323" s="88"/>
      <c r="G323" s="180"/>
      <c r="H323" s="181"/>
      <c r="I323" s="137"/>
      <c r="J323" s="88"/>
      <c r="K323" s="89"/>
      <c r="L323" s="55"/>
      <c r="M323" s="137"/>
      <c r="N323" s="182"/>
      <c r="O323" s="89"/>
      <c r="P323" s="55"/>
      <c r="Q323" s="183"/>
      <c r="R323" s="184"/>
      <c r="S323" s="185"/>
      <c r="T323" s="172"/>
      <c r="U323" s="183"/>
      <c r="V323" s="184"/>
      <c r="W323" s="185"/>
      <c r="X323" s="172"/>
      <c r="Y323" s="137"/>
      <c r="Z323" s="186"/>
      <c r="AA323" s="187"/>
      <c r="AB323" s="188"/>
      <c r="AC323" s="137"/>
      <c r="AD323" s="184"/>
      <c r="AE323" s="189"/>
      <c r="AF323" s="190"/>
      <c r="AG323" s="143"/>
      <c r="AH323" s="143"/>
      <c r="AI323" s="143"/>
      <c r="AJ323" s="143"/>
      <c r="AK323" s="172"/>
      <c r="AL323" s="172"/>
    </row>
    <row r="324">
      <c r="A324" s="137"/>
      <c r="B324" s="88"/>
      <c r="C324" s="89"/>
      <c r="D324" s="55"/>
      <c r="E324" s="137"/>
      <c r="F324" s="88"/>
      <c r="G324" s="180"/>
      <c r="H324" s="181"/>
      <c r="I324" s="137"/>
      <c r="J324" s="88"/>
      <c r="K324" s="89"/>
      <c r="L324" s="55"/>
      <c r="M324" s="137"/>
      <c r="N324" s="182"/>
      <c r="O324" s="89"/>
      <c r="P324" s="55"/>
      <c r="Q324" s="183"/>
      <c r="R324" s="184"/>
      <c r="S324" s="185"/>
      <c r="T324" s="172"/>
      <c r="U324" s="183"/>
      <c r="V324" s="184"/>
      <c r="W324" s="185"/>
      <c r="X324" s="172"/>
      <c r="Y324" s="137"/>
      <c r="Z324" s="186"/>
      <c r="AA324" s="187"/>
      <c r="AB324" s="188"/>
      <c r="AC324" s="137"/>
      <c r="AD324" s="184"/>
      <c r="AE324" s="189"/>
      <c r="AF324" s="190"/>
      <c r="AG324" s="143"/>
      <c r="AH324" s="143"/>
      <c r="AI324" s="143"/>
      <c r="AJ324" s="143"/>
      <c r="AK324" s="172"/>
      <c r="AL324" s="172"/>
    </row>
    <row r="325">
      <c r="A325" s="137"/>
      <c r="B325" s="88"/>
      <c r="C325" s="89"/>
      <c r="D325" s="55"/>
      <c r="E325" s="137"/>
      <c r="F325" s="88"/>
      <c r="G325" s="180"/>
      <c r="H325" s="181"/>
      <c r="I325" s="137"/>
      <c r="J325" s="88"/>
      <c r="K325" s="89"/>
      <c r="L325" s="55"/>
      <c r="M325" s="137"/>
      <c r="N325" s="182"/>
      <c r="O325" s="89"/>
      <c r="P325" s="55"/>
      <c r="Q325" s="183"/>
      <c r="R325" s="184"/>
      <c r="S325" s="185"/>
      <c r="T325" s="172"/>
      <c r="U325" s="183"/>
      <c r="V325" s="184"/>
      <c r="W325" s="185"/>
      <c r="X325" s="172"/>
      <c r="Y325" s="137"/>
      <c r="Z325" s="186"/>
      <c r="AA325" s="187"/>
      <c r="AB325" s="188"/>
      <c r="AC325" s="137"/>
      <c r="AD325" s="184"/>
      <c r="AE325" s="189"/>
      <c r="AF325" s="190"/>
      <c r="AG325" s="143"/>
      <c r="AH325" s="143"/>
      <c r="AI325" s="143"/>
      <c r="AJ325" s="143"/>
      <c r="AK325" s="172"/>
      <c r="AL325" s="172"/>
    </row>
    <row r="326">
      <c r="A326" s="137"/>
      <c r="B326" s="88"/>
      <c r="C326" s="89"/>
      <c r="D326" s="55"/>
      <c r="E326" s="137"/>
      <c r="F326" s="88"/>
      <c r="G326" s="180"/>
      <c r="H326" s="181"/>
      <c r="I326" s="137"/>
      <c r="J326" s="88"/>
      <c r="K326" s="89"/>
      <c r="L326" s="55"/>
      <c r="M326" s="137"/>
      <c r="N326" s="182"/>
      <c r="O326" s="89"/>
      <c r="P326" s="55"/>
      <c r="Q326" s="183"/>
      <c r="R326" s="184"/>
      <c r="S326" s="185"/>
      <c r="T326" s="172"/>
      <c r="U326" s="183"/>
      <c r="V326" s="184"/>
      <c r="W326" s="185"/>
      <c r="X326" s="172"/>
      <c r="Y326" s="137"/>
      <c r="Z326" s="186"/>
      <c r="AA326" s="187"/>
      <c r="AB326" s="188"/>
      <c r="AC326" s="137"/>
      <c r="AD326" s="184"/>
      <c r="AE326" s="189"/>
      <c r="AF326" s="190"/>
      <c r="AG326" s="143"/>
      <c r="AH326" s="143"/>
      <c r="AI326" s="143"/>
      <c r="AJ326" s="143"/>
      <c r="AK326" s="172"/>
      <c r="AL326" s="172"/>
    </row>
    <row r="327">
      <c r="A327" s="137"/>
      <c r="B327" s="88"/>
      <c r="C327" s="89"/>
      <c r="D327" s="55"/>
      <c r="E327" s="137"/>
      <c r="F327" s="88"/>
      <c r="G327" s="180"/>
      <c r="H327" s="181"/>
      <c r="I327" s="137"/>
      <c r="J327" s="88"/>
      <c r="K327" s="89"/>
      <c r="L327" s="55"/>
      <c r="M327" s="137"/>
      <c r="N327" s="182"/>
      <c r="O327" s="89"/>
      <c r="P327" s="55"/>
      <c r="Q327" s="183"/>
      <c r="R327" s="184"/>
      <c r="S327" s="185"/>
      <c r="T327" s="172"/>
      <c r="U327" s="183"/>
      <c r="V327" s="184"/>
      <c r="W327" s="185"/>
      <c r="X327" s="172"/>
      <c r="Y327" s="137"/>
      <c r="Z327" s="186"/>
      <c r="AA327" s="187"/>
      <c r="AB327" s="188"/>
      <c r="AC327" s="137"/>
      <c r="AD327" s="184"/>
      <c r="AE327" s="189"/>
      <c r="AF327" s="190"/>
      <c r="AG327" s="143"/>
      <c r="AH327" s="143"/>
      <c r="AI327" s="143"/>
      <c r="AJ327" s="143"/>
      <c r="AK327" s="172"/>
      <c r="AL327" s="172"/>
    </row>
    <row r="328">
      <c r="A328" s="137"/>
      <c r="B328" s="88"/>
      <c r="C328" s="89"/>
      <c r="D328" s="55"/>
      <c r="E328" s="137"/>
      <c r="F328" s="88"/>
      <c r="G328" s="180"/>
      <c r="H328" s="181"/>
      <c r="I328" s="137"/>
      <c r="J328" s="88"/>
      <c r="K328" s="89"/>
      <c r="L328" s="55"/>
      <c r="M328" s="137"/>
      <c r="N328" s="182"/>
      <c r="O328" s="89"/>
      <c r="P328" s="55"/>
      <c r="Q328" s="183"/>
      <c r="R328" s="184"/>
      <c r="S328" s="185"/>
      <c r="T328" s="172"/>
      <c r="U328" s="183"/>
      <c r="V328" s="184"/>
      <c r="W328" s="185"/>
      <c r="X328" s="172"/>
      <c r="Y328" s="137"/>
      <c r="Z328" s="186"/>
      <c r="AA328" s="187"/>
      <c r="AB328" s="188"/>
      <c r="AC328" s="137"/>
      <c r="AD328" s="184"/>
      <c r="AE328" s="189"/>
      <c r="AF328" s="190"/>
      <c r="AG328" s="143"/>
      <c r="AH328" s="143"/>
      <c r="AI328" s="143"/>
      <c r="AJ328" s="143"/>
      <c r="AK328" s="172"/>
      <c r="AL328" s="172"/>
    </row>
    <row r="329">
      <c r="A329" s="137"/>
      <c r="B329" s="88"/>
      <c r="C329" s="89"/>
      <c r="D329" s="55"/>
      <c r="E329" s="137"/>
      <c r="F329" s="88"/>
      <c r="G329" s="180"/>
      <c r="H329" s="181"/>
      <c r="I329" s="137"/>
      <c r="J329" s="88"/>
      <c r="K329" s="89"/>
      <c r="L329" s="55"/>
      <c r="M329" s="137"/>
      <c r="N329" s="182"/>
      <c r="O329" s="89"/>
      <c r="P329" s="55"/>
      <c r="Q329" s="183"/>
      <c r="R329" s="184"/>
      <c r="S329" s="185"/>
      <c r="T329" s="172"/>
      <c r="U329" s="183"/>
      <c r="V329" s="184"/>
      <c r="W329" s="185"/>
      <c r="X329" s="172"/>
      <c r="Y329" s="137"/>
      <c r="Z329" s="186"/>
      <c r="AA329" s="187"/>
      <c r="AB329" s="188"/>
      <c r="AC329" s="137"/>
      <c r="AD329" s="184"/>
      <c r="AE329" s="189"/>
      <c r="AF329" s="190"/>
      <c r="AG329" s="143"/>
      <c r="AH329" s="143"/>
      <c r="AI329" s="143"/>
      <c r="AJ329" s="143"/>
      <c r="AK329" s="172"/>
      <c r="AL329" s="172"/>
    </row>
    <row r="330">
      <c r="A330" s="137"/>
      <c r="B330" s="88"/>
      <c r="C330" s="89"/>
      <c r="D330" s="55"/>
      <c r="E330" s="137"/>
      <c r="F330" s="88"/>
      <c r="G330" s="180"/>
      <c r="H330" s="181"/>
      <c r="I330" s="137"/>
      <c r="J330" s="88"/>
      <c r="K330" s="89"/>
      <c r="L330" s="55"/>
      <c r="M330" s="137"/>
      <c r="N330" s="182"/>
      <c r="O330" s="89"/>
      <c r="P330" s="55"/>
      <c r="Q330" s="183"/>
      <c r="R330" s="184"/>
      <c r="S330" s="185"/>
      <c r="T330" s="172"/>
      <c r="U330" s="183"/>
      <c r="V330" s="184"/>
      <c r="W330" s="185"/>
      <c r="X330" s="172"/>
      <c r="Y330" s="137"/>
      <c r="Z330" s="186"/>
      <c r="AA330" s="187"/>
      <c r="AB330" s="188"/>
      <c r="AC330" s="137"/>
      <c r="AD330" s="184"/>
      <c r="AE330" s="189"/>
      <c r="AF330" s="190"/>
      <c r="AG330" s="143"/>
      <c r="AH330" s="143"/>
      <c r="AI330" s="143"/>
      <c r="AJ330" s="143"/>
      <c r="AK330" s="172"/>
      <c r="AL330" s="172"/>
    </row>
    <row r="331">
      <c r="A331" s="137"/>
      <c r="B331" s="88"/>
      <c r="C331" s="89"/>
      <c r="D331" s="55"/>
      <c r="E331" s="137"/>
      <c r="F331" s="88"/>
      <c r="G331" s="180"/>
      <c r="H331" s="181"/>
      <c r="I331" s="137"/>
      <c r="J331" s="88"/>
      <c r="K331" s="89"/>
      <c r="L331" s="55"/>
      <c r="M331" s="137"/>
      <c r="N331" s="182"/>
      <c r="O331" s="89"/>
      <c r="P331" s="55"/>
      <c r="Q331" s="183"/>
      <c r="R331" s="184"/>
      <c r="S331" s="185"/>
      <c r="T331" s="172"/>
      <c r="U331" s="183"/>
      <c r="V331" s="184"/>
      <c r="W331" s="185"/>
      <c r="X331" s="172"/>
      <c r="Y331" s="137"/>
      <c r="Z331" s="186"/>
      <c r="AA331" s="187"/>
      <c r="AB331" s="188"/>
      <c r="AC331" s="137"/>
      <c r="AD331" s="184"/>
      <c r="AE331" s="189"/>
      <c r="AF331" s="190"/>
      <c r="AG331" s="143"/>
      <c r="AH331" s="143"/>
      <c r="AI331" s="143"/>
      <c r="AJ331" s="143"/>
      <c r="AK331" s="172"/>
      <c r="AL331" s="172"/>
    </row>
    <row r="332">
      <c r="A332" s="137"/>
      <c r="B332" s="88"/>
      <c r="C332" s="89"/>
      <c r="D332" s="55"/>
      <c r="E332" s="137"/>
      <c r="F332" s="88"/>
      <c r="G332" s="180"/>
      <c r="H332" s="181"/>
      <c r="I332" s="137"/>
      <c r="J332" s="88"/>
      <c r="K332" s="89"/>
      <c r="L332" s="55"/>
      <c r="M332" s="137"/>
      <c r="N332" s="182"/>
      <c r="O332" s="89"/>
      <c r="P332" s="55"/>
      <c r="Q332" s="183"/>
      <c r="R332" s="184"/>
      <c r="S332" s="185"/>
      <c r="T332" s="172"/>
      <c r="U332" s="183"/>
      <c r="V332" s="184"/>
      <c r="W332" s="185"/>
      <c r="X332" s="172"/>
      <c r="Y332" s="137"/>
      <c r="Z332" s="186"/>
      <c r="AA332" s="187"/>
      <c r="AB332" s="188"/>
      <c r="AC332" s="137"/>
      <c r="AD332" s="184"/>
      <c r="AE332" s="189"/>
      <c r="AF332" s="190"/>
      <c r="AG332" s="143"/>
      <c r="AH332" s="143"/>
      <c r="AI332" s="143"/>
      <c r="AJ332" s="143"/>
      <c r="AK332" s="172"/>
      <c r="AL332" s="172"/>
    </row>
    <row r="333">
      <c r="A333" s="137"/>
      <c r="B333" s="88"/>
      <c r="C333" s="89"/>
      <c r="D333" s="55"/>
      <c r="E333" s="137"/>
      <c r="F333" s="88"/>
      <c r="G333" s="180"/>
      <c r="H333" s="181"/>
      <c r="I333" s="137"/>
      <c r="J333" s="88"/>
      <c r="K333" s="89"/>
      <c r="L333" s="55"/>
      <c r="M333" s="137"/>
      <c r="N333" s="182"/>
      <c r="O333" s="89"/>
      <c r="P333" s="55"/>
      <c r="Q333" s="183"/>
      <c r="R333" s="184"/>
      <c r="S333" s="185"/>
      <c r="T333" s="172"/>
      <c r="U333" s="183"/>
      <c r="V333" s="184"/>
      <c r="W333" s="185"/>
      <c r="X333" s="172"/>
      <c r="Y333" s="137"/>
      <c r="Z333" s="186"/>
      <c r="AA333" s="187"/>
      <c r="AB333" s="188"/>
      <c r="AC333" s="137"/>
      <c r="AD333" s="184"/>
      <c r="AE333" s="189"/>
      <c r="AF333" s="190"/>
      <c r="AG333" s="143"/>
      <c r="AH333" s="143"/>
      <c r="AI333" s="143"/>
      <c r="AJ333" s="143"/>
      <c r="AK333" s="172"/>
      <c r="AL333" s="172"/>
    </row>
    <row r="334">
      <c r="A334" s="137"/>
      <c r="B334" s="88"/>
      <c r="C334" s="89"/>
      <c r="D334" s="55"/>
      <c r="E334" s="137"/>
      <c r="F334" s="88"/>
      <c r="G334" s="180"/>
      <c r="H334" s="181"/>
      <c r="I334" s="137"/>
      <c r="J334" s="88"/>
      <c r="K334" s="89"/>
      <c r="L334" s="55"/>
      <c r="M334" s="137"/>
      <c r="N334" s="182"/>
      <c r="O334" s="89"/>
      <c r="P334" s="55"/>
      <c r="Q334" s="183"/>
      <c r="R334" s="184"/>
      <c r="S334" s="185"/>
      <c r="T334" s="172"/>
      <c r="U334" s="183"/>
      <c r="V334" s="184"/>
      <c r="W334" s="185"/>
      <c r="X334" s="172"/>
      <c r="Y334" s="137"/>
      <c r="Z334" s="186"/>
      <c r="AA334" s="187"/>
      <c r="AB334" s="188"/>
      <c r="AC334" s="137"/>
      <c r="AD334" s="184"/>
      <c r="AE334" s="189"/>
      <c r="AF334" s="190"/>
      <c r="AG334" s="143"/>
      <c r="AH334" s="143"/>
      <c r="AI334" s="143"/>
      <c r="AJ334" s="143"/>
      <c r="AK334" s="172"/>
      <c r="AL334" s="172"/>
    </row>
    <row r="335">
      <c r="A335" s="137"/>
      <c r="B335" s="88"/>
      <c r="C335" s="89"/>
      <c r="D335" s="55"/>
      <c r="E335" s="137"/>
      <c r="F335" s="88"/>
      <c r="G335" s="180"/>
      <c r="H335" s="181"/>
      <c r="I335" s="137"/>
      <c r="J335" s="88"/>
      <c r="K335" s="89"/>
      <c r="L335" s="55"/>
      <c r="M335" s="137"/>
      <c r="N335" s="182"/>
      <c r="O335" s="89"/>
      <c r="P335" s="55"/>
      <c r="Q335" s="183"/>
      <c r="R335" s="184"/>
      <c r="S335" s="185"/>
      <c r="T335" s="172"/>
      <c r="U335" s="183"/>
      <c r="V335" s="184"/>
      <c r="W335" s="185"/>
      <c r="X335" s="172"/>
      <c r="Y335" s="137"/>
      <c r="Z335" s="186"/>
      <c r="AA335" s="187"/>
      <c r="AB335" s="188"/>
      <c r="AC335" s="137"/>
      <c r="AD335" s="184"/>
      <c r="AE335" s="189"/>
      <c r="AF335" s="190"/>
      <c r="AG335" s="143"/>
      <c r="AH335" s="143"/>
      <c r="AI335" s="143"/>
      <c r="AJ335" s="143"/>
      <c r="AK335" s="172"/>
      <c r="AL335" s="172"/>
    </row>
    <row r="336">
      <c r="A336" s="137"/>
      <c r="B336" s="88"/>
      <c r="C336" s="89"/>
      <c r="D336" s="55"/>
      <c r="E336" s="137"/>
      <c r="F336" s="88"/>
      <c r="G336" s="180"/>
      <c r="H336" s="181"/>
      <c r="I336" s="137"/>
      <c r="J336" s="88"/>
      <c r="K336" s="89"/>
      <c r="L336" s="55"/>
      <c r="M336" s="137"/>
      <c r="N336" s="182"/>
      <c r="O336" s="89"/>
      <c r="P336" s="55"/>
      <c r="Q336" s="183"/>
      <c r="R336" s="184"/>
      <c r="S336" s="185"/>
      <c r="T336" s="172"/>
      <c r="U336" s="183"/>
      <c r="V336" s="184"/>
      <c r="W336" s="185"/>
      <c r="X336" s="172"/>
      <c r="Y336" s="137"/>
      <c r="Z336" s="186"/>
      <c r="AA336" s="187"/>
      <c r="AB336" s="188"/>
      <c r="AC336" s="137"/>
      <c r="AD336" s="184"/>
      <c r="AE336" s="189"/>
      <c r="AF336" s="190"/>
      <c r="AG336" s="143"/>
      <c r="AH336" s="143"/>
      <c r="AI336" s="143"/>
      <c r="AJ336" s="143"/>
      <c r="AK336" s="172"/>
      <c r="AL336" s="172"/>
    </row>
    <row r="337">
      <c r="A337" s="137"/>
      <c r="B337" s="88"/>
      <c r="C337" s="89"/>
      <c r="D337" s="55"/>
      <c r="E337" s="137"/>
      <c r="F337" s="88"/>
      <c r="G337" s="180"/>
      <c r="H337" s="181"/>
      <c r="I337" s="137"/>
      <c r="J337" s="88"/>
      <c r="K337" s="89"/>
      <c r="L337" s="55"/>
      <c r="M337" s="137"/>
      <c r="N337" s="182"/>
      <c r="O337" s="89"/>
      <c r="P337" s="55"/>
      <c r="Q337" s="183"/>
      <c r="R337" s="184"/>
      <c r="S337" s="185"/>
      <c r="T337" s="172"/>
      <c r="U337" s="183"/>
      <c r="V337" s="184"/>
      <c r="W337" s="185"/>
      <c r="X337" s="172"/>
      <c r="Y337" s="137"/>
      <c r="Z337" s="186"/>
      <c r="AA337" s="187"/>
      <c r="AB337" s="188"/>
      <c r="AC337" s="137"/>
      <c r="AD337" s="184"/>
      <c r="AE337" s="189"/>
      <c r="AF337" s="190"/>
      <c r="AG337" s="143"/>
      <c r="AH337" s="143"/>
      <c r="AI337" s="143"/>
      <c r="AJ337" s="143"/>
      <c r="AK337" s="172"/>
      <c r="AL337" s="172"/>
    </row>
    <row r="338">
      <c r="A338" s="137"/>
      <c r="B338" s="88"/>
      <c r="C338" s="89"/>
      <c r="D338" s="55"/>
      <c r="E338" s="137"/>
      <c r="F338" s="88"/>
      <c r="G338" s="180"/>
      <c r="H338" s="181"/>
      <c r="I338" s="137"/>
      <c r="J338" s="88"/>
      <c r="K338" s="89"/>
      <c r="L338" s="55"/>
      <c r="M338" s="137"/>
      <c r="N338" s="182"/>
      <c r="O338" s="89"/>
      <c r="P338" s="55"/>
      <c r="Q338" s="183"/>
      <c r="R338" s="184"/>
      <c r="S338" s="185"/>
      <c r="T338" s="172"/>
      <c r="U338" s="183"/>
      <c r="V338" s="184"/>
      <c r="W338" s="185"/>
      <c r="X338" s="172"/>
      <c r="Y338" s="137"/>
      <c r="Z338" s="186"/>
      <c r="AA338" s="187"/>
      <c r="AB338" s="188"/>
      <c r="AC338" s="137"/>
      <c r="AD338" s="184"/>
      <c r="AE338" s="189"/>
      <c r="AF338" s="190"/>
      <c r="AG338" s="143"/>
      <c r="AH338" s="143"/>
      <c r="AI338" s="143"/>
      <c r="AJ338" s="143"/>
      <c r="AK338" s="172"/>
      <c r="AL338" s="172"/>
    </row>
    <row r="339">
      <c r="A339" s="137"/>
      <c r="B339" s="88"/>
      <c r="C339" s="89"/>
      <c r="D339" s="55"/>
      <c r="E339" s="137"/>
      <c r="F339" s="88"/>
      <c r="G339" s="180"/>
      <c r="H339" s="181"/>
      <c r="I339" s="137"/>
      <c r="J339" s="88"/>
      <c r="K339" s="89"/>
      <c r="L339" s="55"/>
      <c r="M339" s="137"/>
      <c r="N339" s="182"/>
      <c r="O339" s="89"/>
      <c r="P339" s="55"/>
      <c r="Q339" s="183"/>
      <c r="R339" s="184"/>
      <c r="S339" s="185"/>
      <c r="T339" s="172"/>
      <c r="U339" s="183"/>
      <c r="V339" s="184"/>
      <c r="W339" s="185"/>
      <c r="X339" s="172"/>
      <c r="Y339" s="137"/>
      <c r="Z339" s="186"/>
      <c r="AA339" s="187"/>
      <c r="AB339" s="188"/>
      <c r="AC339" s="137"/>
      <c r="AD339" s="184"/>
      <c r="AE339" s="189"/>
      <c r="AF339" s="190"/>
      <c r="AG339" s="143"/>
      <c r="AH339" s="143"/>
      <c r="AI339" s="143"/>
      <c r="AJ339" s="143"/>
      <c r="AK339" s="172"/>
      <c r="AL339" s="172"/>
    </row>
    <row r="340">
      <c r="A340" s="137"/>
      <c r="B340" s="88"/>
      <c r="C340" s="89"/>
      <c r="D340" s="55"/>
      <c r="E340" s="137"/>
      <c r="F340" s="88"/>
      <c r="G340" s="180"/>
      <c r="H340" s="181"/>
      <c r="I340" s="137"/>
      <c r="J340" s="88"/>
      <c r="K340" s="89"/>
      <c r="L340" s="55"/>
      <c r="M340" s="137"/>
      <c r="N340" s="182"/>
      <c r="O340" s="89"/>
      <c r="P340" s="55"/>
      <c r="Q340" s="183"/>
      <c r="R340" s="184"/>
      <c r="S340" s="185"/>
      <c r="T340" s="172"/>
      <c r="U340" s="183"/>
      <c r="V340" s="184"/>
      <c r="W340" s="185"/>
      <c r="X340" s="172"/>
      <c r="Y340" s="137"/>
      <c r="Z340" s="186"/>
      <c r="AA340" s="187"/>
      <c r="AB340" s="188"/>
      <c r="AC340" s="137"/>
      <c r="AD340" s="184"/>
      <c r="AE340" s="189"/>
      <c r="AF340" s="190"/>
      <c r="AG340" s="143"/>
      <c r="AH340" s="143"/>
      <c r="AI340" s="143"/>
      <c r="AJ340" s="143"/>
      <c r="AK340" s="172"/>
      <c r="AL340" s="172"/>
    </row>
    <row r="341">
      <c r="A341" s="137"/>
      <c r="B341" s="88"/>
      <c r="C341" s="89"/>
      <c r="D341" s="55"/>
      <c r="E341" s="137"/>
      <c r="F341" s="88"/>
      <c r="G341" s="180"/>
      <c r="H341" s="181"/>
      <c r="I341" s="137"/>
      <c r="J341" s="88"/>
      <c r="K341" s="89"/>
      <c r="L341" s="55"/>
      <c r="M341" s="137"/>
      <c r="N341" s="182"/>
      <c r="O341" s="89"/>
      <c r="P341" s="55"/>
      <c r="Q341" s="183"/>
      <c r="R341" s="184"/>
      <c r="S341" s="185"/>
      <c r="T341" s="172"/>
      <c r="U341" s="183"/>
      <c r="V341" s="184"/>
      <c r="W341" s="185"/>
      <c r="X341" s="172"/>
      <c r="Y341" s="137"/>
      <c r="Z341" s="186"/>
      <c r="AA341" s="187"/>
      <c r="AB341" s="188"/>
      <c r="AC341" s="137"/>
      <c r="AD341" s="184"/>
      <c r="AE341" s="189"/>
      <c r="AF341" s="190"/>
      <c r="AG341" s="143"/>
      <c r="AH341" s="143"/>
      <c r="AI341" s="143"/>
      <c r="AJ341" s="143"/>
      <c r="AK341" s="172"/>
      <c r="AL341" s="172"/>
    </row>
    <row r="342">
      <c r="A342" s="137"/>
      <c r="B342" s="88"/>
      <c r="C342" s="89"/>
      <c r="D342" s="55"/>
      <c r="E342" s="137"/>
      <c r="F342" s="88"/>
      <c r="G342" s="180"/>
      <c r="H342" s="181"/>
      <c r="I342" s="137"/>
      <c r="J342" s="88"/>
      <c r="K342" s="89"/>
      <c r="L342" s="55"/>
      <c r="M342" s="137"/>
      <c r="N342" s="182"/>
      <c r="O342" s="89"/>
      <c r="P342" s="55"/>
      <c r="Q342" s="183"/>
      <c r="R342" s="184"/>
      <c r="S342" s="185"/>
      <c r="T342" s="172"/>
      <c r="U342" s="183"/>
      <c r="V342" s="184"/>
      <c r="W342" s="185"/>
      <c r="X342" s="172"/>
      <c r="Y342" s="137"/>
      <c r="Z342" s="186"/>
      <c r="AA342" s="187"/>
      <c r="AB342" s="188"/>
      <c r="AC342" s="137"/>
      <c r="AD342" s="184"/>
      <c r="AE342" s="189"/>
      <c r="AF342" s="190"/>
      <c r="AG342" s="143"/>
      <c r="AH342" s="143"/>
      <c r="AI342" s="143"/>
      <c r="AJ342" s="143"/>
      <c r="AK342" s="172"/>
      <c r="AL342" s="172"/>
    </row>
    <row r="343">
      <c r="A343" s="137"/>
      <c r="B343" s="88"/>
      <c r="C343" s="89"/>
      <c r="D343" s="55"/>
      <c r="E343" s="137"/>
      <c r="F343" s="88"/>
      <c r="G343" s="180"/>
      <c r="H343" s="181"/>
      <c r="I343" s="137"/>
      <c r="J343" s="88"/>
      <c r="K343" s="89"/>
      <c r="L343" s="55"/>
      <c r="M343" s="137"/>
      <c r="N343" s="182"/>
      <c r="O343" s="89"/>
      <c r="P343" s="55"/>
      <c r="Q343" s="183"/>
      <c r="R343" s="184"/>
      <c r="S343" s="185"/>
      <c r="T343" s="172"/>
      <c r="U343" s="183"/>
      <c r="V343" s="184"/>
      <c r="W343" s="185"/>
      <c r="X343" s="172"/>
      <c r="Y343" s="137"/>
      <c r="Z343" s="186"/>
      <c r="AA343" s="187"/>
      <c r="AB343" s="188"/>
      <c r="AC343" s="137"/>
      <c r="AD343" s="184"/>
      <c r="AE343" s="189"/>
      <c r="AF343" s="190"/>
      <c r="AG343" s="143"/>
      <c r="AH343" s="143"/>
      <c r="AI343" s="143"/>
      <c r="AJ343" s="143"/>
      <c r="AK343" s="172"/>
      <c r="AL343" s="172"/>
    </row>
    <row r="344">
      <c r="A344" s="137"/>
      <c r="B344" s="88"/>
      <c r="C344" s="89"/>
      <c r="D344" s="55"/>
      <c r="E344" s="137"/>
      <c r="F344" s="88"/>
      <c r="G344" s="180"/>
      <c r="H344" s="181"/>
      <c r="I344" s="137"/>
      <c r="J344" s="88"/>
      <c r="K344" s="89"/>
      <c r="L344" s="55"/>
      <c r="M344" s="137"/>
      <c r="N344" s="182"/>
      <c r="O344" s="89"/>
      <c r="P344" s="55"/>
      <c r="Q344" s="183"/>
      <c r="R344" s="184"/>
      <c r="S344" s="185"/>
      <c r="T344" s="172"/>
      <c r="U344" s="183"/>
      <c r="V344" s="184"/>
      <c r="W344" s="185"/>
      <c r="X344" s="172"/>
      <c r="Y344" s="137"/>
      <c r="Z344" s="186"/>
      <c r="AA344" s="187"/>
      <c r="AB344" s="188"/>
      <c r="AC344" s="137"/>
      <c r="AD344" s="184"/>
      <c r="AE344" s="189"/>
      <c r="AF344" s="190"/>
      <c r="AG344" s="143"/>
      <c r="AH344" s="143"/>
      <c r="AI344" s="143"/>
      <c r="AJ344" s="143"/>
      <c r="AK344" s="172"/>
      <c r="AL344" s="172"/>
    </row>
    <row r="345">
      <c r="A345" s="137"/>
      <c r="B345" s="88"/>
      <c r="C345" s="89"/>
      <c r="D345" s="55"/>
      <c r="E345" s="137"/>
      <c r="F345" s="88"/>
      <c r="G345" s="180"/>
      <c r="H345" s="181"/>
      <c r="I345" s="137"/>
      <c r="J345" s="88"/>
      <c r="K345" s="89"/>
      <c r="L345" s="55"/>
      <c r="M345" s="137"/>
      <c r="N345" s="182"/>
      <c r="O345" s="89"/>
      <c r="P345" s="55"/>
      <c r="Q345" s="183"/>
      <c r="R345" s="184"/>
      <c r="S345" s="185"/>
      <c r="T345" s="172"/>
      <c r="U345" s="183"/>
      <c r="V345" s="184"/>
      <c r="W345" s="185"/>
      <c r="X345" s="172"/>
      <c r="Y345" s="137"/>
      <c r="Z345" s="186"/>
      <c r="AA345" s="187"/>
      <c r="AB345" s="188"/>
      <c r="AC345" s="137"/>
      <c r="AD345" s="184"/>
      <c r="AE345" s="189"/>
      <c r="AF345" s="190"/>
      <c r="AG345" s="143"/>
      <c r="AH345" s="143"/>
      <c r="AI345" s="143"/>
      <c r="AJ345" s="143"/>
      <c r="AK345" s="172"/>
      <c r="AL345" s="172"/>
    </row>
    <row r="346">
      <c r="A346" s="137"/>
      <c r="B346" s="88"/>
      <c r="C346" s="89"/>
      <c r="D346" s="55"/>
      <c r="E346" s="137"/>
      <c r="F346" s="88"/>
      <c r="G346" s="180"/>
      <c r="H346" s="181"/>
      <c r="I346" s="137"/>
      <c r="J346" s="88"/>
      <c r="K346" s="89"/>
      <c r="L346" s="55"/>
      <c r="M346" s="137"/>
      <c r="N346" s="182"/>
      <c r="O346" s="89"/>
      <c r="P346" s="55"/>
      <c r="Q346" s="183"/>
      <c r="R346" s="184"/>
      <c r="S346" s="185"/>
      <c r="T346" s="172"/>
      <c r="U346" s="183"/>
      <c r="V346" s="184"/>
      <c r="W346" s="185"/>
      <c r="X346" s="172"/>
      <c r="Y346" s="137"/>
      <c r="Z346" s="186"/>
      <c r="AA346" s="187"/>
      <c r="AB346" s="188"/>
      <c r="AC346" s="137"/>
      <c r="AD346" s="184"/>
      <c r="AE346" s="189"/>
      <c r="AF346" s="190"/>
      <c r="AG346" s="143"/>
      <c r="AH346" s="143"/>
      <c r="AI346" s="143"/>
      <c r="AJ346" s="143"/>
      <c r="AK346" s="172"/>
      <c r="AL346" s="172"/>
    </row>
    <row r="347">
      <c r="A347" s="137"/>
      <c r="B347" s="88"/>
      <c r="C347" s="89"/>
      <c r="D347" s="55"/>
      <c r="E347" s="137"/>
      <c r="F347" s="88"/>
      <c r="G347" s="180"/>
      <c r="H347" s="181"/>
      <c r="I347" s="137"/>
      <c r="J347" s="88"/>
      <c r="K347" s="89"/>
      <c r="L347" s="55"/>
      <c r="M347" s="137"/>
      <c r="N347" s="182"/>
      <c r="O347" s="89"/>
      <c r="P347" s="55"/>
      <c r="Q347" s="183"/>
      <c r="R347" s="184"/>
      <c r="S347" s="185"/>
      <c r="T347" s="172"/>
      <c r="U347" s="183"/>
      <c r="V347" s="184"/>
      <c r="W347" s="185"/>
      <c r="X347" s="172"/>
      <c r="Y347" s="137"/>
      <c r="Z347" s="186"/>
      <c r="AA347" s="187"/>
      <c r="AB347" s="188"/>
      <c r="AC347" s="137"/>
      <c r="AD347" s="184"/>
      <c r="AE347" s="189"/>
      <c r="AF347" s="190"/>
      <c r="AG347" s="143"/>
      <c r="AH347" s="143"/>
      <c r="AI347" s="143"/>
      <c r="AJ347" s="143"/>
      <c r="AK347" s="172"/>
      <c r="AL347" s="172"/>
    </row>
    <row r="348">
      <c r="A348" s="137"/>
      <c r="B348" s="88"/>
      <c r="C348" s="89"/>
      <c r="D348" s="55"/>
      <c r="E348" s="137"/>
      <c r="F348" s="88"/>
      <c r="G348" s="180"/>
      <c r="H348" s="181"/>
      <c r="I348" s="137"/>
      <c r="J348" s="88"/>
      <c r="K348" s="89"/>
      <c r="L348" s="55"/>
      <c r="M348" s="137"/>
      <c r="N348" s="182"/>
      <c r="O348" s="89"/>
      <c r="P348" s="55"/>
      <c r="Q348" s="183"/>
      <c r="R348" s="184"/>
      <c r="S348" s="185"/>
      <c r="T348" s="172"/>
      <c r="U348" s="183"/>
      <c r="V348" s="184"/>
      <c r="W348" s="185"/>
      <c r="X348" s="172"/>
      <c r="Y348" s="137"/>
      <c r="Z348" s="186"/>
      <c r="AA348" s="187"/>
      <c r="AB348" s="188"/>
      <c r="AC348" s="137"/>
      <c r="AD348" s="184"/>
      <c r="AE348" s="189"/>
      <c r="AF348" s="190"/>
      <c r="AG348" s="143"/>
      <c r="AH348" s="143"/>
      <c r="AI348" s="143"/>
      <c r="AJ348" s="143"/>
      <c r="AK348" s="172"/>
      <c r="AL348" s="172"/>
    </row>
    <row r="349">
      <c r="A349" s="137"/>
      <c r="B349" s="88"/>
      <c r="C349" s="89"/>
      <c r="D349" s="55"/>
      <c r="E349" s="137"/>
      <c r="F349" s="88"/>
      <c r="G349" s="180"/>
      <c r="H349" s="181"/>
      <c r="I349" s="137"/>
      <c r="J349" s="88"/>
      <c r="K349" s="89"/>
      <c r="L349" s="55"/>
      <c r="M349" s="137"/>
      <c r="N349" s="182"/>
      <c r="O349" s="89"/>
      <c r="P349" s="55"/>
      <c r="Q349" s="183"/>
      <c r="R349" s="184"/>
      <c r="S349" s="185"/>
      <c r="T349" s="172"/>
      <c r="U349" s="183"/>
      <c r="V349" s="184"/>
      <c r="W349" s="185"/>
      <c r="X349" s="172"/>
      <c r="Y349" s="137"/>
      <c r="Z349" s="186"/>
      <c r="AA349" s="187"/>
      <c r="AB349" s="188"/>
      <c r="AC349" s="137"/>
      <c r="AD349" s="184"/>
      <c r="AE349" s="189"/>
      <c r="AF349" s="190"/>
      <c r="AG349" s="143"/>
      <c r="AH349" s="143"/>
      <c r="AI349" s="143"/>
      <c r="AJ349" s="143"/>
      <c r="AK349" s="172"/>
      <c r="AL349" s="172"/>
    </row>
    <row r="350">
      <c r="A350" s="137"/>
      <c r="B350" s="88"/>
      <c r="C350" s="89"/>
      <c r="D350" s="55"/>
      <c r="E350" s="137"/>
      <c r="F350" s="88"/>
      <c r="G350" s="180"/>
      <c r="H350" s="181"/>
      <c r="I350" s="137"/>
      <c r="J350" s="88"/>
      <c r="K350" s="89"/>
      <c r="L350" s="55"/>
      <c r="M350" s="137"/>
      <c r="N350" s="182"/>
      <c r="O350" s="89"/>
      <c r="P350" s="55"/>
      <c r="Q350" s="183"/>
      <c r="R350" s="184"/>
      <c r="S350" s="185"/>
      <c r="T350" s="172"/>
      <c r="U350" s="183"/>
      <c r="V350" s="184"/>
      <c r="W350" s="185"/>
      <c r="X350" s="172"/>
      <c r="Y350" s="137"/>
      <c r="Z350" s="186"/>
      <c r="AA350" s="187"/>
      <c r="AB350" s="188"/>
      <c r="AC350" s="137"/>
      <c r="AD350" s="184"/>
      <c r="AE350" s="189"/>
      <c r="AF350" s="190"/>
      <c r="AG350" s="143"/>
      <c r="AH350" s="143"/>
      <c r="AI350" s="143"/>
      <c r="AJ350" s="143"/>
      <c r="AK350" s="172"/>
      <c r="AL350" s="172"/>
    </row>
    <row r="351">
      <c r="A351" s="137"/>
      <c r="B351" s="88"/>
      <c r="C351" s="89"/>
      <c r="D351" s="55"/>
      <c r="E351" s="137"/>
      <c r="F351" s="88"/>
      <c r="G351" s="180"/>
      <c r="H351" s="181"/>
      <c r="I351" s="137"/>
      <c r="J351" s="88"/>
      <c r="K351" s="89"/>
      <c r="L351" s="55"/>
      <c r="M351" s="137"/>
      <c r="N351" s="182"/>
      <c r="O351" s="89"/>
      <c r="P351" s="55"/>
      <c r="Q351" s="183"/>
      <c r="R351" s="184"/>
      <c r="S351" s="185"/>
      <c r="T351" s="172"/>
      <c r="U351" s="183"/>
      <c r="V351" s="184"/>
      <c r="W351" s="185"/>
      <c r="X351" s="172"/>
      <c r="Y351" s="137"/>
      <c r="Z351" s="186"/>
      <c r="AA351" s="187"/>
      <c r="AB351" s="188"/>
      <c r="AC351" s="137"/>
      <c r="AD351" s="184"/>
      <c r="AE351" s="189"/>
      <c r="AF351" s="190"/>
      <c r="AG351" s="143"/>
      <c r="AH351" s="143"/>
      <c r="AI351" s="143"/>
      <c r="AJ351" s="143"/>
      <c r="AK351" s="172"/>
      <c r="AL351" s="172"/>
    </row>
    <row r="352">
      <c r="A352" s="137"/>
      <c r="B352" s="88"/>
      <c r="C352" s="89"/>
      <c r="D352" s="55"/>
      <c r="E352" s="137"/>
      <c r="F352" s="88"/>
      <c r="G352" s="180"/>
      <c r="H352" s="181"/>
      <c r="I352" s="137"/>
      <c r="J352" s="88"/>
      <c r="K352" s="89"/>
      <c r="L352" s="55"/>
      <c r="M352" s="137"/>
      <c r="N352" s="182"/>
      <c r="O352" s="89"/>
      <c r="P352" s="55"/>
      <c r="Q352" s="183"/>
      <c r="R352" s="184"/>
      <c r="S352" s="185"/>
      <c r="T352" s="172"/>
      <c r="U352" s="183"/>
      <c r="V352" s="184"/>
      <c r="W352" s="185"/>
      <c r="X352" s="172"/>
      <c r="Y352" s="137"/>
      <c r="Z352" s="186"/>
      <c r="AA352" s="187"/>
      <c r="AB352" s="188"/>
      <c r="AC352" s="137"/>
      <c r="AD352" s="184"/>
      <c r="AE352" s="189"/>
      <c r="AF352" s="190"/>
      <c r="AG352" s="143"/>
      <c r="AH352" s="143"/>
      <c r="AI352" s="143"/>
      <c r="AJ352" s="143"/>
      <c r="AK352" s="172"/>
      <c r="AL352" s="172"/>
    </row>
    <row r="353">
      <c r="A353" s="137"/>
      <c r="B353" s="88"/>
      <c r="C353" s="89"/>
      <c r="D353" s="55"/>
      <c r="E353" s="137"/>
      <c r="F353" s="88"/>
      <c r="G353" s="180"/>
      <c r="H353" s="181"/>
      <c r="I353" s="137"/>
      <c r="J353" s="88"/>
      <c r="K353" s="89"/>
      <c r="L353" s="55"/>
      <c r="M353" s="137"/>
      <c r="N353" s="182"/>
      <c r="O353" s="89"/>
      <c r="P353" s="55"/>
      <c r="Q353" s="183"/>
      <c r="R353" s="184"/>
      <c r="S353" s="185"/>
      <c r="T353" s="172"/>
      <c r="U353" s="183"/>
      <c r="V353" s="184"/>
      <c r="W353" s="185"/>
      <c r="X353" s="172"/>
      <c r="Y353" s="137"/>
      <c r="Z353" s="186"/>
      <c r="AA353" s="187"/>
      <c r="AB353" s="188"/>
      <c r="AC353" s="137"/>
      <c r="AD353" s="184"/>
      <c r="AE353" s="189"/>
      <c r="AF353" s="190"/>
      <c r="AG353" s="143"/>
      <c r="AH353" s="143"/>
      <c r="AI353" s="143"/>
      <c r="AJ353" s="143"/>
      <c r="AK353" s="172"/>
      <c r="AL353" s="172"/>
    </row>
    <row r="354">
      <c r="A354" s="137"/>
      <c r="B354" s="88"/>
      <c r="C354" s="89"/>
      <c r="D354" s="55"/>
      <c r="E354" s="137"/>
      <c r="F354" s="88"/>
      <c r="G354" s="180"/>
      <c r="H354" s="181"/>
      <c r="I354" s="137"/>
      <c r="J354" s="88"/>
      <c r="K354" s="89"/>
      <c r="L354" s="55"/>
      <c r="M354" s="137"/>
      <c r="N354" s="182"/>
      <c r="O354" s="89"/>
      <c r="P354" s="55"/>
      <c r="Q354" s="183"/>
      <c r="R354" s="184"/>
      <c r="S354" s="185"/>
      <c r="T354" s="172"/>
      <c r="U354" s="183"/>
      <c r="V354" s="184"/>
      <c r="W354" s="185"/>
      <c r="X354" s="172"/>
      <c r="Y354" s="137"/>
      <c r="Z354" s="186"/>
      <c r="AA354" s="187"/>
      <c r="AB354" s="188"/>
      <c r="AC354" s="137"/>
      <c r="AD354" s="184"/>
      <c r="AE354" s="189"/>
      <c r="AF354" s="190"/>
      <c r="AG354" s="143"/>
      <c r="AH354" s="143"/>
      <c r="AI354" s="143"/>
      <c r="AJ354" s="143"/>
      <c r="AK354" s="172"/>
      <c r="AL354" s="172"/>
    </row>
    <row r="355">
      <c r="A355" s="137"/>
      <c r="B355" s="88"/>
      <c r="C355" s="89"/>
      <c r="D355" s="55"/>
      <c r="E355" s="137"/>
      <c r="F355" s="88"/>
      <c r="G355" s="180"/>
      <c r="H355" s="181"/>
      <c r="I355" s="137"/>
      <c r="J355" s="88"/>
      <c r="K355" s="89"/>
      <c r="L355" s="55"/>
      <c r="M355" s="137"/>
      <c r="N355" s="182"/>
      <c r="O355" s="89"/>
      <c r="P355" s="55"/>
      <c r="Q355" s="183"/>
      <c r="R355" s="184"/>
      <c r="S355" s="185"/>
      <c r="T355" s="172"/>
      <c r="U355" s="183"/>
      <c r="V355" s="184"/>
      <c r="W355" s="185"/>
      <c r="X355" s="172"/>
      <c r="Y355" s="137"/>
      <c r="Z355" s="186"/>
      <c r="AA355" s="187"/>
      <c r="AB355" s="188"/>
      <c r="AC355" s="137"/>
      <c r="AD355" s="184"/>
      <c r="AE355" s="189"/>
      <c r="AF355" s="190"/>
      <c r="AG355" s="143"/>
      <c r="AH355" s="143"/>
      <c r="AI355" s="143"/>
      <c r="AJ355" s="143"/>
      <c r="AK355" s="172"/>
      <c r="AL355" s="172"/>
    </row>
    <row r="356">
      <c r="A356" s="137"/>
      <c r="B356" s="88"/>
      <c r="C356" s="89"/>
      <c r="D356" s="55"/>
      <c r="E356" s="137"/>
      <c r="F356" s="88"/>
      <c r="G356" s="180"/>
      <c r="H356" s="181"/>
      <c r="I356" s="137"/>
      <c r="J356" s="88"/>
      <c r="K356" s="89"/>
      <c r="L356" s="55"/>
      <c r="M356" s="137"/>
      <c r="N356" s="182"/>
      <c r="O356" s="89"/>
      <c r="P356" s="55"/>
      <c r="Q356" s="183"/>
      <c r="R356" s="184"/>
      <c r="S356" s="185"/>
      <c r="T356" s="172"/>
      <c r="U356" s="183"/>
      <c r="V356" s="184"/>
      <c r="W356" s="185"/>
      <c r="X356" s="172"/>
      <c r="Y356" s="137"/>
      <c r="Z356" s="186"/>
      <c r="AA356" s="187"/>
      <c r="AB356" s="188"/>
      <c r="AC356" s="137"/>
      <c r="AD356" s="184"/>
      <c r="AE356" s="189"/>
      <c r="AF356" s="190"/>
      <c r="AG356" s="143"/>
      <c r="AH356" s="143"/>
      <c r="AI356" s="143"/>
      <c r="AJ356" s="143"/>
      <c r="AK356" s="172"/>
      <c r="AL356" s="172"/>
    </row>
    <row r="357">
      <c r="A357" s="137"/>
      <c r="B357" s="88"/>
      <c r="C357" s="89"/>
      <c r="D357" s="55"/>
      <c r="E357" s="137"/>
      <c r="F357" s="88"/>
      <c r="G357" s="180"/>
      <c r="H357" s="181"/>
      <c r="I357" s="137"/>
      <c r="J357" s="88"/>
      <c r="K357" s="89"/>
      <c r="L357" s="55"/>
      <c r="M357" s="137"/>
      <c r="N357" s="182"/>
      <c r="O357" s="89"/>
      <c r="P357" s="55"/>
      <c r="Q357" s="183"/>
      <c r="R357" s="184"/>
      <c r="S357" s="185"/>
      <c r="T357" s="172"/>
      <c r="U357" s="183"/>
      <c r="V357" s="184"/>
      <c r="W357" s="185"/>
      <c r="X357" s="172"/>
      <c r="Y357" s="137"/>
      <c r="Z357" s="186"/>
      <c r="AA357" s="187"/>
      <c r="AB357" s="188"/>
      <c r="AC357" s="137"/>
      <c r="AD357" s="184"/>
      <c r="AE357" s="189"/>
      <c r="AF357" s="190"/>
      <c r="AG357" s="143"/>
      <c r="AH357" s="143"/>
      <c r="AI357" s="143"/>
      <c r="AJ357" s="143"/>
      <c r="AK357" s="172"/>
      <c r="AL357" s="172"/>
    </row>
    <row r="358">
      <c r="A358" s="137"/>
      <c r="B358" s="88"/>
      <c r="C358" s="89"/>
      <c r="D358" s="55"/>
      <c r="E358" s="137"/>
      <c r="F358" s="88"/>
      <c r="G358" s="180"/>
      <c r="H358" s="181"/>
      <c r="I358" s="137"/>
      <c r="J358" s="88"/>
      <c r="K358" s="89"/>
      <c r="L358" s="55"/>
      <c r="M358" s="137"/>
      <c r="N358" s="182"/>
      <c r="O358" s="89"/>
      <c r="P358" s="55"/>
      <c r="Q358" s="183"/>
      <c r="R358" s="184"/>
      <c r="S358" s="185"/>
      <c r="T358" s="172"/>
      <c r="U358" s="183"/>
      <c r="V358" s="184"/>
      <c r="W358" s="185"/>
      <c r="X358" s="172"/>
      <c r="Y358" s="137"/>
      <c r="Z358" s="186"/>
      <c r="AA358" s="187"/>
      <c r="AB358" s="188"/>
      <c r="AC358" s="137"/>
      <c r="AD358" s="184"/>
      <c r="AE358" s="189"/>
      <c r="AF358" s="190"/>
      <c r="AG358" s="143"/>
      <c r="AH358" s="143"/>
      <c r="AI358" s="143"/>
      <c r="AJ358" s="143"/>
      <c r="AK358" s="172"/>
      <c r="AL358" s="172"/>
    </row>
    <row r="359">
      <c r="A359" s="137"/>
      <c r="B359" s="88"/>
      <c r="C359" s="89"/>
      <c r="D359" s="55"/>
      <c r="E359" s="137"/>
      <c r="F359" s="88"/>
      <c r="G359" s="180"/>
      <c r="H359" s="181"/>
      <c r="I359" s="137"/>
      <c r="J359" s="88"/>
      <c r="K359" s="89"/>
      <c r="L359" s="55"/>
      <c r="M359" s="137"/>
      <c r="N359" s="182"/>
      <c r="O359" s="89"/>
      <c r="P359" s="55"/>
      <c r="Q359" s="183"/>
      <c r="R359" s="184"/>
      <c r="S359" s="185"/>
      <c r="T359" s="172"/>
      <c r="U359" s="183"/>
      <c r="V359" s="184"/>
      <c r="W359" s="185"/>
      <c r="X359" s="172"/>
      <c r="Y359" s="137"/>
      <c r="Z359" s="186"/>
      <c r="AA359" s="187"/>
      <c r="AB359" s="188"/>
      <c r="AC359" s="137"/>
      <c r="AD359" s="184"/>
      <c r="AE359" s="189"/>
      <c r="AF359" s="190"/>
      <c r="AG359" s="143"/>
      <c r="AH359" s="143"/>
      <c r="AI359" s="143"/>
      <c r="AJ359" s="143"/>
      <c r="AK359" s="172"/>
      <c r="AL359" s="172"/>
    </row>
    <row r="360">
      <c r="A360" s="137"/>
      <c r="B360" s="88"/>
      <c r="C360" s="89"/>
      <c r="D360" s="55"/>
      <c r="E360" s="137"/>
      <c r="F360" s="88"/>
      <c r="G360" s="180"/>
      <c r="H360" s="181"/>
      <c r="I360" s="137"/>
      <c r="J360" s="88"/>
      <c r="K360" s="89"/>
      <c r="L360" s="55"/>
      <c r="M360" s="137"/>
      <c r="N360" s="182"/>
      <c r="O360" s="89"/>
      <c r="P360" s="55"/>
      <c r="Q360" s="183"/>
      <c r="R360" s="184"/>
      <c r="S360" s="185"/>
      <c r="T360" s="172"/>
      <c r="U360" s="183"/>
      <c r="V360" s="184"/>
      <c r="W360" s="185"/>
      <c r="X360" s="172"/>
      <c r="Y360" s="137"/>
      <c r="Z360" s="186"/>
      <c r="AA360" s="187"/>
      <c r="AB360" s="188"/>
      <c r="AC360" s="137"/>
      <c r="AD360" s="184"/>
      <c r="AE360" s="189"/>
      <c r="AF360" s="190"/>
      <c r="AG360" s="143"/>
      <c r="AH360" s="143"/>
      <c r="AI360" s="143"/>
      <c r="AJ360" s="143"/>
      <c r="AK360" s="172"/>
      <c r="AL360" s="172"/>
    </row>
    <row r="361">
      <c r="A361" s="137"/>
      <c r="B361" s="88"/>
      <c r="C361" s="89"/>
      <c r="D361" s="55"/>
      <c r="E361" s="137"/>
      <c r="F361" s="88"/>
      <c r="G361" s="180"/>
      <c r="H361" s="181"/>
      <c r="I361" s="137"/>
      <c r="J361" s="88"/>
      <c r="K361" s="89"/>
      <c r="L361" s="55"/>
      <c r="M361" s="137"/>
      <c r="N361" s="182"/>
      <c r="O361" s="89"/>
      <c r="P361" s="55"/>
      <c r="Q361" s="183"/>
      <c r="R361" s="184"/>
      <c r="S361" s="185"/>
      <c r="T361" s="172"/>
      <c r="U361" s="183"/>
      <c r="V361" s="184"/>
      <c r="W361" s="185"/>
      <c r="X361" s="172"/>
      <c r="Y361" s="137"/>
      <c r="Z361" s="186"/>
      <c r="AA361" s="187"/>
      <c r="AB361" s="188"/>
      <c r="AC361" s="137"/>
      <c r="AD361" s="184"/>
      <c r="AE361" s="189"/>
      <c r="AF361" s="190"/>
      <c r="AG361" s="143"/>
      <c r="AH361" s="143"/>
      <c r="AI361" s="143"/>
      <c r="AJ361" s="143"/>
      <c r="AK361" s="172"/>
      <c r="AL361" s="172"/>
    </row>
    <row r="362">
      <c r="A362" s="137"/>
      <c r="B362" s="88"/>
      <c r="C362" s="89"/>
      <c r="D362" s="55"/>
      <c r="E362" s="137"/>
      <c r="F362" s="88"/>
      <c r="G362" s="180"/>
      <c r="H362" s="181"/>
      <c r="I362" s="137"/>
      <c r="J362" s="88"/>
      <c r="K362" s="89"/>
      <c r="L362" s="55"/>
      <c r="M362" s="137"/>
      <c r="N362" s="182"/>
      <c r="O362" s="89"/>
      <c r="P362" s="55"/>
      <c r="Q362" s="183"/>
      <c r="R362" s="184"/>
      <c r="S362" s="185"/>
      <c r="T362" s="172"/>
      <c r="U362" s="183"/>
      <c r="V362" s="184"/>
      <c r="W362" s="185"/>
      <c r="X362" s="172"/>
      <c r="Y362" s="137"/>
      <c r="Z362" s="186"/>
      <c r="AA362" s="187"/>
      <c r="AB362" s="188"/>
      <c r="AC362" s="137"/>
      <c r="AD362" s="184"/>
      <c r="AE362" s="189"/>
      <c r="AF362" s="190"/>
      <c r="AG362" s="143"/>
      <c r="AH362" s="143"/>
      <c r="AI362" s="143"/>
      <c r="AJ362" s="143"/>
      <c r="AK362" s="172"/>
      <c r="AL362" s="172"/>
    </row>
    <row r="363">
      <c r="A363" s="137"/>
      <c r="B363" s="88"/>
      <c r="C363" s="89"/>
      <c r="D363" s="55"/>
      <c r="E363" s="137"/>
      <c r="F363" s="88"/>
      <c r="G363" s="180"/>
      <c r="H363" s="181"/>
      <c r="I363" s="137"/>
      <c r="J363" s="88"/>
      <c r="K363" s="89"/>
      <c r="L363" s="55"/>
      <c r="M363" s="137"/>
      <c r="N363" s="182"/>
      <c r="O363" s="89"/>
      <c r="P363" s="55"/>
      <c r="Q363" s="183"/>
      <c r="R363" s="184"/>
      <c r="S363" s="185"/>
      <c r="T363" s="172"/>
      <c r="U363" s="183"/>
      <c r="V363" s="184"/>
      <c r="W363" s="185"/>
      <c r="X363" s="172"/>
      <c r="Y363" s="137"/>
      <c r="Z363" s="186"/>
      <c r="AA363" s="187"/>
      <c r="AB363" s="188"/>
      <c r="AC363" s="137"/>
      <c r="AD363" s="184"/>
      <c r="AE363" s="189"/>
      <c r="AF363" s="190"/>
      <c r="AG363" s="143"/>
      <c r="AH363" s="143"/>
      <c r="AI363" s="143"/>
      <c r="AJ363" s="143"/>
      <c r="AK363" s="172"/>
      <c r="AL363" s="172"/>
    </row>
    <row r="364">
      <c r="A364" s="137"/>
      <c r="B364" s="88"/>
      <c r="C364" s="89"/>
      <c r="D364" s="55"/>
      <c r="E364" s="137"/>
      <c r="F364" s="88"/>
      <c r="G364" s="180"/>
      <c r="H364" s="181"/>
      <c r="I364" s="137"/>
      <c r="J364" s="88"/>
      <c r="K364" s="89"/>
      <c r="L364" s="55"/>
      <c r="M364" s="137"/>
      <c r="N364" s="182"/>
      <c r="O364" s="89"/>
      <c r="P364" s="55"/>
      <c r="Q364" s="183"/>
      <c r="R364" s="184"/>
      <c r="S364" s="185"/>
      <c r="T364" s="172"/>
      <c r="U364" s="183"/>
      <c r="V364" s="184"/>
      <c r="W364" s="185"/>
      <c r="X364" s="172"/>
      <c r="Y364" s="137"/>
      <c r="Z364" s="186"/>
      <c r="AA364" s="187"/>
      <c r="AB364" s="188"/>
      <c r="AC364" s="137"/>
      <c r="AD364" s="184"/>
      <c r="AE364" s="189"/>
      <c r="AF364" s="190"/>
      <c r="AG364" s="143"/>
      <c r="AH364" s="143"/>
      <c r="AI364" s="143"/>
      <c r="AJ364" s="143"/>
      <c r="AK364" s="172"/>
      <c r="AL364" s="172"/>
    </row>
    <row r="365">
      <c r="A365" s="137"/>
      <c r="B365" s="88"/>
      <c r="C365" s="89"/>
      <c r="D365" s="55"/>
      <c r="E365" s="137"/>
      <c r="F365" s="88"/>
      <c r="G365" s="180"/>
      <c r="H365" s="181"/>
      <c r="I365" s="137"/>
      <c r="J365" s="88"/>
      <c r="K365" s="89"/>
      <c r="L365" s="55"/>
      <c r="M365" s="137"/>
      <c r="N365" s="182"/>
      <c r="O365" s="89"/>
      <c r="P365" s="55"/>
      <c r="Q365" s="183"/>
      <c r="R365" s="184"/>
      <c r="S365" s="185"/>
      <c r="T365" s="172"/>
      <c r="U365" s="183"/>
      <c r="V365" s="184"/>
      <c r="W365" s="185"/>
      <c r="X365" s="172"/>
      <c r="Y365" s="137"/>
      <c r="Z365" s="186"/>
      <c r="AA365" s="187"/>
      <c r="AB365" s="188"/>
      <c r="AC365" s="137"/>
      <c r="AD365" s="184"/>
      <c r="AE365" s="189"/>
      <c r="AF365" s="190"/>
      <c r="AG365" s="143"/>
      <c r="AH365" s="143"/>
      <c r="AI365" s="143"/>
      <c r="AJ365" s="143"/>
      <c r="AK365" s="172"/>
      <c r="AL365" s="172"/>
    </row>
    <row r="366">
      <c r="A366" s="137"/>
      <c r="B366" s="88"/>
      <c r="C366" s="89"/>
      <c r="D366" s="55"/>
      <c r="E366" s="137"/>
      <c r="F366" s="88"/>
      <c r="G366" s="180"/>
      <c r="H366" s="181"/>
      <c r="I366" s="137"/>
      <c r="J366" s="88"/>
      <c r="K366" s="89"/>
      <c r="L366" s="55"/>
      <c r="M366" s="137"/>
      <c r="N366" s="182"/>
      <c r="O366" s="89"/>
      <c r="P366" s="55"/>
      <c r="Q366" s="183"/>
      <c r="R366" s="184"/>
      <c r="S366" s="185"/>
      <c r="T366" s="172"/>
      <c r="U366" s="183"/>
      <c r="V366" s="184"/>
      <c r="W366" s="185"/>
      <c r="X366" s="172"/>
      <c r="Y366" s="137"/>
      <c r="Z366" s="186"/>
      <c r="AA366" s="187"/>
      <c r="AB366" s="188"/>
      <c r="AC366" s="137"/>
      <c r="AD366" s="184"/>
      <c r="AE366" s="189"/>
      <c r="AF366" s="190"/>
      <c r="AG366" s="143"/>
      <c r="AH366" s="143"/>
      <c r="AI366" s="143"/>
      <c r="AJ366" s="143"/>
      <c r="AK366" s="172"/>
      <c r="AL366" s="172"/>
    </row>
    <row r="367">
      <c r="A367" s="137"/>
      <c r="B367" s="88"/>
      <c r="C367" s="89"/>
      <c r="D367" s="55"/>
      <c r="E367" s="137"/>
      <c r="F367" s="88"/>
      <c r="G367" s="180"/>
      <c r="H367" s="181"/>
      <c r="I367" s="137"/>
      <c r="J367" s="88"/>
      <c r="K367" s="89"/>
      <c r="L367" s="55"/>
      <c r="M367" s="137"/>
      <c r="N367" s="182"/>
      <c r="O367" s="89"/>
      <c r="P367" s="55"/>
      <c r="Q367" s="183"/>
      <c r="R367" s="184"/>
      <c r="S367" s="185"/>
      <c r="T367" s="172"/>
      <c r="U367" s="183"/>
      <c r="V367" s="184"/>
      <c r="W367" s="185"/>
      <c r="X367" s="172"/>
      <c r="Y367" s="137"/>
      <c r="Z367" s="186"/>
      <c r="AA367" s="187"/>
      <c r="AB367" s="188"/>
      <c r="AC367" s="137"/>
      <c r="AD367" s="184"/>
      <c r="AE367" s="189"/>
      <c r="AF367" s="190"/>
      <c r="AG367" s="143"/>
      <c r="AH367" s="143"/>
      <c r="AI367" s="143"/>
      <c r="AJ367" s="143"/>
      <c r="AK367" s="172"/>
      <c r="AL367" s="172"/>
    </row>
    <row r="368">
      <c r="A368" s="137"/>
      <c r="B368" s="88"/>
      <c r="C368" s="89"/>
      <c r="D368" s="55"/>
      <c r="E368" s="137"/>
      <c r="F368" s="88"/>
      <c r="G368" s="180"/>
      <c r="H368" s="181"/>
      <c r="I368" s="137"/>
      <c r="J368" s="88"/>
      <c r="K368" s="89"/>
      <c r="L368" s="55"/>
      <c r="M368" s="137"/>
      <c r="N368" s="182"/>
      <c r="O368" s="89"/>
      <c r="P368" s="55"/>
      <c r="Q368" s="183"/>
      <c r="R368" s="184"/>
      <c r="S368" s="185"/>
      <c r="T368" s="172"/>
      <c r="U368" s="183"/>
      <c r="V368" s="184"/>
      <c r="W368" s="185"/>
      <c r="X368" s="172"/>
      <c r="Y368" s="137"/>
      <c r="Z368" s="186"/>
      <c r="AA368" s="187"/>
      <c r="AB368" s="188"/>
      <c r="AC368" s="137"/>
      <c r="AD368" s="184"/>
      <c r="AE368" s="189"/>
      <c r="AF368" s="190"/>
      <c r="AG368" s="143"/>
      <c r="AH368" s="143"/>
      <c r="AI368" s="143"/>
      <c r="AJ368" s="143"/>
      <c r="AK368" s="172"/>
      <c r="AL368" s="172"/>
    </row>
    <row r="369">
      <c r="A369" s="137"/>
      <c r="B369" s="88"/>
      <c r="C369" s="89"/>
      <c r="D369" s="55"/>
      <c r="E369" s="137"/>
      <c r="F369" s="88"/>
      <c r="G369" s="180"/>
      <c r="H369" s="181"/>
      <c r="I369" s="137"/>
      <c r="J369" s="88"/>
      <c r="K369" s="89"/>
      <c r="L369" s="55"/>
      <c r="M369" s="137"/>
      <c r="N369" s="182"/>
      <c r="O369" s="89"/>
      <c r="P369" s="55"/>
      <c r="Q369" s="183"/>
      <c r="R369" s="184"/>
      <c r="S369" s="185"/>
      <c r="T369" s="172"/>
      <c r="U369" s="183"/>
      <c r="V369" s="184"/>
      <c r="W369" s="185"/>
      <c r="X369" s="172"/>
      <c r="Y369" s="137"/>
      <c r="Z369" s="186"/>
      <c r="AA369" s="187"/>
      <c r="AB369" s="188"/>
      <c r="AC369" s="137"/>
      <c r="AD369" s="184"/>
      <c r="AE369" s="189"/>
      <c r="AF369" s="190"/>
      <c r="AG369" s="143"/>
      <c r="AH369" s="143"/>
      <c r="AI369" s="143"/>
      <c r="AJ369" s="143"/>
      <c r="AK369" s="172"/>
      <c r="AL369" s="172"/>
    </row>
    <row r="370">
      <c r="A370" s="137"/>
      <c r="B370" s="88"/>
      <c r="C370" s="89"/>
      <c r="D370" s="55"/>
      <c r="E370" s="137"/>
      <c r="F370" s="88"/>
      <c r="G370" s="180"/>
      <c r="H370" s="181"/>
      <c r="I370" s="137"/>
      <c r="J370" s="88"/>
      <c r="K370" s="89"/>
      <c r="L370" s="55"/>
      <c r="M370" s="137"/>
      <c r="N370" s="182"/>
      <c r="O370" s="89"/>
      <c r="P370" s="55"/>
      <c r="Q370" s="183"/>
      <c r="R370" s="184"/>
      <c r="S370" s="185"/>
      <c r="T370" s="172"/>
      <c r="U370" s="183"/>
      <c r="V370" s="184"/>
      <c r="W370" s="185"/>
      <c r="X370" s="172"/>
      <c r="Y370" s="137"/>
      <c r="Z370" s="186"/>
      <c r="AA370" s="187"/>
      <c r="AB370" s="188"/>
      <c r="AC370" s="137"/>
      <c r="AD370" s="184"/>
      <c r="AE370" s="189"/>
      <c r="AF370" s="190"/>
      <c r="AG370" s="143"/>
      <c r="AH370" s="143"/>
      <c r="AI370" s="143"/>
      <c r="AJ370" s="143"/>
      <c r="AK370" s="172"/>
      <c r="AL370" s="172"/>
    </row>
    <row r="371">
      <c r="A371" s="137"/>
      <c r="B371" s="88"/>
      <c r="C371" s="89"/>
      <c r="D371" s="55"/>
      <c r="E371" s="137"/>
      <c r="F371" s="88"/>
      <c r="G371" s="180"/>
      <c r="H371" s="181"/>
      <c r="I371" s="137"/>
      <c r="J371" s="88"/>
      <c r="K371" s="89"/>
      <c r="L371" s="55"/>
      <c r="M371" s="137"/>
      <c r="N371" s="182"/>
      <c r="O371" s="89"/>
      <c r="P371" s="55"/>
      <c r="Q371" s="183"/>
      <c r="R371" s="184"/>
      <c r="S371" s="185"/>
      <c r="T371" s="172"/>
      <c r="U371" s="183"/>
      <c r="V371" s="184"/>
      <c r="W371" s="185"/>
      <c r="X371" s="172"/>
      <c r="Y371" s="137"/>
      <c r="Z371" s="186"/>
      <c r="AA371" s="187"/>
      <c r="AB371" s="188"/>
      <c r="AC371" s="137"/>
      <c r="AD371" s="184"/>
      <c r="AE371" s="189"/>
      <c r="AF371" s="190"/>
      <c r="AG371" s="143"/>
      <c r="AH371" s="143"/>
      <c r="AI371" s="143"/>
      <c r="AJ371" s="143"/>
      <c r="AK371" s="172"/>
      <c r="AL371" s="172"/>
    </row>
    <row r="372">
      <c r="A372" s="137"/>
      <c r="B372" s="88"/>
      <c r="C372" s="89"/>
      <c r="D372" s="55"/>
      <c r="E372" s="137"/>
      <c r="F372" s="88"/>
      <c r="G372" s="180"/>
      <c r="H372" s="181"/>
      <c r="I372" s="137"/>
      <c r="J372" s="88"/>
      <c r="K372" s="89"/>
      <c r="L372" s="55"/>
      <c r="M372" s="137"/>
      <c r="N372" s="182"/>
      <c r="O372" s="89"/>
      <c r="P372" s="55"/>
      <c r="Q372" s="183"/>
      <c r="R372" s="184"/>
      <c r="S372" s="185"/>
      <c r="T372" s="172"/>
      <c r="U372" s="183"/>
      <c r="V372" s="184"/>
      <c r="W372" s="185"/>
      <c r="X372" s="172"/>
      <c r="Y372" s="137"/>
      <c r="Z372" s="186"/>
      <c r="AA372" s="187"/>
      <c r="AB372" s="188"/>
      <c r="AC372" s="137"/>
      <c r="AD372" s="184"/>
      <c r="AE372" s="189"/>
      <c r="AF372" s="190"/>
      <c r="AG372" s="143"/>
      <c r="AH372" s="143"/>
      <c r="AI372" s="143"/>
      <c r="AJ372" s="143"/>
      <c r="AK372" s="172"/>
      <c r="AL372" s="172"/>
    </row>
    <row r="373">
      <c r="A373" s="137"/>
      <c r="B373" s="88"/>
      <c r="C373" s="89"/>
      <c r="D373" s="55"/>
      <c r="E373" s="137"/>
      <c r="F373" s="88"/>
      <c r="G373" s="180"/>
      <c r="H373" s="181"/>
      <c r="I373" s="137"/>
      <c r="J373" s="88"/>
      <c r="K373" s="89"/>
      <c r="L373" s="55"/>
      <c r="M373" s="137"/>
      <c r="N373" s="182"/>
      <c r="O373" s="89"/>
      <c r="P373" s="55"/>
      <c r="Q373" s="183"/>
      <c r="R373" s="184"/>
      <c r="S373" s="185"/>
      <c r="T373" s="172"/>
      <c r="U373" s="183"/>
      <c r="V373" s="184"/>
      <c r="W373" s="185"/>
      <c r="X373" s="172"/>
      <c r="Y373" s="137"/>
      <c r="Z373" s="186"/>
      <c r="AA373" s="187"/>
      <c r="AB373" s="188"/>
      <c r="AC373" s="137"/>
      <c r="AD373" s="184"/>
      <c r="AE373" s="189"/>
      <c r="AF373" s="190"/>
      <c r="AG373" s="143"/>
      <c r="AH373" s="143"/>
      <c r="AI373" s="143"/>
      <c r="AJ373" s="143"/>
      <c r="AK373" s="172"/>
      <c r="AL373" s="172"/>
    </row>
    <row r="374">
      <c r="A374" s="137"/>
      <c r="B374" s="88"/>
      <c r="C374" s="89"/>
      <c r="D374" s="55"/>
      <c r="E374" s="137"/>
      <c r="F374" s="88"/>
      <c r="G374" s="180"/>
      <c r="H374" s="181"/>
      <c r="I374" s="137"/>
      <c r="J374" s="88"/>
      <c r="K374" s="89"/>
      <c r="L374" s="55"/>
      <c r="M374" s="137"/>
      <c r="N374" s="182"/>
      <c r="O374" s="89"/>
      <c r="P374" s="55"/>
      <c r="Q374" s="183"/>
      <c r="R374" s="184"/>
      <c r="S374" s="185"/>
      <c r="T374" s="172"/>
      <c r="U374" s="183"/>
      <c r="V374" s="184"/>
      <c r="W374" s="185"/>
      <c r="X374" s="172"/>
      <c r="Y374" s="137"/>
      <c r="Z374" s="186"/>
      <c r="AA374" s="187"/>
      <c r="AB374" s="188"/>
      <c r="AC374" s="137"/>
      <c r="AD374" s="184"/>
      <c r="AE374" s="189"/>
      <c r="AF374" s="190"/>
      <c r="AG374" s="143"/>
      <c r="AH374" s="143"/>
      <c r="AI374" s="143"/>
      <c r="AJ374" s="143"/>
      <c r="AK374" s="172"/>
      <c r="AL374" s="172"/>
    </row>
    <row r="375">
      <c r="A375" s="137"/>
      <c r="B375" s="88"/>
      <c r="C375" s="89"/>
      <c r="D375" s="55"/>
      <c r="E375" s="137"/>
      <c r="F375" s="88"/>
      <c r="G375" s="180"/>
      <c r="H375" s="181"/>
      <c r="I375" s="137"/>
      <c r="J375" s="88"/>
      <c r="K375" s="89"/>
      <c r="L375" s="55"/>
      <c r="M375" s="137"/>
      <c r="N375" s="182"/>
      <c r="O375" s="89"/>
      <c r="P375" s="55"/>
      <c r="Q375" s="183"/>
      <c r="R375" s="184"/>
      <c r="S375" s="185"/>
      <c r="T375" s="172"/>
      <c r="U375" s="183"/>
      <c r="V375" s="184"/>
      <c r="W375" s="185"/>
      <c r="X375" s="172"/>
      <c r="Y375" s="137"/>
      <c r="Z375" s="186"/>
      <c r="AA375" s="187"/>
      <c r="AB375" s="188"/>
      <c r="AC375" s="137"/>
      <c r="AD375" s="184"/>
      <c r="AE375" s="189"/>
      <c r="AF375" s="190"/>
      <c r="AG375" s="143"/>
      <c r="AH375" s="143"/>
      <c r="AI375" s="143"/>
      <c r="AJ375" s="143"/>
      <c r="AK375" s="172"/>
      <c r="AL375" s="172"/>
    </row>
    <row r="376">
      <c r="A376" s="137"/>
      <c r="B376" s="88"/>
      <c r="C376" s="89"/>
      <c r="D376" s="55"/>
      <c r="E376" s="137"/>
      <c r="F376" s="88"/>
      <c r="G376" s="180"/>
      <c r="H376" s="181"/>
      <c r="I376" s="137"/>
      <c r="J376" s="88"/>
      <c r="K376" s="89"/>
      <c r="L376" s="55"/>
      <c r="M376" s="137"/>
      <c r="N376" s="182"/>
      <c r="O376" s="89"/>
      <c r="P376" s="55"/>
      <c r="Q376" s="183"/>
      <c r="R376" s="184"/>
      <c r="S376" s="185"/>
      <c r="T376" s="172"/>
      <c r="U376" s="183"/>
      <c r="V376" s="184"/>
      <c r="W376" s="185"/>
      <c r="X376" s="172"/>
      <c r="Y376" s="137"/>
      <c r="Z376" s="186"/>
      <c r="AA376" s="187"/>
      <c r="AB376" s="188"/>
      <c r="AC376" s="137"/>
      <c r="AD376" s="184"/>
      <c r="AE376" s="189"/>
      <c r="AF376" s="190"/>
      <c r="AG376" s="143"/>
      <c r="AH376" s="143"/>
      <c r="AI376" s="143"/>
      <c r="AJ376" s="143"/>
      <c r="AK376" s="172"/>
      <c r="AL376" s="172"/>
    </row>
    <row r="377">
      <c r="A377" s="137"/>
      <c r="B377" s="88"/>
      <c r="C377" s="89"/>
      <c r="D377" s="55"/>
      <c r="E377" s="137"/>
      <c r="F377" s="88"/>
      <c r="G377" s="180"/>
      <c r="H377" s="181"/>
      <c r="I377" s="137"/>
      <c r="J377" s="88"/>
      <c r="K377" s="89"/>
      <c r="L377" s="55"/>
      <c r="M377" s="137"/>
      <c r="N377" s="182"/>
      <c r="O377" s="89"/>
      <c r="P377" s="55"/>
      <c r="Q377" s="183"/>
      <c r="R377" s="184"/>
      <c r="S377" s="185"/>
      <c r="T377" s="172"/>
      <c r="U377" s="183"/>
      <c r="V377" s="184"/>
      <c r="W377" s="185"/>
      <c r="X377" s="172"/>
      <c r="Y377" s="137"/>
      <c r="Z377" s="186"/>
      <c r="AA377" s="187"/>
      <c r="AB377" s="188"/>
      <c r="AC377" s="137"/>
      <c r="AD377" s="184"/>
      <c r="AE377" s="189"/>
      <c r="AF377" s="190"/>
      <c r="AG377" s="143"/>
      <c r="AH377" s="143"/>
      <c r="AI377" s="143"/>
      <c r="AJ377" s="143"/>
      <c r="AK377" s="172"/>
      <c r="AL377" s="172"/>
    </row>
    <row r="378">
      <c r="A378" s="137"/>
      <c r="B378" s="88"/>
      <c r="C378" s="89"/>
      <c r="D378" s="55"/>
      <c r="E378" s="137"/>
      <c r="F378" s="88"/>
      <c r="G378" s="180"/>
      <c r="H378" s="181"/>
      <c r="I378" s="137"/>
      <c r="J378" s="88"/>
      <c r="K378" s="89"/>
      <c r="L378" s="55"/>
      <c r="M378" s="137"/>
      <c r="N378" s="182"/>
      <c r="O378" s="89"/>
      <c r="P378" s="55"/>
      <c r="Q378" s="183"/>
      <c r="R378" s="184"/>
      <c r="S378" s="185"/>
      <c r="T378" s="172"/>
      <c r="U378" s="183"/>
      <c r="V378" s="184"/>
      <c r="W378" s="185"/>
      <c r="X378" s="172"/>
      <c r="Y378" s="137"/>
      <c r="Z378" s="186"/>
      <c r="AA378" s="187"/>
      <c r="AB378" s="188"/>
      <c r="AC378" s="137"/>
      <c r="AD378" s="184"/>
      <c r="AE378" s="189"/>
      <c r="AF378" s="190"/>
      <c r="AG378" s="143"/>
      <c r="AH378" s="143"/>
      <c r="AI378" s="143"/>
      <c r="AJ378" s="143"/>
      <c r="AK378" s="172"/>
      <c r="AL378" s="172"/>
    </row>
    <row r="379">
      <c r="A379" s="137"/>
      <c r="B379" s="88"/>
      <c r="C379" s="89"/>
      <c r="D379" s="55"/>
      <c r="E379" s="137"/>
      <c r="F379" s="88"/>
      <c r="G379" s="180"/>
      <c r="H379" s="181"/>
      <c r="I379" s="137"/>
      <c r="J379" s="88"/>
      <c r="K379" s="89"/>
      <c r="L379" s="55"/>
      <c r="M379" s="137"/>
      <c r="N379" s="182"/>
      <c r="O379" s="89"/>
      <c r="P379" s="55"/>
      <c r="Q379" s="183"/>
      <c r="R379" s="184"/>
      <c r="S379" s="185"/>
      <c r="T379" s="172"/>
      <c r="U379" s="183"/>
      <c r="V379" s="184"/>
      <c r="W379" s="185"/>
      <c r="X379" s="172"/>
      <c r="Y379" s="137"/>
      <c r="Z379" s="186"/>
      <c r="AA379" s="187"/>
      <c r="AB379" s="188"/>
      <c r="AC379" s="137"/>
      <c r="AD379" s="184"/>
      <c r="AE379" s="189"/>
      <c r="AF379" s="190"/>
      <c r="AG379" s="143"/>
      <c r="AH379" s="143"/>
      <c r="AI379" s="143"/>
      <c r="AJ379" s="143"/>
      <c r="AK379" s="172"/>
      <c r="AL379" s="172"/>
    </row>
    <row r="380">
      <c r="A380" s="137"/>
      <c r="B380" s="88"/>
      <c r="C380" s="89"/>
      <c r="D380" s="55"/>
      <c r="E380" s="137"/>
      <c r="F380" s="88"/>
      <c r="G380" s="180"/>
      <c r="H380" s="181"/>
      <c r="I380" s="137"/>
      <c r="J380" s="88"/>
      <c r="K380" s="89"/>
      <c r="L380" s="55"/>
      <c r="M380" s="137"/>
      <c r="N380" s="182"/>
      <c r="O380" s="89"/>
      <c r="P380" s="55"/>
      <c r="Q380" s="183"/>
      <c r="R380" s="184"/>
      <c r="S380" s="185"/>
      <c r="T380" s="172"/>
      <c r="U380" s="183"/>
      <c r="V380" s="184"/>
      <c r="W380" s="185"/>
      <c r="X380" s="172"/>
      <c r="Y380" s="137"/>
      <c r="Z380" s="186"/>
      <c r="AA380" s="187"/>
      <c r="AB380" s="188"/>
      <c r="AC380" s="137"/>
      <c r="AD380" s="184"/>
      <c r="AE380" s="189"/>
      <c r="AF380" s="190"/>
      <c r="AG380" s="143"/>
      <c r="AH380" s="143"/>
      <c r="AI380" s="143"/>
      <c r="AJ380" s="143"/>
      <c r="AK380" s="172"/>
      <c r="AL380" s="172"/>
    </row>
    <row r="381">
      <c r="A381" s="137"/>
      <c r="B381" s="88"/>
      <c r="C381" s="89"/>
      <c r="D381" s="55"/>
      <c r="E381" s="137"/>
      <c r="F381" s="88"/>
      <c r="G381" s="180"/>
      <c r="H381" s="181"/>
      <c r="I381" s="137"/>
      <c r="J381" s="88"/>
      <c r="K381" s="89"/>
      <c r="L381" s="55"/>
      <c r="M381" s="137"/>
      <c r="N381" s="182"/>
      <c r="O381" s="89"/>
      <c r="P381" s="55"/>
      <c r="Q381" s="183"/>
      <c r="R381" s="184"/>
      <c r="S381" s="185"/>
      <c r="T381" s="172"/>
      <c r="U381" s="183"/>
      <c r="V381" s="184"/>
      <c r="W381" s="185"/>
      <c r="X381" s="172"/>
      <c r="Y381" s="137"/>
      <c r="Z381" s="186"/>
      <c r="AA381" s="187"/>
      <c r="AB381" s="188"/>
      <c r="AC381" s="137"/>
      <c r="AD381" s="184"/>
      <c r="AE381" s="189"/>
      <c r="AF381" s="190"/>
      <c r="AG381" s="143"/>
      <c r="AH381" s="143"/>
      <c r="AI381" s="143"/>
      <c r="AJ381" s="143"/>
      <c r="AK381" s="172"/>
      <c r="AL381" s="172"/>
    </row>
    <row r="382">
      <c r="A382" s="137"/>
      <c r="B382" s="88"/>
      <c r="C382" s="89"/>
      <c r="D382" s="55"/>
      <c r="E382" s="137"/>
      <c r="F382" s="88"/>
      <c r="G382" s="180"/>
      <c r="H382" s="181"/>
      <c r="I382" s="137"/>
      <c r="J382" s="88"/>
      <c r="K382" s="89"/>
      <c r="L382" s="55"/>
      <c r="M382" s="137"/>
      <c r="N382" s="182"/>
      <c r="O382" s="89"/>
      <c r="P382" s="55"/>
      <c r="Q382" s="183"/>
      <c r="R382" s="184"/>
      <c r="S382" s="185"/>
      <c r="T382" s="172"/>
      <c r="U382" s="183"/>
      <c r="V382" s="184"/>
      <c r="W382" s="185"/>
      <c r="X382" s="172"/>
      <c r="Y382" s="137"/>
      <c r="Z382" s="186"/>
      <c r="AA382" s="187"/>
      <c r="AB382" s="188"/>
      <c r="AC382" s="137"/>
      <c r="AD382" s="184"/>
      <c r="AE382" s="189"/>
      <c r="AF382" s="190"/>
      <c r="AG382" s="143"/>
      <c r="AH382" s="143"/>
      <c r="AI382" s="143"/>
      <c r="AJ382" s="143"/>
      <c r="AK382" s="172"/>
      <c r="AL382" s="172"/>
    </row>
    <row r="383">
      <c r="A383" s="137"/>
      <c r="B383" s="88"/>
      <c r="C383" s="89"/>
      <c r="D383" s="55"/>
      <c r="E383" s="137"/>
      <c r="F383" s="88"/>
      <c r="G383" s="180"/>
      <c r="H383" s="181"/>
      <c r="I383" s="137"/>
      <c r="J383" s="88"/>
      <c r="K383" s="89"/>
      <c r="L383" s="55"/>
      <c r="M383" s="137"/>
      <c r="N383" s="182"/>
      <c r="O383" s="89"/>
      <c r="P383" s="55"/>
      <c r="Q383" s="183"/>
      <c r="R383" s="184"/>
      <c r="S383" s="185"/>
      <c r="T383" s="172"/>
      <c r="U383" s="183"/>
      <c r="V383" s="184"/>
      <c r="W383" s="185"/>
      <c r="X383" s="172"/>
      <c r="Y383" s="137"/>
      <c r="Z383" s="186"/>
      <c r="AA383" s="187"/>
      <c r="AB383" s="188"/>
      <c r="AC383" s="137"/>
      <c r="AD383" s="184"/>
      <c r="AE383" s="189"/>
      <c r="AF383" s="190"/>
      <c r="AG383" s="143"/>
      <c r="AH383" s="143"/>
      <c r="AI383" s="143"/>
      <c r="AJ383" s="143"/>
      <c r="AK383" s="172"/>
      <c r="AL383" s="172"/>
    </row>
    <row r="384">
      <c r="A384" s="137"/>
      <c r="B384" s="88"/>
      <c r="C384" s="89"/>
      <c r="D384" s="55"/>
      <c r="E384" s="137"/>
      <c r="F384" s="88"/>
      <c r="G384" s="180"/>
      <c r="H384" s="181"/>
      <c r="I384" s="137"/>
      <c r="J384" s="88"/>
      <c r="K384" s="89"/>
      <c r="L384" s="55"/>
      <c r="M384" s="137"/>
      <c r="N384" s="182"/>
      <c r="O384" s="89"/>
      <c r="P384" s="55"/>
      <c r="Q384" s="183"/>
      <c r="R384" s="184"/>
      <c r="S384" s="185"/>
      <c r="T384" s="172"/>
      <c r="U384" s="183"/>
      <c r="V384" s="184"/>
      <c r="W384" s="185"/>
      <c r="X384" s="172"/>
      <c r="Y384" s="137"/>
      <c r="Z384" s="186"/>
      <c r="AA384" s="187"/>
      <c r="AB384" s="188"/>
      <c r="AC384" s="137"/>
      <c r="AD384" s="184"/>
      <c r="AE384" s="189"/>
      <c r="AF384" s="190"/>
      <c r="AG384" s="143"/>
      <c r="AH384" s="143"/>
      <c r="AI384" s="143"/>
      <c r="AJ384" s="143"/>
      <c r="AK384" s="172"/>
      <c r="AL384" s="172"/>
    </row>
    <row r="385">
      <c r="A385" s="137"/>
      <c r="B385" s="88"/>
      <c r="C385" s="89"/>
      <c r="D385" s="55"/>
      <c r="E385" s="137"/>
      <c r="F385" s="88"/>
      <c r="G385" s="180"/>
      <c r="H385" s="181"/>
      <c r="I385" s="137"/>
      <c r="J385" s="88"/>
      <c r="K385" s="89"/>
      <c r="L385" s="55"/>
      <c r="M385" s="137"/>
      <c r="N385" s="182"/>
      <c r="O385" s="89"/>
      <c r="P385" s="55"/>
      <c r="Q385" s="183"/>
      <c r="R385" s="184"/>
      <c r="S385" s="185"/>
      <c r="T385" s="172"/>
      <c r="U385" s="183"/>
      <c r="V385" s="184"/>
      <c r="W385" s="185"/>
      <c r="X385" s="172"/>
      <c r="Y385" s="137"/>
      <c r="Z385" s="186"/>
      <c r="AA385" s="187"/>
      <c r="AB385" s="188"/>
      <c r="AC385" s="137"/>
      <c r="AD385" s="184"/>
      <c r="AE385" s="189"/>
      <c r="AF385" s="190"/>
      <c r="AG385" s="143"/>
      <c r="AH385" s="143"/>
      <c r="AI385" s="143"/>
      <c r="AJ385" s="143"/>
      <c r="AK385" s="172"/>
      <c r="AL385" s="172"/>
    </row>
    <row r="386">
      <c r="A386" s="137"/>
      <c r="B386" s="88"/>
      <c r="C386" s="89"/>
      <c r="D386" s="55"/>
      <c r="E386" s="137"/>
      <c r="F386" s="88"/>
      <c r="G386" s="180"/>
      <c r="H386" s="181"/>
      <c r="I386" s="137"/>
      <c r="J386" s="88"/>
      <c r="K386" s="89"/>
      <c r="L386" s="55"/>
      <c r="M386" s="137"/>
      <c r="N386" s="182"/>
      <c r="O386" s="89"/>
      <c r="P386" s="55"/>
      <c r="Q386" s="183"/>
      <c r="R386" s="184"/>
      <c r="S386" s="185"/>
      <c r="T386" s="172"/>
      <c r="U386" s="183"/>
      <c r="V386" s="184"/>
      <c r="W386" s="185"/>
      <c r="X386" s="172"/>
      <c r="Y386" s="137"/>
      <c r="Z386" s="186"/>
      <c r="AA386" s="187"/>
      <c r="AB386" s="188"/>
      <c r="AC386" s="137"/>
      <c r="AD386" s="184"/>
      <c r="AE386" s="189"/>
      <c r="AF386" s="190"/>
      <c r="AG386" s="143"/>
      <c r="AH386" s="143"/>
      <c r="AI386" s="143"/>
      <c r="AJ386" s="143"/>
      <c r="AK386" s="172"/>
      <c r="AL386" s="172"/>
    </row>
    <row r="387">
      <c r="A387" s="137"/>
      <c r="B387" s="88"/>
      <c r="C387" s="89"/>
      <c r="D387" s="55"/>
      <c r="E387" s="137"/>
      <c r="F387" s="88"/>
      <c r="G387" s="180"/>
      <c r="H387" s="181"/>
      <c r="I387" s="137"/>
      <c r="J387" s="88"/>
      <c r="K387" s="89"/>
      <c r="L387" s="55"/>
      <c r="M387" s="137"/>
      <c r="N387" s="182"/>
      <c r="O387" s="89"/>
      <c r="P387" s="55"/>
      <c r="Q387" s="183"/>
      <c r="R387" s="184"/>
      <c r="S387" s="185"/>
      <c r="T387" s="172"/>
      <c r="U387" s="183"/>
      <c r="V387" s="184"/>
      <c r="W387" s="185"/>
      <c r="X387" s="172"/>
      <c r="Y387" s="137"/>
      <c r="Z387" s="186"/>
      <c r="AA387" s="187"/>
      <c r="AB387" s="188"/>
      <c r="AC387" s="137"/>
      <c r="AD387" s="184"/>
      <c r="AE387" s="189"/>
      <c r="AF387" s="190"/>
      <c r="AG387" s="143"/>
      <c r="AH387" s="143"/>
      <c r="AI387" s="143"/>
      <c r="AJ387" s="143"/>
      <c r="AK387" s="172"/>
      <c r="AL387" s="172"/>
    </row>
    <row r="388">
      <c r="A388" s="137"/>
      <c r="B388" s="88"/>
      <c r="C388" s="89"/>
      <c r="D388" s="55"/>
      <c r="E388" s="137"/>
      <c r="F388" s="88"/>
      <c r="G388" s="180"/>
      <c r="H388" s="181"/>
      <c r="I388" s="137"/>
      <c r="J388" s="88"/>
      <c r="K388" s="89"/>
      <c r="L388" s="55"/>
      <c r="M388" s="137"/>
      <c r="N388" s="182"/>
      <c r="O388" s="89"/>
      <c r="P388" s="55"/>
      <c r="Q388" s="183"/>
      <c r="R388" s="184"/>
      <c r="S388" s="185"/>
      <c r="T388" s="172"/>
      <c r="U388" s="183"/>
      <c r="V388" s="184"/>
      <c r="W388" s="185"/>
      <c r="X388" s="172"/>
      <c r="Y388" s="137"/>
      <c r="Z388" s="186"/>
      <c r="AA388" s="187"/>
      <c r="AB388" s="188"/>
      <c r="AC388" s="137"/>
      <c r="AD388" s="184"/>
      <c r="AE388" s="189"/>
      <c r="AF388" s="190"/>
      <c r="AG388" s="143"/>
      <c r="AH388" s="143"/>
      <c r="AI388" s="143"/>
      <c r="AJ388" s="143"/>
      <c r="AK388" s="172"/>
      <c r="AL388" s="172"/>
    </row>
    <row r="389">
      <c r="A389" s="137"/>
      <c r="B389" s="88"/>
      <c r="C389" s="89"/>
      <c r="D389" s="55"/>
      <c r="E389" s="137"/>
      <c r="F389" s="88"/>
      <c r="G389" s="180"/>
      <c r="H389" s="181"/>
      <c r="I389" s="137"/>
      <c r="J389" s="88"/>
      <c r="K389" s="89"/>
      <c r="L389" s="55"/>
      <c r="M389" s="137"/>
      <c r="N389" s="182"/>
      <c r="O389" s="89"/>
      <c r="P389" s="55"/>
      <c r="Q389" s="183"/>
      <c r="R389" s="184"/>
      <c r="S389" s="185"/>
      <c r="T389" s="172"/>
      <c r="U389" s="183"/>
      <c r="V389" s="184"/>
      <c r="W389" s="185"/>
      <c r="X389" s="172"/>
      <c r="Y389" s="137"/>
      <c r="Z389" s="186"/>
      <c r="AA389" s="187"/>
      <c r="AB389" s="188"/>
      <c r="AC389" s="137"/>
      <c r="AD389" s="184"/>
      <c r="AE389" s="189"/>
      <c r="AF389" s="190"/>
      <c r="AG389" s="143"/>
      <c r="AH389" s="143"/>
      <c r="AI389" s="143"/>
      <c r="AJ389" s="143"/>
      <c r="AK389" s="172"/>
      <c r="AL389" s="172"/>
    </row>
    <row r="390">
      <c r="A390" s="137"/>
      <c r="B390" s="88"/>
      <c r="C390" s="89"/>
      <c r="D390" s="55"/>
      <c r="E390" s="137"/>
      <c r="F390" s="88"/>
      <c r="G390" s="180"/>
      <c r="H390" s="181"/>
      <c r="I390" s="137"/>
      <c r="J390" s="88"/>
      <c r="K390" s="89"/>
      <c r="L390" s="55"/>
      <c r="M390" s="137"/>
      <c r="N390" s="182"/>
      <c r="O390" s="89"/>
      <c r="P390" s="55"/>
      <c r="Q390" s="183"/>
      <c r="R390" s="184"/>
      <c r="S390" s="185"/>
      <c r="T390" s="172"/>
      <c r="U390" s="183"/>
      <c r="V390" s="184"/>
      <c r="W390" s="185"/>
      <c r="X390" s="172"/>
      <c r="Y390" s="137"/>
      <c r="Z390" s="186"/>
      <c r="AA390" s="187"/>
      <c r="AB390" s="188"/>
      <c r="AC390" s="137"/>
      <c r="AD390" s="184"/>
      <c r="AE390" s="189"/>
      <c r="AF390" s="190"/>
      <c r="AG390" s="143"/>
      <c r="AH390" s="143"/>
      <c r="AI390" s="143"/>
      <c r="AJ390" s="143"/>
      <c r="AK390" s="172"/>
      <c r="AL390" s="172"/>
    </row>
    <row r="391">
      <c r="A391" s="137"/>
      <c r="B391" s="88"/>
      <c r="C391" s="89"/>
      <c r="D391" s="55"/>
      <c r="E391" s="137"/>
      <c r="F391" s="88"/>
      <c r="G391" s="180"/>
      <c r="H391" s="181"/>
      <c r="I391" s="137"/>
      <c r="J391" s="88"/>
      <c r="K391" s="89"/>
      <c r="L391" s="55"/>
      <c r="M391" s="137"/>
      <c r="N391" s="182"/>
      <c r="O391" s="89"/>
      <c r="P391" s="55"/>
      <c r="Q391" s="183"/>
      <c r="R391" s="184"/>
      <c r="S391" s="185"/>
      <c r="T391" s="172"/>
      <c r="U391" s="183"/>
      <c r="V391" s="184"/>
      <c r="W391" s="185"/>
      <c r="X391" s="172"/>
      <c r="Y391" s="137"/>
      <c r="Z391" s="186"/>
      <c r="AA391" s="187"/>
      <c r="AB391" s="188"/>
      <c r="AC391" s="137"/>
      <c r="AD391" s="184"/>
      <c r="AE391" s="189"/>
      <c r="AF391" s="190"/>
      <c r="AG391" s="143"/>
      <c r="AH391" s="143"/>
      <c r="AI391" s="143"/>
      <c r="AJ391" s="143"/>
      <c r="AK391" s="172"/>
      <c r="AL391" s="172"/>
    </row>
    <row r="392">
      <c r="A392" s="137"/>
      <c r="B392" s="88"/>
      <c r="C392" s="89"/>
      <c r="D392" s="55"/>
      <c r="E392" s="137"/>
      <c r="F392" s="88"/>
      <c r="G392" s="180"/>
      <c r="H392" s="181"/>
      <c r="I392" s="137"/>
      <c r="J392" s="88"/>
      <c r="K392" s="89"/>
      <c r="L392" s="55"/>
      <c r="M392" s="137"/>
      <c r="N392" s="182"/>
      <c r="O392" s="89"/>
      <c r="P392" s="55"/>
      <c r="Q392" s="183"/>
      <c r="R392" s="184"/>
      <c r="S392" s="185"/>
      <c r="T392" s="172"/>
      <c r="U392" s="183"/>
      <c r="V392" s="184"/>
      <c r="W392" s="185"/>
      <c r="X392" s="172"/>
      <c r="Y392" s="137"/>
      <c r="Z392" s="186"/>
      <c r="AA392" s="187"/>
      <c r="AB392" s="188"/>
      <c r="AC392" s="137"/>
      <c r="AD392" s="184"/>
      <c r="AE392" s="189"/>
      <c r="AF392" s="190"/>
      <c r="AG392" s="143"/>
      <c r="AH392" s="143"/>
      <c r="AI392" s="143"/>
      <c r="AJ392" s="143"/>
      <c r="AK392" s="172"/>
      <c r="AL392" s="172"/>
    </row>
    <row r="393">
      <c r="A393" s="137"/>
      <c r="B393" s="88"/>
      <c r="C393" s="89"/>
      <c r="D393" s="55"/>
      <c r="E393" s="137"/>
      <c r="F393" s="88"/>
      <c r="G393" s="180"/>
      <c r="H393" s="181"/>
      <c r="I393" s="137"/>
      <c r="J393" s="88"/>
      <c r="K393" s="89"/>
      <c r="L393" s="55"/>
      <c r="M393" s="137"/>
      <c r="N393" s="182"/>
      <c r="O393" s="89"/>
      <c r="P393" s="55"/>
      <c r="Q393" s="183"/>
      <c r="R393" s="184"/>
      <c r="S393" s="185"/>
      <c r="T393" s="172"/>
      <c r="U393" s="183"/>
      <c r="V393" s="184"/>
      <c r="W393" s="185"/>
      <c r="X393" s="172"/>
      <c r="Y393" s="137"/>
      <c r="Z393" s="186"/>
      <c r="AA393" s="187"/>
      <c r="AB393" s="188"/>
      <c r="AC393" s="137"/>
      <c r="AD393" s="184"/>
      <c r="AE393" s="189"/>
      <c r="AF393" s="190"/>
      <c r="AG393" s="143"/>
      <c r="AH393" s="143"/>
      <c r="AI393" s="143"/>
      <c r="AJ393" s="143"/>
      <c r="AK393" s="172"/>
      <c r="AL393" s="172"/>
    </row>
    <row r="394">
      <c r="A394" s="137"/>
      <c r="B394" s="88"/>
      <c r="C394" s="89"/>
      <c r="D394" s="55"/>
      <c r="E394" s="137"/>
      <c r="F394" s="88"/>
      <c r="G394" s="180"/>
      <c r="H394" s="181"/>
      <c r="I394" s="137"/>
      <c r="J394" s="88"/>
      <c r="K394" s="89"/>
      <c r="L394" s="55"/>
      <c r="M394" s="137"/>
      <c r="N394" s="182"/>
      <c r="O394" s="89"/>
      <c r="P394" s="55"/>
      <c r="Q394" s="183"/>
      <c r="R394" s="184"/>
      <c r="S394" s="185"/>
      <c r="T394" s="172"/>
      <c r="U394" s="183"/>
      <c r="V394" s="184"/>
      <c r="W394" s="185"/>
      <c r="X394" s="172"/>
      <c r="Y394" s="137"/>
      <c r="Z394" s="186"/>
      <c r="AA394" s="187"/>
      <c r="AB394" s="188"/>
      <c r="AC394" s="137"/>
      <c r="AD394" s="184"/>
      <c r="AE394" s="189"/>
      <c r="AF394" s="190"/>
      <c r="AG394" s="143"/>
      <c r="AH394" s="143"/>
      <c r="AI394" s="143"/>
      <c r="AJ394" s="143"/>
      <c r="AK394" s="172"/>
      <c r="AL394" s="172"/>
    </row>
    <row r="395">
      <c r="A395" s="137"/>
      <c r="B395" s="88"/>
      <c r="C395" s="89"/>
      <c r="D395" s="55"/>
      <c r="E395" s="137"/>
      <c r="F395" s="88"/>
      <c r="G395" s="180"/>
      <c r="H395" s="181"/>
      <c r="I395" s="137"/>
      <c r="J395" s="88"/>
      <c r="K395" s="89"/>
      <c r="L395" s="55"/>
      <c r="M395" s="137"/>
      <c r="N395" s="182"/>
      <c r="O395" s="89"/>
      <c r="P395" s="55"/>
      <c r="Q395" s="183"/>
      <c r="R395" s="184"/>
      <c r="S395" s="185"/>
      <c r="T395" s="172"/>
      <c r="U395" s="183"/>
      <c r="V395" s="184"/>
      <c r="W395" s="185"/>
      <c r="X395" s="172"/>
      <c r="Y395" s="137"/>
      <c r="Z395" s="186"/>
      <c r="AA395" s="187"/>
      <c r="AB395" s="188"/>
      <c r="AC395" s="137"/>
      <c r="AD395" s="184"/>
      <c r="AE395" s="189"/>
      <c r="AF395" s="190"/>
      <c r="AG395" s="143"/>
      <c r="AH395" s="143"/>
      <c r="AI395" s="143"/>
      <c r="AJ395" s="143"/>
      <c r="AK395" s="172"/>
      <c r="AL395" s="172"/>
    </row>
    <row r="396">
      <c r="A396" s="137"/>
      <c r="B396" s="88"/>
      <c r="C396" s="89"/>
      <c r="D396" s="55"/>
      <c r="E396" s="137"/>
      <c r="F396" s="88"/>
      <c r="G396" s="180"/>
      <c r="H396" s="181"/>
      <c r="I396" s="137"/>
      <c r="J396" s="88"/>
      <c r="K396" s="89"/>
      <c r="L396" s="55"/>
      <c r="M396" s="137"/>
      <c r="N396" s="182"/>
      <c r="O396" s="89"/>
      <c r="P396" s="55"/>
      <c r="Q396" s="183"/>
      <c r="R396" s="184"/>
      <c r="S396" s="185"/>
      <c r="T396" s="172"/>
      <c r="U396" s="183"/>
      <c r="V396" s="184"/>
      <c r="W396" s="185"/>
      <c r="X396" s="172"/>
      <c r="Y396" s="137"/>
      <c r="Z396" s="186"/>
      <c r="AA396" s="187"/>
      <c r="AB396" s="188"/>
      <c r="AC396" s="137"/>
      <c r="AD396" s="184"/>
      <c r="AE396" s="189"/>
      <c r="AF396" s="190"/>
      <c r="AG396" s="143"/>
      <c r="AH396" s="143"/>
      <c r="AI396" s="143"/>
      <c r="AJ396" s="143"/>
      <c r="AK396" s="172"/>
      <c r="AL396" s="172"/>
    </row>
    <row r="397">
      <c r="A397" s="137"/>
      <c r="B397" s="88"/>
      <c r="C397" s="89"/>
      <c r="D397" s="55"/>
      <c r="E397" s="137"/>
      <c r="F397" s="88"/>
      <c r="G397" s="180"/>
      <c r="H397" s="181"/>
      <c r="I397" s="137"/>
      <c r="J397" s="88"/>
      <c r="K397" s="89"/>
      <c r="L397" s="55"/>
      <c r="M397" s="137"/>
      <c r="N397" s="182"/>
      <c r="O397" s="89"/>
      <c r="P397" s="55"/>
      <c r="Q397" s="183"/>
      <c r="R397" s="184"/>
      <c r="S397" s="185"/>
      <c r="T397" s="172"/>
      <c r="U397" s="183"/>
      <c r="V397" s="184"/>
      <c r="W397" s="185"/>
      <c r="X397" s="172"/>
      <c r="Y397" s="137"/>
      <c r="Z397" s="186"/>
      <c r="AA397" s="187"/>
      <c r="AB397" s="188"/>
      <c r="AC397" s="137"/>
      <c r="AD397" s="184"/>
      <c r="AE397" s="189"/>
      <c r="AF397" s="190"/>
      <c r="AG397" s="143"/>
      <c r="AH397" s="143"/>
      <c r="AI397" s="143"/>
      <c r="AJ397" s="143"/>
      <c r="AK397" s="172"/>
      <c r="AL397" s="172"/>
    </row>
    <row r="398">
      <c r="A398" s="137"/>
      <c r="B398" s="88"/>
      <c r="C398" s="89"/>
      <c r="D398" s="55"/>
      <c r="E398" s="137"/>
      <c r="F398" s="88"/>
      <c r="G398" s="180"/>
      <c r="H398" s="181"/>
      <c r="I398" s="137"/>
      <c r="J398" s="88"/>
      <c r="K398" s="89"/>
      <c r="L398" s="55"/>
      <c r="M398" s="137"/>
      <c r="N398" s="182"/>
      <c r="O398" s="89"/>
      <c r="P398" s="55"/>
      <c r="Q398" s="183"/>
      <c r="R398" s="184"/>
      <c r="S398" s="185"/>
      <c r="T398" s="172"/>
      <c r="U398" s="183"/>
      <c r="V398" s="184"/>
      <c r="W398" s="185"/>
      <c r="X398" s="172"/>
      <c r="Y398" s="137"/>
      <c r="Z398" s="186"/>
      <c r="AA398" s="187"/>
      <c r="AB398" s="188"/>
      <c r="AC398" s="137"/>
      <c r="AD398" s="184"/>
      <c r="AE398" s="189"/>
      <c r="AF398" s="190"/>
      <c r="AG398" s="143"/>
      <c r="AH398" s="143"/>
      <c r="AI398" s="143"/>
      <c r="AJ398" s="143"/>
      <c r="AK398" s="172"/>
      <c r="AL398" s="172"/>
    </row>
    <row r="399">
      <c r="A399" s="137"/>
      <c r="B399" s="88"/>
      <c r="C399" s="89"/>
      <c r="D399" s="55"/>
      <c r="E399" s="137"/>
      <c r="F399" s="88"/>
      <c r="G399" s="180"/>
      <c r="H399" s="181"/>
      <c r="I399" s="137"/>
      <c r="J399" s="88"/>
      <c r="K399" s="89"/>
      <c r="L399" s="55"/>
      <c r="M399" s="137"/>
      <c r="N399" s="182"/>
      <c r="O399" s="89"/>
      <c r="P399" s="55"/>
      <c r="Q399" s="183"/>
      <c r="R399" s="184"/>
      <c r="S399" s="185"/>
      <c r="T399" s="172"/>
      <c r="U399" s="183"/>
      <c r="V399" s="184"/>
      <c r="W399" s="185"/>
      <c r="X399" s="172"/>
      <c r="Y399" s="137"/>
      <c r="Z399" s="186"/>
      <c r="AA399" s="187"/>
      <c r="AB399" s="188"/>
      <c r="AC399" s="137"/>
      <c r="AD399" s="184"/>
      <c r="AE399" s="189"/>
      <c r="AF399" s="190"/>
      <c r="AG399" s="143"/>
      <c r="AH399" s="143"/>
      <c r="AI399" s="143"/>
      <c r="AJ399" s="143"/>
      <c r="AK399" s="172"/>
      <c r="AL399" s="172"/>
    </row>
    <row r="400">
      <c r="A400" s="137"/>
      <c r="B400" s="88"/>
      <c r="C400" s="89"/>
      <c r="D400" s="55"/>
      <c r="E400" s="137"/>
      <c r="F400" s="88"/>
      <c r="G400" s="180"/>
      <c r="H400" s="181"/>
      <c r="I400" s="137"/>
      <c r="J400" s="88"/>
      <c r="K400" s="89"/>
      <c r="L400" s="55"/>
      <c r="M400" s="137"/>
      <c r="N400" s="182"/>
      <c r="O400" s="89"/>
      <c r="P400" s="55"/>
      <c r="Q400" s="183"/>
      <c r="R400" s="184"/>
      <c r="S400" s="185"/>
      <c r="T400" s="172"/>
      <c r="U400" s="183"/>
      <c r="V400" s="184"/>
      <c r="W400" s="185"/>
      <c r="X400" s="172"/>
      <c r="Y400" s="137"/>
      <c r="Z400" s="186"/>
      <c r="AA400" s="187"/>
      <c r="AB400" s="188"/>
      <c r="AC400" s="137"/>
      <c r="AD400" s="184"/>
      <c r="AE400" s="189"/>
      <c r="AF400" s="190"/>
      <c r="AG400" s="143"/>
      <c r="AH400" s="143"/>
      <c r="AI400" s="143"/>
      <c r="AJ400" s="143"/>
      <c r="AK400" s="172"/>
      <c r="AL400" s="172"/>
    </row>
    <row r="401">
      <c r="A401" s="137"/>
      <c r="B401" s="88"/>
      <c r="C401" s="89"/>
      <c r="D401" s="55"/>
      <c r="E401" s="137"/>
      <c r="F401" s="88"/>
      <c r="G401" s="180"/>
      <c r="H401" s="181"/>
      <c r="I401" s="137"/>
      <c r="J401" s="88"/>
      <c r="K401" s="89"/>
      <c r="L401" s="55"/>
      <c r="M401" s="137"/>
      <c r="N401" s="182"/>
      <c r="O401" s="89"/>
      <c r="P401" s="55"/>
      <c r="Q401" s="183"/>
      <c r="R401" s="184"/>
      <c r="S401" s="185"/>
      <c r="T401" s="172"/>
      <c r="U401" s="183"/>
      <c r="V401" s="184"/>
      <c r="W401" s="185"/>
      <c r="X401" s="172"/>
      <c r="Y401" s="137"/>
      <c r="Z401" s="186"/>
      <c r="AA401" s="187"/>
      <c r="AB401" s="188"/>
      <c r="AC401" s="137"/>
      <c r="AD401" s="184"/>
      <c r="AE401" s="189"/>
      <c r="AF401" s="190"/>
      <c r="AG401" s="143"/>
      <c r="AH401" s="143"/>
      <c r="AI401" s="143"/>
      <c r="AJ401" s="143"/>
      <c r="AK401" s="172"/>
      <c r="AL401" s="172"/>
    </row>
    <row r="402">
      <c r="A402" s="137"/>
      <c r="B402" s="88"/>
      <c r="C402" s="89"/>
      <c r="D402" s="55"/>
      <c r="E402" s="137"/>
      <c r="F402" s="88"/>
      <c r="G402" s="180"/>
      <c r="H402" s="181"/>
      <c r="I402" s="137"/>
      <c r="J402" s="88"/>
      <c r="K402" s="89"/>
      <c r="L402" s="55"/>
      <c r="M402" s="137"/>
      <c r="N402" s="182"/>
      <c r="O402" s="89"/>
      <c r="P402" s="55"/>
      <c r="Q402" s="183"/>
      <c r="R402" s="184"/>
      <c r="S402" s="185"/>
      <c r="T402" s="172"/>
      <c r="U402" s="183"/>
      <c r="V402" s="184"/>
      <c r="W402" s="185"/>
      <c r="X402" s="172"/>
      <c r="Y402" s="137"/>
      <c r="Z402" s="186"/>
      <c r="AA402" s="187"/>
      <c r="AB402" s="188"/>
      <c r="AC402" s="137"/>
      <c r="AD402" s="184"/>
      <c r="AE402" s="189"/>
      <c r="AF402" s="190"/>
      <c r="AG402" s="143"/>
      <c r="AH402" s="143"/>
      <c r="AI402" s="143"/>
      <c r="AJ402" s="143"/>
      <c r="AK402" s="172"/>
      <c r="AL402" s="172"/>
    </row>
    <row r="403">
      <c r="A403" s="137"/>
      <c r="B403" s="88"/>
      <c r="C403" s="89"/>
      <c r="D403" s="55"/>
      <c r="E403" s="137"/>
      <c r="F403" s="88"/>
      <c r="G403" s="180"/>
      <c r="H403" s="181"/>
      <c r="I403" s="137"/>
      <c r="J403" s="88"/>
      <c r="K403" s="89"/>
      <c r="L403" s="55"/>
      <c r="M403" s="137"/>
      <c r="N403" s="182"/>
      <c r="O403" s="89"/>
      <c r="P403" s="55"/>
      <c r="Q403" s="183"/>
      <c r="R403" s="184"/>
      <c r="S403" s="185"/>
      <c r="T403" s="172"/>
      <c r="U403" s="183"/>
      <c r="V403" s="184"/>
      <c r="W403" s="185"/>
      <c r="X403" s="172"/>
      <c r="Y403" s="137"/>
      <c r="Z403" s="186"/>
      <c r="AA403" s="187"/>
      <c r="AB403" s="188"/>
      <c r="AC403" s="137"/>
      <c r="AD403" s="184"/>
      <c r="AE403" s="189"/>
      <c r="AF403" s="190"/>
      <c r="AG403" s="143"/>
      <c r="AH403" s="143"/>
      <c r="AI403" s="143"/>
      <c r="AJ403" s="143"/>
      <c r="AK403" s="172"/>
      <c r="AL403" s="172"/>
    </row>
    <row r="404">
      <c r="A404" s="137"/>
      <c r="B404" s="88"/>
      <c r="C404" s="89"/>
      <c r="D404" s="55"/>
      <c r="E404" s="137"/>
      <c r="F404" s="88"/>
      <c r="G404" s="180"/>
      <c r="H404" s="181"/>
      <c r="I404" s="137"/>
      <c r="J404" s="88"/>
      <c r="K404" s="89"/>
      <c r="L404" s="55"/>
      <c r="M404" s="137"/>
      <c r="N404" s="182"/>
      <c r="O404" s="89"/>
      <c r="P404" s="55"/>
      <c r="Q404" s="183"/>
      <c r="R404" s="184"/>
      <c r="S404" s="185"/>
      <c r="T404" s="172"/>
      <c r="U404" s="183"/>
      <c r="V404" s="184"/>
      <c r="W404" s="185"/>
      <c r="X404" s="172"/>
      <c r="Y404" s="137"/>
      <c r="Z404" s="186"/>
      <c r="AA404" s="187"/>
      <c r="AB404" s="188"/>
      <c r="AC404" s="137"/>
      <c r="AD404" s="184"/>
      <c r="AE404" s="189"/>
      <c r="AF404" s="190"/>
      <c r="AG404" s="143"/>
      <c r="AH404" s="143"/>
      <c r="AI404" s="143"/>
      <c r="AJ404" s="143"/>
      <c r="AK404" s="172"/>
      <c r="AL404" s="172"/>
    </row>
    <row r="405">
      <c r="A405" s="137"/>
      <c r="B405" s="88"/>
      <c r="C405" s="89"/>
      <c r="D405" s="55"/>
      <c r="E405" s="137"/>
      <c r="F405" s="88"/>
      <c r="G405" s="180"/>
      <c r="H405" s="181"/>
      <c r="I405" s="137"/>
      <c r="J405" s="88"/>
      <c r="K405" s="89"/>
      <c r="L405" s="55"/>
      <c r="M405" s="137"/>
      <c r="N405" s="182"/>
      <c r="O405" s="89"/>
      <c r="P405" s="55"/>
      <c r="Q405" s="183"/>
      <c r="R405" s="184"/>
      <c r="S405" s="185"/>
      <c r="T405" s="172"/>
      <c r="U405" s="183"/>
      <c r="V405" s="184"/>
      <c r="W405" s="185"/>
      <c r="X405" s="172"/>
      <c r="Y405" s="137"/>
      <c r="Z405" s="186"/>
      <c r="AA405" s="187"/>
      <c r="AB405" s="188"/>
      <c r="AC405" s="137"/>
      <c r="AD405" s="184"/>
      <c r="AE405" s="189"/>
      <c r="AF405" s="190"/>
      <c r="AG405" s="143"/>
      <c r="AH405" s="143"/>
      <c r="AI405" s="143"/>
      <c r="AJ405" s="143"/>
      <c r="AK405" s="172"/>
      <c r="AL405" s="172"/>
    </row>
    <row r="406">
      <c r="A406" s="137"/>
      <c r="B406" s="88"/>
      <c r="C406" s="89"/>
      <c r="D406" s="55"/>
      <c r="E406" s="137"/>
      <c r="F406" s="88"/>
      <c r="G406" s="180"/>
      <c r="H406" s="181"/>
      <c r="I406" s="137"/>
      <c r="J406" s="88"/>
      <c r="K406" s="89"/>
      <c r="L406" s="55"/>
      <c r="M406" s="137"/>
      <c r="N406" s="182"/>
      <c r="O406" s="89"/>
      <c r="P406" s="55"/>
      <c r="Q406" s="183"/>
      <c r="R406" s="184"/>
      <c r="S406" s="185"/>
      <c r="T406" s="172"/>
      <c r="U406" s="183"/>
      <c r="V406" s="184"/>
      <c r="W406" s="185"/>
      <c r="X406" s="172"/>
      <c r="Y406" s="137"/>
      <c r="Z406" s="186"/>
      <c r="AA406" s="187"/>
      <c r="AB406" s="188"/>
      <c r="AC406" s="137"/>
      <c r="AD406" s="184"/>
      <c r="AE406" s="189"/>
      <c r="AF406" s="190"/>
      <c r="AG406" s="143"/>
      <c r="AH406" s="143"/>
      <c r="AI406" s="143"/>
      <c r="AJ406" s="143"/>
      <c r="AK406" s="172"/>
      <c r="AL406" s="172"/>
    </row>
    <row r="407">
      <c r="A407" s="137"/>
      <c r="B407" s="88"/>
      <c r="C407" s="89"/>
      <c r="D407" s="55"/>
      <c r="E407" s="137"/>
      <c r="F407" s="88"/>
      <c r="G407" s="180"/>
      <c r="H407" s="181"/>
      <c r="I407" s="137"/>
      <c r="J407" s="88"/>
      <c r="K407" s="89"/>
      <c r="L407" s="55"/>
      <c r="M407" s="137"/>
      <c r="N407" s="182"/>
      <c r="O407" s="89"/>
      <c r="P407" s="55"/>
      <c r="Q407" s="183"/>
      <c r="R407" s="184"/>
      <c r="S407" s="185"/>
      <c r="T407" s="172"/>
      <c r="U407" s="183"/>
      <c r="V407" s="184"/>
      <c r="W407" s="185"/>
      <c r="X407" s="172"/>
      <c r="Y407" s="137"/>
      <c r="Z407" s="186"/>
      <c r="AA407" s="187"/>
      <c r="AB407" s="188"/>
      <c r="AC407" s="137"/>
      <c r="AD407" s="184"/>
      <c r="AE407" s="189"/>
      <c r="AF407" s="190"/>
      <c r="AG407" s="143"/>
      <c r="AH407" s="143"/>
      <c r="AI407" s="143"/>
      <c r="AJ407" s="143"/>
      <c r="AK407" s="172"/>
      <c r="AL407" s="172"/>
    </row>
    <row r="408">
      <c r="A408" s="137"/>
      <c r="B408" s="88"/>
      <c r="C408" s="89"/>
      <c r="D408" s="55"/>
      <c r="E408" s="137"/>
      <c r="F408" s="88"/>
      <c r="G408" s="180"/>
      <c r="H408" s="181"/>
      <c r="I408" s="137"/>
      <c r="J408" s="88"/>
      <c r="K408" s="89"/>
      <c r="L408" s="55"/>
      <c r="M408" s="137"/>
      <c r="N408" s="182"/>
      <c r="O408" s="89"/>
      <c r="P408" s="55"/>
      <c r="Q408" s="183"/>
      <c r="R408" s="184"/>
      <c r="S408" s="185"/>
      <c r="T408" s="172"/>
      <c r="U408" s="183"/>
      <c r="V408" s="184"/>
      <c r="W408" s="185"/>
      <c r="X408" s="172"/>
      <c r="Y408" s="137"/>
      <c r="Z408" s="186"/>
      <c r="AA408" s="187"/>
      <c r="AB408" s="188"/>
      <c r="AC408" s="137"/>
      <c r="AD408" s="184"/>
      <c r="AE408" s="189"/>
      <c r="AF408" s="190"/>
      <c r="AG408" s="143"/>
      <c r="AH408" s="143"/>
      <c r="AI408" s="143"/>
      <c r="AJ408" s="143"/>
      <c r="AK408" s="172"/>
      <c r="AL408" s="172"/>
    </row>
    <row r="409">
      <c r="A409" s="137"/>
      <c r="B409" s="88"/>
      <c r="C409" s="89"/>
      <c r="D409" s="55"/>
      <c r="E409" s="137"/>
      <c r="F409" s="88"/>
      <c r="G409" s="180"/>
      <c r="H409" s="181"/>
      <c r="I409" s="137"/>
      <c r="J409" s="88"/>
      <c r="K409" s="89"/>
      <c r="L409" s="55"/>
      <c r="M409" s="137"/>
      <c r="N409" s="182"/>
      <c r="O409" s="89"/>
      <c r="P409" s="55"/>
      <c r="Q409" s="183"/>
      <c r="R409" s="184"/>
      <c r="S409" s="185"/>
      <c r="T409" s="172"/>
      <c r="U409" s="183"/>
      <c r="V409" s="184"/>
      <c r="W409" s="185"/>
      <c r="X409" s="172"/>
      <c r="Y409" s="137"/>
      <c r="Z409" s="186"/>
      <c r="AA409" s="187"/>
      <c r="AB409" s="188"/>
      <c r="AC409" s="137"/>
      <c r="AD409" s="184"/>
      <c r="AE409" s="189"/>
      <c r="AF409" s="190"/>
      <c r="AG409" s="143"/>
      <c r="AH409" s="143"/>
      <c r="AI409" s="143"/>
      <c r="AJ409" s="143"/>
      <c r="AK409" s="172"/>
      <c r="AL409" s="172"/>
    </row>
    <row r="410">
      <c r="A410" s="137"/>
      <c r="B410" s="88"/>
      <c r="C410" s="89"/>
      <c r="D410" s="55"/>
      <c r="E410" s="137"/>
      <c r="F410" s="88"/>
      <c r="G410" s="180"/>
      <c r="H410" s="181"/>
      <c r="I410" s="137"/>
      <c r="J410" s="88"/>
      <c r="K410" s="89"/>
      <c r="L410" s="55"/>
      <c r="M410" s="137"/>
      <c r="N410" s="182"/>
      <c r="O410" s="89"/>
      <c r="P410" s="55"/>
      <c r="Q410" s="183"/>
      <c r="R410" s="184"/>
      <c r="S410" s="185"/>
      <c r="T410" s="172"/>
      <c r="U410" s="183"/>
      <c r="V410" s="184"/>
      <c r="W410" s="185"/>
      <c r="X410" s="172"/>
      <c r="Y410" s="137"/>
      <c r="Z410" s="186"/>
      <c r="AA410" s="187"/>
      <c r="AB410" s="188"/>
      <c r="AC410" s="137"/>
      <c r="AD410" s="184"/>
      <c r="AE410" s="189"/>
      <c r="AF410" s="190"/>
      <c r="AG410" s="143"/>
      <c r="AH410" s="143"/>
      <c r="AI410" s="143"/>
      <c r="AJ410" s="143"/>
      <c r="AK410" s="172"/>
      <c r="AL410" s="172"/>
    </row>
    <row r="411">
      <c r="A411" s="137"/>
      <c r="B411" s="88"/>
      <c r="C411" s="89"/>
      <c r="D411" s="55"/>
      <c r="E411" s="137"/>
      <c r="F411" s="88"/>
      <c r="G411" s="180"/>
      <c r="H411" s="181"/>
      <c r="I411" s="137"/>
      <c r="J411" s="88"/>
      <c r="K411" s="89"/>
      <c r="L411" s="55"/>
      <c r="M411" s="137"/>
      <c r="N411" s="182"/>
      <c r="O411" s="89"/>
      <c r="P411" s="55"/>
      <c r="Q411" s="183"/>
      <c r="R411" s="184"/>
      <c r="S411" s="185"/>
      <c r="T411" s="172"/>
      <c r="U411" s="183"/>
      <c r="V411" s="184"/>
      <c r="W411" s="185"/>
      <c r="X411" s="172"/>
      <c r="Y411" s="137"/>
      <c r="Z411" s="186"/>
      <c r="AA411" s="187"/>
      <c r="AB411" s="188"/>
      <c r="AC411" s="137"/>
      <c r="AD411" s="184"/>
      <c r="AE411" s="189"/>
      <c r="AF411" s="190"/>
      <c r="AG411" s="143"/>
      <c r="AH411" s="143"/>
      <c r="AI411" s="143"/>
      <c r="AJ411" s="143"/>
      <c r="AK411" s="172"/>
      <c r="AL411" s="172"/>
    </row>
    <row r="412">
      <c r="A412" s="137"/>
      <c r="B412" s="88"/>
      <c r="C412" s="89"/>
      <c r="D412" s="55"/>
      <c r="E412" s="137"/>
      <c r="F412" s="88"/>
      <c r="G412" s="180"/>
      <c r="H412" s="181"/>
      <c r="I412" s="137"/>
      <c r="J412" s="88"/>
      <c r="K412" s="89"/>
      <c r="L412" s="55"/>
      <c r="M412" s="137"/>
      <c r="N412" s="182"/>
      <c r="O412" s="89"/>
      <c r="P412" s="55"/>
      <c r="Q412" s="183"/>
      <c r="R412" s="184"/>
      <c r="S412" s="185"/>
      <c r="T412" s="172"/>
      <c r="U412" s="183"/>
      <c r="V412" s="184"/>
      <c r="W412" s="185"/>
      <c r="X412" s="172"/>
      <c r="Y412" s="137"/>
      <c r="Z412" s="186"/>
      <c r="AA412" s="187"/>
      <c r="AB412" s="188"/>
      <c r="AC412" s="137"/>
      <c r="AD412" s="184"/>
      <c r="AE412" s="189"/>
      <c r="AF412" s="190"/>
      <c r="AG412" s="143"/>
      <c r="AH412" s="143"/>
      <c r="AI412" s="143"/>
      <c r="AJ412" s="143"/>
      <c r="AK412" s="172"/>
      <c r="AL412" s="172"/>
    </row>
    <row r="413">
      <c r="A413" s="137"/>
      <c r="B413" s="88"/>
      <c r="C413" s="89"/>
      <c r="D413" s="55"/>
      <c r="E413" s="137"/>
      <c r="F413" s="88"/>
      <c r="G413" s="180"/>
      <c r="H413" s="181"/>
      <c r="I413" s="137"/>
      <c r="J413" s="88"/>
      <c r="K413" s="89"/>
      <c r="L413" s="55"/>
      <c r="M413" s="137"/>
      <c r="N413" s="182"/>
      <c r="O413" s="89"/>
      <c r="P413" s="55"/>
      <c r="Q413" s="183"/>
      <c r="R413" s="184"/>
      <c r="S413" s="185"/>
      <c r="T413" s="172"/>
      <c r="U413" s="183"/>
      <c r="V413" s="184"/>
      <c r="W413" s="185"/>
      <c r="X413" s="172"/>
      <c r="Y413" s="137"/>
      <c r="Z413" s="186"/>
      <c r="AA413" s="187"/>
      <c r="AB413" s="188"/>
      <c r="AC413" s="137"/>
      <c r="AD413" s="184"/>
      <c r="AE413" s="189"/>
      <c r="AF413" s="190"/>
      <c r="AG413" s="143"/>
      <c r="AH413" s="143"/>
      <c r="AI413" s="143"/>
      <c r="AJ413" s="143"/>
      <c r="AK413" s="172"/>
      <c r="AL413" s="172"/>
    </row>
    <row r="414">
      <c r="A414" s="137"/>
      <c r="B414" s="88"/>
      <c r="C414" s="89"/>
      <c r="D414" s="55"/>
      <c r="E414" s="137"/>
      <c r="F414" s="88"/>
      <c r="G414" s="180"/>
      <c r="H414" s="181"/>
      <c r="I414" s="137"/>
      <c r="J414" s="88"/>
      <c r="K414" s="89"/>
      <c r="L414" s="55"/>
      <c r="M414" s="137"/>
      <c r="N414" s="182"/>
      <c r="O414" s="89"/>
      <c r="P414" s="55"/>
      <c r="Q414" s="183"/>
      <c r="R414" s="184"/>
      <c r="S414" s="185"/>
      <c r="T414" s="172"/>
      <c r="U414" s="183"/>
      <c r="V414" s="184"/>
      <c r="W414" s="185"/>
      <c r="X414" s="172"/>
      <c r="Y414" s="137"/>
      <c r="Z414" s="186"/>
      <c r="AA414" s="187"/>
      <c r="AB414" s="188"/>
      <c r="AC414" s="137"/>
      <c r="AD414" s="184"/>
      <c r="AE414" s="189"/>
      <c r="AF414" s="190"/>
      <c r="AG414" s="143"/>
      <c r="AH414" s="143"/>
      <c r="AI414" s="143"/>
      <c r="AJ414" s="143"/>
      <c r="AK414" s="172"/>
      <c r="AL414" s="172"/>
    </row>
    <row r="415">
      <c r="A415" s="137"/>
      <c r="B415" s="88"/>
      <c r="C415" s="89"/>
      <c r="D415" s="55"/>
      <c r="E415" s="137"/>
      <c r="F415" s="88"/>
      <c r="G415" s="180"/>
      <c r="H415" s="181"/>
      <c r="I415" s="137"/>
      <c r="J415" s="88"/>
      <c r="K415" s="89"/>
      <c r="L415" s="55"/>
      <c r="M415" s="137"/>
      <c r="N415" s="182"/>
      <c r="O415" s="89"/>
      <c r="P415" s="55"/>
      <c r="Q415" s="183"/>
      <c r="R415" s="184"/>
      <c r="S415" s="185"/>
      <c r="T415" s="172"/>
      <c r="U415" s="183"/>
      <c r="V415" s="184"/>
      <c r="W415" s="185"/>
      <c r="X415" s="172"/>
      <c r="Y415" s="137"/>
      <c r="Z415" s="186"/>
      <c r="AA415" s="187"/>
      <c r="AB415" s="188"/>
      <c r="AC415" s="137"/>
      <c r="AD415" s="184"/>
      <c r="AE415" s="189"/>
      <c r="AF415" s="190"/>
      <c r="AG415" s="143"/>
      <c r="AH415" s="143"/>
      <c r="AI415" s="143"/>
      <c r="AJ415" s="143"/>
      <c r="AK415" s="172"/>
      <c r="AL415" s="172"/>
    </row>
    <row r="416">
      <c r="A416" s="137"/>
      <c r="B416" s="88"/>
      <c r="C416" s="89"/>
      <c r="D416" s="55"/>
      <c r="E416" s="137"/>
      <c r="F416" s="88"/>
      <c r="G416" s="180"/>
      <c r="H416" s="181"/>
      <c r="I416" s="137"/>
      <c r="J416" s="88"/>
      <c r="K416" s="89"/>
      <c r="L416" s="55"/>
      <c r="M416" s="137"/>
      <c r="N416" s="182"/>
      <c r="O416" s="89"/>
      <c r="P416" s="55"/>
      <c r="Q416" s="183"/>
      <c r="R416" s="184"/>
      <c r="S416" s="185"/>
      <c r="T416" s="172"/>
      <c r="U416" s="183"/>
      <c r="V416" s="184"/>
      <c r="W416" s="185"/>
      <c r="X416" s="172"/>
      <c r="Y416" s="137"/>
      <c r="Z416" s="186"/>
      <c r="AA416" s="187"/>
      <c r="AB416" s="188"/>
      <c r="AC416" s="137"/>
      <c r="AD416" s="184"/>
      <c r="AE416" s="189"/>
      <c r="AF416" s="190"/>
      <c r="AG416" s="143"/>
      <c r="AH416" s="143"/>
      <c r="AI416" s="143"/>
      <c r="AJ416" s="143"/>
      <c r="AK416" s="172"/>
      <c r="AL416" s="172"/>
    </row>
    <row r="417">
      <c r="A417" s="137"/>
      <c r="B417" s="88"/>
      <c r="C417" s="89"/>
      <c r="D417" s="55"/>
      <c r="E417" s="137"/>
      <c r="F417" s="88"/>
      <c r="G417" s="180"/>
      <c r="H417" s="181"/>
      <c r="I417" s="137"/>
      <c r="J417" s="88"/>
      <c r="K417" s="89"/>
      <c r="L417" s="55"/>
      <c r="M417" s="137"/>
      <c r="N417" s="182"/>
      <c r="O417" s="89"/>
      <c r="P417" s="55"/>
      <c r="Q417" s="183"/>
      <c r="R417" s="184"/>
      <c r="S417" s="185"/>
      <c r="T417" s="172"/>
      <c r="U417" s="183"/>
      <c r="V417" s="184"/>
      <c r="W417" s="185"/>
      <c r="X417" s="172"/>
      <c r="Y417" s="137"/>
      <c r="Z417" s="186"/>
      <c r="AA417" s="187"/>
      <c r="AB417" s="188"/>
      <c r="AC417" s="137"/>
      <c r="AD417" s="184"/>
      <c r="AE417" s="189"/>
      <c r="AF417" s="190"/>
      <c r="AG417" s="143"/>
      <c r="AH417" s="143"/>
      <c r="AI417" s="143"/>
      <c r="AJ417" s="143"/>
      <c r="AK417" s="172"/>
      <c r="AL417" s="172"/>
    </row>
    <row r="418">
      <c r="A418" s="137"/>
      <c r="B418" s="88"/>
      <c r="C418" s="89"/>
      <c r="D418" s="55"/>
      <c r="E418" s="137"/>
      <c r="F418" s="88"/>
      <c r="G418" s="180"/>
      <c r="H418" s="181"/>
      <c r="I418" s="137"/>
      <c r="J418" s="88"/>
      <c r="K418" s="89"/>
      <c r="L418" s="55"/>
      <c r="M418" s="137"/>
      <c r="N418" s="182"/>
      <c r="O418" s="89"/>
      <c r="P418" s="55"/>
      <c r="Q418" s="183"/>
      <c r="R418" s="184"/>
      <c r="S418" s="185"/>
      <c r="T418" s="172"/>
      <c r="U418" s="183"/>
      <c r="V418" s="184"/>
      <c r="W418" s="185"/>
      <c r="X418" s="172"/>
      <c r="Y418" s="137"/>
      <c r="Z418" s="186"/>
      <c r="AA418" s="187"/>
      <c r="AB418" s="188"/>
      <c r="AC418" s="137"/>
      <c r="AD418" s="184"/>
      <c r="AE418" s="189"/>
      <c r="AF418" s="190"/>
      <c r="AG418" s="143"/>
      <c r="AH418" s="143"/>
      <c r="AI418" s="143"/>
      <c r="AJ418" s="143"/>
      <c r="AK418" s="172"/>
      <c r="AL418" s="172"/>
    </row>
    <row r="419">
      <c r="A419" s="137"/>
      <c r="B419" s="88"/>
      <c r="C419" s="89"/>
      <c r="D419" s="55"/>
      <c r="E419" s="137"/>
      <c r="F419" s="88"/>
      <c r="G419" s="180"/>
      <c r="H419" s="181"/>
      <c r="I419" s="137"/>
      <c r="J419" s="88"/>
      <c r="K419" s="89"/>
      <c r="L419" s="55"/>
      <c r="M419" s="137"/>
      <c r="N419" s="182"/>
      <c r="O419" s="89"/>
      <c r="P419" s="55"/>
      <c r="Q419" s="183"/>
      <c r="R419" s="184"/>
      <c r="S419" s="185"/>
      <c r="T419" s="172"/>
      <c r="U419" s="183"/>
      <c r="V419" s="184"/>
      <c r="W419" s="185"/>
      <c r="X419" s="172"/>
      <c r="Y419" s="137"/>
      <c r="Z419" s="186"/>
      <c r="AA419" s="187"/>
      <c r="AB419" s="188"/>
      <c r="AC419" s="137"/>
      <c r="AD419" s="184"/>
      <c r="AE419" s="189"/>
      <c r="AF419" s="190"/>
      <c r="AG419" s="143"/>
      <c r="AH419" s="143"/>
      <c r="AI419" s="143"/>
      <c r="AJ419" s="143"/>
      <c r="AK419" s="172"/>
      <c r="AL419" s="172"/>
    </row>
    <row r="420">
      <c r="A420" s="137"/>
      <c r="B420" s="88"/>
      <c r="C420" s="89"/>
      <c r="D420" s="55"/>
      <c r="E420" s="137"/>
      <c r="F420" s="88"/>
      <c r="G420" s="180"/>
      <c r="H420" s="181"/>
      <c r="I420" s="137"/>
      <c r="J420" s="88"/>
      <c r="K420" s="89"/>
      <c r="L420" s="55"/>
      <c r="M420" s="137"/>
      <c r="N420" s="182"/>
      <c r="O420" s="89"/>
      <c r="P420" s="55"/>
      <c r="Q420" s="183"/>
      <c r="R420" s="184"/>
      <c r="S420" s="185"/>
      <c r="T420" s="172"/>
      <c r="U420" s="183"/>
      <c r="V420" s="184"/>
      <c r="W420" s="185"/>
      <c r="X420" s="172"/>
      <c r="Y420" s="137"/>
      <c r="Z420" s="186"/>
      <c r="AA420" s="187"/>
      <c r="AB420" s="188"/>
      <c r="AC420" s="137"/>
      <c r="AD420" s="184"/>
      <c r="AE420" s="189"/>
      <c r="AF420" s="190"/>
      <c r="AG420" s="143"/>
      <c r="AH420" s="143"/>
      <c r="AI420" s="143"/>
      <c r="AJ420" s="143"/>
      <c r="AK420" s="172"/>
      <c r="AL420" s="172"/>
    </row>
    <row r="421">
      <c r="A421" s="137"/>
      <c r="B421" s="88"/>
      <c r="C421" s="89"/>
      <c r="D421" s="55"/>
      <c r="E421" s="137"/>
      <c r="F421" s="88"/>
      <c r="G421" s="180"/>
      <c r="H421" s="181"/>
      <c r="I421" s="137"/>
      <c r="J421" s="88"/>
      <c r="K421" s="89"/>
      <c r="L421" s="55"/>
      <c r="M421" s="137"/>
      <c r="N421" s="182"/>
      <c r="O421" s="89"/>
      <c r="P421" s="55"/>
      <c r="Q421" s="183"/>
      <c r="R421" s="184"/>
      <c r="S421" s="185"/>
      <c r="T421" s="172"/>
      <c r="U421" s="183"/>
      <c r="V421" s="184"/>
      <c r="W421" s="185"/>
      <c r="X421" s="172"/>
      <c r="Y421" s="137"/>
      <c r="Z421" s="186"/>
      <c r="AA421" s="187"/>
      <c r="AB421" s="188"/>
      <c r="AC421" s="137"/>
      <c r="AD421" s="184"/>
      <c r="AE421" s="189"/>
      <c r="AF421" s="190"/>
      <c r="AG421" s="143"/>
      <c r="AH421" s="143"/>
      <c r="AI421" s="143"/>
      <c r="AJ421" s="143"/>
      <c r="AK421" s="172"/>
      <c r="AL421" s="172"/>
    </row>
    <row r="422">
      <c r="A422" s="137"/>
      <c r="B422" s="88"/>
      <c r="C422" s="89"/>
      <c r="D422" s="55"/>
      <c r="E422" s="137"/>
      <c r="F422" s="88"/>
      <c r="G422" s="180"/>
      <c r="H422" s="181"/>
      <c r="I422" s="137"/>
      <c r="J422" s="88"/>
      <c r="K422" s="89"/>
      <c r="L422" s="55"/>
      <c r="M422" s="137"/>
      <c r="N422" s="182"/>
      <c r="O422" s="89"/>
      <c r="P422" s="55"/>
      <c r="Q422" s="183"/>
      <c r="R422" s="184"/>
      <c r="S422" s="185"/>
      <c r="T422" s="172"/>
      <c r="U422" s="183"/>
      <c r="V422" s="184"/>
      <c r="W422" s="185"/>
      <c r="X422" s="172"/>
      <c r="Y422" s="137"/>
      <c r="Z422" s="186"/>
      <c r="AA422" s="187"/>
      <c r="AB422" s="188"/>
      <c r="AC422" s="137"/>
      <c r="AD422" s="184"/>
      <c r="AE422" s="189"/>
      <c r="AF422" s="190"/>
      <c r="AG422" s="143"/>
      <c r="AH422" s="143"/>
      <c r="AI422" s="143"/>
      <c r="AJ422" s="143"/>
      <c r="AK422" s="172"/>
      <c r="AL422" s="172"/>
    </row>
    <row r="423">
      <c r="A423" s="137"/>
      <c r="B423" s="88"/>
      <c r="C423" s="89"/>
      <c r="D423" s="55"/>
      <c r="E423" s="137"/>
      <c r="F423" s="88"/>
      <c r="G423" s="180"/>
      <c r="H423" s="181"/>
      <c r="I423" s="137"/>
      <c r="J423" s="88"/>
      <c r="K423" s="89"/>
      <c r="L423" s="55"/>
      <c r="M423" s="137"/>
      <c r="N423" s="182"/>
      <c r="O423" s="89"/>
      <c r="P423" s="55"/>
      <c r="Q423" s="183"/>
      <c r="R423" s="184"/>
      <c r="S423" s="185"/>
      <c r="T423" s="172"/>
      <c r="U423" s="183"/>
      <c r="V423" s="184"/>
      <c r="W423" s="185"/>
      <c r="X423" s="172"/>
      <c r="Y423" s="137"/>
      <c r="Z423" s="186"/>
      <c r="AA423" s="187"/>
      <c r="AB423" s="188"/>
      <c r="AC423" s="137"/>
      <c r="AD423" s="184"/>
      <c r="AE423" s="189"/>
      <c r="AF423" s="190"/>
      <c r="AG423" s="143"/>
      <c r="AH423" s="143"/>
      <c r="AI423" s="143"/>
      <c r="AJ423" s="143"/>
      <c r="AK423" s="172"/>
      <c r="AL423" s="172"/>
    </row>
    <row r="424">
      <c r="A424" s="137"/>
      <c r="B424" s="88"/>
      <c r="C424" s="89"/>
      <c r="D424" s="55"/>
      <c r="E424" s="137"/>
      <c r="F424" s="88"/>
      <c r="G424" s="180"/>
      <c r="H424" s="181"/>
      <c r="I424" s="137"/>
      <c r="J424" s="88"/>
      <c r="K424" s="89"/>
      <c r="L424" s="55"/>
      <c r="M424" s="137"/>
      <c r="N424" s="182"/>
      <c r="O424" s="89"/>
      <c r="P424" s="55"/>
      <c r="Q424" s="183"/>
      <c r="R424" s="184"/>
      <c r="S424" s="185"/>
      <c r="T424" s="172"/>
      <c r="U424" s="183"/>
      <c r="V424" s="184"/>
      <c r="W424" s="185"/>
      <c r="X424" s="172"/>
      <c r="Y424" s="137"/>
      <c r="Z424" s="186"/>
      <c r="AA424" s="187"/>
      <c r="AB424" s="188"/>
      <c r="AC424" s="137"/>
      <c r="AD424" s="184"/>
      <c r="AE424" s="189"/>
      <c r="AF424" s="190"/>
      <c r="AG424" s="143"/>
      <c r="AH424" s="143"/>
      <c r="AI424" s="143"/>
      <c r="AJ424" s="143"/>
      <c r="AK424" s="172"/>
      <c r="AL424" s="172"/>
    </row>
    <row r="425">
      <c r="A425" s="137"/>
      <c r="B425" s="88"/>
      <c r="C425" s="89"/>
      <c r="D425" s="55"/>
      <c r="E425" s="137"/>
      <c r="F425" s="88"/>
      <c r="G425" s="180"/>
      <c r="H425" s="181"/>
      <c r="I425" s="137"/>
      <c r="J425" s="88"/>
      <c r="K425" s="89"/>
      <c r="L425" s="55"/>
      <c r="M425" s="137"/>
      <c r="N425" s="182"/>
      <c r="O425" s="89"/>
      <c r="P425" s="55"/>
      <c r="Q425" s="183"/>
      <c r="R425" s="184"/>
      <c r="S425" s="185"/>
      <c r="T425" s="172"/>
      <c r="U425" s="183"/>
      <c r="V425" s="184"/>
      <c r="W425" s="185"/>
      <c r="X425" s="172"/>
      <c r="Y425" s="137"/>
      <c r="Z425" s="186"/>
      <c r="AA425" s="187"/>
      <c r="AB425" s="188"/>
      <c r="AC425" s="137"/>
      <c r="AD425" s="184"/>
      <c r="AE425" s="189"/>
      <c r="AF425" s="190"/>
      <c r="AG425" s="143"/>
      <c r="AH425" s="143"/>
      <c r="AI425" s="143"/>
      <c r="AJ425" s="143"/>
      <c r="AK425" s="172"/>
      <c r="AL425" s="172"/>
    </row>
    <row r="426">
      <c r="A426" s="137"/>
      <c r="B426" s="88"/>
      <c r="C426" s="89"/>
      <c r="D426" s="55"/>
      <c r="E426" s="137"/>
      <c r="F426" s="88"/>
      <c r="G426" s="180"/>
      <c r="H426" s="181"/>
      <c r="I426" s="137"/>
      <c r="J426" s="88"/>
      <c r="K426" s="89"/>
      <c r="L426" s="55"/>
      <c r="M426" s="137"/>
      <c r="N426" s="182"/>
      <c r="O426" s="89"/>
      <c r="P426" s="55"/>
      <c r="Q426" s="183"/>
      <c r="R426" s="184"/>
      <c r="S426" s="185"/>
      <c r="T426" s="172"/>
      <c r="U426" s="183"/>
      <c r="V426" s="184"/>
      <c r="W426" s="185"/>
      <c r="X426" s="172"/>
      <c r="Y426" s="137"/>
      <c r="Z426" s="186"/>
      <c r="AA426" s="187"/>
      <c r="AB426" s="188"/>
      <c r="AC426" s="137"/>
      <c r="AD426" s="184"/>
      <c r="AE426" s="189"/>
      <c r="AF426" s="190"/>
      <c r="AG426" s="143"/>
      <c r="AH426" s="143"/>
      <c r="AI426" s="143"/>
      <c r="AJ426" s="143"/>
      <c r="AK426" s="172"/>
      <c r="AL426" s="172"/>
    </row>
    <row r="427">
      <c r="A427" s="137"/>
      <c r="B427" s="88"/>
      <c r="C427" s="89"/>
      <c r="D427" s="55"/>
      <c r="E427" s="137"/>
      <c r="F427" s="88"/>
      <c r="G427" s="180"/>
      <c r="H427" s="181"/>
      <c r="I427" s="137"/>
      <c r="J427" s="88"/>
      <c r="K427" s="89"/>
      <c r="L427" s="55"/>
      <c r="M427" s="137"/>
      <c r="N427" s="182"/>
      <c r="O427" s="89"/>
      <c r="P427" s="55"/>
      <c r="Q427" s="183"/>
      <c r="R427" s="184"/>
      <c r="S427" s="185"/>
      <c r="T427" s="172"/>
      <c r="U427" s="183"/>
      <c r="V427" s="184"/>
      <c r="W427" s="185"/>
      <c r="X427" s="172"/>
      <c r="Y427" s="137"/>
      <c r="Z427" s="186"/>
      <c r="AA427" s="187"/>
      <c r="AB427" s="188"/>
      <c r="AC427" s="137"/>
      <c r="AD427" s="184"/>
      <c r="AE427" s="189"/>
      <c r="AF427" s="190"/>
      <c r="AG427" s="143"/>
      <c r="AH427" s="143"/>
      <c r="AI427" s="143"/>
      <c r="AJ427" s="143"/>
      <c r="AK427" s="172"/>
      <c r="AL427" s="172"/>
    </row>
    <row r="428">
      <c r="A428" s="137"/>
      <c r="B428" s="88"/>
      <c r="C428" s="89"/>
      <c r="D428" s="55"/>
      <c r="E428" s="137"/>
      <c r="F428" s="88"/>
      <c r="G428" s="180"/>
      <c r="H428" s="181"/>
      <c r="I428" s="137"/>
      <c r="J428" s="88"/>
      <c r="K428" s="89"/>
      <c r="L428" s="55"/>
      <c r="M428" s="137"/>
      <c r="N428" s="182"/>
      <c r="O428" s="89"/>
      <c r="P428" s="55"/>
      <c r="Q428" s="183"/>
      <c r="R428" s="184"/>
      <c r="S428" s="185"/>
      <c r="T428" s="172"/>
      <c r="U428" s="183"/>
      <c r="V428" s="184"/>
      <c r="W428" s="185"/>
      <c r="X428" s="172"/>
      <c r="Y428" s="137"/>
      <c r="Z428" s="186"/>
      <c r="AA428" s="187"/>
      <c r="AB428" s="188"/>
      <c r="AC428" s="137"/>
      <c r="AD428" s="184"/>
      <c r="AE428" s="189"/>
      <c r="AF428" s="190"/>
      <c r="AG428" s="143"/>
      <c r="AH428" s="143"/>
      <c r="AI428" s="143"/>
      <c r="AJ428" s="143"/>
      <c r="AK428" s="172"/>
      <c r="AL428" s="172"/>
    </row>
    <row r="429">
      <c r="A429" s="137"/>
      <c r="B429" s="88"/>
      <c r="C429" s="89"/>
      <c r="D429" s="55"/>
      <c r="E429" s="137"/>
      <c r="F429" s="88"/>
      <c r="G429" s="180"/>
      <c r="H429" s="181"/>
      <c r="I429" s="137"/>
      <c r="J429" s="88"/>
      <c r="K429" s="89"/>
      <c r="L429" s="55"/>
      <c r="M429" s="137"/>
      <c r="N429" s="182"/>
      <c r="O429" s="89"/>
      <c r="P429" s="55"/>
      <c r="Q429" s="183"/>
      <c r="R429" s="184"/>
      <c r="S429" s="185"/>
      <c r="T429" s="172"/>
      <c r="U429" s="183"/>
      <c r="V429" s="184"/>
      <c r="W429" s="185"/>
      <c r="X429" s="172"/>
      <c r="Y429" s="137"/>
      <c r="Z429" s="186"/>
      <c r="AA429" s="187"/>
      <c r="AB429" s="188"/>
      <c r="AC429" s="137"/>
      <c r="AD429" s="184"/>
      <c r="AE429" s="189"/>
      <c r="AF429" s="190"/>
      <c r="AG429" s="143"/>
      <c r="AH429" s="143"/>
      <c r="AI429" s="143"/>
      <c r="AJ429" s="143"/>
      <c r="AK429" s="172"/>
      <c r="AL429" s="172"/>
    </row>
    <row r="430">
      <c r="A430" s="137"/>
      <c r="B430" s="88"/>
      <c r="C430" s="89"/>
      <c r="D430" s="55"/>
      <c r="E430" s="137"/>
      <c r="F430" s="88"/>
      <c r="G430" s="180"/>
      <c r="H430" s="181"/>
      <c r="I430" s="137"/>
      <c r="J430" s="88"/>
      <c r="K430" s="89"/>
      <c r="L430" s="55"/>
      <c r="M430" s="137"/>
      <c r="N430" s="182"/>
      <c r="O430" s="89"/>
      <c r="P430" s="55"/>
      <c r="Q430" s="183"/>
      <c r="R430" s="184"/>
      <c r="S430" s="185"/>
      <c r="T430" s="172"/>
      <c r="U430" s="183"/>
      <c r="V430" s="184"/>
      <c r="W430" s="185"/>
      <c r="X430" s="172"/>
      <c r="Y430" s="137"/>
      <c r="Z430" s="186"/>
      <c r="AA430" s="187"/>
      <c r="AB430" s="188"/>
      <c r="AC430" s="137"/>
      <c r="AD430" s="184"/>
      <c r="AE430" s="189"/>
      <c r="AF430" s="190"/>
      <c r="AG430" s="143"/>
      <c r="AH430" s="143"/>
      <c r="AI430" s="143"/>
      <c r="AJ430" s="143"/>
      <c r="AK430" s="172"/>
      <c r="AL430" s="172"/>
    </row>
    <row r="431">
      <c r="A431" s="137"/>
      <c r="B431" s="88"/>
      <c r="C431" s="89"/>
      <c r="D431" s="55"/>
      <c r="E431" s="137"/>
      <c r="F431" s="88"/>
      <c r="G431" s="180"/>
      <c r="H431" s="181"/>
      <c r="I431" s="137"/>
      <c r="J431" s="88"/>
      <c r="K431" s="89"/>
      <c r="L431" s="55"/>
      <c r="M431" s="137"/>
      <c r="N431" s="182"/>
      <c r="O431" s="89"/>
      <c r="P431" s="55"/>
      <c r="Q431" s="183"/>
      <c r="R431" s="184"/>
      <c r="S431" s="185"/>
      <c r="T431" s="172"/>
      <c r="U431" s="183"/>
      <c r="V431" s="184"/>
      <c r="W431" s="185"/>
      <c r="X431" s="172"/>
      <c r="Y431" s="137"/>
      <c r="Z431" s="186"/>
      <c r="AA431" s="187"/>
      <c r="AB431" s="188"/>
      <c r="AC431" s="137"/>
      <c r="AD431" s="184"/>
      <c r="AE431" s="189"/>
      <c r="AF431" s="190"/>
      <c r="AG431" s="143"/>
      <c r="AH431" s="143"/>
      <c r="AI431" s="143"/>
      <c r="AJ431" s="143"/>
      <c r="AK431" s="172"/>
      <c r="AL431" s="172"/>
    </row>
    <row r="432">
      <c r="A432" s="137"/>
      <c r="B432" s="88"/>
      <c r="C432" s="89"/>
      <c r="D432" s="55"/>
      <c r="E432" s="137"/>
      <c r="F432" s="88"/>
      <c r="G432" s="180"/>
      <c r="H432" s="181"/>
      <c r="I432" s="137"/>
      <c r="J432" s="88"/>
      <c r="K432" s="89"/>
      <c r="L432" s="55"/>
      <c r="M432" s="137"/>
      <c r="N432" s="182"/>
      <c r="O432" s="89"/>
      <c r="P432" s="55"/>
      <c r="Q432" s="183"/>
      <c r="R432" s="184"/>
      <c r="S432" s="185"/>
      <c r="T432" s="172"/>
      <c r="U432" s="183"/>
      <c r="V432" s="184"/>
      <c r="W432" s="185"/>
      <c r="X432" s="172"/>
      <c r="Y432" s="137"/>
      <c r="Z432" s="186"/>
      <c r="AA432" s="187"/>
      <c r="AB432" s="188"/>
      <c r="AC432" s="137"/>
      <c r="AD432" s="184"/>
      <c r="AE432" s="189"/>
      <c r="AF432" s="190"/>
      <c r="AG432" s="143"/>
      <c r="AH432" s="143"/>
      <c r="AI432" s="143"/>
      <c r="AJ432" s="143"/>
      <c r="AK432" s="172"/>
      <c r="AL432" s="172"/>
    </row>
    <row r="433">
      <c r="A433" s="137"/>
      <c r="B433" s="88"/>
      <c r="C433" s="89"/>
      <c r="D433" s="55"/>
      <c r="E433" s="137"/>
      <c r="F433" s="88"/>
      <c r="G433" s="180"/>
      <c r="H433" s="181"/>
      <c r="I433" s="137"/>
      <c r="J433" s="88"/>
      <c r="K433" s="89"/>
      <c r="L433" s="55"/>
      <c r="M433" s="137"/>
      <c r="N433" s="182"/>
      <c r="O433" s="89"/>
      <c r="P433" s="55"/>
      <c r="Q433" s="183"/>
      <c r="R433" s="184"/>
      <c r="S433" s="185"/>
      <c r="T433" s="172"/>
      <c r="U433" s="183"/>
      <c r="V433" s="184"/>
      <c r="W433" s="185"/>
      <c r="X433" s="172"/>
      <c r="Y433" s="137"/>
      <c r="Z433" s="186"/>
      <c r="AA433" s="187"/>
      <c r="AB433" s="188"/>
      <c r="AC433" s="137"/>
      <c r="AD433" s="184"/>
      <c r="AE433" s="189"/>
      <c r="AF433" s="190"/>
      <c r="AG433" s="143"/>
      <c r="AH433" s="143"/>
      <c r="AI433" s="143"/>
      <c r="AJ433" s="143"/>
      <c r="AK433" s="172"/>
      <c r="AL433" s="172"/>
    </row>
    <row r="434">
      <c r="A434" s="137"/>
      <c r="B434" s="88"/>
      <c r="C434" s="89"/>
      <c r="D434" s="55"/>
      <c r="E434" s="137"/>
      <c r="F434" s="88"/>
      <c r="G434" s="180"/>
      <c r="H434" s="181"/>
      <c r="I434" s="137"/>
      <c r="J434" s="88"/>
      <c r="K434" s="89"/>
      <c r="L434" s="55"/>
      <c r="M434" s="137"/>
      <c r="N434" s="182"/>
      <c r="O434" s="89"/>
      <c r="P434" s="55"/>
      <c r="Q434" s="183"/>
      <c r="R434" s="184"/>
      <c r="S434" s="185"/>
      <c r="T434" s="172"/>
      <c r="U434" s="183"/>
      <c r="V434" s="184"/>
      <c r="W434" s="185"/>
      <c r="X434" s="172"/>
      <c r="Y434" s="137"/>
      <c r="Z434" s="186"/>
      <c r="AA434" s="187"/>
      <c r="AB434" s="188"/>
      <c r="AC434" s="137"/>
      <c r="AD434" s="184"/>
      <c r="AE434" s="189"/>
      <c r="AF434" s="190"/>
      <c r="AG434" s="143"/>
      <c r="AH434" s="143"/>
      <c r="AI434" s="143"/>
      <c r="AJ434" s="143"/>
      <c r="AK434" s="172"/>
      <c r="AL434" s="172"/>
    </row>
    <row r="435">
      <c r="A435" s="137"/>
      <c r="B435" s="88"/>
      <c r="C435" s="89"/>
      <c r="D435" s="55"/>
      <c r="E435" s="137"/>
      <c r="F435" s="88"/>
      <c r="G435" s="180"/>
      <c r="H435" s="181"/>
      <c r="I435" s="137"/>
      <c r="J435" s="88"/>
      <c r="K435" s="89"/>
      <c r="L435" s="55"/>
      <c r="M435" s="137"/>
      <c r="N435" s="182"/>
      <c r="O435" s="89"/>
      <c r="P435" s="55"/>
      <c r="Q435" s="183"/>
      <c r="R435" s="184"/>
      <c r="S435" s="185"/>
      <c r="T435" s="172"/>
      <c r="U435" s="183"/>
      <c r="V435" s="184"/>
      <c r="W435" s="185"/>
      <c r="X435" s="172"/>
      <c r="Y435" s="137"/>
      <c r="Z435" s="186"/>
      <c r="AA435" s="187"/>
      <c r="AB435" s="188"/>
      <c r="AC435" s="137"/>
      <c r="AD435" s="184"/>
      <c r="AE435" s="189"/>
      <c r="AF435" s="190"/>
      <c r="AG435" s="143"/>
      <c r="AH435" s="143"/>
      <c r="AI435" s="143"/>
      <c r="AJ435" s="143"/>
      <c r="AK435" s="172"/>
      <c r="AL435" s="172"/>
    </row>
    <row r="436">
      <c r="A436" s="137"/>
      <c r="B436" s="88"/>
      <c r="C436" s="89"/>
      <c r="D436" s="55"/>
      <c r="E436" s="137"/>
      <c r="F436" s="88"/>
      <c r="G436" s="180"/>
      <c r="H436" s="181"/>
      <c r="I436" s="137"/>
      <c r="J436" s="88"/>
      <c r="K436" s="89"/>
      <c r="L436" s="55"/>
      <c r="M436" s="137"/>
      <c r="N436" s="182"/>
      <c r="O436" s="89"/>
      <c r="P436" s="55"/>
      <c r="Q436" s="183"/>
      <c r="R436" s="184"/>
      <c r="S436" s="185"/>
      <c r="T436" s="172"/>
      <c r="U436" s="183"/>
      <c r="V436" s="184"/>
      <c r="W436" s="185"/>
      <c r="X436" s="172"/>
      <c r="Y436" s="137"/>
      <c r="Z436" s="186"/>
      <c r="AA436" s="187"/>
      <c r="AB436" s="188"/>
      <c r="AC436" s="137"/>
      <c r="AD436" s="184"/>
      <c r="AE436" s="189"/>
      <c r="AF436" s="190"/>
      <c r="AG436" s="143"/>
      <c r="AH436" s="143"/>
      <c r="AI436" s="143"/>
      <c r="AJ436" s="143"/>
      <c r="AK436" s="172"/>
      <c r="AL436" s="172"/>
    </row>
    <row r="437">
      <c r="A437" s="137"/>
      <c r="B437" s="88"/>
      <c r="C437" s="89"/>
      <c r="D437" s="55"/>
      <c r="E437" s="137"/>
      <c r="F437" s="88"/>
      <c r="G437" s="180"/>
      <c r="H437" s="181"/>
      <c r="I437" s="137"/>
      <c r="J437" s="88"/>
      <c r="K437" s="89"/>
      <c r="L437" s="55"/>
      <c r="M437" s="137"/>
      <c r="N437" s="182"/>
      <c r="O437" s="89"/>
      <c r="P437" s="55"/>
      <c r="Q437" s="183"/>
      <c r="R437" s="184"/>
      <c r="S437" s="185"/>
      <c r="T437" s="172"/>
      <c r="U437" s="183"/>
      <c r="V437" s="184"/>
      <c r="W437" s="185"/>
      <c r="X437" s="172"/>
      <c r="Y437" s="137"/>
      <c r="Z437" s="186"/>
      <c r="AA437" s="187"/>
      <c r="AB437" s="188"/>
      <c r="AC437" s="137"/>
      <c r="AD437" s="184"/>
      <c r="AE437" s="189"/>
      <c r="AF437" s="190"/>
      <c r="AG437" s="143"/>
      <c r="AH437" s="143"/>
      <c r="AI437" s="143"/>
      <c r="AJ437" s="143"/>
      <c r="AK437" s="172"/>
      <c r="AL437" s="172"/>
    </row>
    <row r="438">
      <c r="A438" s="137"/>
      <c r="B438" s="88"/>
      <c r="C438" s="89"/>
      <c r="D438" s="55"/>
      <c r="E438" s="137"/>
      <c r="F438" s="88"/>
      <c r="G438" s="180"/>
      <c r="H438" s="181"/>
      <c r="I438" s="137"/>
      <c r="J438" s="88"/>
      <c r="K438" s="89"/>
      <c r="L438" s="55"/>
      <c r="M438" s="137"/>
      <c r="N438" s="182"/>
      <c r="O438" s="89"/>
      <c r="P438" s="55"/>
      <c r="Q438" s="183"/>
      <c r="R438" s="184"/>
      <c r="S438" s="185"/>
      <c r="T438" s="172"/>
      <c r="U438" s="183"/>
      <c r="V438" s="184"/>
      <c r="W438" s="185"/>
      <c r="X438" s="172"/>
      <c r="Y438" s="137"/>
      <c r="Z438" s="186"/>
      <c r="AA438" s="187"/>
      <c r="AB438" s="188"/>
      <c r="AC438" s="137"/>
      <c r="AD438" s="184"/>
      <c r="AE438" s="189"/>
      <c r="AF438" s="190"/>
      <c r="AG438" s="143"/>
      <c r="AH438" s="143"/>
      <c r="AI438" s="143"/>
      <c r="AJ438" s="143"/>
      <c r="AK438" s="172"/>
      <c r="AL438" s="172"/>
    </row>
    <row r="439">
      <c r="A439" s="137"/>
      <c r="B439" s="88"/>
      <c r="C439" s="89"/>
      <c r="D439" s="55"/>
      <c r="E439" s="137"/>
      <c r="F439" s="88"/>
      <c r="G439" s="180"/>
      <c r="H439" s="181"/>
      <c r="I439" s="137"/>
      <c r="J439" s="88"/>
      <c r="K439" s="89"/>
      <c r="L439" s="55"/>
      <c r="M439" s="137"/>
      <c r="N439" s="182"/>
      <c r="O439" s="89"/>
      <c r="P439" s="55"/>
      <c r="Q439" s="183"/>
      <c r="R439" s="184"/>
      <c r="S439" s="185"/>
      <c r="T439" s="172"/>
      <c r="U439" s="183"/>
      <c r="V439" s="184"/>
      <c r="W439" s="185"/>
      <c r="X439" s="172"/>
      <c r="Y439" s="137"/>
      <c r="Z439" s="186"/>
      <c r="AA439" s="187"/>
      <c r="AB439" s="188"/>
      <c r="AC439" s="137"/>
      <c r="AD439" s="184"/>
      <c r="AE439" s="189"/>
      <c r="AF439" s="190"/>
      <c r="AG439" s="143"/>
      <c r="AH439" s="143"/>
      <c r="AI439" s="143"/>
      <c r="AJ439" s="143"/>
      <c r="AK439" s="172"/>
      <c r="AL439" s="172"/>
    </row>
    <row r="440">
      <c r="A440" s="137"/>
      <c r="B440" s="88"/>
      <c r="C440" s="89"/>
      <c r="D440" s="55"/>
      <c r="E440" s="137"/>
      <c r="F440" s="88"/>
      <c r="G440" s="180"/>
      <c r="H440" s="181"/>
      <c r="I440" s="137"/>
      <c r="J440" s="88"/>
      <c r="K440" s="89"/>
      <c r="L440" s="55"/>
      <c r="M440" s="137"/>
      <c r="N440" s="182"/>
      <c r="O440" s="89"/>
      <c r="P440" s="55"/>
      <c r="Q440" s="183"/>
      <c r="R440" s="184"/>
      <c r="S440" s="185"/>
      <c r="T440" s="172"/>
      <c r="U440" s="183"/>
      <c r="V440" s="184"/>
      <c r="W440" s="185"/>
      <c r="X440" s="172"/>
      <c r="Y440" s="137"/>
      <c r="Z440" s="186"/>
      <c r="AA440" s="187"/>
      <c r="AB440" s="188"/>
      <c r="AC440" s="137"/>
      <c r="AD440" s="184"/>
      <c r="AE440" s="189"/>
      <c r="AF440" s="190"/>
      <c r="AG440" s="143"/>
      <c r="AH440" s="143"/>
      <c r="AI440" s="143"/>
      <c r="AJ440" s="143"/>
      <c r="AK440" s="172"/>
      <c r="AL440" s="172"/>
    </row>
    <row r="441">
      <c r="A441" s="137"/>
      <c r="B441" s="88"/>
      <c r="C441" s="89"/>
      <c r="D441" s="55"/>
      <c r="E441" s="137"/>
      <c r="F441" s="88"/>
      <c r="G441" s="180"/>
      <c r="H441" s="181"/>
      <c r="I441" s="137"/>
      <c r="J441" s="88"/>
      <c r="K441" s="89"/>
      <c r="L441" s="55"/>
      <c r="M441" s="137"/>
      <c r="N441" s="182"/>
      <c r="O441" s="89"/>
      <c r="P441" s="55"/>
      <c r="Q441" s="183"/>
      <c r="R441" s="184"/>
      <c r="S441" s="185"/>
      <c r="T441" s="172"/>
      <c r="U441" s="183"/>
      <c r="V441" s="184"/>
      <c r="W441" s="185"/>
      <c r="X441" s="172"/>
      <c r="Y441" s="137"/>
      <c r="Z441" s="186"/>
      <c r="AA441" s="187"/>
      <c r="AB441" s="188"/>
      <c r="AC441" s="137"/>
      <c r="AD441" s="184"/>
      <c r="AE441" s="189"/>
      <c r="AF441" s="190"/>
      <c r="AG441" s="143"/>
      <c r="AH441" s="143"/>
      <c r="AI441" s="143"/>
      <c r="AJ441" s="143"/>
      <c r="AK441" s="172"/>
      <c r="AL441" s="172"/>
    </row>
    <row r="442">
      <c r="A442" s="137"/>
      <c r="B442" s="88"/>
      <c r="C442" s="89"/>
      <c r="D442" s="55"/>
      <c r="E442" s="137"/>
      <c r="F442" s="88"/>
      <c r="G442" s="180"/>
      <c r="H442" s="181"/>
      <c r="I442" s="137"/>
      <c r="J442" s="88"/>
      <c r="K442" s="89"/>
      <c r="L442" s="55"/>
      <c r="M442" s="137"/>
      <c r="N442" s="182"/>
      <c r="O442" s="89"/>
      <c r="P442" s="55"/>
      <c r="Q442" s="183"/>
      <c r="R442" s="184"/>
      <c r="S442" s="185"/>
      <c r="T442" s="172"/>
      <c r="U442" s="183"/>
      <c r="V442" s="184"/>
      <c r="W442" s="185"/>
      <c r="X442" s="172"/>
      <c r="Y442" s="137"/>
      <c r="Z442" s="186"/>
      <c r="AA442" s="187"/>
      <c r="AB442" s="188"/>
      <c r="AC442" s="137"/>
      <c r="AD442" s="184"/>
      <c r="AE442" s="189"/>
      <c r="AF442" s="190"/>
      <c r="AG442" s="143"/>
      <c r="AH442" s="143"/>
      <c r="AI442" s="143"/>
      <c r="AJ442" s="143"/>
      <c r="AK442" s="172"/>
      <c r="AL442" s="172"/>
    </row>
    <row r="443">
      <c r="A443" s="137"/>
      <c r="B443" s="88"/>
      <c r="C443" s="89"/>
      <c r="D443" s="55"/>
      <c r="E443" s="137"/>
      <c r="F443" s="88"/>
      <c r="G443" s="180"/>
      <c r="H443" s="181"/>
      <c r="I443" s="137"/>
      <c r="J443" s="88"/>
      <c r="K443" s="89"/>
      <c r="L443" s="55"/>
      <c r="M443" s="137"/>
      <c r="N443" s="182"/>
      <c r="O443" s="89"/>
      <c r="P443" s="55"/>
      <c r="Q443" s="183"/>
      <c r="R443" s="184"/>
      <c r="S443" s="185"/>
      <c r="T443" s="172"/>
      <c r="U443" s="183"/>
      <c r="V443" s="184"/>
      <c r="W443" s="185"/>
      <c r="X443" s="172"/>
      <c r="Y443" s="137"/>
      <c r="Z443" s="186"/>
      <c r="AA443" s="187"/>
      <c r="AB443" s="188"/>
      <c r="AC443" s="137"/>
      <c r="AD443" s="184"/>
      <c r="AE443" s="189"/>
      <c r="AF443" s="190"/>
      <c r="AG443" s="143"/>
      <c r="AH443" s="143"/>
      <c r="AI443" s="143"/>
      <c r="AJ443" s="143"/>
      <c r="AK443" s="172"/>
      <c r="AL443" s="172"/>
    </row>
    <row r="444">
      <c r="A444" s="137"/>
      <c r="B444" s="88"/>
      <c r="C444" s="89"/>
      <c r="D444" s="55"/>
      <c r="E444" s="137"/>
      <c r="F444" s="88"/>
      <c r="G444" s="180"/>
      <c r="H444" s="181"/>
      <c r="I444" s="137"/>
      <c r="J444" s="88"/>
      <c r="K444" s="89"/>
      <c r="L444" s="55"/>
      <c r="M444" s="137"/>
      <c r="N444" s="182"/>
      <c r="O444" s="89"/>
      <c r="P444" s="55"/>
      <c r="Q444" s="183"/>
      <c r="R444" s="184"/>
      <c r="S444" s="185"/>
      <c r="T444" s="172"/>
      <c r="U444" s="183"/>
      <c r="V444" s="184"/>
      <c r="W444" s="185"/>
      <c r="X444" s="172"/>
      <c r="Y444" s="137"/>
      <c r="Z444" s="186"/>
      <c r="AA444" s="187"/>
      <c r="AB444" s="188"/>
      <c r="AC444" s="137"/>
      <c r="AD444" s="184"/>
      <c r="AE444" s="189"/>
      <c r="AF444" s="190"/>
      <c r="AG444" s="143"/>
      <c r="AH444" s="143"/>
      <c r="AI444" s="143"/>
      <c r="AJ444" s="143"/>
      <c r="AK444" s="172"/>
      <c r="AL444" s="172"/>
    </row>
    <row r="445">
      <c r="A445" s="137"/>
      <c r="B445" s="88"/>
      <c r="C445" s="89"/>
      <c r="D445" s="55"/>
      <c r="E445" s="137"/>
      <c r="F445" s="88"/>
      <c r="G445" s="180"/>
      <c r="H445" s="181"/>
      <c r="I445" s="137"/>
      <c r="J445" s="88"/>
      <c r="K445" s="89"/>
      <c r="L445" s="55"/>
      <c r="M445" s="137"/>
      <c r="N445" s="182"/>
      <c r="O445" s="89"/>
      <c r="P445" s="55"/>
      <c r="Q445" s="183"/>
      <c r="R445" s="184"/>
      <c r="S445" s="185"/>
      <c r="T445" s="172"/>
      <c r="U445" s="183"/>
      <c r="V445" s="184"/>
      <c r="W445" s="185"/>
      <c r="X445" s="172"/>
      <c r="Y445" s="137"/>
      <c r="Z445" s="186"/>
      <c r="AA445" s="187"/>
      <c r="AB445" s="188"/>
      <c r="AC445" s="137"/>
      <c r="AD445" s="184"/>
      <c r="AE445" s="189"/>
      <c r="AF445" s="190"/>
      <c r="AG445" s="143"/>
      <c r="AH445" s="143"/>
      <c r="AI445" s="143"/>
      <c r="AJ445" s="143"/>
      <c r="AK445" s="172"/>
      <c r="AL445" s="172"/>
    </row>
    <row r="446">
      <c r="A446" s="137"/>
      <c r="B446" s="88"/>
      <c r="C446" s="89"/>
      <c r="D446" s="55"/>
      <c r="E446" s="137"/>
      <c r="F446" s="88"/>
      <c r="G446" s="180"/>
      <c r="H446" s="181"/>
      <c r="I446" s="137"/>
      <c r="J446" s="88"/>
      <c r="K446" s="89"/>
      <c r="L446" s="55"/>
      <c r="M446" s="137"/>
      <c r="N446" s="182"/>
      <c r="O446" s="89"/>
      <c r="P446" s="55"/>
      <c r="Q446" s="183"/>
      <c r="R446" s="184"/>
      <c r="S446" s="185"/>
      <c r="T446" s="172"/>
      <c r="U446" s="183"/>
      <c r="V446" s="184"/>
      <c r="W446" s="185"/>
      <c r="X446" s="172"/>
      <c r="Y446" s="137"/>
      <c r="Z446" s="186"/>
      <c r="AA446" s="187"/>
      <c r="AB446" s="188"/>
      <c r="AC446" s="137"/>
      <c r="AD446" s="184"/>
      <c r="AE446" s="189"/>
      <c r="AF446" s="190"/>
      <c r="AG446" s="143"/>
      <c r="AH446" s="143"/>
      <c r="AI446" s="143"/>
      <c r="AJ446" s="143"/>
      <c r="AK446" s="172"/>
      <c r="AL446" s="172"/>
    </row>
    <row r="447">
      <c r="A447" s="137"/>
      <c r="B447" s="88"/>
      <c r="C447" s="89"/>
      <c r="D447" s="55"/>
      <c r="E447" s="137"/>
      <c r="F447" s="88"/>
      <c r="G447" s="180"/>
      <c r="H447" s="181"/>
      <c r="I447" s="137"/>
      <c r="J447" s="88"/>
      <c r="K447" s="89"/>
      <c r="L447" s="55"/>
      <c r="M447" s="137"/>
      <c r="N447" s="182"/>
      <c r="O447" s="89"/>
      <c r="P447" s="55"/>
      <c r="Q447" s="183"/>
      <c r="R447" s="184"/>
      <c r="S447" s="185"/>
      <c r="T447" s="172"/>
      <c r="U447" s="183"/>
      <c r="V447" s="184"/>
      <c r="W447" s="185"/>
      <c r="X447" s="172"/>
      <c r="Y447" s="137"/>
      <c r="Z447" s="186"/>
      <c r="AA447" s="187"/>
      <c r="AB447" s="188"/>
      <c r="AC447" s="137"/>
      <c r="AD447" s="184"/>
      <c r="AE447" s="189"/>
      <c r="AF447" s="190"/>
      <c r="AG447" s="143"/>
      <c r="AH447" s="143"/>
      <c r="AI447" s="143"/>
      <c r="AJ447" s="143"/>
      <c r="AK447" s="172"/>
      <c r="AL447" s="172"/>
    </row>
    <row r="448">
      <c r="A448" s="137"/>
      <c r="B448" s="88"/>
      <c r="C448" s="89"/>
      <c r="D448" s="55"/>
      <c r="E448" s="137"/>
      <c r="F448" s="88"/>
      <c r="G448" s="180"/>
      <c r="H448" s="181"/>
      <c r="I448" s="137"/>
      <c r="J448" s="88"/>
      <c r="K448" s="89"/>
      <c r="L448" s="55"/>
      <c r="M448" s="137"/>
      <c r="N448" s="182"/>
      <c r="O448" s="89"/>
      <c r="P448" s="55"/>
      <c r="Q448" s="183"/>
      <c r="R448" s="184"/>
      <c r="S448" s="185"/>
      <c r="T448" s="172"/>
      <c r="U448" s="183"/>
      <c r="V448" s="184"/>
      <c r="W448" s="185"/>
      <c r="X448" s="172"/>
      <c r="Y448" s="137"/>
      <c r="Z448" s="186"/>
      <c r="AA448" s="187"/>
      <c r="AB448" s="188"/>
      <c r="AC448" s="137"/>
      <c r="AD448" s="184"/>
      <c r="AE448" s="189"/>
      <c r="AF448" s="190"/>
      <c r="AG448" s="143"/>
      <c r="AH448" s="143"/>
      <c r="AI448" s="143"/>
      <c r="AJ448" s="143"/>
      <c r="AK448" s="172"/>
      <c r="AL448" s="172"/>
    </row>
    <row r="449">
      <c r="A449" s="137"/>
      <c r="B449" s="88"/>
      <c r="C449" s="89"/>
      <c r="D449" s="55"/>
      <c r="E449" s="137"/>
      <c r="F449" s="88"/>
      <c r="G449" s="180"/>
      <c r="H449" s="181"/>
      <c r="I449" s="137"/>
      <c r="J449" s="88"/>
      <c r="K449" s="89"/>
      <c r="L449" s="55"/>
      <c r="M449" s="137"/>
      <c r="N449" s="182"/>
      <c r="O449" s="89"/>
      <c r="P449" s="55"/>
      <c r="Q449" s="183"/>
      <c r="R449" s="184"/>
      <c r="S449" s="185"/>
      <c r="T449" s="172"/>
      <c r="U449" s="183"/>
      <c r="V449" s="184"/>
      <c r="W449" s="185"/>
      <c r="X449" s="172"/>
      <c r="Y449" s="137"/>
      <c r="Z449" s="186"/>
      <c r="AA449" s="187"/>
      <c r="AB449" s="188"/>
      <c r="AC449" s="137"/>
      <c r="AD449" s="184"/>
      <c r="AE449" s="189"/>
      <c r="AF449" s="190"/>
      <c r="AG449" s="143"/>
      <c r="AH449" s="143"/>
      <c r="AI449" s="143"/>
      <c r="AJ449" s="143"/>
      <c r="AK449" s="172"/>
      <c r="AL449" s="172"/>
    </row>
    <row r="450">
      <c r="A450" s="137"/>
      <c r="B450" s="88"/>
      <c r="C450" s="89"/>
      <c r="D450" s="55"/>
      <c r="E450" s="137"/>
      <c r="F450" s="88"/>
      <c r="G450" s="180"/>
      <c r="H450" s="181"/>
      <c r="I450" s="137"/>
      <c r="J450" s="88"/>
      <c r="K450" s="89"/>
      <c r="L450" s="55"/>
      <c r="M450" s="137"/>
      <c r="N450" s="182"/>
      <c r="O450" s="89"/>
      <c r="P450" s="55"/>
      <c r="Q450" s="183"/>
      <c r="R450" s="184"/>
      <c r="S450" s="185"/>
      <c r="T450" s="172"/>
      <c r="U450" s="183"/>
      <c r="V450" s="184"/>
      <c r="W450" s="185"/>
      <c r="X450" s="172"/>
      <c r="Y450" s="137"/>
      <c r="Z450" s="186"/>
      <c r="AA450" s="187"/>
      <c r="AB450" s="188"/>
      <c r="AC450" s="137"/>
      <c r="AD450" s="184"/>
      <c r="AE450" s="189"/>
      <c r="AF450" s="190"/>
      <c r="AG450" s="143"/>
      <c r="AH450" s="143"/>
      <c r="AI450" s="143"/>
      <c r="AJ450" s="143"/>
      <c r="AK450" s="172"/>
      <c r="AL450" s="172"/>
    </row>
    <row r="451">
      <c r="A451" s="137"/>
      <c r="B451" s="88"/>
      <c r="C451" s="89"/>
      <c r="D451" s="55"/>
      <c r="E451" s="137"/>
      <c r="F451" s="88"/>
      <c r="G451" s="180"/>
      <c r="H451" s="181"/>
      <c r="I451" s="137"/>
      <c r="J451" s="88"/>
      <c r="K451" s="89"/>
      <c r="L451" s="55"/>
      <c r="M451" s="137"/>
      <c r="N451" s="182"/>
      <c r="O451" s="89"/>
      <c r="P451" s="55"/>
      <c r="Q451" s="183"/>
      <c r="R451" s="184"/>
      <c r="S451" s="185"/>
      <c r="T451" s="172"/>
      <c r="U451" s="183"/>
      <c r="V451" s="184"/>
      <c r="W451" s="185"/>
      <c r="X451" s="172"/>
      <c r="Y451" s="137"/>
      <c r="Z451" s="186"/>
      <c r="AA451" s="187"/>
      <c r="AB451" s="188"/>
      <c r="AC451" s="137"/>
      <c r="AD451" s="184"/>
      <c r="AE451" s="189"/>
      <c r="AF451" s="190"/>
      <c r="AG451" s="143"/>
      <c r="AH451" s="143"/>
      <c r="AI451" s="143"/>
      <c r="AJ451" s="143"/>
      <c r="AK451" s="172"/>
      <c r="AL451" s="172"/>
    </row>
    <row r="452">
      <c r="A452" s="137"/>
      <c r="B452" s="88"/>
      <c r="C452" s="89"/>
      <c r="D452" s="55"/>
      <c r="E452" s="137"/>
      <c r="F452" s="88"/>
      <c r="G452" s="180"/>
      <c r="H452" s="181"/>
      <c r="I452" s="137"/>
      <c r="J452" s="88"/>
      <c r="K452" s="89"/>
      <c r="L452" s="55"/>
      <c r="M452" s="137"/>
      <c r="N452" s="182"/>
      <c r="O452" s="89"/>
      <c r="P452" s="55"/>
      <c r="Q452" s="183"/>
      <c r="R452" s="184"/>
      <c r="S452" s="185"/>
      <c r="T452" s="172"/>
      <c r="U452" s="183"/>
      <c r="V452" s="184"/>
      <c r="W452" s="185"/>
      <c r="X452" s="172"/>
      <c r="Y452" s="137"/>
      <c r="Z452" s="186"/>
      <c r="AA452" s="187"/>
      <c r="AB452" s="188"/>
      <c r="AC452" s="137"/>
      <c r="AD452" s="184"/>
      <c r="AE452" s="189"/>
      <c r="AF452" s="190"/>
      <c r="AG452" s="143"/>
      <c r="AH452" s="143"/>
      <c r="AI452" s="143"/>
      <c r="AJ452" s="143"/>
      <c r="AK452" s="172"/>
      <c r="AL452" s="172"/>
    </row>
    <row r="453">
      <c r="A453" s="137"/>
      <c r="B453" s="88"/>
      <c r="C453" s="89"/>
      <c r="D453" s="55"/>
      <c r="E453" s="137"/>
      <c r="F453" s="88"/>
      <c r="G453" s="180"/>
      <c r="H453" s="181"/>
      <c r="I453" s="137"/>
      <c r="J453" s="88"/>
      <c r="K453" s="89"/>
      <c r="L453" s="55"/>
      <c r="M453" s="137"/>
      <c r="N453" s="182"/>
      <c r="O453" s="89"/>
      <c r="P453" s="55"/>
      <c r="Q453" s="183"/>
      <c r="R453" s="184"/>
      <c r="S453" s="185"/>
      <c r="T453" s="172"/>
      <c r="U453" s="183"/>
      <c r="V453" s="184"/>
      <c r="W453" s="185"/>
      <c r="X453" s="172"/>
      <c r="Y453" s="137"/>
      <c r="Z453" s="186"/>
      <c r="AA453" s="187"/>
      <c r="AB453" s="188"/>
      <c r="AC453" s="137"/>
      <c r="AD453" s="184"/>
      <c r="AE453" s="189"/>
      <c r="AF453" s="190"/>
      <c r="AG453" s="143"/>
      <c r="AH453" s="143"/>
      <c r="AI453" s="143"/>
      <c r="AJ453" s="143"/>
      <c r="AK453" s="172"/>
      <c r="AL453" s="172"/>
    </row>
    <row r="454">
      <c r="A454" s="137"/>
      <c r="B454" s="88"/>
      <c r="C454" s="89"/>
      <c r="D454" s="55"/>
      <c r="E454" s="137"/>
      <c r="F454" s="88"/>
      <c r="G454" s="180"/>
      <c r="H454" s="181"/>
      <c r="I454" s="137"/>
      <c r="J454" s="88"/>
      <c r="K454" s="89"/>
      <c r="L454" s="55"/>
      <c r="M454" s="137"/>
      <c r="N454" s="182"/>
      <c r="O454" s="89"/>
      <c r="P454" s="55"/>
      <c r="Q454" s="183"/>
      <c r="R454" s="184"/>
      <c r="S454" s="185"/>
      <c r="T454" s="172"/>
      <c r="U454" s="183"/>
      <c r="V454" s="184"/>
      <c r="W454" s="185"/>
      <c r="X454" s="172"/>
      <c r="Y454" s="137"/>
      <c r="Z454" s="186"/>
      <c r="AA454" s="187"/>
      <c r="AB454" s="188"/>
      <c r="AC454" s="137"/>
      <c r="AD454" s="184"/>
      <c r="AE454" s="189"/>
      <c r="AF454" s="190"/>
      <c r="AG454" s="143"/>
      <c r="AH454" s="143"/>
      <c r="AI454" s="143"/>
      <c r="AJ454" s="143"/>
      <c r="AK454" s="172"/>
      <c r="AL454" s="172"/>
    </row>
    <row r="455">
      <c r="A455" s="137"/>
      <c r="B455" s="88"/>
      <c r="C455" s="89"/>
      <c r="D455" s="55"/>
      <c r="E455" s="137"/>
      <c r="F455" s="88"/>
      <c r="G455" s="180"/>
      <c r="H455" s="181"/>
      <c r="I455" s="137"/>
      <c r="J455" s="88"/>
      <c r="K455" s="89"/>
      <c r="L455" s="55"/>
      <c r="M455" s="137"/>
      <c r="N455" s="182"/>
      <c r="O455" s="89"/>
      <c r="P455" s="55"/>
      <c r="Q455" s="183"/>
      <c r="R455" s="184"/>
      <c r="S455" s="185"/>
      <c r="T455" s="172"/>
      <c r="U455" s="183"/>
      <c r="V455" s="184"/>
      <c r="W455" s="185"/>
      <c r="X455" s="172"/>
      <c r="Y455" s="137"/>
      <c r="Z455" s="186"/>
      <c r="AA455" s="187"/>
      <c r="AB455" s="188"/>
      <c r="AC455" s="137"/>
      <c r="AD455" s="184"/>
      <c r="AE455" s="189"/>
      <c r="AF455" s="190"/>
      <c r="AG455" s="143"/>
      <c r="AH455" s="143"/>
      <c r="AI455" s="143"/>
      <c r="AJ455" s="143"/>
      <c r="AK455" s="172"/>
      <c r="AL455" s="172"/>
    </row>
    <row r="456">
      <c r="A456" s="137"/>
      <c r="B456" s="88"/>
      <c r="C456" s="89"/>
      <c r="D456" s="55"/>
      <c r="E456" s="137"/>
      <c r="F456" s="88"/>
      <c r="G456" s="180"/>
      <c r="H456" s="181"/>
      <c r="I456" s="137"/>
      <c r="J456" s="88"/>
      <c r="K456" s="89"/>
      <c r="L456" s="55"/>
      <c r="M456" s="137"/>
      <c r="N456" s="182"/>
      <c r="O456" s="89"/>
      <c r="P456" s="55"/>
      <c r="Q456" s="183"/>
      <c r="R456" s="184"/>
      <c r="S456" s="185"/>
      <c r="T456" s="172"/>
      <c r="U456" s="183"/>
      <c r="V456" s="184"/>
      <c r="W456" s="185"/>
      <c r="X456" s="172"/>
      <c r="Y456" s="137"/>
      <c r="Z456" s="186"/>
      <c r="AA456" s="187"/>
      <c r="AB456" s="188"/>
      <c r="AC456" s="137"/>
      <c r="AD456" s="184"/>
      <c r="AE456" s="189"/>
      <c r="AF456" s="190"/>
      <c r="AG456" s="143"/>
      <c r="AH456" s="143"/>
      <c r="AI456" s="143"/>
      <c r="AJ456" s="143"/>
      <c r="AK456" s="172"/>
      <c r="AL456" s="172"/>
    </row>
    <row r="457">
      <c r="A457" s="137"/>
      <c r="B457" s="88"/>
      <c r="C457" s="89"/>
      <c r="D457" s="55"/>
      <c r="E457" s="137"/>
      <c r="F457" s="88"/>
      <c r="G457" s="180"/>
      <c r="H457" s="181"/>
      <c r="I457" s="137"/>
      <c r="J457" s="88"/>
      <c r="K457" s="89"/>
      <c r="L457" s="55"/>
      <c r="M457" s="137"/>
      <c r="N457" s="182"/>
      <c r="O457" s="89"/>
      <c r="P457" s="55"/>
      <c r="Q457" s="183"/>
      <c r="R457" s="184"/>
      <c r="S457" s="185"/>
      <c r="T457" s="172"/>
      <c r="U457" s="183"/>
      <c r="V457" s="184"/>
      <c r="W457" s="185"/>
      <c r="X457" s="172"/>
      <c r="Y457" s="137"/>
      <c r="Z457" s="186"/>
      <c r="AA457" s="187"/>
      <c r="AB457" s="188"/>
      <c r="AC457" s="137"/>
      <c r="AD457" s="184"/>
      <c r="AE457" s="189"/>
      <c r="AF457" s="190"/>
      <c r="AG457" s="143"/>
      <c r="AH457" s="143"/>
      <c r="AI457" s="143"/>
      <c r="AJ457" s="143"/>
      <c r="AK457" s="172"/>
      <c r="AL457" s="172"/>
    </row>
    <row r="458">
      <c r="A458" s="137"/>
      <c r="B458" s="88"/>
      <c r="C458" s="89"/>
      <c r="D458" s="55"/>
      <c r="E458" s="137"/>
      <c r="F458" s="88"/>
      <c r="G458" s="180"/>
      <c r="H458" s="181"/>
      <c r="I458" s="137"/>
      <c r="J458" s="88"/>
      <c r="K458" s="89"/>
      <c r="L458" s="55"/>
      <c r="M458" s="137"/>
      <c r="N458" s="182"/>
      <c r="O458" s="89"/>
      <c r="P458" s="55"/>
      <c r="Q458" s="183"/>
      <c r="R458" s="184"/>
      <c r="S458" s="185"/>
      <c r="T458" s="172"/>
      <c r="U458" s="183"/>
      <c r="V458" s="184"/>
      <c r="W458" s="185"/>
      <c r="X458" s="172"/>
      <c r="Y458" s="137"/>
      <c r="Z458" s="186"/>
      <c r="AA458" s="187"/>
      <c r="AB458" s="188"/>
      <c r="AC458" s="137"/>
      <c r="AD458" s="184"/>
      <c r="AE458" s="189"/>
      <c r="AF458" s="190"/>
      <c r="AG458" s="143"/>
      <c r="AH458" s="143"/>
      <c r="AI458" s="143"/>
      <c r="AJ458" s="143"/>
      <c r="AK458" s="172"/>
      <c r="AL458" s="172"/>
    </row>
    <row r="459">
      <c r="A459" s="137"/>
      <c r="B459" s="88"/>
      <c r="C459" s="89"/>
      <c r="D459" s="55"/>
      <c r="E459" s="137"/>
      <c r="F459" s="88"/>
      <c r="G459" s="180"/>
      <c r="H459" s="181"/>
      <c r="I459" s="137"/>
      <c r="J459" s="88"/>
      <c r="K459" s="89"/>
      <c r="L459" s="55"/>
      <c r="M459" s="137"/>
      <c r="N459" s="182"/>
      <c r="O459" s="89"/>
      <c r="P459" s="55"/>
      <c r="Q459" s="183"/>
      <c r="R459" s="184"/>
      <c r="S459" s="185"/>
      <c r="T459" s="172"/>
      <c r="U459" s="183"/>
      <c r="V459" s="184"/>
      <c r="W459" s="185"/>
      <c r="X459" s="172"/>
      <c r="Y459" s="137"/>
      <c r="Z459" s="186"/>
      <c r="AA459" s="187"/>
      <c r="AB459" s="188"/>
      <c r="AC459" s="137"/>
      <c r="AD459" s="184"/>
      <c r="AE459" s="189"/>
      <c r="AF459" s="190"/>
      <c r="AG459" s="143"/>
      <c r="AH459" s="143"/>
      <c r="AI459" s="143"/>
      <c r="AJ459" s="143"/>
      <c r="AK459" s="172"/>
      <c r="AL459" s="172"/>
    </row>
    <row r="460">
      <c r="A460" s="137"/>
      <c r="B460" s="88"/>
      <c r="C460" s="89"/>
      <c r="D460" s="55"/>
      <c r="E460" s="137"/>
      <c r="F460" s="88"/>
      <c r="G460" s="180"/>
      <c r="H460" s="181"/>
      <c r="I460" s="137"/>
      <c r="J460" s="88"/>
      <c r="K460" s="89"/>
      <c r="L460" s="55"/>
      <c r="M460" s="137"/>
      <c r="N460" s="182"/>
      <c r="O460" s="89"/>
      <c r="P460" s="55"/>
      <c r="Q460" s="183"/>
      <c r="R460" s="184"/>
      <c r="S460" s="185"/>
      <c r="T460" s="172"/>
      <c r="U460" s="183"/>
      <c r="V460" s="184"/>
      <c r="W460" s="185"/>
      <c r="X460" s="172"/>
      <c r="Y460" s="137"/>
      <c r="Z460" s="186"/>
      <c r="AA460" s="187"/>
      <c r="AB460" s="188"/>
      <c r="AC460" s="137"/>
      <c r="AD460" s="184"/>
      <c r="AE460" s="189"/>
      <c r="AF460" s="190"/>
      <c r="AG460" s="143"/>
      <c r="AH460" s="143"/>
      <c r="AI460" s="143"/>
      <c r="AJ460" s="143"/>
      <c r="AK460" s="172"/>
      <c r="AL460" s="172"/>
    </row>
    <row r="461">
      <c r="A461" s="137"/>
      <c r="B461" s="88"/>
      <c r="C461" s="89"/>
      <c r="D461" s="55"/>
      <c r="E461" s="137"/>
      <c r="F461" s="88"/>
      <c r="G461" s="180"/>
      <c r="H461" s="181"/>
      <c r="I461" s="137"/>
      <c r="J461" s="88"/>
      <c r="K461" s="89"/>
      <c r="L461" s="55"/>
      <c r="M461" s="137"/>
      <c r="N461" s="182"/>
      <c r="O461" s="89"/>
      <c r="P461" s="55"/>
      <c r="Q461" s="183"/>
      <c r="R461" s="184"/>
      <c r="S461" s="185"/>
      <c r="T461" s="172"/>
      <c r="U461" s="183"/>
      <c r="V461" s="184"/>
      <c r="W461" s="185"/>
      <c r="X461" s="172"/>
      <c r="Y461" s="137"/>
      <c r="Z461" s="186"/>
      <c r="AA461" s="187"/>
      <c r="AB461" s="188"/>
      <c r="AC461" s="137"/>
      <c r="AD461" s="184"/>
      <c r="AE461" s="189"/>
      <c r="AF461" s="190"/>
      <c r="AG461" s="143"/>
      <c r="AH461" s="143"/>
      <c r="AI461" s="143"/>
      <c r="AJ461" s="143"/>
      <c r="AK461" s="172"/>
      <c r="AL461" s="172"/>
    </row>
    <row r="462">
      <c r="A462" s="137"/>
      <c r="B462" s="88"/>
      <c r="C462" s="89"/>
      <c r="D462" s="55"/>
      <c r="E462" s="137"/>
      <c r="F462" s="88"/>
      <c r="G462" s="180"/>
      <c r="H462" s="181"/>
      <c r="I462" s="137"/>
      <c r="J462" s="88"/>
      <c r="K462" s="89"/>
      <c r="L462" s="55"/>
      <c r="M462" s="137"/>
      <c r="N462" s="182"/>
      <c r="O462" s="89"/>
      <c r="P462" s="55"/>
      <c r="Q462" s="183"/>
      <c r="R462" s="184"/>
      <c r="S462" s="185"/>
      <c r="T462" s="172"/>
      <c r="U462" s="183"/>
      <c r="V462" s="184"/>
      <c r="W462" s="185"/>
      <c r="X462" s="172"/>
      <c r="Y462" s="137"/>
      <c r="Z462" s="186"/>
      <c r="AA462" s="187"/>
      <c r="AB462" s="188"/>
      <c r="AC462" s="137"/>
      <c r="AD462" s="184"/>
      <c r="AE462" s="189"/>
      <c r="AF462" s="190"/>
      <c r="AG462" s="143"/>
      <c r="AH462" s="143"/>
      <c r="AI462" s="143"/>
      <c r="AJ462" s="143"/>
      <c r="AK462" s="172"/>
      <c r="AL462" s="172"/>
    </row>
    <row r="463">
      <c r="A463" s="137"/>
      <c r="B463" s="88"/>
      <c r="C463" s="89"/>
      <c r="D463" s="55"/>
      <c r="E463" s="137"/>
      <c r="F463" s="88"/>
      <c r="G463" s="180"/>
      <c r="H463" s="181"/>
      <c r="I463" s="137"/>
      <c r="J463" s="88"/>
      <c r="K463" s="89"/>
      <c r="L463" s="55"/>
      <c r="M463" s="137"/>
      <c r="N463" s="182"/>
      <c r="O463" s="89"/>
      <c r="P463" s="55"/>
      <c r="Q463" s="183"/>
      <c r="R463" s="184"/>
      <c r="S463" s="185"/>
      <c r="T463" s="172"/>
      <c r="U463" s="183"/>
      <c r="V463" s="184"/>
      <c r="W463" s="185"/>
      <c r="X463" s="172"/>
      <c r="Y463" s="137"/>
      <c r="Z463" s="186"/>
      <c r="AA463" s="187"/>
      <c r="AB463" s="188"/>
      <c r="AC463" s="137"/>
      <c r="AD463" s="184"/>
      <c r="AE463" s="189"/>
      <c r="AF463" s="190"/>
      <c r="AG463" s="143"/>
      <c r="AH463" s="143"/>
      <c r="AI463" s="143"/>
      <c r="AJ463" s="143"/>
      <c r="AK463" s="172"/>
      <c r="AL463" s="172"/>
    </row>
    <row r="464">
      <c r="A464" s="137"/>
      <c r="B464" s="88"/>
      <c r="C464" s="89"/>
      <c r="D464" s="55"/>
      <c r="E464" s="137"/>
      <c r="F464" s="88"/>
      <c r="G464" s="180"/>
      <c r="H464" s="181"/>
      <c r="I464" s="137"/>
      <c r="J464" s="88"/>
      <c r="K464" s="89"/>
      <c r="L464" s="55"/>
      <c r="M464" s="137"/>
      <c r="N464" s="182"/>
      <c r="O464" s="89"/>
      <c r="P464" s="55"/>
      <c r="Q464" s="183"/>
      <c r="R464" s="184"/>
      <c r="S464" s="185"/>
      <c r="T464" s="172"/>
      <c r="U464" s="183"/>
      <c r="V464" s="184"/>
      <c r="W464" s="185"/>
      <c r="X464" s="172"/>
      <c r="Y464" s="137"/>
      <c r="Z464" s="186"/>
      <c r="AA464" s="187"/>
      <c r="AB464" s="188"/>
      <c r="AC464" s="137"/>
      <c r="AD464" s="184"/>
      <c r="AE464" s="189"/>
      <c r="AF464" s="190"/>
      <c r="AG464" s="143"/>
      <c r="AH464" s="143"/>
      <c r="AI464" s="143"/>
      <c r="AJ464" s="143"/>
      <c r="AK464" s="172"/>
      <c r="AL464" s="172"/>
    </row>
    <row r="465">
      <c r="A465" s="137"/>
      <c r="B465" s="88"/>
      <c r="C465" s="89"/>
      <c r="D465" s="55"/>
      <c r="E465" s="137"/>
      <c r="F465" s="88"/>
      <c r="G465" s="180"/>
      <c r="H465" s="181"/>
      <c r="I465" s="137"/>
      <c r="J465" s="88"/>
      <c r="K465" s="89"/>
      <c r="L465" s="55"/>
      <c r="M465" s="137"/>
      <c r="N465" s="182"/>
      <c r="O465" s="89"/>
      <c r="P465" s="55"/>
      <c r="Q465" s="183"/>
      <c r="R465" s="184"/>
      <c r="S465" s="185"/>
      <c r="T465" s="172"/>
      <c r="U465" s="183"/>
      <c r="V465" s="184"/>
      <c r="W465" s="185"/>
      <c r="X465" s="172"/>
      <c r="Y465" s="137"/>
      <c r="Z465" s="186"/>
      <c r="AA465" s="187"/>
      <c r="AB465" s="188"/>
      <c r="AC465" s="137"/>
      <c r="AD465" s="184"/>
      <c r="AE465" s="189"/>
      <c r="AF465" s="190"/>
      <c r="AG465" s="143"/>
      <c r="AH465" s="143"/>
      <c r="AI465" s="143"/>
      <c r="AJ465" s="143"/>
      <c r="AK465" s="172"/>
      <c r="AL465" s="172"/>
    </row>
    <row r="466">
      <c r="A466" s="137"/>
      <c r="B466" s="88"/>
      <c r="C466" s="89"/>
      <c r="D466" s="55"/>
      <c r="E466" s="137"/>
      <c r="F466" s="88"/>
      <c r="G466" s="180"/>
      <c r="H466" s="181"/>
      <c r="I466" s="137"/>
      <c r="J466" s="88"/>
      <c r="K466" s="89"/>
      <c r="L466" s="55"/>
      <c r="M466" s="137"/>
      <c r="N466" s="182"/>
      <c r="O466" s="89"/>
      <c r="P466" s="55"/>
      <c r="Q466" s="183"/>
      <c r="R466" s="184"/>
      <c r="S466" s="185"/>
      <c r="T466" s="172"/>
      <c r="U466" s="183"/>
      <c r="V466" s="184"/>
      <c r="W466" s="185"/>
      <c r="X466" s="172"/>
      <c r="Y466" s="137"/>
      <c r="Z466" s="186"/>
      <c r="AA466" s="187"/>
      <c r="AB466" s="188"/>
      <c r="AC466" s="137"/>
      <c r="AD466" s="184"/>
      <c r="AE466" s="189"/>
      <c r="AF466" s="190"/>
      <c r="AG466" s="143"/>
      <c r="AH466" s="143"/>
      <c r="AI466" s="143"/>
      <c r="AJ466" s="143"/>
      <c r="AK466" s="172"/>
      <c r="AL466" s="172"/>
    </row>
    <row r="467">
      <c r="A467" s="137"/>
      <c r="B467" s="88"/>
      <c r="C467" s="89"/>
      <c r="D467" s="55"/>
      <c r="E467" s="137"/>
      <c r="F467" s="88"/>
      <c r="G467" s="180"/>
      <c r="H467" s="181"/>
      <c r="I467" s="137"/>
      <c r="J467" s="88"/>
      <c r="K467" s="89"/>
      <c r="L467" s="55"/>
      <c r="M467" s="137"/>
      <c r="N467" s="182"/>
      <c r="O467" s="89"/>
      <c r="P467" s="55"/>
      <c r="Q467" s="183"/>
      <c r="R467" s="184"/>
      <c r="S467" s="185"/>
      <c r="T467" s="172"/>
      <c r="U467" s="183"/>
      <c r="V467" s="184"/>
      <c r="W467" s="185"/>
      <c r="X467" s="172"/>
      <c r="Y467" s="137"/>
      <c r="Z467" s="186"/>
      <c r="AA467" s="187"/>
      <c r="AB467" s="188"/>
      <c r="AC467" s="137"/>
      <c r="AD467" s="184"/>
      <c r="AE467" s="189"/>
      <c r="AF467" s="190"/>
      <c r="AG467" s="143"/>
      <c r="AH467" s="143"/>
      <c r="AI467" s="143"/>
      <c r="AJ467" s="143"/>
      <c r="AK467" s="172"/>
      <c r="AL467" s="172"/>
    </row>
    <row r="468">
      <c r="A468" s="137"/>
      <c r="B468" s="88"/>
      <c r="C468" s="89"/>
      <c r="D468" s="55"/>
      <c r="E468" s="137"/>
      <c r="F468" s="88"/>
      <c r="G468" s="180"/>
      <c r="H468" s="181"/>
      <c r="I468" s="137"/>
      <c r="J468" s="88"/>
      <c r="K468" s="89"/>
      <c r="L468" s="55"/>
      <c r="M468" s="137"/>
      <c r="N468" s="182"/>
      <c r="O468" s="89"/>
      <c r="P468" s="55"/>
      <c r="Q468" s="183"/>
      <c r="R468" s="184"/>
      <c r="S468" s="185"/>
      <c r="T468" s="172"/>
      <c r="U468" s="183"/>
      <c r="V468" s="184"/>
      <c r="W468" s="185"/>
      <c r="X468" s="172"/>
      <c r="Y468" s="137"/>
      <c r="Z468" s="186"/>
      <c r="AA468" s="187"/>
      <c r="AB468" s="188"/>
      <c r="AC468" s="137"/>
      <c r="AD468" s="184"/>
      <c r="AE468" s="189"/>
      <c r="AF468" s="190"/>
      <c r="AG468" s="143"/>
      <c r="AH468" s="143"/>
      <c r="AI468" s="143"/>
      <c r="AJ468" s="143"/>
      <c r="AK468" s="172"/>
      <c r="AL468" s="172"/>
    </row>
    <row r="469">
      <c r="A469" s="137"/>
      <c r="B469" s="88"/>
      <c r="C469" s="89"/>
      <c r="D469" s="55"/>
      <c r="E469" s="137"/>
      <c r="F469" s="88"/>
      <c r="G469" s="180"/>
      <c r="H469" s="181"/>
      <c r="I469" s="137"/>
      <c r="J469" s="88"/>
      <c r="K469" s="89"/>
      <c r="L469" s="55"/>
      <c r="M469" s="137"/>
      <c r="N469" s="182"/>
      <c r="O469" s="89"/>
      <c r="P469" s="55"/>
      <c r="Q469" s="183"/>
      <c r="R469" s="184"/>
      <c r="S469" s="185"/>
      <c r="T469" s="172"/>
      <c r="U469" s="183"/>
      <c r="V469" s="184"/>
      <c r="W469" s="185"/>
      <c r="X469" s="172"/>
      <c r="Y469" s="137"/>
      <c r="Z469" s="186"/>
      <c r="AA469" s="187"/>
      <c r="AB469" s="188"/>
      <c r="AC469" s="137"/>
      <c r="AD469" s="184"/>
      <c r="AE469" s="189"/>
      <c r="AF469" s="190"/>
      <c r="AG469" s="143"/>
      <c r="AH469" s="143"/>
      <c r="AI469" s="143"/>
      <c r="AJ469" s="143"/>
      <c r="AK469" s="172"/>
      <c r="AL469" s="172"/>
    </row>
    <row r="470">
      <c r="A470" s="137"/>
      <c r="B470" s="88"/>
      <c r="C470" s="89"/>
      <c r="D470" s="55"/>
      <c r="E470" s="137"/>
      <c r="F470" s="88"/>
      <c r="G470" s="180"/>
      <c r="H470" s="181"/>
      <c r="I470" s="137"/>
      <c r="J470" s="88"/>
      <c r="K470" s="89"/>
      <c r="L470" s="55"/>
      <c r="M470" s="137"/>
      <c r="N470" s="182"/>
      <c r="O470" s="89"/>
      <c r="P470" s="55"/>
      <c r="Q470" s="183"/>
      <c r="R470" s="184"/>
      <c r="S470" s="185"/>
      <c r="T470" s="172"/>
      <c r="U470" s="183"/>
      <c r="V470" s="184"/>
      <c r="W470" s="185"/>
      <c r="X470" s="172"/>
      <c r="Y470" s="137"/>
      <c r="Z470" s="186"/>
      <c r="AA470" s="187"/>
      <c r="AB470" s="188"/>
      <c r="AC470" s="137"/>
      <c r="AD470" s="184"/>
      <c r="AE470" s="189"/>
      <c r="AF470" s="190"/>
      <c r="AG470" s="143"/>
      <c r="AH470" s="143"/>
      <c r="AI470" s="143"/>
      <c r="AJ470" s="143"/>
      <c r="AK470" s="172"/>
      <c r="AL470" s="172"/>
    </row>
    <row r="471">
      <c r="A471" s="137"/>
      <c r="B471" s="88"/>
      <c r="C471" s="89"/>
      <c r="D471" s="55"/>
      <c r="E471" s="137"/>
      <c r="F471" s="88"/>
      <c r="G471" s="180"/>
      <c r="H471" s="181"/>
      <c r="I471" s="137"/>
      <c r="J471" s="88"/>
      <c r="K471" s="89"/>
      <c r="L471" s="55"/>
      <c r="M471" s="137"/>
      <c r="N471" s="182"/>
      <c r="O471" s="89"/>
      <c r="P471" s="55"/>
      <c r="Q471" s="183"/>
      <c r="R471" s="184"/>
      <c r="S471" s="185"/>
      <c r="T471" s="172"/>
      <c r="U471" s="183"/>
      <c r="V471" s="184"/>
      <c r="W471" s="185"/>
      <c r="X471" s="172"/>
      <c r="Y471" s="137"/>
      <c r="Z471" s="186"/>
      <c r="AA471" s="187"/>
      <c r="AB471" s="188"/>
      <c r="AC471" s="137"/>
      <c r="AD471" s="184"/>
      <c r="AE471" s="189"/>
      <c r="AF471" s="190"/>
      <c r="AG471" s="143"/>
      <c r="AH471" s="143"/>
      <c r="AI471" s="143"/>
      <c r="AJ471" s="143"/>
      <c r="AK471" s="172"/>
      <c r="AL471" s="172"/>
    </row>
    <row r="472">
      <c r="A472" s="137"/>
      <c r="B472" s="88"/>
      <c r="C472" s="89"/>
      <c r="D472" s="55"/>
      <c r="E472" s="137"/>
      <c r="F472" s="88"/>
      <c r="G472" s="180"/>
      <c r="H472" s="181"/>
      <c r="I472" s="137"/>
      <c r="J472" s="88"/>
      <c r="K472" s="89"/>
      <c r="L472" s="55"/>
      <c r="M472" s="137"/>
      <c r="N472" s="182"/>
      <c r="O472" s="89"/>
      <c r="P472" s="55"/>
      <c r="Q472" s="183"/>
      <c r="R472" s="184"/>
      <c r="S472" s="185"/>
      <c r="T472" s="172"/>
      <c r="U472" s="183"/>
      <c r="V472" s="184"/>
      <c r="W472" s="185"/>
      <c r="X472" s="172"/>
      <c r="Y472" s="137"/>
      <c r="Z472" s="186"/>
      <c r="AA472" s="187"/>
      <c r="AB472" s="188"/>
      <c r="AC472" s="137"/>
      <c r="AD472" s="184"/>
      <c r="AE472" s="189"/>
      <c r="AF472" s="190"/>
      <c r="AG472" s="143"/>
      <c r="AH472" s="143"/>
      <c r="AI472" s="143"/>
      <c r="AJ472" s="143"/>
      <c r="AK472" s="172"/>
      <c r="AL472" s="172"/>
    </row>
    <row r="473">
      <c r="A473" s="137"/>
      <c r="B473" s="88"/>
      <c r="C473" s="89"/>
      <c r="D473" s="55"/>
      <c r="E473" s="137"/>
      <c r="F473" s="88"/>
      <c r="G473" s="180"/>
      <c r="H473" s="181"/>
      <c r="I473" s="137"/>
      <c r="J473" s="88"/>
      <c r="K473" s="89"/>
      <c r="L473" s="55"/>
      <c r="M473" s="137"/>
      <c r="N473" s="182"/>
      <c r="O473" s="89"/>
      <c r="P473" s="55"/>
      <c r="Q473" s="183"/>
      <c r="R473" s="184"/>
      <c r="S473" s="185"/>
      <c r="T473" s="172"/>
      <c r="U473" s="183"/>
      <c r="V473" s="184"/>
      <c r="W473" s="185"/>
      <c r="X473" s="172"/>
      <c r="Y473" s="137"/>
      <c r="Z473" s="186"/>
      <c r="AA473" s="187"/>
      <c r="AB473" s="188"/>
      <c r="AC473" s="137"/>
      <c r="AD473" s="184"/>
      <c r="AE473" s="189"/>
      <c r="AF473" s="190"/>
      <c r="AG473" s="143"/>
      <c r="AH473" s="143"/>
      <c r="AI473" s="143"/>
      <c r="AJ473" s="143"/>
      <c r="AK473" s="172"/>
      <c r="AL473" s="172"/>
    </row>
    <row r="474">
      <c r="A474" s="137"/>
      <c r="B474" s="88"/>
      <c r="C474" s="89"/>
      <c r="D474" s="55"/>
      <c r="E474" s="137"/>
      <c r="F474" s="88"/>
      <c r="G474" s="180"/>
      <c r="H474" s="181"/>
      <c r="I474" s="137"/>
      <c r="J474" s="88"/>
      <c r="K474" s="89"/>
      <c r="L474" s="55"/>
      <c r="M474" s="137"/>
      <c r="N474" s="182"/>
      <c r="O474" s="89"/>
      <c r="P474" s="55"/>
      <c r="Q474" s="183"/>
      <c r="R474" s="184"/>
      <c r="S474" s="185"/>
      <c r="T474" s="172"/>
      <c r="U474" s="183"/>
      <c r="V474" s="184"/>
      <c r="W474" s="185"/>
      <c r="X474" s="172"/>
      <c r="Y474" s="137"/>
      <c r="Z474" s="186"/>
      <c r="AA474" s="187"/>
      <c r="AB474" s="188"/>
      <c r="AC474" s="137"/>
      <c r="AD474" s="184"/>
      <c r="AE474" s="189"/>
      <c r="AF474" s="190"/>
      <c r="AG474" s="143"/>
      <c r="AH474" s="143"/>
      <c r="AI474" s="143"/>
      <c r="AJ474" s="143"/>
      <c r="AK474" s="172"/>
      <c r="AL474" s="172"/>
    </row>
    <row r="475">
      <c r="A475" s="137"/>
      <c r="B475" s="88"/>
      <c r="C475" s="89"/>
      <c r="D475" s="55"/>
      <c r="E475" s="137"/>
      <c r="F475" s="88"/>
      <c r="G475" s="180"/>
      <c r="H475" s="181"/>
      <c r="I475" s="137"/>
      <c r="J475" s="88"/>
      <c r="K475" s="89"/>
      <c r="L475" s="55"/>
      <c r="M475" s="137"/>
      <c r="N475" s="182"/>
      <c r="O475" s="89"/>
      <c r="P475" s="55"/>
      <c r="Q475" s="183"/>
      <c r="R475" s="184"/>
      <c r="S475" s="185"/>
      <c r="T475" s="172"/>
      <c r="U475" s="183"/>
      <c r="V475" s="184"/>
      <c r="W475" s="185"/>
      <c r="X475" s="172"/>
      <c r="Y475" s="137"/>
      <c r="Z475" s="186"/>
      <c r="AA475" s="187"/>
      <c r="AB475" s="188"/>
      <c r="AC475" s="137"/>
      <c r="AD475" s="184"/>
      <c r="AE475" s="189"/>
      <c r="AF475" s="190"/>
      <c r="AG475" s="143"/>
      <c r="AH475" s="143"/>
      <c r="AI475" s="143"/>
      <c r="AJ475" s="143"/>
      <c r="AK475" s="172"/>
      <c r="AL475" s="172"/>
    </row>
    <row r="476">
      <c r="A476" s="137"/>
      <c r="B476" s="88"/>
      <c r="C476" s="89"/>
      <c r="D476" s="55"/>
      <c r="E476" s="137"/>
      <c r="F476" s="88"/>
      <c r="G476" s="180"/>
      <c r="H476" s="181"/>
      <c r="I476" s="137"/>
      <c r="J476" s="88"/>
      <c r="K476" s="89"/>
      <c r="L476" s="55"/>
      <c r="M476" s="137"/>
      <c r="N476" s="182"/>
      <c r="O476" s="89"/>
      <c r="P476" s="55"/>
      <c r="Q476" s="183"/>
      <c r="R476" s="184"/>
      <c r="S476" s="185"/>
      <c r="T476" s="172"/>
      <c r="U476" s="183"/>
      <c r="V476" s="184"/>
      <c r="W476" s="185"/>
      <c r="X476" s="172"/>
      <c r="Y476" s="137"/>
      <c r="Z476" s="186"/>
      <c r="AA476" s="187"/>
      <c r="AB476" s="188"/>
      <c r="AC476" s="137"/>
      <c r="AD476" s="184"/>
      <c r="AE476" s="189"/>
      <c r="AF476" s="190"/>
      <c r="AG476" s="143"/>
      <c r="AH476" s="143"/>
      <c r="AI476" s="143"/>
      <c r="AJ476" s="143"/>
      <c r="AK476" s="172"/>
      <c r="AL476" s="172"/>
    </row>
    <row r="477">
      <c r="A477" s="137"/>
      <c r="B477" s="88"/>
      <c r="C477" s="89"/>
      <c r="D477" s="55"/>
      <c r="E477" s="137"/>
      <c r="F477" s="88"/>
      <c r="G477" s="180"/>
      <c r="H477" s="181"/>
      <c r="I477" s="137"/>
      <c r="J477" s="88"/>
      <c r="K477" s="89"/>
      <c r="L477" s="55"/>
      <c r="M477" s="137"/>
      <c r="N477" s="182"/>
      <c r="O477" s="89"/>
      <c r="P477" s="55"/>
      <c r="Q477" s="183"/>
      <c r="R477" s="184"/>
      <c r="S477" s="185"/>
      <c r="T477" s="172"/>
      <c r="U477" s="183"/>
      <c r="V477" s="184"/>
      <c r="W477" s="185"/>
      <c r="X477" s="172"/>
      <c r="Y477" s="137"/>
      <c r="Z477" s="186"/>
      <c r="AA477" s="187"/>
      <c r="AB477" s="188"/>
      <c r="AC477" s="137"/>
      <c r="AD477" s="184"/>
      <c r="AE477" s="189"/>
      <c r="AF477" s="190"/>
      <c r="AG477" s="143"/>
      <c r="AH477" s="143"/>
      <c r="AI477" s="143"/>
      <c r="AJ477" s="143"/>
      <c r="AK477" s="172"/>
      <c r="AL477" s="172"/>
    </row>
    <row r="478">
      <c r="A478" s="137"/>
      <c r="B478" s="88"/>
      <c r="C478" s="89"/>
      <c r="D478" s="55"/>
      <c r="E478" s="137"/>
      <c r="F478" s="88"/>
      <c r="G478" s="180"/>
      <c r="H478" s="181"/>
      <c r="I478" s="137"/>
      <c r="J478" s="88"/>
      <c r="K478" s="89"/>
      <c r="L478" s="55"/>
      <c r="M478" s="137"/>
      <c r="N478" s="182"/>
      <c r="O478" s="89"/>
      <c r="P478" s="55"/>
      <c r="Q478" s="183"/>
      <c r="R478" s="184"/>
      <c r="S478" s="185"/>
      <c r="T478" s="172"/>
      <c r="U478" s="183"/>
      <c r="V478" s="184"/>
      <c r="W478" s="185"/>
      <c r="X478" s="172"/>
      <c r="Y478" s="137"/>
      <c r="Z478" s="186"/>
      <c r="AA478" s="187"/>
      <c r="AB478" s="188"/>
      <c r="AC478" s="137"/>
      <c r="AD478" s="184"/>
      <c r="AE478" s="189"/>
      <c r="AF478" s="190"/>
      <c r="AG478" s="143"/>
      <c r="AH478" s="143"/>
      <c r="AI478" s="143"/>
      <c r="AJ478" s="143"/>
      <c r="AK478" s="172"/>
      <c r="AL478" s="172"/>
    </row>
    <row r="479">
      <c r="A479" s="137"/>
      <c r="B479" s="88"/>
      <c r="C479" s="89"/>
      <c r="D479" s="55"/>
      <c r="E479" s="137"/>
      <c r="F479" s="88"/>
      <c r="G479" s="180"/>
      <c r="H479" s="181"/>
      <c r="I479" s="137"/>
      <c r="J479" s="88"/>
      <c r="K479" s="89"/>
      <c r="L479" s="55"/>
      <c r="M479" s="137"/>
      <c r="N479" s="182"/>
      <c r="O479" s="89"/>
      <c r="P479" s="55"/>
      <c r="Q479" s="183"/>
      <c r="R479" s="184"/>
      <c r="S479" s="185"/>
      <c r="T479" s="172"/>
      <c r="U479" s="183"/>
      <c r="V479" s="184"/>
      <c r="W479" s="185"/>
      <c r="X479" s="172"/>
      <c r="Y479" s="137"/>
      <c r="Z479" s="186"/>
      <c r="AA479" s="187"/>
      <c r="AB479" s="188"/>
      <c r="AC479" s="137"/>
      <c r="AD479" s="184"/>
      <c r="AE479" s="189"/>
      <c r="AF479" s="190"/>
      <c r="AG479" s="143"/>
      <c r="AH479" s="143"/>
      <c r="AI479" s="143"/>
      <c r="AJ479" s="143"/>
      <c r="AK479" s="172"/>
      <c r="AL479" s="172"/>
    </row>
    <row r="480">
      <c r="A480" s="137"/>
      <c r="B480" s="88"/>
      <c r="C480" s="89"/>
      <c r="D480" s="55"/>
      <c r="E480" s="137"/>
      <c r="F480" s="88"/>
      <c r="G480" s="180"/>
      <c r="H480" s="181"/>
      <c r="I480" s="137"/>
      <c r="J480" s="88"/>
      <c r="K480" s="89"/>
      <c r="L480" s="55"/>
      <c r="M480" s="137"/>
      <c r="N480" s="182"/>
      <c r="O480" s="89"/>
      <c r="P480" s="55"/>
      <c r="Q480" s="183"/>
      <c r="R480" s="184"/>
      <c r="S480" s="185"/>
      <c r="T480" s="172"/>
      <c r="U480" s="183"/>
      <c r="V480" s="184"/>
      <c r="W480" s="185"/>
      <c r="X480" s="172"/>
      <c r="Y480" s="137"/>
      <c r="Z480" s="186"/>
      <c r="AA480" s="187"/>
      <c r="AB480" s="188"/>
      <c r="AC480" s="137"/>
      <c r="AD480" s="184"/>
      <c r="AE480" s="189"/>
      <c r="AF480" s="190"/>
      <c r="AG480" s="143"/>
      <c r="AH480" s="143"/>
      <c r="AI480" s="143"/>
      <c r="AJ480" s="143"/>
      <c r="AK480" s="172"/>
      <c r="AL480" s="172"/>
    </row>
    <row r="481">
      <c r="A481" s="137"/>
      <c r="B481" s="88"/>
      <c r="C481" s="89"/>
      <c r="D481" s="55"/>
      <c r="E481" s="137"/>
      <c r="F481" s="88"/>
      <c r="G481" s="180"/>
      <c r="H481" s="181"/>
      <c r="I481" s="137"/>
      <c r="J481" s="88"/>
      <c r="K481" s="89"/>
      <c r="L481" s="55"/>
      <c r="M481" s="137"/>
      <c r="N481" s="182"/>
      <c r="O481" s="89"/>
      <c r="P481" s="55"/>
      <c r="Q481" s="183"/>
      <c r="R481" s="184"/>
      <c r="S481" s="185"/>
      <c r="T481" s="172"/>
      <c r="U481" s="183"/>
      <c r="V481" s="184"/>
      <c r="W481" s="185"/>
      <c r="X481" s="172"/>
      <c r="Y481" s="137"/>
      <c r="Z481" s="186"/>
      <c r="AA481" s="187"/>
      <c r="AB481" s="188"/>
      <c r="AC481" s="137"/>
      <c r="AD481" s="184"/>
      <c r="AE481" s="189"/>
      <c r="AF481" s="190"/>
      <c r="AG481" s="143"/>
      <c r="AH481" s="143"/>
      <c r="AI481" s="143"/>
      <c r="AJ481" s="143"/>
      <c r="AK481" s="172"/>
      <c r="AL481" s="172"/>
    </row>
    <row r="482">
      <c r="A482" s="137"/>
      <c r="B482" s="88"/>
      <c r="C482" s="89"/>
      <c r="D482" s="55"/>
      <c r="E482" s="137"/>
      <c r="F482" s="88"/>
      <c r="G482" s="180"/>
      <c r="H482" s="181"/>
      <c r="I482" s="137"/>
      <c r="J482" s="88"/>
      <c r="K482" s="89"/>
      <c r="L482" s="55"/>
      <c r="M482" s="137"/>
      <c r="N482" s="182"/>
      <c r="O482" s="89"/>
      <c r="P482" s="55"/>
      <c r="Q482" s="183"/>
      <c r="R482" s="184"/>
      <c r="S482" s="185"/>
      <c r="T482" s="172"/>
      <c r="U482" s="183"/>
      <c r="V482" s="184"/>
      <c r="W482" s="185"/>
      <c r="X482" s="172"/>
      <c r="Y482" s="137"/>
      <c r="Z482" s="186"/>
      <c r="AA482" s="187"/>
      <c r="AB482" s="188"/>
      <c r="AC482" s="137"/>
      <c r="AD482" s="184"/>
      <c r="AE482" s="189"/>
      <c r="AF482" s="190"/>
      <c r="AG482" s="143"/>
      <c r="AH482" s="143"/>
      <c r="AI482" s="143"/>
      <c r="AJ482" s="143"/>
      <c r="AK482" s="172"/>
      <c r="AL482" s="172"/>
    </row>
    <row r="483">
      <c r="A483" s="137"/>
      <c r="B483" s="88"/>
      <c r="C483" s="89"/>
      <c r="D483" s="55"/>
      <c r="E483" s="137"/>
      <c r="F483" s="88"/>
      <c r="G483" s="180"/>
      <c r="H483" s="181"/>
      <c r="I483" s="137"/>
      <c r="J483" s="88"/>
      <c r="K483" s="89"/>
      <c r="L483" s="55"/>
      <c r="M483" s="137"/>
      <c r="N483" s="182"/>
      <c r="O483" s="89"/>
      <c r="P483" s="55"/>
      <c r="Q483" s="183"/>
      <c r="R483" s="184"/>
      <c r="S483" s="185"/>
      <c r="T483" s="172"/>
      <c r="U483" s="183"/>
      <c r="V483" s="184"/>
      <c r="W483" s="185"/>
      <c r="X483" s="172"/>
      <c r="Y483" s="137"/>
      <c r="Z483" s="186"/>
      <c r="AA483" s="187"/>
      <c r="AB483" s="188"/>
      <c r="AC483" s="137"/>
      <c r="AD483" s="184"/>
      <c r="AE483" s="189"/>
      <c r="AF483" s="190"/>
      <c r="AG483" s="143"/>
      <c r="AH483" s="143"/>
      <c r="AI483" s="143"/>
      <c r="AJ483" s="143"/>
      <c r="AK483" s="172"/>
      <c r="AL483" s="172"/>
    </row>
    <row r="484">
      <c r="A484" s="137"/>
      <c r="B484" s="88"/>
      <c r="C484" s="89"/>
      <c r="D484" s="55"/>
      <c r="E484" s="137"/>
      <c r="F484" s="88"/>
      <c r="G484" s="180"/>
      <c r="H484" s="181"/>
      <c r="I484" s="137"/>
      <c r="J484" s="88"/>
      <c r="K484" s="89"/>
      <c r="L484" s="55"/>
      <c r="M484" s="137"/>
      <c r="N484" s="182"/>
      <c r="O484" s="89"/>
      <c r="P484" s="55"/>
      <c r="Q484" s="183"/>
      <c r="R484" s="184"/>
      <c r="S484" s="185"/>
      <c r="T484" s="172"/>
      <c r="U484" s="183"/>
      <c r="V484" s="184"/>
      <c r="W484" s="185"/>
      <c r="X484" s="172"/>
      <c r="Y484" s="137"/>
      <c r="Z484" s="186"/>
      <c r="AA484" s="187"/>
      <c r="AB484" s="188"/>
      <c r="AC484" s="137"/>
      <c r="AD484" s="184"/>
      <c r="AE484" s="189"/>
      <c r="AF484" s="190"/>
      <c r="AG484" s="143"/>
      <c r="AH484" s="143"/>
      <c r="AI484" s="143"/>
      <c r="AJ484" s="143"/>
      <c r="AK484" s="172"/>
      <c r="AL484" s="172"/>
    </row>
    <row r="485">
      <c r="A485" s="137"/>
      <c r="B485" s="88"/>
      <c r="C485" s="89"/>
      <c r="D485" s="55"/>
      <c r="E485" s="137"/>
      <c r="F485" s="88"/>
      <c r="G485" s="180"/>
      <c r="H485" s="181"/>
      <c r="I485" s="137"/>
      <c r="J485" s="88"/>
      <c r="K485" s="89"/>
      <c r="L485" s="55"/>
      <c r="M485" s="137"/>
      <c r="N485" s="182"/>
      <c r="O485" s="89"/>
      <c r="P485" s="55"/>
      <c r="Q485" s="183"/>
      <c r="R485" s="184"/>
      <c r="S485" s="185"/>
      <c r="T485" s="172"/>
      <c r="U485" s="183"/>
      <c r="V485" s="184"/>
      <c r="W485" s="185"/>
      <c r="X485" s="172"/>
      <c r="Y485" s="137"/>
      <c r="Z485" s="186"/>
      <c r="AA485" s="187"/>
      <c r="AB485" s="188"/>
      <c r="AC485" s="137"/>
      <c r="AD485" s="184"/>
      <c r="AE485" s="189"/>
      <c r="AF485" s="190"/>
      <c r="AG485" s="143"/>
      <c r="AH485" s="143"/>
      <c r="AI485" s="143"/>
      <c r="AJ485" s="143"/>
      <c r="AK485" s="172"/>
      <c r="AL485" s="172"/>
    </row>
    <row r="486">
      <c r="A486" s="137"/>
      <c r="B486" s="88"/>
      <c r="C486" s="89"/>
      <c r="D486" s="55"/>
      <c r="E486" s="137"/>
      <c r="F486" s="88"/>
      <c r="G486" s="180"/>
      <c r="H486" s="181"/>
      <c r="I486" s="137"/>
      <c r="J486" s="88"/>
      <c r="K486" s="89"/>
      <c r="L486" s="55"/>
      <c r="M486" s="137"/>
      <c r="N486" s="182"/>
      <c r="O486" s="89"/>
      <c r="P486" s="55"/>
      <c r="Q486" s="183"/>
      <c r="R486" s="184"/>
      <c r="S486" s="185"/>
      <c r="T486" s="172"/>
      <c r="U486" s="183"/>
      <c r="V486" s="184"/>
      <c r="W486" s="185"/>
      <c r="X486" s="172"/>
      <c r="Y486" s="137"/>
      <c r="Z486" s="186"/>
      <c r="AA486" s="187"/>
      <c r="AB486" s="188"/>
      <c r="AC486" s="137"/>
      <c r="AD486" s="184"/>
      <c r="AE486" s="189"/>
      <c r="AF486" s="190"/>
      <c r="AG486" s="143"/>
      <c r="AH486" s="143"/>
      <c r="AI486" s="143"/>
      <c r="AJ486" s="143"/>
      <c r="AK486" s="172"/>
      <c r="AL486" s="172"/>
    </row>
    <row r="487">
      <c r="A487" s="137"/>
      <c r="B487" s="88"/>
      <c r="C487" s="89"/>
      <c r="D487" s="55"/>
      <c r="E487" s="137"/>
      <c r="F487" s="88"/>
      <c r="G487" s="180"/>
      <c r="H487" s="181"/>
      <c r="I487" s="137"/>
      <c r="J487" s="88"/>
      <c r="K487" s="89"/>
      <c r="L487" s="55"/>
      <c r="M487" s="137"/>
      <c r="N487" s="182"/>
      <c r="O487" s="89"/>
      <c r="P487" s="55"/>
      <c r="Q487" s="183"/>
      <c r="R487" s="184"/>
      <c r="S487" s="185"/>
      <c r="T487" s="172"/>
      <c r="U487" s="183"/>
      <c r="V487" s="184"/>
      <c r="W487" s="185"/>
      <c r="X487" s="172"/>
      <c r="Y487" s="137"/>
      <c r="Z487" s="186"/>
      <c r="AA487" s="187"/>
      <c r="AB487" s="188"/>
      <c r="AC487" s="137"/>
      <c r="AD487" s="184"/>
      <c r="AE487" s="189"/>
      <c r="AF487" s="190"/>
      <c r="AG487" s="143"/>
      <c r="AH487" s="143"/>
      <c r="AI487" s="143"/>
      <c r="AJ487" s="143"/>
      <c r="AK487" s="172"/>
      <c r="AL487" s="172"/>
    </row>
    <row r="488">
      <c r="A488" s="137"/>
      <c r="B488" s="88"/>
      <c r="C488" s="89"/>
      <c r="D488" s="55"/>
      <c r="E488" s="137"/>
      <c r="F488" s="88"/>
      <c r="G488" s="180"/>
      <c r="H488" s="181"/>
      <c r="I488" s="137"/>
      <c r="J488" s="88"/>
      <c r="K488" s="89"/>
      <c r="L488" s="55"/>
      <c r="M488" s="137"/>
      <c r="N488" s="182"/>
      <c r="O488" s="89"/>
      <c r="P488" s="55"/>
      <c r="Q488" s="183"/>
      <c r="R488" s="184"/>
      <c r="S488" s="185"/>
      <c r="T488" s="172"/>
      <c r="U488" s="183"/>
      <c r="V488" s="184"/>
      <c r="W488" s="185"/>
      <c r="X488" s="172"/>
      <c r="Y488" s="137"/>
      <c r="Z488" s="186"/>
      <c r="AA488" s="187"/>
      <c r="AB488" s="188"/>
      <c r="AC488" s="137"/>
      <c r="AD488" s="184"/>
      <c r="AE488" s="189"/>
      <c r="AF488" s="190"/>
      <c r="AG488" s="143"/>
      <c r="AH488" s="143"/>
      <c r="AI488" s="143"/>
      <c r="AJ488" s="143"/>
      <c r="AK488" s="172"/>
      <c r="AL488" s="172"/>
    </row>
    <row r="489">
      <c r="A489" s="137"/>
      <c r="B489" s="88"/>
      <c r="C489" s="89"/>
      <c r="D489" s="55"/>
      <c r="E489" s="137"/>
      <c r="F489" s="88"/>
      <c r="G489" s="180"/>
      <c r="H489" s="181"/>
      <c r="I489" s="137"/>
      <c r="J489" s="88"/>
      <c r="K489" s="89"/>
      <c r="L489" s="55"/>
      <c r="M489" s="137"/>
      <c r="N489" s="182"/>
      <c r="O489" s="89"/>
      <c r="P489" s="55"/>
      <c r="Q489" s="183"/>
      <c r="R489" s="184"/>
      <c r="S489" s="185"/>
      <c r="T489" s="172"/>
      <c r="U489" s="183"/>
      <c r="V489" s="184"/>
      <c r="W489" s="185"/>
      <c r="X489" s="172"/>
      <c r="Y489" s="137"/>
      <c r="Z489" s="186"/>
      <c r="AA489" s="187"/>
      <c r="AB489" s="188"/>
      <c r="AC489" s="137"/>
      <c r="AD489" s="184"/>
      <c r="AE489" s="189"/>
      <c r="AF489" s="190"/>
      <c r="AG489" s="143"/>
      <c r="AH489" s="143"/>
      <c r="AI489" s="143"/>
      <c r="AJ489" s="143"/>
      <c r="AK489" s="172"/>
      <c r="AL489" s="172"/>
    </row>
    <row r="490">
      <c r="A490" s="137"/>
      <c r="B490" s="88"/>
      <c r="C490" s="89"/>
      <c r="D490" s="55"/>
      <c r="E490" s="137"/>
      <c r="F490" s="88"/>
      <c r="G490" s="180"/>
      <c r="H490" s="181"/>
      <c r="I490" s="137"/>
      <c r="J490" s="88"/>
      <c r="K490" s="89"/>
      <c r="L490" s="55"/>
      <c r="M490" s="137"/>
      <c r="N490" s="182"/>
      <c r="O490" s="89"/>
      <c r="P490" s="55"/>
      <c r="Q490" s="183"/>
      <c r="R490" s="184"/>
      <c r="S490" s="185"/>
      <c r="T490" s="172"/>
      <c r="U490" s="183"/>
      <c r="V490" s="184"/>
      <c r="W490" s="185"/>
      <c r="X490" s="172"/>
      <c r="Y490" s="137"/>
      <c r="Z490" s="186"/>
      <c r="AA490" s="187"/>
      <c r="AB490" s="188"/>
      <c r="AC490" s="137"/>
      <c r="AD490" s="184"/>
      <c r="AE490" s="189"/>
      <c r="AF490" s="190"/>
      <c r="AG490" s="143"/>
      <c r="AH490" s="143"/>
      <c r="AI490" s="143"/>
      <c r="AJ490" s="143"/>
      <c r="AK490" s="172"/>
      <c r="AL490" s="172"/>
    </row>
    <row r="491">
      <c r="A491" s="137"/>
      <c r="B491" s="88"/>
      <c r="C491" s="89"/>
      <c r="D491" s="55"/>
      <c r="E491" s="137"/>
      <c r="F491" s="88"/>
      <c r="G491" s="180"/>
      <c r="H491" s="181"/>
      <c r="I491" s="137"/>
      <c r="J491" s="88"/>
      <c r="K491" s="89"/>
      <c r="L491" s="55"/>
      <c r="M491" s="137"/>
      <c r="N491" s="182"/>
      <c r="O491" s="89"/>
      <c r="P491" s="55"/>
      <c r="Q491" s="183"/>
      <c r="R491" s="184"/>
      <c r="S491" s="185"/>
      <c r="T491" s="172"/>
      <c r="U491" s="183"/>
      <c r="V491" s="184"/>
      <c r="W491" s="185"/>
      <c r="X491" s="172"/>
      <c r="Y491" s="137"/>
      <c r="Z491" s="186"/>
      <c r="AA491" s="187"/>
      <c r="AB491" s="188"/>
      <c r="AC491" s="137"/>
      <c r="AD491" s="184"/>
      <c r="AE491" s="189"/>
      <c r="AF491" s="190"/>
      <c r="AG491" s="143"/>
      <c r="AH491" s="143"/>
      <c r="AI491" s="143"/>
      <c r="AJ491" s="143"/>
      <c r="AK491" s="172"/>
      <c r="AL491" s="172"/>
    </row>
    <row r="492">
      <c r="A492" s="137"/>
      <c r="B492" s="88"/>
      <c r="C492" s="89"/>
      <c r="D492" s="55"/>
      <c r="E492" s="137"/>
      <c r="F492" s="88"/>
      <c r="G492" s="180"/>
      <c r="H492" s="181"/>
      <c r="I492" s="137"/>
      <c r="J492" s="88"/>
      <c r="K492" s="89"/>
      <c r="L492" s="55"/>
      <c r="M492" s="137"/>
      <c r="N492" s="182"/>
      <c r="O492" s="89"/>
      <c r="P492" s="55"/>
      <c r="Q492" s="183"/>
      <c r="R492" s="184"/>
      <c r="S492" s="185"/>
      <c r="T492" s="172"/>
      <c r="U492" s="183"/>
      <c r="V492" s="184"/>
      <c r="W492" s="185"/>
      <c r="X492" s="172"/>
      <c r="Y492" s="137"/>
      <c r="Z492" s="186"/>
      <c r="AA492" s="187"/>
      <c r="AB492" s="188"/>
      <c r="AC492" s="137"/>
      <c r="AD492" s="184"/>
      <c r="AE492" s="189"/>
      <c r="AF492" s="190"/>
      <c r="AG492" s="143"/>
      <c r="AH492" s="143"/>
      <c r="AI492" s="143"/>
      <c r="AJ492" s="143"/>
      <c r="AK492" s="172"/>
      <c r="AL492" s="172"/>
    </row>
    <row r="493">
      <c r="A493" s="137"/>
      <c r="B493" s="88"/>
      <c r="C493" s="89"/>
      <c r="D493" s="55"/>
      <c r="E493" s="137"/>
      <c r="F493" s="88"/>
      <c r="G493" s="180"/>
      <c r="H493" s="181"/>
      <c r="I493" s="137"/>
      <c r="J493" s="88"/>
      <c r="K493" s="89"/>
      <c r="L493" s="55"/>
      <c r="M493" s="137"/>
      <c r="N493" s="182"/>
      <c r="O493" s="89"/>
      <c r="P493" s="55"/>
      <c r="Q493" s="183"/>
      <c r="R493" s="184"/>
      <c r="S493" s="185"/>
      <c r="T493" s="172"/>
      <c r="U493" s="183"/>
      <c r="V493" s="184"/>
      <c r="W493" s="185"/>
      <c r="X493" s="172"/>
      <c r="Y493" s="137"/>
      <c r="Z493" s="186"/>
      <c r="AA493" s="187"/>
      <c r="AB493" s="188"/>
      <c r="AC493" s="137"/>
      <c r="AD493" s="184"/>
      <c r="AE493" s="189"/>
      <c r="AF493" s="190"/>
      <c r="AG493" s="143"/>
      <c r="AH493" s="143"/>
      <c r="AI493" s="143"/>
      <c r="AJ493" s="143"/>
      <c r="AK493" s="172"/>
      <c r="AL493" s="172"/>
    </row>
    <row r="494">
      <c r="A494" s="137"/>
      <c r="B494" s="88"/>
      <c r="C494" s="89"/>
      <c r="D494" s="55"/>
      <c r="E494" s="137"/>
      <c r="F494" s="88"/>
      <c r="G494" s="180"/>
      <c r="H494" s="181"/>
      <c r="I494" s="137"/>
      <c r="J494" s="88"/>
      <c r="K494" s="89"/>
      <c r="L494" s="55"/>
      <c r="M494" s="137"/>
      <c r="N494" s="182"/>
      <c r="O494" s="89"/>
      <c r="P494" s="55"/>
      <c r="Q494" s="183"/>
      <c r="R494" s="184"/>
      <c r="S494" s="185"/>
      <c r="T494" s="172"/>
      <c r="U494" s="183"/>
      <c r="V494" s="184"/>
      <c r="W494" s="185"/>
      <c r="X494" s="172"/>
      <c r="Y494" s="137"/>
      <c r="Z494" s="186"/>
      <c r="AA494" s="187"/>
      <c r="AB494" s="188"/>
      <c r="AC494" s="137"/>
      <c r="AD494" s="184"/>
      <c r="AE494" s="189"/>
      <c r="AF494" s="190"/>
      <c r="AG494" s="143"/>
      <c r="AH494" s="143"/>
      <c r="AI494" s="143"/>
      <c r="AJ494" s="143"/>
      <c r="AK494" s="172"/>
      <c r="AL494" s="172"/>
    </row>
    <row r="495">
      <c r="A495" s="137"/>
      <c r="B495" s="88"/>
      <c r="C495" s="89"/>
      <c r="D495" s="55"/>
      <c r="E495" s="137"/>
      <c r="F495" s="88"/>
      <c r="G495" s="180"/>
      <c r="H495" s="181"/>
      <c r="I495" s="137"/>
      <c r="J495" s="88"/>
      <c r="K495" s="89"/>
      <c r="L495" s="55"/>
      <c r="M495" s="137"/>
      <c r="N495" s="182"/>
      <c r="O495" s="89"/>
      <c r="P495" s="55"/>
      <c r="Q495" s="183"/>
      <c r="R495" s="184"/>
      <c r="S495" s="185"/>
      <c r="T495" s="172"/>
      <c r="U495" s="183"/>
      <c r="V495" s="184"/>
      <c r="W495" s="185"/>
      <c r="X495" s="172"/>
      <c r="Y495" s="137"/>
      <c r="Z495" s="186"/>
      <c r="AA495" s="187"/>
      <c r="AB495" s="188"/>
      <c r="AC495" s="137"/>
      <c r="AD495" s="184"/>
      <c r="AE495" s="189"/>
      <c r="AF495" s="190"/>
      <c r="AG495" s="143"/>
      <c r="AH495" s="143"/>
      <c r="AI495" s="143"/>
      <c r="AJ495" s="143"/>
      <c r="AK495" s="172"/>
      <c r="AL495" s="172"/>
    </row>
    <row r="496">
      <c r="A496" s="137"/>
      <c r="B496" s="88"/>
      <c r="C496" s="89"/>
      <c r="D496" s="55"/>
      <c r="E496" s="137"/>
      <c r="F496" s="88"/>
      <c r="G496" s="180"/>
      <c r="H496" s="181"/>
      <c r="I496" s="137"/>
      <c r="J496" s="88"/>
      <c r="K496" s="89"/>
      <c r="L496" s="55"/>
      <c r="M496" s="137"/>
      <c r="N496" s="182"/>
      <c r="O496" s="89"/>
      <c r="P496" s="55"/>
      <c r="Q496" s="183"/>
      <c r="R496" s="184"/>
      <c r="S496" s="185"/>
      <c r="T496" s="172"/>
      <c r="U496" s="183"/>
      <c r="V496" s="184"/>
      <c r="W496" s="185"/>
      <c r="X496" s="172"/>
      <c r="Y496" s="137"/>
      <c r="Z496" s="186"/>
      <c r="AA496" s="187"/>
      <c r="AB496" s="188"/>
      <c r="AC496" s="137"/>
      <c r="AD496" s="184"/>
      <c r="AE496" s="189"/>
      <c r="AF496" s="190"/>
      <c r="AG496" s="143"/>
      <c r="AH496" s="143"/>
      <c r="AI496" s="143"/>
      <c r="AJ496" s="143"/>
      <c r="AK496" s="172"/>
      <c r="AL496" s="172"/>
    </row>
    <row r="497">
      <c r="A497" s="137"/>
      <c r="B497" s="88"/>
      <c r="C497" s="89"/>
      <c r="D497" s="55"/>
      <c r="E497" s="137"/>
      <c r="F497" s="88"/>
      <c r="G497" s="180"/>
      <c r="H497" s="181"/>
      <c r="I497" s="137"/>
      <c r="J497" s="88"/>
      <c r="K497" s="89"/>
      <c r="L497" s="55"/>
      <c r="M497" s="137"/>
      <c r="N497" s="182"/>
      <c r="O497" s="89"/>
      <c r="P497" s="55"/>
      <c r="Q497" s="183"/>
      <c r="R497" s="184"/>
      <c r="S497" s="185"/>
      <c r="T497" s="172"/>
      <c r="U497" s="183"/>
      <c r="V497" s="184"/>
      <c r="W497" s="185"/>
      <c r="X497" s="172"/>
      <c r="Y497" s="137"/>
      <c r="Z497" s="186"/>
      <c r="AA497" s="187"/>
      <c r="AB497" s="188"/>
      <c r="AC497" s="137"/>
      <c r="AD497" s="184"/>
      <c r="AE497" s="189"/>
      <c r="AF497" s="190"/>
      <c r="AG497" s="143"/>
      <c r="AH497" s="143"/>
      <c r="AI497" s="143"/>
      <c r="AJ497" s="143"/>
      <c r="AK497" s="172"/>
      <c r="AL497" s="172"/>
    </row>
    <row r="498">
      <c r="A498" s="137"/>
      <c r="B498" s="88"/>
      <c r="C498" s="89"/>
      <c r="D498" s="55"/>
      <c r="E498" s="137"/>
      <c r="F498" s="88"/>
      <c r="G498" s="180"/>
      <c r="H498" s="181"/>
      <c r="I498" s="137"/>
      <c r="J498" s="88"/>
      <c r="K498" s="89"/>
      <c r="L498" s="55"/>
      <c r="M498" s="137"/>
      <c r="N498" s="182"/>
      <c r="O498" s="89"/>
      <c r="P498" s="55"/>
      <c r="Q498" s="183"/>
      <c r="R498" s="184"/>
      <c r="S498" s="185"/>
      <c r="T498" s="172"/>
      <c r="U498" s="183"/>
      <c r="V498" s="184"/>
      <c r="W498" s="185"/>
      <c r="X498" s="172"/>
      <c r="Y498" s="137"/>
      <c r="Z498" s="186"/>
      <c r="AA498" s="187"/>
      <c r="AB498" s="188"/>
      <c r="AC498" s="137"/>
      <c r="AD498" s="184"/>
      <c r="AE498" s="189"/>
      <c r="AF498" s="190"/>
      <c r="AG498" s="143"/>
      <c r="AH498" s="143"/>
      <c r="AI498" s="143"/>
      <c r="AJ498" s="143"/>
      <c r="AK498" s="172"/>
      <c r="AL498" s="172"/>
    </row>
    <row r="499">
      <c r="A499" s="137"/>
      <c r="B499" s="88"/>
      <c r="C499" s="89"/>
      <c r="D499" s="55"/>
      <c r="E499" s="137"/>
      <c r="F499" s="88"/>
      <c r="G499" s="180"/>
      <c r="H499" s="181"/>
      <c r="I499" s="137"/>
      <c r="J499" s="88"/>
      <c r="K499" s="89"/>
      <c r="L499" s="55"/>
      <c r="M499" s="137"/>
      <c r="N499" s="182"/>
      <c r="O499" s="89"/>
      <c r="P499" s="55"/>
      <c r="Q499" s="183"/>
      <c r="R499" s="184"/>
      <c r="S499" s="185"/>
      <c r="T499" s="172"/>
      <c r="U499" s="183"/>
      <c r="V499" s="184"/>
      <c r="W499" s="185"/>
      <c r="X499" s="172"/>
      <c r="Y499" s="137"/>
      <c r="Z499" s="186"/>
      <c r="AA499" s="187"/>
      <c r="AB499" s="188"/>
      <c r="AC499" s="137"/>
      <c r="AD499" s="184"/>
      <c r="AE499" s="189"/>
      <c r="AF499" s="190"/>
      <c r="AG499" s="143"/>
      <c r="AH499" s="143"/>
      <c r="AI499" s="143"/>
      <c r="AJ499" s="143"/>
      <c r="AK499" s="172"/>
      <c r="AL499" s="172"/>
    </row>
    <row r="500">
      <c r="A500" s="137"/>
      <c r="B500" s="88"/>
      <c r="C500" s="89"/>
      <c r="D500" s="55"/>
      <c r="E500" s="137"/>
      <c r="F500" s="88"/>
      <c r="G500" s="180"/>
      <c r="H500" s="181"/>
      <c r="I500" s="137"/>
      <c r="J500" s="88"/>
      <c r="K500" s="89"/>
      <c r="L500" s="55"/>
      <c r="M500" s="137"/>
      <c r="N500" s="182"/>
      <c r="O500" s="89"/>
      <c r="P500" s="55"/>
      <c r="Q500" s="183"/>
      <c r="R500" s="184"/>
      <c r="S500" s="185"/>
      <c r="T500" s="172"/>
      <c r="U500" s="183"/>
      <c r="V500" s="184"/>
      <c r="W500" s="185"/>
      <c r="X500" s="172"/>
      <c r="Y500" s="137"/>
      <c r="Z500" s="186"/>
      <c r="AA500" s="187"/>
      <c r="AB500" s="188"/>
      <c r="AC500" s="137"/>
      <c r="AD500" s="184"/>
      <c r="AE500" s="189"/>
      <c r="AF500" s="190"/>
      <c r="AG500" s="143"/>
      <c r="AH500" s="143"/>
      <c r="AI500" s="143"/>
      <c r="AJ500" s="143"/>
      <c r="AK500" s="172"/>
      <c r="AL500" s="172"/>
    </row>
    <row r="501">
      <c r="A501" s="137"/>
      <c r="B501" s="88"/>
      <c r="C501" s="89"/>
      <c r="D501" s="55"/>
      <c r="E501" s="137"/>
      <c r="F501" s="88"/>
      <c r="G501" s="180"/>
      <c r="H501" s="181"/>
      <c r="I501" s="137"/>
      <c r="J501" s="88"/>
      <c r="K501" s="89"/>
      <c r="L501" s="55"/>
      <c r="M501" s="137"/>
      <c r="N501" s="182"/>
      <c r="O501" s="89"/>
      <c r="P501" s="55"/>
      <c r="Q501" s="183"/>
      <c r="R501" s="184"/>
      <c r="S501" s="185"/>
      <c r="T501" s="172"/>
      <c r="U501" s="183"/>
      <c r="V501" s="184"/>
      <c r="W501" s="185"/>
      <c r="X501" s="172"/>
      <c r="Y501" s="137"/>
      <c r="Z501" s="186"/>
      <c r="AA501" s="187"/>
      <c r="AB501" s="188"/>
      <c r="AC501" s="137"/>
      <c r="AD501" s="184"/>
      <c r="AE501" s="189"/>
      <c r="AF501" s="190"/>
      <c r="AG501" s="143"/>
      <c r="AH501" s="143"/>
      <c r="AI501" s="143"/>
      <c r="AJ501" s="143"/>
      <c r="AK501" s="172"/>
      <c r="AL501" s="172"/>
    </row>
    <row r="502">
      <c r="A502" s="137"/>
      <c r="B502" s="88"/>
      <c r="C502" s="89"/>
      <c r="D502" s="55"/>
      <c r="E502" s="137"/>
      <c r="F502" s="88"/>
      <c r="G502" s="180"/>
      <c r="H502" s="181"/>
      <c r="I502" s="137"/>
      <c r="J502" s="88"/>
      <c r="K502" s="89"/>
      <c r="L502" s="55"/>
      <c r="M502" s="137"/>
      <c r="N502" s="182"/>
      <c r="O502" s="89"/>
      <c r="P502" s="55"/>
      <c r="Q502" s="183"/>
      <c r="R502" s="184"/>
      <c r="S502" s="185"/>
      <c r="T502" s="172"/>
      <c r="U502" s="183"/>
      <c r="V502" s="184"/>
      <c r="W502" s="185"/>
      <c r="X502" s="172"/>
      <c r="Y502" s="137"/>
      <c r="Z502" s="186"/>
      <c r="AA502" s="187"/>
      <c r="AB502" s="188"/>
      <c r="AC502" s="137"/>
      <c r="AD502" s="184"/>
      <c r="AE502" s="189"/>
      <c r="AF502" s="190"/>
      <c r="AG502" s="143"/>
      <c r="AH502" s="143"/>
      <c r="AI502" s="143"/>
      <c r="AJ502" s="143"/>
      <c r="AK502" s="172"/>
      <c r="AL502" s="172"/>
    </row>
    <row r="503">
      <c r="A503" s="137"/>
      <c r="B503" s="88"/>
      <c r="C503" s="89"/>
      <c r="D503" s="55"/>
      <c r="E503" s="137"/>
      <c r="F503" s="88"/>
      <c r="G503" s="180"/>
      <c r="H503" s="181"/>
      <c r="I503" s="137"/>
      <c r="J503" s="88"/>
      <c r="K503" s="89"/>
      <c r="L503" s="55"/>
      <c r="M503" s="137"/>
      <c r="N503" s="182"/>
      <c r="O503" s="89"/>
      <c r="P503" s="55"/>
      <c r="Q503" s="183"/>
      <c r="R503" s="184"/>
      <c r="S503" s="185"/>
      <c r="T503" s="172"/>
      <c r="U503" s="183"/>
      <c r="V503" s="184"/>
      <c r="W503" s="185"/>
      <c r="X503" s="172"/>
      <c r="Y503" s="137"/>
      <c r="Z503" s="186"/>
      <c r="AA503" s="187"/>
      <c r="AB503" s="188"/>
      <c r="AC503" s="137"/>
      <c r="AD503" s="184"/>
      <c r="AE503" s="189"/>
      <c r="AF503" s="190"/>
      <c r="AG503" s="143"/>
      <c r="AH503" s="143"/>
      <c r="AI503" s="143"/>
      <c r="AJ503" s="143"/>
      <c r="AK503" s="172"/>
      <c r="AL503" s="172"/>
    </row>
    <row r="504">
      <c r="A504" s="137"/>
      <c r="B504" s="88"/>
      <c r="C504" s="89"/>
      <c r="D504" s="55"/>
      <c r="E504" s="137"/>
      <c r="F504" s="88"/>
      <c r="G504" s="180"/>
      <c r="H504" s="181"/>
      <c r="I504" s="137"/>
      <c r="J504" s="88"/>
      <c r="K504" s="89"/>
      <c r="L504" s="55"/>
      <c r="M504" s="137"/>
      <c r="N504" s="182"/>
      <c r="O504" s="89"/>
      <c r="P504" s="55"/>
      <c r="Q504" s="183"/>
      <c r="R504" s="184"/>
      <c r="S504" s="185"/>
      <c r="T504" s="172"/>
      <c r="U504" s="183"/>
      <c r="V504" s="184"/>
      <c r="W504" s="185"/>
      <c r="X504" s="172"/>
      <c r="Y504" s="137"/>
      <c r="Z504" s="186"/>
      <c r="AA504" s="187"/>
      <c r="AB504" s="188"/>
      <c r="AC504" s="137"/>
      <c r="AD504" s="184"/>
      <c r="AE504" s="189"/>
      <c r="AF504" s="190"/>
      <c r="AG504" s="143"/>
      <c r="AH504" s="143"/>
      <c r="AI504" s="143"/>
      <c r="AJ504" s="143"/>
      <c r="AK504" s="172"/>
      <c r="AL504" s="172"/>
    </row>
    <row r="505">
      <c r="A505" s="137"/>
      <c r="B505" s="88"/>
      <c r="C505" s="89"/>
      <c r="D505" s="55"/>
      <c r="E505" s="137"/>
      <c r="F505" s="88"/>
      <c r="G505" s="180"/>
      <c r="H505" s="181"/>
      <c r="I505" s="137"/>
      <c r="J505" s="88"/>
      <c r="K505" s="89"/>
      <c r="L505" s="55"/>
      <c r="M505" s="137"/>
      <c r="N505" s="182"/>
      <c r="O505" s="89"/>
      <c r="P505" s="55"/>
      <c r="Q505" s="183"/>
      <c r="R505" s="184"/>
      <c r="S505" s="185"/>
      <c r="T505" s="172"/>
      <c r="U505" s="183"/>
      <c r="V505" s="184"/>
      <c r="W505" s="185"/>
      <c r="X505" s="172"/>
      <c r="Y505" s="137"/>
      <c r="Z505" s="186"/>
      <c r="AA505" s="187"/>
      <c r="AB505" s="188"/>
      <c r="AC505" s="137"/>
      <c r="AD505" s="184"/>
      <c r="AE505" s="189"/>
      <c r="AF505" s="190"/>
      <c r="AG505" s="143"/>
      <c r="AH505" s="143"/>
      <c r="AI505" s="143"/>
      <c r="AJ505" s="143"/>
      <c r="AK505" s="172"/>
      <c r="AL505" s="172"/>
    </row>
    <row r="506">
      <c r="A506" s="137"/>
      <c r="B506" s="88"/>
      <c r="C506" s="89"/>
      <c r="D506" s="55"/>
      <c r="E506" s="137"/>
      <c r="F506" s="88"/>
      <c r="G506" s="180"/>
      <c r="H506" s="181"/>
      <c r="I506" s="137"/>
      <c r="J506" s="88"/>
      <c r="K506" s="89"/>
      <c r="L506" s="55"/>
      <c r="M506" s="137"/>
      <c r="N506" s="182"/>
      <c r="O506" s="89"/>
      <c r="P506" s="55"/>
      <c r="Q506" s="183"/>
      <c r="R506" s="184"/>
      <c r="S506" s="185"/>
      <c r="T506" s="172"/>
      <c r="U506" s="183"/>
      <c r="V506" s="184"/>
      <c r="W506" s="185"/>
      <c r="X506" s="172"/>
      <c r="Y506" s="137"/>
      <c r="Z506" s="186"/>
      <c r="AA506" s="187"/>
      <c r="AB506" s="188"/>
      <c r="AC506" s="137"/>
      <c r="AD506" s="184"/>
      <c r="AE506" s="189"/>
      <c r="AF506" s="190"/>
      <c r="AG506" s="143"/>
      <c r="AH506" s="143"/>
      <c r="AI506" s="143"/>
      <c r="AJ506" s="143"/>
      <c r="AK506" s="172"/>
      <c r="AL506" s="172"/>
    </row>
    <row r="507">
      <c r="A507" s="137"/>
      <c r="B507" s="88"/>
      <c r="C507" s="89"/>
      <c r="D507" s="55"/>
      <c r="E507" s="137"/>
      <c r="F507" s="88"/>
      <c r="G507" s="180"/>
      <c r="H507" s="181"/>
      <c r="I507" s="137"/>
      <c r="J507" s="88"/>
      <c r="K507" s="89"/>
      <c r="L507" s="55"/>
      <c r="M507" s="137"/>
      <c r="N507" s="182"/>
      <c r="O507" s="89"/>
      <c r="P507" s="55"/>
      <c r="Q507" s="183"/>
      <c r="R507" s="184"/>
      <c r="S507" s="185"/>
      <c r="T507" s="172"/>
      <c r="U507" s="183"/>
      <c r="V507" s="184"/>
      <c r="W507" s="185"/>
      <c r="X507" s="172"/>
      <c r="Y507" s="137"/>
      <c r="Z507" s="186"/>
      <c r="AA507" s="187"/>
      <c r="AB507" s="188"/>
      <c r="AC507" s="137"/>
      <c r="AD507" s="184"/>
      <c r="AE507" s="189"/>
      <c r="AF507" s="190"/>
      <c r="AG507" s="143"/>
      <c r="AH507" s="143"/>
      <c r="AI507" s="143"/>
      <c r="AJ507" s="143"/>
      <c r="AK507" s="172"/>
      <c r="AL507" s="172"/>
    </row>
    <row r="508">
      <c r="A508" s="137"/>
      <c r="B508" s="88"/>
      <c r="C508" s="89"/>
      <c r="D508" s="55"/>
      <c r="E508" s="137"/>
      <c r="F508" s="88"/>
      <c r="G508" s="180"/>
      <c r="H508" s="181"/>
      <c r="I508" s="137"/>
      <c r="J508" s="88"/>
      <c r="K508" s="89"/>
      <c r="L508" s="55"/>
      <c r="M508" s="137"/>
      <c r="N508" s="182"/>
      <c r="O508" s="89"/>
      <c r="P508" s="55"/>
      <c r="Q508" s="183"/>
      <c r="R508" s="184"/>
      <c r="S508" s="185"/>
      <c r="T508" s="172"/>
      <c r="U508" s="183"/>
      <c r="V508" s="184"/>
      <c r="W508" s="185"/>
      <c r="X508" s="172"/>
      <c r="Y508" s="137"/>
      <c r="Z508" s="186"/>
      <c r="AA508" s="187"/>
      <c r="AB508" s="188"/>
      <c r="AC508" s="137"/>
      <c r="AD508" s="184"/>
      <c r="AE508" s="189"/>
      <c r="AF508" s="190"/>
      <c r="AG508" s="143"/>
      <c r="AH508" s="143"/>
      <c r="AI508" s="143"/>
      <c r="AJ508" s="143"/>
      <c r="AK508" s="172"/>
      <c r="AL508" s="172"/>
    </row>
    <row r="509">
      <c r="A509" s="137"/>
      <c r="B509" s="88"/>
      <c r="C509" s="89"/>
      <c r="D509" s="55"/>
      <c r="E509" s="137"/>
      <c r="F509" s="88"/>
      <c r="G509" s="180"/>
      <c r="H509" s="181"/>
      <c r="I509" s="137"/>
      <c r="J509" s="88"/>
      <c r="K509" s="89"/>
      <c r="L509" s="55"/>
      <c r="M509" s="137"/>
      <c r="N509" s="182"/>
      <c r="O509" s="89"/>
      <c r="P509" s="55"/>
      <c r="Q509" s="183"/>
      <c r="R509" s="184"/>
      <c r="S509" s="185"/>
      <c r="T509" s="172"/>
      <c r="U509" s="183"/>
      <c r="V509" s="184"/>
      <c r="W509" s="185"/>
      <c r="X509" s="172"/>
      <c r="Y509" s="137"/>
      <c r="Z509" s="186"/>
      <c r="AA509" s="187"/>
      <c r="AB509" s="188"/>
      <c r="AC509" s="137"/>
      <c r="AD509" s="184"/>
      <c r="AE509" s="189"/>
      <c r="AF509" s="190"/>
      <c r="AG509" s="143"/>
      <c r="AH509" s="143"/>
      <c r="AI509" s="143"/>
      <c r="AJ509" s="143"/>
      <c r="AK509" s="172"/>
      <c r="AL509" s="172"/>
    </row>
    <row r="510">
      <c r="A510" s="137"/>
      <c r="B510" s="88"/>
      <c r="C510" s="89"/>
      <c r="D510" s="55"/>
      <c r="E510" s="137"/>
      <c r="F510" s="88"/>
      <c r="G510" s="180"/>
      <c r="H510" s="181"/>
      <c r="I510" s="137"/>
      <c r="J510" s="88"/>
      <c r="K510" s="89"/>
      <c r="L510" s="55"/>
      <c r="M510" s="137"/>
      <c r="N510" s="182"/>
      <c r="O510" s="89"/>
      <c r="P510" s="55"/>
      <c r="Q510" s="183"/>
      <c r="R510" s="184"/>
      <c r="S510" s="185"/>
      <c r="T510" s="172"/>
      <c r="U510" s="183"/>
      <c r="V510" s="184"/>
      <c r="W510" s="185"/>
      <c r="X510" s="172"/>
      <c r="Y510" s="137"/>
      <c r="Z510" s="186"/>
      <c r="AA510" s="187"/>
      <c r="AB510" s="188"/>
      <c r="AC510" s="137"/>
      <c r="AD510" s="184"/>
      <c r="AE510" s="189"/>
      <c r="AF510" s="190"/>
      <c r="AG510" s="143"/>
      <c r="AH510" s="143"/>
      <c r="AI510" s="143"/>
      <c r="AJ510" s="143"/>
      <c r="AK510" s="172"/>
      <c r="AL510" s="172"/>
    </row>
    <row r="511">
      <c r="A511" s="137"/>
      <c r="B511" s="88"/>
      <c r="C511" s="89"/>
      <c r="D511" s="55"/>
      <c r="E511" s="137"/>
      <c r="F511" s="88"/>
      <c r="G511" s="180"/>
      <c r="H511" s="181"/>
      <c r="I511" s="137"/>
      <c r="J511" s="88"/>
      <c r="K511" s="89"/>
      <c r="L511" s="55"/>
      <c r="M511" s="137"/>
      <c r="N511" s="182"/>
      <c r="O511" s="89"/>
      <c r="P511" s="55"/>
      <c r="Q511" s="183"/>
      <c r="R511" s="184"/>
      <c r="S511" s="185"/>
      <c r="T511" s="172"/>
      <c r="U511" s="183"/>
      <c r="V511" s="184"/>
      <c r="W511" s="185"/>
      <c r="X511" s="172"/>
      <c r="Y511" s="137"/>
      <c r="Z511" s="186"/>
      <c r="AA511" s="187"/>
      <c r="AB511" s="188"/>
      <c r="AC511" s="137"/>
      <c r="AD511" s="184"/>
      <c r="AE511" s="189"/>
      <c r="AF511" s="190"/>
      <c r="AG511" s="143"/>
      <c r="AH511" s="143"/>
      <c r="AI511" s="143"/>
      <c r="AJ511" s="143"/>
      <c r="AK511" s="172"/>
      <c r="AL511" s="172"/>
    </row>
    <row r="512">
      <c r="A512" s="137"/>
      <c r="B512" s="88"/>
      <c r="C512" s="89"/>
      <c r="D512" s="55"/>
      <c r="E512" s="137"/>
      <c r="F512" s="88"/>
      <c r="G512" s="180"/>
      <c r="H512" s="181"/>
      <c r="I512" s="137"/>
      <c r="J512" s="88"/>
      <c r="K512" s="89"/>
      <c r="L512" s="55"/>
      <c r="M512" s="137"/>
      <c r="N512" s="182"/>
      <c r="O512" s="89"/>
      <c r="P512" s="55"/>
      <c r="Q512" s="183"/>
      <c r="R512" s="184"/>
      <c r="S512" s="185"/>
      <c r="T512" s="172"/>
      <c r="U512" s="183"/>
      <c r="V512" s="184"/>
      <c r="W512" s="185"/>
      <c r="X512" s="172"/>
      <c r="Y512" s="137"/>
      <c r="Z512" s="186"/>
      <c r="AA512" s="187"/>
      <c r="AB512" s="188"/>
      <c r="AC512" s="137"/>
      <c r="AD512" s="184"/>
      <c r="AE512" s="189"/>
      <c r="AF512" s="190"/>
      <c r="AG512" s="143"/>
      <c r="AH512" s="143"/>
      <c r="AI512" s="143"/>
      <c r="AJ512" s="143"/>
      <c r="AK512" s="172"/>
      <c r="AL512" s="172"/>
    </row>
    <row r="513">
      <c r="A513" s="137"/>
      <c r="B513" s="88"/>
      <c r="C513" s="89"/>
      <c r="D513" s="55"/>
      <c r="E513" s="137"/>
      <c r="F513" s="88"/>
      <c r="G513" s="180"/>
      <c r="H513" s="181"/>
      <c r="I513" s="137"/>
      <c r="J513" s="88"/>
      <c r="K513" s="89"/>
      <c r="L513" s="55"/>
      <c r="M513" s="137"/>
      <c r="N513" s="182"/>
      <c r="O513" s="89"/>
      <c r="P513" s="55"/>
      <c r="Q513" s="183"/>
      <c r="R513" s="184"/>
      <c r="S513" s="185"/>
      <c r="T513" s="172"/>
      <c r="U513" s="183"/>
      <c r="V513" s="184"/>
      <c r="W513" s="185"/>
      <c r="X513" s="172"/>
      <c r="Y513" s="137"/>
      <c r="Z513" s="186"/>
      <c r="AA513" s="187"/>
      <c r="AB513" s="188"/>
      <c r="AC513" s="137"/>
      <c r="AD513" s="184"/>
      <c r="AE513" s="189"/>
      <c r="AF513" s="190"/>
      <c r="AG513" s="143"/>
      <c r="AH513" s="143"/>
      <c r="AI513" s="143"/>
      <c r="AJ513" s="143"/>
      <c r="AK513" s="172"/>
      <c r="AL513" s="172"/>
    </row>
    <row r="514">
      <c r="A514" s="137"/>
      <c r="B514" s="88"/>
      <c r="C514" s="89"/>
      <c r="D514" s="55"/>
      <c r="E514" s="137"/>
      <c r="F514" s="88"/>
      <c r="G514" s="180"/>
      <c r="H514" s="181"/>
      <c r="I514" s="137"/>
      <c r="J514" s="88"/>
      <c r="K514" s="89"/>
      <c r="L514" s="55"/>
      <c r="M514" s="137"/>
      <c r="N514" s="182"/>
      <c r="O514" s="89"/>
      <c r="P514" s="55"/>
      <c r="Q514" s="183"/>
      <c r="R514" s="184"/>
      <c r="S514" s="185"/>
      <c r="T514" s="172"/>
      <c r="U514" s="183"/>
      <c r="V514" s="184"/>
      <c r="W514" s="185"/>
      <c r="X514" s="172"/>
      <c r="Y514" s="137"/>
      <c r="Z514" s="186"/>
      <c r="AA514" s="187"/>
      <c r="AB514" s="188"/>
      <c r="AC514" s="137"/>
      <c r="AD514" s="184"/>
      <c r="AE514" s="189"/>
      <c r="AF514" s="190"/>
      <c r="AG514" s="143"/>
      <c r="AH514" s="143"/>
      <c r="AI514" s="143"/>
      <c r="AJ514" s="143"/>
      <c r="AK514" s="172"/>
      <c r="AL514" s="172"/>
    </row>
    <row r="515">
      <c r="A515" s="137"/>
      <c r="B515" s="88"/>
      <c r="C515" s="89"/>
      <c r="D515" s="55"/>
      <c r="E515" s="137"/>
      <c r="F515" s="88"/>
      <c r="G515" s="180"/>
      <c r="H515" s="181"/>
      <c r="I515" s="137"/>
      <c r="J515" s="88"/>
      <c r="K515" s="89"/>
      <c r="L515" s="55"/>
      <c r="M515" s="137"/>
      <c r="N515" s="182"/>
      <c r="O515" s="89"/>
      <c r="P515" s="55"/>
      <c r="Q515" s="183"/>
      <c r="R515" s="184"/>
      <c r="S515" s="185"/>
      <c r="T515" s="172"/>
      <c r="U515" s="183"/>
      <c r="V515" s="184"/>
      <c r="W515" s="185"/>
      <c r="X515" s="172"/>
      <c r="Y515" s="137"/>
      <c r="Z515" s="186"/>
      <c r="AA515" s="187"/>
      <c r="AB515" s="188"/>
      <c r="AC515" s="137"/>
      <c r="AD515" s="184"/>
      <c r="AE515" s="189"/>
      <c r="AF515" s="190"/>
      <c r="AG515" s="143"/>
      <c r="AH515" s="143"/>
      <c r="AI515" s="143"/>
      <c r="AJ515" s="143"/>
      <c r="AK515" s="172"/>
      <c r="AL515" s="172"/>
    </row>
    <row r="516">
      <c r="A516" s="137"/>
      <c r="B516" s="88"/>
      <c r="C516" s="89"/>
      <c r="D516" s="55"/>
      <c r="E516" s="137"/>
      <c r="F516" s="88"/>
      <c r="G516" s="180"/>
      <c r="H516" s="181"/>
      <c r="I516" s="137"/>
      <c r="J516" s="88"/>
      <c r="K516" s="89"/>
      <c r="L516" s="55"/>
      <c r="M516" s="137"/>
      <c r="N516" s="182"/>
      <c r="O516" s="89"/>
      <c r="P516" s="55"/>
      <c r="Q516" s="183"/>
      <c r="R516" s="184"/>
      <c r="S516" s="185"/>
      <c r="T516" s="172"/>
      <c r="U516" s="183"/>
      <c r="V516" s="184"/>
      <c r="W516" s="185"/>
      <c r="X516" s="172"/>
      <c r="Y516" s="137"/>
      <c r="Z516" s="186"/>
      <c r="AA516" s="187"/>
      <c r="AB516" s="188"/>
      <c r="AC516" s="137"/>
      <c r="AD516" s="184"/>
      <c r="AE516" s="189"/>
      <c r="AF516" s="190"/>
      <c r="AG516" s="143"/>
      <c r="AH516" s="143"/>
      <c r="AI516" s="143"/>
      <c r="AJ516" s="143"/>
      <c r="AK516" s="172"/>
      <c r="AL516" s="172"/>
    </row>
    <row r="517">
      <c r="A517" s="137"/>
      <c r="B517" s="88"/>
      <c r="C517" s="89"/>
      <c r="D517" s="55"/>
      <c r="E517" s="137"/>
      <c r="F517" s="88"/>
      <c r="G517" s="180"/>
      <c r="H517" s="181"/>
      <c r="I517" s="137"/>
      <c r="J517" s="88"/>
      <c r="K517" s="89"/>
      <c r="L517" s="55"/>
      <c r="M517" s="137"/>
      <c r="N517" s="182"/>
      <c r="O517" s="89"/>
      <c r="P517" s="55"/>
      <c r="Q517" s="183"/>
      <c r="R517" s="184"/>
      <c r="S517" s="185"/>
      <c r="T517" s="172"/>
      <c r="U517" s="183"/>
      <c r="V517" s="184"/>
      <c r="W517" s="185"/>
      <c r="X517" s="172"/>
      <c r="Y517" s="137"/>
      <c r="Z517" s="186"/>
      <c r="AA517" s="187"/>
      <c r="AB517" s="188"/>
      <c r="AC517" s="137"/>
      <c r="AD517" s="184"/>
      <c r="AE517" s="189"/>
      <c r="AF517" s="190"/>
      <c r="AG517" s="143"/>
      <c r="AH517" s="143"/>
      <c r="AI517" s="143"/>
      <c r="AJ517" s="143"/>
      <c r="AK517" s="172"/>
      <c r="AL517" s="172"/>
    </row>
    <row r="518">
      <c r="A518" s="137"/>
      <c r="B518" s="88"/>
      <c r="C518" s="89"/>
      <c r="D518" s="55"/>
      <c r="E518" s="137"/>
      <c r="F518" s="88"/>
      <c r="G518" s="180"/>
      <c r="H518" s="181"/>
      <c r="I518" s="137"/>
      <c r="J518" s="88"/>
      <c r="K518" s="89"/>
      <c r="L518" s="55"/>
      <c r="M518" s="137"/>
      <c r="N518" s="182"/>
      <c r="O518" s="89"/>
      <c r="P518" s="55"/>
      <c r="Q518" s="183"/>
      <c r="R518" s="184"/>
      <c r="S518" s="185"/>
      <c r="T518" s="172"/>
      <c r="U518" s="183"/>
      <c r="V518" s="184"/>
      <c r="W518" s="185"/>
      <c r="X518" s="172"/>
      <c r="Y518" s="137"/>
      <c r="Z518" s="186"/>
      <c r="AA518" s="187"/>
      <c r="AB518" s="188"/>
      <c r="AC518" s="137"/>
      <c r="AD518" s="184"/>
      <c r="AE518" s="189"/>
      <c r="AF518" s="190"/>
      <c r="AG518" s="143"/>
      <c r="AH518" s="143"/>
      <c r="AI518" s="143"/>
      <c r="AJ518" s="143"/>
      <c r="AK518" s="172"/>
      <c r="AL518" s="172"/>
    </row>
    <row r="519">
      <c r="A519" s="137"/>
      <c r="B519" s="88"/>
      <c r="C519" s="89"/>
      <c r="D519" s="55"/>
      <c r="E519" s="137"/>
      <c r="F519" s="88"/>
      <c r="G519" s="180"/>
      <c r="H519" s="181"/>
      <c r="I519" s="137"/>
      <c r="J519" s="88"/>
      <c r="K519" s="89"/>
      <c r="L519" s="55"/>
      <c r="M519" s="137"/>
      <c r="N519" s="182"/>
      <c r="O519" s="89"/>
      <c r="P519" s="55"/>
      <c r="Q519" s="183"/>
      <c r="R519" s="184"/>
      <c r="S519" s="185"/>
      <c r="T519" s="172"/>
      <c r="U519" s="183"/>
      <c r="V519" s="184"/>
      <c r="W519" s="185"/>
      <c r="X519" s="172"/>
      <c r="Y519" s="137"/>
      <c r="Z519" s="186"/>
      <c r="AA519" s="187"/>
      <c r="AB519" s="188"/>
      <c r="AC519" s="137"/>
      <c r="AD519" s="184"/>
      <c r="AE519" s="189"/>
      <c r="AF519" s="190"/>
      <c r="AG519" s="143"/>
      <c r="AH519" s="143"/>
      <c r="AI519" s="143"/>
      <c r="AJ519" s="143"/>
      <c r="AK519" s="172"/>
      <c r="AL519" s="172"/>
    </row>
    <row r="520">
      <c r="A520" s="137"/>
      <c r="B520" s="88"/>
      <c r="C520" s="89"/>
      <c r="D520" s="55"/>
      <c r="E520" s="137"/>
      <c r="F520" s="88"/>
      <c r="G520" s="180"/>
      <c r="H520" s="181"/>
      <c r="I520" s="137"/>
      <c r="J520" s="88"/>
      <c r="K520" s="89"/>
      <c r="L520" s="55"/>
      <c r="M520" s="137"/>
      <c r="N520" s="182"/>
      <c r="O520" s="89"/>
      <c r="P520" s="55"/>
      <c r="Q520" s="183"/>
      <c r="R520" s="184"/>
      <c r="S520" s="185"/>
      <c r="T520" s="172"/>
      <c r="U520" s="183"/>
      <c r="V520" s="184"/>
      <c r="W520" s="185"/>
      <c r="X520" s="172"/>
      <c r="Y520" s="137"/>
      <c r="Z520" s="186"/>
      <c r="AA520" s="187"/>
      <c r="AB520" s="188"/>
      <c r="AC520" s="137"/>
      <c r="AD520" s="184"/>
      <c r="AE520" s="189"/>
      <c r="AF520" s="190"/>
      <c r="AG520" s="143"/>
      <c r="AH520" s="143"/>
      <c r="AI520" s="143"/>
      <c r="AJ520" s="143"/>
      <c r="AK520" s="172"/>
      <c r="AL520" s="172"/>
    </row>
    <row r="521">
      <c r="A521" s="137"/>
      <c r="B521" s="88"/>
      <c r="C521" s="89"/>
      <c r="D521" s="55"/>
      <c r="E521" s="137"/>
      <c r="F521" s="88"/>
      <c r="G521" s="180"/>
      <c r="H521" s="181"/>
      <c r="I521" s="137"/>
      <c r="J521" s="88"/>
      <c r="K521" s="89"/>
      <c r="L521" s="55"/>
      <c r="M521" s="137"/>
      <c r="N521" s="182"/>
      <c r="O521" s="89"/>
      <c r="P521" s="55"/>
      <c r="Q521" s="183"/>
      <c r="R521" s="184"/>
      <c r="S521" s="185"/>
      <c r="T521" s="172"/>
      <c r="U521" s="183"/>
      <c r="V521" s="184"/>
      <c r="W521" s="185"/>
      <c r="X521" s="172"/>
      <c r="Y521" s="137"/>
      <c r="Z521" s="186"/>
      <c r="AA521" s="187"/>
      <c r="AB521" s="188"/>
      <c r="AC521" s="137"/>
      <c r="AD521" s="184"/>
      <c r="AE521" s="189"/>
      <c r="AF521" s="190"/>
      <c r="AG521" s="143"/>
      <c r="AH521" s="143"/>
      <c r="AI521" s="143"/>
      <c r="AJ521" s="143"/>
      <c r="AK521" s="172"/>
      <c r="AL521" s="172"/>
    </row>
    <row r="522">
      <c r="A522" s="137"/>
      <c r="B522" s="88"/>
      <c r="C522" s="89"/>
      <c r="D522" s="55"/>
      <c r="E522" s="137"/>
      <c r="F522" s="88"/>
      <c r="G522" s="180"/>
      <c r="H522" s="181"/>
      <c r="I522" s="137"/>
      <c r="J522" s="88"/>
      <c r="K522" s="89"/>
      <c r="L522" s="55"/>
      <c r="M522" s="137"/>
      <c r="N522" s="182"/>
      <c r="O522" s="89"/>
      <c r="P522" s="55"/>
      <c r="Q522" s="183"/>
      <c r="R522" s="184"/>
      <c r="S522" s="185"/>
      <c r="T522" s="172"/>
      <c r="U522" s="183"/>
      <c r="V522" s="184"/>
      <c r="W522" s="185"/>
      <c r="X522" s="172"/>
      <c r="Y522" s="137"/>
      <c r="Z522" s="186"/>
      <c r="AA522" s="187"/>
      <c r="AB522" s="188"/>
      <c r="AC522" s="137"/>
      <c r="AD522" s="184"/>
      <c r="AE522" s="189"/>
      <c r="AF522" s="190"/>
      <c r="AG522" s="143"/>
      <c r="AH522" s="143"/>
      <c r="AI522" s="143"/>
      <c r="AJ522" s="143"/>
      <c r="AK522" s="172"/>
      <c r="AL522" s="172"/>
    </row>
    <row r="523">
      <c r="A523" s="137"/>
      <c r="B523" s="88"/>
      <c r="C523" s="89"/>
      <c r="D523" s="55"/>
      <c r="E523" s="137"/>
      <c r="F523" s="88"/>
      <c r="G523" s="180"/>
      <c r="H523" s="181"/>
      <c r="I523" s="137"/>
      <c r="J523" s="88"/>
      <c r="K523" s="89"/>
      <c r="L523" s="55"/>
      <c r="M523" s="137"/>
      <c r="N523" s="182"/>
      <c r="O523" s="89"/>
      <c r="P523" s="55"/>
      <c r="Q523" s="183"/>
      <c r="R523" s="184"/>
      <c r="S523" s="185"/>
      <c r="T523" s="172"/>
      <c r="U523" s="183"/>
      <c r="V523" s="184"/>
      <c r="W523" s="185"/>
      <c r="X523" s="172"/>
      <c r="Y523" s="137"/>
      <c r="Z523" s="186"/>
      <c r="AA523" s="187"/>
      <c r="AB523" s="188"/>
      <c r="AC523" s="137"/>
      <c r="AD523" s="184"/>
      <c r="AE523" s="189"/>
      <c r="AF523" s="190"/>
      <c r="AG523" s="143"/>
      <c r="AH523" s="143"/>
      <c r="AI523" s="143"/>
      <c r="AJ523" s="143"/>
      <c r="AK523" s="172"/>
      <c r="AL523" s="172"/>
    </row>
    <row r="524">
      <c r="A524" s="137"/>
      <c r="B524" s="88"/>
      <c r="C524" s="89"/>
      <c r="D524" s="55"/>
      <c r="E524" s="137"/>
      <c r="F524" s="88"/>
      <c r="G524" s="180"/>
      <c r="H524" s="181"/>
      <c r="I524" s="137"/>
      <c r="J524" s="88"/>
      <c r="K524" s="89"/>
      <c r="L524" s="55"/>
      <c r="M524" s="137"/>
      <c r="N524" s="182"/>
      <c r="O524" s="89"/>
      <c r="P524" s="55"/>
      <c r="Q524" s="183"/>
      <c r="R524" s="184"/>
      <c r="S524" s="185"/>
      <c r="T524" s="172"/>
      <c r="U524" s="183"/>
      <c r="V524" s="184"/>
      <c r="W524" s="185"/>
      <c r="X524" s="172"/>
      <c r="Y524" s="137"/>
      <c r="Z524" s="186"/>
      <c r="AA524" s="187"/>
      <c r="AB524" s="188"/>
      <c r="AC524" s="137"/>
      <c r="AD524" s="184"/>
      <c r="AE524" s="189"/>
      <c r="AF524" s="190"/>
      <c r="AG524" s="143"/>
      <c r="AH524" s="143"/>
      <c r="AI524" s="143"/>
      <c r="AJ524" s="143"/>
      <c r="AK524" s="172"/>
      <c r="AL524" s="172"/>
    </row>
    <row r="525">
      <c r="A525" s="137"/>
      <c r="B525" s="88"/>
      <c r="C525" s="89"/>
      <c r="D525" s="55"/>
      <c r="E525" s="137"/>
      <c r="F525" s="88"/>
      <c r="G525" s="180"/>
      <c r="H525" s="181"/>
      <c r="I525" s="137"/>
      <c r="J525" s="88"/>
      <c r="K525" s="89"/>
      <c r="L525" s="55"/>
      <c r="M525" s="137"/>
      <c r="N525" s="182"/>
      <c r="O525" s="89"/>
      <c r="P525" s="55"/>
      <c r="Q525" s="183"/>
      <c r="R525" s="184"/>
      <c r="S525" s="185"/>
      <c r="T525" s="172"/>
      <c r="U525" s="183"/>
      <c r="V525" s="184"/>
      <c r="W525" s="185"/>
      <c r="X525" s="172"/>
      <c r="Y525" s="137"/>
      <c r="Z525" s="186"/>
      <c r="AA525" s="187"/>
      <c r="AB525" s="188"/>
      <c r="AC525" s="137"/>
      <c r="AD525" s="184"/>
      <c r="AE525" s="189"/>
      <c r="AF525" s="190"/>
      <c r="AG525" s="143"/>
      <c r="AH525" s="143"/>
      <c r="AI525" s="143"/>
      <c r="AJ525" s="143"/>
      <c r="AK525" s="172"/>
      <c r="AL525" s="172"/>
    </row>
    <row r="526">
      <c r="A526" s="137"/>
      <c r="B526" s="88"/>
      <c r="C526" s="89"/>
      <c r="D526" s="55"/>
      <c r="E526" s="137"/>
      <c r="F526" s="88"/>
      <c r="G526" s="180"/>
      <c r="H526" s="181"/>
      <c r="I526" s="137"/>
      <c r="J526" s="88"/>
      <c r="K526" s="89"/>
      <c r="L526" s="55"/>
      <c r="M526" s="137"/>
      <c r="N526" s="182"/>
      <c r="O526" s="89"/>
      <c r="P526" s="55"/>
      <c r="Q526" s="183"/>
      <c r="R526" s="184"/>
      <c r="S526" s="185"/>
      <c r="T526" s="172"/>
      <c r="U526" s="183"/>
      <c r="V526" s="184"/>
      <c r="W526" s="185"/>
      <c r="X526" s="172"/>
      <c r="Y526" s="137"/>
      <c r="Z526" s="186"/>
      <c r="AA526" s="187"/>
      <c r="AB526" s="188"/>
      <c r="AC526" s="137"/>
      <c r="AD526" s="184"/>
      <c r="AE526" s="189"/>
      <c r="AF526" s="190"/>
      <c r="AG526" s="143"/>
      <c r="AH526" s="143"/>
      <c r="AI526" s="143"/>
      <c r="AJ526" s="143"/>
      <c r="AK526" s="172"/>
      <c r="AL526" s="172"/>
    </row>
    <row r="527">
      <c r="A527" s="137"/>
      <c r="B527" s="88"/>
      <c r="C527" s="89"/>
      <c r="D527" s="55"/>
      <c r="E527" s="137"/>
      <c r="F527" s="88"/>
      <c r="G527" s="180"/>
      <c r="H527" s="181"/>
      <c r="I527" s="137"/>
      <c r="J527" s="88"/>
      <c r="K527" s="89"/>
      <c r="L527" s="55"/>
      <c r="M527" s="137"/>
      <c r="N527" s="182"/>
      <c r="O527" s="89"/>
      <c r="P527" s="55"/>
      <c r="Q527" s="183"/>
      <c r="R527" s="184"/>
      <c r="S527" s="185"/>
      <c r="T527" s="172"/>
      <c r="U527" s="183"/>
      <c r="V527" s="184"/>
      <c r="W527" s="185"/>
      <c r="X527" s="172"/>
      <c r="Y527" s="137"/>
      <c r="Z527" s="186"/>
      <c r="AA527" s="187"/>
      <c r="AB527" s="188"/>
      <c r="AC527" s="137"/>
      <c r="AD527" s="184"/>
      <c r="AE527" s="189"/>
      <c r="AF527" s="190"/>
      <c r="AG527" s="143"/>
      <c r="AH527" s="143"/>
      <c r="AI527" s="143"/>
      <c r="AJ527" s="143"/>
      <c r="AK527" s="172"/>
      <c r="AL527" s="172"/>
    </row>
    <row r="528">
      <c r="A528" s="137"/>
      <c r="B528" s="88"/>
      <c r="C528" s="89"/>
      <c r="D528" s="55"/>
      <c r="E528" s="137"/>
      <c r="F528" s="88"/>
      <c r="G528" s="180"/>
      <c r="H528" s="181"/>
      <c r="I528" s="137"/>
      <c r="J528" s="88"/>
      <c r="K528" s="89"/>
      <c r="L528" s="55"/>
      <c r="M528" s="137"/>
      <c r="N528" s="182"/>
      <c r="O528" s="89"/>
      <c r="P528" s="55"/>
      <c r="Q528" s="183"/>
      <c r="R528" s="184"/>
      <c r="S528" s="185"/>
      <c r="T528" s="172"/>
      <c r="U528" s="183"/>
      <c r="V528" s="184"/>
      <c r="W528" s="185"/>
      <c r="X528" s="172"/>
      <c r="Y528" s="137"/>
      <c r="Z528" s="186"/>
      <c r="AA528" s="187"/>
      <c r="AB528" s="188"/>
      <c r="AC528" s="137"/>
      <c r="AD528" s="184"/>
      <c r="AE528" s="189"/>
      <c r="AF528" s="190"/>
      <c r="AG528" s="143"/>
      <c r="AH528" s="143"/>
      <c r="AI528" s="143"/>
      <c r="AJ528" s="143"/>
      <c r="AK528" s="172"/>
      <c r="AL528" s="172"/>
    </row>
    <row r="529">
      <c r="A529" s="137"/>
      <c r="B529" s="88"/>
      <c r="C529" s="89"/>
      <c r="D529" s="55"/>
      <c r="E529" s="137"/>
      <c r="F529" s="88"/>
      <c r="G529" s="180"/>
      <c r="H529" s="181"/>
      <c r="I529" s="137"/>
      <c r="J529" s="88"/>
      <c r="K529" s="89"/>
      <c r="L529" s="55"/>
      <c r="M529" s="137"/>
      <c r="N529" s="182"/>
      <c r="O529" s="89"/>
      <c r="P529" s="55"/>
      <c r="Q529" s="183"/>
      <c r="R529" s="184"/>
      <c r="S529" s="185"/>
      <c r="T529" s="172"/>
      <c r="U529" s="183"/>
      <c r="V529" s="184"/>
      <c r="W529" s="185"/>
      <c r="X529" s="172"/>
      <c r="Y529" s="137"/>
      <c r="Z529" s="186"/>
      <c r="AA529" s="187"/>
      <c r="AB529" s="188"/>
      <c r="AC529" s="137"/>
      <c r="AD529" s="184"/>
      <c r="AE529" s="189"/>
      <c r="AF529" s="190"/>
      <c r="AG529" s="143"/>
      <c r="AH529" s="143"/>
      <c r="AI529" s="143"/>
      <c r="AJ529" s="143"/>
      <c r="AK529" s="172"/>
      <c r="AL529" s="172"/>
    </row>
    <row r="530">
      <c r="A530" s="137"/>
      <c r="B530" s="88"/>
      <c r="C530" s="89"/>
      <c r="D530" s="55"/>
      <c r="E530" s="137"/>
      <c r="F530" s="88"/>
      <c r="G530" s="180"/>
      <c r="H530" s="181"/>
      <c r="I530" s="137"/>
      <c r="J530" s="88"/>
      <c r="K530" s="89"/>
      <c r="L530" s="55"/>
      <c r="M530" s="137"/>
      <c r="N530" s="182"/>
      <c r="O530" s="89"/>
      <c r="P530" s="55"/>
      <c r="Q530" s="183"/>
      <c r="R530" s="184"/>
      <c r="S530" s="185"/>
      <c r="T530" s="172"/>
      <c r="U530" s="183"/>
      <c r="V530" s="184"/>
      <c r="W530" s="185"/>
      <c r="X530" s="172"/>
      <c r="Y530" s="137"/>
      <c r="Z530" s="186"/>
      <c r="AA530" s="187"/>
      <c r="AB530" s="188"/>
      <c r="AC530" s="137"/>
      <c r="AD530" s="184"/>
      <c r="AE530" s="189"/>
      <c r="AF530" s="190"/>
      <c r="AG530" s="143"/>
      <c r="AH530" s="143"/>
      <c r="AI530" s="143"/>
      <c r="AJ530" s="143"/>
      <c r="AK530" s="172"/>
      <c r="AL530" s="172"/>
    </row>
    <row r="531">
      <c r="A531" s="137"/>
      <c r="B531" s="88"/>
      <c r="C531" s="89"/>
      <c r="D531" s="55"/>
      <c r="E531" s="137"/>
      <c r="F531" s="88"/>
      <c r="G531" s="180"/>
      <c r="H531" s="181"/>
      <c r="I531" s="137"/>
      <c r="J531" s="88"/>
      <c r="K531" s="89"/>
      <c r="L531" s="55"/>
      <c r="M531" s="137"/>
      <c r="N531" s="182"/>
      <c r="O531" s="89"/>
      <c r="P531" s="55"/>
      <c r="Q531" s="183"/>
      <c r="R531" s="184"/>
      <c r="S531" s="185"/>
      <c r="T531" s="172"/>
      <c r="U531" s="183"/>
      <c r="V531" s="184"/>
      <c r="W531" s="185"/>
      <c r="X531" s="172"/>
      <c r="Y531" s="137"/>
      <c r="Z531" s="186"/>
      <c r="AA531" s="187"/>
      <c r="AB531" s="188"/>
      <c r="AC531" s="137"/>
      <c r="AD531" s="184"/>
      <c r="AE531" s="189"/>
      <c r="AF531" s="190"/>
      <c r="AG531" s="143"/>
      <c r="AH531" s="143"/>
      <c r="AI531" s="143"/>
      <c r="AJ531" s="143"/>
      <c r="AK531" s="172"/>
      <c r="AL531" s="172"/>
    </row>
    <row r="532">
      <c r="A532" s="137"/>
      <c r="B532" s="88"/>
      <c r="C532" s="89"/>
      <c r="D532" s="55"/>
      <c r="E532" s="137"/>
      <c r="F532" s="88"/>
      <c r="G532" s="180"/>
      <c r="H532" s="181"/>
      <c r="I532" s="137"/>
      <c r="J532" s="88"/>
      <c r="K532" s="89"/>
      <c r="L532" s="55"/>
      <c r="M532" s="137"/>
      <c r="N532" s="182"/>
      <c r="O532" s="89"/>
      <c r="P532" s="55"/>
      <c r="Q532" s="183"/>
      <c r="R532" s="184"/>
      <c r="S532" s="185"/>
      <c r="T532" s="172"/>
      <c r="U532" s="183"/>
      <c r="V532" s="184"/>
      <c r="W532" s="185"/>
      <c r="X532" s="172"/>
      <c r="Y532" s="137"/>
      <c r="Z532" s="186"/>
      <c r="AA532" s="187"/>
      <c r="AB532" s="188"/>
      <c r="AC532" s="137"/>
      <c r="AD532" s="184"/>
      <c r="AE532" s="189"/>
      <c r="AF532" s="190"/>
      <c r="AG532" s="143"/>
      <c r="AH532" s="143"/>
      <c r="AI532" s="143"/>
      <c r="AJ532" s="143"/>
      <c r="AK532" s="172"/>
      <c r="AL532" s="172"/>
    </row>
    <row r="533">
      <c r="A533" s="137"/>
      <c r="B533" s="88"/>
      <c r="C533" s="89"/>
      <c r="D533" s="55"/>
      <c r="E533" s="137"/>
      <c r="F533" s="88"/>
      <c r="G533" s="180"/>
      <c r="H533" s="181"/>
      <c r="I533" s="137"/>
      <c r="J533" s="88"/>
      <c r="K533" s="89"/>
      <c r="L533" s="55"/>
      <c r="M533" s="137"/>
      <c r="N533" s="182"/>
      <c r="O533" s="89"/>
      <c r="P533" s="55"/>
      <c r="Q533" s="183"/>
      <c r="R533" s="184"/>
      <c r="S533" s="185"/>
      <c r="T533" s="172"/>
      <c r="U533" s="183"/>
      <c r="V533" s="184"/>
      <c r="W533" s="185"/>
      <c r="X533" s="172"/>
      <c r="Y533" s="137"/>
      <c r="Z533" s="186"/>
      <c r="AA533" s="187"/>
      <c r="AB533" s="188"/>
      <c r="AC533" s="137"/>
      <c r="AD533" s="184"/>
      <c r="AE533" s="189"/>
      <c r="AF533" s="190"/>
      <c r="AG533" s="143"/>
      <c r="AH533" s="143"/>
      <c r="AI533" s="143"/>
      <c r="AJ533" s="143"/>
      <c r="AK533" s="172"/>
      <c r="AL533" s="172"/>
    </row>
    <row r="534">
      <c r="A534" s="137"/>
      <c r="B534" s="88"/>
      <c r="C534" s="89"/>
      <c r="D534" s="55"/>
      <c r="E534" s="137"/>
      <c r="F534" s="88"/>
      <c r="G534" s="180"/>
      <c r="H534" s="181"/>
      <c r="I534" s="137"/>
      <c r="J534" s="88"/>
      <c r="K534" s="89"/>
      <c r="L534" s="55"/>
      <c r="M534" s="137"/>
      <c r="N534" s="182"/>
      <c r="O534" s="89"/>
      <c r="P534" s="55"/>
      <c r="Q534" s="183"/>
      <c r="R534" s="184"/>
      <c r="S534" s="185"/>
      <c r="T534" s="172"/>
      <c r="U534" s="183"/>
      <c r="V534" s="184"/>
      <c r="W534" s="185"/>
      <c r="X534" s="172"/>
      <c r="Y534" s="137"/>
      <c r="Z534" s="186"/>
      <c r="AA534" s="187"/>
      <c r="AB534" s="188"/>
      <c r="AC534" s="137"/>
      <c r="AD534" s="184"/>
      <c r="AE534" s="189"/>
      <c r="AF534" s="190"/>
      <c r="AG534" s="143"/>
      <c r="AH534" s="143"/>
      <c r="AI534" s="143"/>
      <c r="AJ534" s="143"/>
      <c r="AK534" s="172"/>
      <c r="AL534" s="172"/>
    </row>
    <row r="535">
      <c r="A535" s="137"/>
      <c r="B535" s="88"/>
      <c r="C535" s="89"/>
      <c r="D535" s="55"/>
      <c r="E535" s="137"/>
      <c r="F535" s="88"/>
      <c r="G535" s="180"/>
      <c r="H535" s="181"/>
      <c r="I535" s="137"/>
      <c r="J535" s="88"/>
      <c r="K535" s="89"/>
      <c r="L535" s="55"/>
      <c r="M535" s="137"/>
      <c r="N535" s="182"/>
      <c r="O535" s="89"/>
      <c r="P535" s="55"/>
      <c r="Q535" s="183"/>
      <c r="R535" s="184"/>
      <c r="S535" s="185"/>
      <c r="T535" s="172"/>
      <c r="U535" s="183"/>
      <c r="V535" s="184"/>
      <c r="W535" s="185"/>
      <c r="X535" s="172"/>
      <c r="Y535" s="137"/>
      <c r="Z535" s="186"/>
      <c r="AA535" s="187"/>
      <c r="AB535" s="188"/>
      <c r="AC535" s="137"/>
      <c r="AD535" s="184"/>
      <c r="AE535" s="189"/>
      <c r="AF535" s="190"/>
      <c r="AG535" s="143"/>
      <c r="AH535" s="143"/>
      <c r="AI535" s="143"/>
      <c r="AJ535" s="143"/>
      <c r="AK535" s="172"/>
      <c r="AL535" s="172"/>
    </row>
    <row r="536">
      <c r="A536" s="137"/>
      <c r="B536" s="88"/>
      <c r="C536" s="89"/>
      <c r="D536" s="55"/>
      <c r="E536" s="137"/>
      <c r="F536" s="88"/>
      <c r="G536" s="180"/>
      <c r="H536" s="181"/>
      <c r="I536" s="137"/>
      <c r="J536" s="88"/>
      <c r="K536" s="89"/>
      <c r="L536" s="55"/>
      <c r="M536" s="137"/>
      <c r="N536" s="182"/>
      <c r="O536" s="89"/>
      <c r="P536" s="55"/>
      <c r="Q536" s="183"/>
      <c r="R536" s="184"/>
      <c r="S536" s="185"/>
      <c r="T536" s="172"/>
      <c r="U536" s="183"/>
      <c r="V536" s="184"/>
      <c r="W536" s="185"/>
      <c r="X536" s="172"/>
      <c r="Y536" s="137"/>
      <c r="Z536" s="186"/>
      <c r="AA536" s="187"/>
      <c r="AB536" s="188"/>
      <c r="AC536" s="137"/>
      <c r="AD536" s="184"/>
      <c r="AE536" s="189"/>
      <c r="AF536" s="190"/>
      <c r="AG536" s="143"/>
      <c r="AH536" s="143"/>
      <c r="AI536" s="143"/>
      <c r="AJ536" s="143"/>
      <c r="AK536" s="172"/>
      <c r="AL536" s="172"/>
    </row>
    <row r="537">
      <c r="A537" s="137"/>
      <c r="B537" s="88"/>
      <c r="C537" s="89"/>
      <c r="D537" s="55"/>
      <c r="E537" s="137"/>
      <c r="F537" s="88"/>
      <c r="G537" s="180"/>
      <c r="H537" s="181"/>
      <c r="I537" s="137"/>
      <c r="J537" s="88"/>
      <c r="K537" s="89"/>
      <c r="L537" s="55"/>
      <c r="M537" s="137"/>
      <c r="N537" s="182"/>
      <c r="O537" s="89"/>
      <c r="P537" s="55"/>
      <c r="Q537" s="183"/>
      <c r="R537" s="184"/>
      <c r="S537" s="185"/>
      <c r="T537" s="172"/>
      <c r="U537" s="183"/>
      <c r="V537" s="184"/>
      <c r="W537" s="185"/>
      <c r="X537" s="172"/>
      <c r="Y537" s="137"/>
      <c r="Z537" s="186"/>
      <c r="AA537" s="187"/>
      <c r="AB537" s="188"/>
      <c r="AC537" s="137"/>
      <c r="AD537" s="184"/>
      <c r="AE537" s="189"/>
      <c r="AF537" s="190"/>
      <c r="AG537" s="143"/>
      <c r="AH537" s="143"/>
      <c r="AI537" s="143"/>
      <c r="AJ537" s="143"/>
      <c r="AK537" s="172"/>
      <c r="AL537" s="172"/>
    </row>
    <row r="538">
      <c r="A538" s="137"/>
      <c r="B538" s="88"/>
      <c r="C538" s="89"/>
      <c r="D538" s="55"/>
      <c r="E538" s="137"/>
      <c r="F538" s="88"/>
      <c r="G538" s="180"/>
      <c r="H538" s="181"/>
      <c r="I538" s="137"/>
      <c r="J538" s="88"/>
      <c r="K538" s="89"/>
      <c r="L538" s="55"/>
      <c r="M538" s="137"/>
      <c r="N538" s="182"/>
      <c r="O538" s="89"/>
      <c r="P538" s="55"/>
      <c r="Q538" s="183"/>
      <c r="R538" s="184"/>
      <c r="S538" s="185"/>
      <c r="T538" s="172"/>
      <c r="U538" s="183"/>
      <c r="V538" s="184"/>
      <c r="W538" s="185"/>
      <c r="X538" s="172"/>
      <c r="Y538" s="137"/>
      <c r="Z538" s="186"/>
      <c r="AA538" s="187"/>
      <c r="AB538" s="188"/>
      <c r="AC538" s="137"/>
      <c r="AD538" s="184"/>
      <c r="AE538" s="189"/>
      <c r="AF538" s="190"/>
      <c r="AG538" s="143"/>
      <c r="AH538" s="143"/>
      <c r="AI538" s="143"/>
      <c r="AJ538" s="143"/>
      <c r="AK538" s="172"/>
      <c r="AL538" s="172"/>
    </row>
    <row r="539">
      <c r="A539" s="137"/>
      <c r="B539" s="88"/>
      <c r="C539" s="89"/>
      <c r="D539" s="55"/>
      <c r="E539" s="137"/>
      <c r="F539" s="88"/>
      <c r="G539" s="180"/>
      <c r="H539" s="181"/>
      <c r="I539" s="137"/>
      <c r="J539" s="88"/>
      <c r="K539" s="89"/>
      <c r="L539" s="55"/>
      <c r="M539" s="137"/>
      <c r="N539" s="182"/>
      <c r="O539" s="89"/>
      <c r="P539" s="55"/>
      <c r="Q539" s="183"/>
      <c r="R539" s="184"/>
      <c r="S539" s="185"/>
      <c r="T539" s="172"/>
      <c r="U539" s="183"/>
      <c r="V539" s="184"/>
      <c r="W539" s="185"/>
      <c r="X539" s="172"/>
      <c r="Y539" s="137"/>
      <c r="Z539" s="186"/>
      <c r="AA539" s="187"/>
      <c r="AB539" s="188"/>
      <c r="AC539" s="137"/>
      <c r="AD539" s="184"/>
      <c r="AE539" s="189"/>
      <c r="AF539" s="190"/>
      <c r="AG539" s="143"/>
      <c r="AH539" s="143"/>
      <c r="AI539" s="143"/>
      <c r="AJ539" s="143"/>
      <c r="AK539" s="172"/>
      <c r="AL539" s="172"/>
    </row>
    <row r="540">
      <c r="A540" s="137"/>
      <c r="B540" s="88"/>
      <c r="C540" s="89"/>
      <c r="D540" s="55"/>
      <c r="E540" s="137"/>
      <c r="F540" s="88"/>
      <c r="G540" s="180"/>
      <c r="H540" s="181"/>
      <c r="I540" s="137"/>
      <c r="J540" s="88"/>
      <c r="K540" s="89"/>
      <c r="L540" s="55"/>
      <c r="M540" s="137"/>
      <c r="N540" s="182"/>
      <c r="O540" s="89"/>
      <c r="P540" s="55"/>
      <c r="Q540" s="183"/>
      <c r="R540" s="184"/>
      <c r="S540" s="185"/>
      <c r="T540" s="172"/>
      <c r="U540" s="183"/>
      <c r="V540" s="184"/>
      <c r="W540" s="185"/>
      <c r="X540" s="172"/>
      <c r="Y540" s="137"/>
      <c r="Z540" s="186"/>
      <c r="AA540" s="187"/>
      <c r="AB540" s="188"/>
      <c r="AC540" s="137"/>
      <c r="AD540" s="184"/>
      <c r="AE540" s="189"/>
      <c r="AF540" s="190"/>
      <c r="AG540" s="143"/>
      <c r="AH540" s="143"/>
      <c r="AI540" s="143"/>
      <c r="AJ540" s="143"/>
      <c r="AK540" s="172"/>
      <c r="AL540" s="172"/>
    </row>
    <row r="541">
      <c r="A541" s="137"/>
      <c r="B541" s="88"/>
      <c r="C541" s="89"/>
      <c r="D541" s="55"/>
      <c r="E541" s="137"/>
      <c r="F541" s="88"/>
      <c r="G541" s="180"/>
      <c r="H541" s="181"/>
      <c r="I541" s="137"/>
      <c r="J541" s="88"/>
      <c r="K541" s="89"/>
      <c r="L541" s="55"/>
      <c r="M541" s="137"/>
      <c r="N541" s="182"/>
      <c r="O541" s="89"/>
      <c r="P541" s="55"/>
      <c r="Q541" s="183"/>
      <c r="R541" s="184"/>
      <c r="S541" s="185"/>
      <c r="T541" s="172"/>
      <c r="U541" s="183"/>
      <c r="V541" s="184"/>
      <c r="W541" s="185"/>
      <c r="X541" s="172"/>
      <c r="Y541" s="137"/>
      <c r="Z541" s="186"/>
      <c r="AA541" s="187"/>
      <c r="AB541" s="188"/>
      <c r="AC541" s="137"/>
      <c r="AD541" s="184"/>
      <c r="AE541" s="189"/>
      <c r="AF541" s="190"/>
      <c r="AG541" s="143"/>
      <c r="AH541" s="143"/>
      <c r="AI541" s="143"/>
      <c r="AJ541" s="143"/>
      <c r="AK541" s="172"/>
      <c r="AL541" s="172"/>
    </row>
    <row r="542">
      <c r="A542" s="137"/>
      <c r="B542" s="88"/>
      <c r="C542" s="89"/>
      <c r="D542" s="55"/>
      <c r="E542" s="137"/>
      <c r="F542" s="88"/>
      <c r="G542" s="180"/>
      <c r="H542" s="181"/>
      <c r="I542" s="137"/>
      <c r="J542" s="88"/>
      <c r="K542" s="89"/>
      <c r="L542" s="55"/>
      <c r="M542" s="137"/>
      <c r="N542" s="182"/>
      <c r="O542" s="89"/>
      <c r="P542" s="55"/>
      <c r="Q542" s="183"/>
      <c r="R542" s="184"/>
      <c r="S542" s="185"/>
      <c r="T542" s="172"/>
      <c r="U542" s="183"/>
      <c r="V542" s="184"/>
      <c r="W542" s="185"/>
      <c r="X542" s="172"/>
      <c r="Y542" s="137"/>
      <c r="Z542" s="186"/>
      <c r="AA542" s="187"/>
      <c r="AB542" s="188"/>
      <c r="AC542" s="137"/>
      <c r="AD542" s="184"/>
      <c r="AE542" s="189"/>
      <c r="AF542" s="190"/>
      <c r="AG542" s="143"/>
      <c r="AH542" s="143"/>
      <c r="AI542" s="143"/>
      <c r="AJ542" s="143"/>
      <c r="AK542" s="172"/>
      <c r="AL542" s="172"/>
    </row>
    <row r="543">
      <c r="A543" s="137"/>
      <c r="B543" s="88"/>
      <c r="C543" s="89"/>
      <c r="D543" s="55"/>
      <c r="E543" s="137"/>
      <c r="F543" s="88"/>
      <c r="G543" s="180"/>
      <c r="H543" s="181"/>
      <c r="I543" s="137"/>
      <c r="J543" s="88"/>
      <c r="K543" s="89"/>
      <c r="L543" s="55"/>
      <c r="M543" s="137"/>
      <c r="N543" s="182"/>
      <c r="O543" s="89"/>
      <c r="P543" s="55"/>
      <c r="Q543" s="183"/>
      <c r="R543" s="184"/>
      <c r="S543" s="185"/>
      <c r="T543" s="172"/>
      <c r="U543" s="183"/>
      <c r="V543" s="184"/>
      <c r="W543" s="185"/>
      <c r="X543" s="172"/>
      <c r="Y543" s="137"/>
      <c r="Z543" s="186"/>
      <c r="AA543" s="187"/>
      <c r="AB543" s="188"/>
      <c r="AC543" s="137"/>
      <c r="AD543" s="184"/>
      <c r="AE543" s="189"/>
      <c r="AF543" s="190"/>
      <c r="AG543" s="143"/>
      <c r="AH543" s="143"/>
      <c r="AI543" s="143"/>
      <c r="AJ543" s="143"/>
      <c r="AK543" s="172"/>
      <c r="AL543" s="172"/>
    </row>
    <row r="544">
      <c r="A544" s="137"/>
      <c r="B544" s="88"/>
      <c r="C544" s="89"/>
      <c r="D544" s="55"/>
      <c r="E544" s="137"/>
      <c r="F544" s="88"/>
      <c r="G544" s="180"/>
      <c r="H544" s="181"/>
      <c r="I544" s="137"/>
      <c r="J544" s="88"/>
      <c r="K544" s="89"/>
      <c r="L544" s="55"/>
      <c r="M544" s="137"/>
      <c r="N544" s="182"/>
      <c r="O544" s="89"/>
      <c r="P544" s="55"/>
      <c r="Q544" s="183"/>
      <c r="R544" s="184"/>
      <c r="S544" s="185"/>
      <c r="T544" s="172"/>
      <c r="U544" s="183"/>
      <c r="V544" s="184"/>
      <c r="W544" s="185"/>
      <c r="X544" s="172"/>
      <c r="Y544" s="137"/>
      <c r="Z544" s="186"/>
      <c r="AA544" s="187"/>
      <c r="AB544" s="188"/>
      <c r="AC544" s="137"/>
      <c r="AD544" s="184"/>
      <c r="AE544" s="189"/>
      <c r="AF544" s="190"/>
      <c r="AG544" s="143"/>
      <c r="AH544" s="143"/>
      <c r="AI544" s="143"/>
      <c r="AJ544" s="143"/>
      <c r="AK544" s="172"/>
      <c r="AL544" s="172"/>
    </row>
    <row r="545">
      <c r="A545" s="137"/>
      <c r="B545" s="88"/>
      <c r="C545" s="89"/>
      <c r="D545" s="55"/>
      <c r="E545" s="137"/>
      <c r="F545" s="88"/>
      <c r="G545" s="180"/>
      <c r="H545" s="181"/>
      <c r="I545" s="137"/>
      <c r="J545" s="88"/>
      <c r="K545" s="89"/>
      <c r="L545" s="55"/>
      <c r="M545" s="137"/>
      <c r="N545" s="182"/>
      <c r="O545" s="89"/>
      <c r="P545" s="55"/>
      <c r="Q545" s="183"/>
      <c r="R545" s="184"/>
      <c r="S545" s="185"/>
      <c r="T545" s="172"/>
      <c r="U545" s="183"/>
      <c r="V545" s="184"/>
      <c r="W545" s="185"/>
      <c r="X545" s="172"/>
      <c r="Y545" s="137"/>
      <c r="Z545" s="186"/>
      <c r="AA545" s="187"/>
      <c r="AB545" s="188"/>
      <c r="AC545" s="137"/>
      <c r="AD545" s="184"/>
      <c r="AE545" s="189"/>
      <c r="AF545" s="190"/>
      <c r="AG545" s="143"/>
      <c r="AH545" s="143"/>
      <c r="AI545" s="143"/>
      <c r="AJ545" s="143"/>
      <c r="AK545" s="172"/>
      <c r="AL545" s="172"/>
    </row>
    <row r="546">
      <c r="A546" s="137"/>
      <c r="B546" s="88"/>
      <c r="C546" s="89"/>
      <c r="D546" s="55"/>
      <c r="E546" s="137"/>
      <c r="F546" s="88"/>
      <c r="G546" s="180"/>
      <c r="H546" s="181"/>
      <c r="I546" s="137"/>
      <c r="J546" s="88"/>
      <c r="K546" s="89"/>
      <c r="L546" s="55"/>
      <c r="M546" s="137"/>
      <c r="N546" s="182"/>
      <c r="O546" s="89"/>
      <c r="P546" s="55"/>
      <c r="Q546" s="183"/>
      <c r="R546" s="184"/>
      <c r="S546" s="185"/>
      <c r="T546" s="172"/>
      <c r="U546" s="183"/>
      <c r="V546" s="184"/>
      <c r="W546" s="185"/>
      <c r="X546" s="172"/>
      <c r="Y546" s="137"/>
      <c r="Z546" s="186"/>
      <c r="AA546" s="187"/>
      <c r="AB546" s="188"/>
      <c r="AC546" s="137"/>
      <c r="AD546" s="184"/>
      <c r="AE546" s="189"/>
      <c r="AF546" s="190"/>
      <c r="AG546" s="143"/>
      <c r="AH546" s="143"/>
      <c r="AI546" s="143"/>
      <c r="AJ546" s="143"/>
      <c r="AK546" s="172"/>
      <c r="AL546" s="172"/>
    </row>
    <row r="547">
      <c r="A547" s="137"/>
      <c r="B547" s="88"/>
      <c r="C547" s="89"/>
      <c r="D547" s="55"/>
      <c r="E547" s="137"/>
      <c r="F547" s="88"/>
      <c r="G547" s="180"/>
      <c r="H547" s="181"/>
      <c r="I547" s="137"/>
      <c r="J547" s="88"/>
      <c r="K547" s="89"/>
      <c r="L547" s="55"/>
      <c r="M547" s="137"/>
      <c r="N547" s="182"/>
      <c r="O547" s="89"/>
      <c r="P547" s="55"/>
      <c r="Q547" s="183"/>
      <c r="R547" s="184"/>
      <c r="S547" s="185"/>
      <c r="T547" s="172"/>
      <c r="U547" s="183"/>
      <c r="V547" s="184"/>
      <c r="W547" s="185"/>
      <c r="X547" s="172"/>
      <c r="Y547" s="137"/>
      <c r="Z547" s="186"/>
      <c r="AA547" s="187"/>
      <c r="AB547" s="188"/>
      <c r="AC547" s="137"/>
      <c r="AD547" s="184"/>
      <c r="AE547" s="189"/>
      <c r="AF547" s="190"/>
      <c r="AG547" s="143"/>
      <c r="AH547" s="143"/>
      <c r="AI547" s="143"/>
      <c r="AJ547" s="143"/>
      <c r="AK547" s="172"/>
      <c r="AL547" s="172"/>
    </row>
    <row r="548">
      <c r="A548" s="137"/>
      <c r="B548" s="88"/>
      <c r="C548" s="89"/>
      <c r="D548" s="55"/>
      <c r="E548" s="137"/>
      <c r="F548" s="88"/>
      <c r="G548" s="180"/>
      <c r="H548" s="181"/>
      <c r="I548" s="137"/>
      <c r="J548" s="88"/>
      <c r="K548" s="89"/>
      <c r="L548" s="55"/>
      <c r="M548" s="137"/>
      <c r="N548" s="182"/>
      <c r="O548" s="89"/>
      <c r="P548" s="55"/>
      <c r="Q548" s="183"/>
      <c r="R548" s="184"/>
      <c r="S548" s="185"/>
      <c r="T548" s="172"/>
      <c r="U548" s="183"/>
      <c r="V548" s="184"/>
      <c r="W548" s="185"/>
      <c r="X548" s="172"/>
      <c r="Y548" s="137"/>
      <c r="Z548" s="186"/>
      <c r="AA548" s="187"/>
      <c r="AB548" s="188"/>
      <c r="AC548" s="137"/>
      <c r="AD548" s="184"/>
      <c r="AE548" s="189"/>
      <c r="AF548" s="190"/>
      <c r="AG548" s="143"/>
      <c r="AH548" s="143"/>
      <c r="AI548" s="143"/>
      <c r="AJ548" s="143"/>
      <c r="AK548" s="172"/>
      <c r="AL548" s="172"/>
    </row>
    <row r="549">
      <c r="A549" s="137"/>
      <c r="B549" s="88"/>
      <c r="C549" s="89"/>
      <c r="D549" s="55"/>
      <c r="E549" s="137"/>
      <c r="F549" s="88"/>
      <c r="G549" s="180"/>
      <c r="H549" s="181"/>
      <c r="I549" s="137"/>
      <c r="J549" s="88"/>
      <c r="K549" s="89"/>
      <c r="L549" s="55"/>
      <c r="M549" s="137"/>
      <c r="N549" s="182"/>
      <c r="O549" s="89"/>
      <c r="P549" s="55"/>
      <c r="Q549" s="183"/>
      <c r="R549" s="184"/>
      <c r="S549" s="185"/>
      <c r="T549" s="172"/>
      <c r="U549" s="183"/>
      <c r="V549" s="184"/>
      <c r="W549" s="185"/>
      <c r="X549" s="172"/>
      <c r="Y549" s="137"/>
      <c r="Z549" s="186"/>
      <c r="AA549" s="187"/>
      <c r="AB549" s="188"/>
      <c r="AC549" s="137"/>
      <c r="AD549" s="184"/>
      <c r="AE549" s="189"/>
      <c r="AF549" s="190"/>
      <c r="AG549" s="143"/>
      <c r="AH549" s="143"/>
      <c r="AI549" s="143"/>
      <c r="AJ549" s="143"/>
      <c r="AK549" s="172"/>
      <c r="AL549" s="172"/>
    </row>
    <row r="550">
      <c r="A550" s="137"/>
      <c r="B550" s="88"/>
      <c r="C550" s="89"/>
      <c r="D550" s="55"/>
      <c r="E550" s="137"/>
      <c r="F550" s="88"/>
      <c r="G550" s="180"/>
      <c r="H550" s="181"/>
      <c r="I550" s="137"/>
      <c r="J550" s="88"/>
      <c r="K550" s="89"/>
      <c r="L550" s="55"/>
      <c r="M550" s="137"/>
      <c r="N550" s="182"/>
      <c r="O550" s="89"/>
      <c r="P550" s="55"/>
      <c r="Q550" s="183"/>
      <c r="R550" s="184"/>
      <c r="S550" s="185"/>
      <c r="T550" s="172"/>
      <c r="U550" s="183"/>
      <c r="V550" s="184"/>
      <c r="W550" s="185"/>
      <c r="X550" s="172"/>
      <c r="Y550" s="137"/>
      <c r="Z550" s="186"/>
      <c r="AA550" s="187"/>
      <c r="AB550" s="188"/>
      <c r="AC550" s="137"/>
      <c r="AD550" s="184"/>
      <c r="AE550" s="189"/>
      <c r="AF550" s="190"/>
      <c r="AG550" s="143"/>
      <c r="AH550" s="143"/>
      <c r="AI550" s="143"/>
      <c r="AJ550" s="143"/>
      <c r="AK550" s="172"/>
      <c r="AL550" s="172"/>
    </row>
    <row r="551">
      <c r="A551" s="137"/>
      <c r="B551" s="88"/>
      <c r="C551" s="89"/>
      <c r="D551" s="55"/>
      <c r="E551" s="137"/>
      <c r="F551" s="88"/>
      <c r="G551" s="180"/>
      <c r="H551" s="181"/>
      <c r="I551" s="137"/>
      <c r="J551" s="88"/>
      <c r="K551" s="89"/>
      <c r="L551" s="55"/>
      <c r="M551" s="137"/>
      <c r="N551" s="182"/>
      <c r="O551" s="89"/>
      <c r="P551" s="55"/>
      <c r="Q551" s="183"/>
      <c r="R551" s="184"/>
      <c r="S551" s="185"/>
      <c r="T551" s="172"/>
      <c r="U551" s="183"/>
      <c r="V551" s="184"/>
      <c r="W551" s="185"/>
      <c r="X551" s="172"/>
      <c r="Y551" s="137"/>
      <c r="Z551" s="186"/>
      <c r="AA551" s="187"/>
      <c r="AB551" s="188"/>
      <c r="AC551" s="137"/>
      <c r="AD551" s="184"/>
      <c r="AE551" s="189"/>
      <c r="AF551" s="190"/>
      <c r="AG551" s="143"/>
      <c r="AH551" s="143"/>
      <c r="AI551" s="143"/>
      <c r="AJ551" s="143"/>
      <c r="AK551" s="172"/>
      <c r="AL551" s="172"/>
    </row>
    <row r="552">
      <c r="A552" s="137"/>
      <c r="B552" s="88"/>
      <c r="C552" s="89"/>
      <c r="D552" s="55"/>
      <c r="E552" s="137"/>
      <c r="F552" s="88"/>
      <c r="G552" s="180"/>
      <c r="H552" s="181"/>
      <c r="I552" s="137"/>
      <c r="J552" s="88"/>
      <c r="K552" s="89"/>
      <c r="L552" s="55"/>
      <c r="M552" s="137"/>
      <c r="N552" s="182"/>
      <c r="O552" s="89"/>
      <c r="P552" s="55"/>
      <c r="Q552" s="183"/>
      <c r="R552" s="184"/>
      <c r="S552" s="185"/>
      <c r="T552" s="172"/>
      <c r="U552" s="183"/>
      <c r="V552" s="184"/>
      <c r="W552" s="185"/>
      <c r="X552" s="172"/>
      <c r="Y552" s="137"/>
      <c r="Z552" s="186"/>
      <c r="AA552" s="187"/>
      <c r="AB552" s="188"/>
      <c r="AC552" s="137"/>
      <c r="AD552" s="184"/>
      <c r="AE552" s="189"/>
      <c r="AF552" s="190"/>
      <c r="AG552" s="143"/>
      <c r="AH552" s="143"/>
      <c r="AI552" s="143"/>
      <c r="AJ552" s="143"/>
      <c r="AK552" s="172"/>
      <c r="AL552" s="172"/>
    </row>
    <row r="553">
      <c r="A553" s="137"/>
      <c r="B553" s="88"/>
      <c r="C553" s="89"/>
      <c r="D553" s="55"/>
      <c r="E553" s="137"/>
      <c r="F553" s="88"/>
      <c r="G553" s="180"/>
      <c r="H553" s="181"/>
      <c r="I553" s="137"/>
      <c r="J553" s="88"/>
      <c r="K553" s="89"/>
      <c r="L553" s="55"/>
      <c r="M553" s="137"/>
      <c r="N553" s="182"/>
      <c r="O553" s="89"/>
      <c r="P553" s="55"/>
      <c r="Q553" s="183"/>
      <c r="R553" s="184"/>
      <c r="S553" s="185"/>
      <c r="T553" s="172"/>
      <c r="U553" s="183"/>
      <c r="V553" s="184"/>
      <c r="W553" s="185"/>
      <c r="X553" s="172"/>
      <c r="Y553" s="137"/>
      <c r="Z553" s="186"/>
      <c r="AA553" s="187"/>
      <c r="AB553" s="188"/>
      <c r="AC553" s="137"/>
      <c r="AD553" s="184"/>
      <c r="AE553" s="189"/>
      <c r="AF553" s="190"/>
      <c r="AG553" s="143"/>
      <c r="AH553" s="143"/>
      <c r="AI553" s="143"/>
      <c r="AJ553" s="143"/>
      <c r="AK553" s="172"/>
      <c r="AL553" s="172"/>
    </row>
    <row r="554">
      <c r="A554" s="137"/>
      <c r="B554" s="88"/>
      <c r="C554" s="89"/>
      <c r="D554" s="55"/>
      <c r="E554" s="137"/>
      <c r="F554" s="88"/>
      <c r="G554" s="180"/>
      <c r="H554" s="181"/>
      <c r="I554" s="137"/>
      <c r="J554" s="88"/>
      <c r="K554" s="89"/>
      <c r="L554" s="55"/>
      <c r="M554" s="137"/>
      <c r="N554" s="182"/>
      <c r="O554" s="89"/>
      <c r="P554" s="55"/>
      <c r="Q554" s="183"/>
      <c r="R554" s="184"/>
      <c r="S554" s="185"/>
      <c r="T554" s="172"/>
      <c r="U554" s="183"/>
      <c r="V554" s="184"/>
      <c r="W554" s="185"/>
      <c r="X554" s="172"/>
      <c r="Y554" s="137"/>
      <c r="Z554" s="186"/>
      <c r="AA554" s="187"/>
      <c r="AB554" s="188"/>
      <c r="AC554" s="137"/>
      <c r="AD554" s="184"/>
      <c r="AE554" s="189"/>
      <c r="AF554" s="190"/>
      <c r="AG554" s="143"/>
      <c r="AH554" s="143"/>
      <c r="AI554" s="143"/>
      <c r="AJ554" s="143"/>
      <c r="AK554" s="172"/>
      <c r="AL554" s="172"/>
    </row>
    <row r="555">
      <c r="A555" s="137"/>
      <c r="B555" s="88"/>
      <c r="C555" s="89"/>
      <c r="D555" s="55"/>
      <c r="E555" s="137"/>
      <c r="F555" s="88"/>
      <c r="G555" s="180"/>
      <c r="H555" s="181"/>
      <c r="I555" s="137"/>
      <c r="J555" s="88"/>
      <c r="K555" s="89"/>
      <c r="L555" s="55"/>
      <c r="M555" s="137"/>
      <c r="N555" s="182"/>
      <c r="O555" s="89"/>
      <c r="P555" s="55"/>
      <c r="Q555" s="183"/>
      <c r="R555" s="184"/>
      <c r="S555" s="185"/>
      <c r="T555" s="172"/>
      <c r="U555" s="183"/>
      <c r="V555" s="184"/>
      <c r="W555" s="185"/>
      <c r="X555" s="172"/>
      <c r="Y555" s="137"/>
      <c r="Z555" s="186"/>
      <c r="AA555" s="187"/>
      <c r="AB555" s="188"/>
      <c r="AC555" s="137"/>
      <c r="AD555" s="184"/>
      <c r="AE555" s="189"/>
      <c r="AF555" s="190"/>
      <c r="AG555" s="143"/>
      <c r="AH555" s="143"/>
      <c r="AI555" s="143"/>
      <c r="AJ555" s="143"/>
      <c r="AK555" s="172"/>
      <c r="AL555" s="172"/>
    </row>
    <row r="556">
      <c r="A556" s="137"/>
      <c r="B556" s="88"/>
      <c r="C556" s="89"/>
      <c r="D556" s="55"/>
      <c r="E556" s="137"/>
      <c r="F556" s="88"/>
      <c r="G556" s="180"/>
      <c r="H556" s="181"/>
      <c r="I556" s="137"/>
      <c r="J556" s="88"/>
      <c r="K556" s="89"/>
      <c r="L556" s="55"/>
      <c r="M556" s="137"/>
      <c r="N556" s="182"/>
      <c r="O556" s="89"/>
      <c r="P556" s="55"/>
      <c r="Q556" s="183"/>
      <c r="R556" s="184"/>
      <c r="S556" s="185"/>
      <c r="T556" s="172"/>
      <c r="U556" s="183"/>
      <c r="V556" s="184"/>
      <c r="W556" s="185"/>
      <c r="X556" s="172"/>
      <c r="Y556" s="137"/>
      <c r="Z556" s="186"/>
      <c r="AA556" s="187"/>
      <c r="AB556" s="188"/>
      <c r="AC556" s="137"/>
      <c r="AD556" s="184"/>
      <c r="AE556" s="189"/>
      <c r="AF556" s="190"/>
      <c r="AG556" s="143"/>
      <c r="AH556" s="143"/>
      <c r="AI556" s="143"/>
      <c r="AJ556" s="143"/>
      <c r="AK556" s="172"/>
      <c r="AL556" s="172"/>
    </row>
    <row r="557">
      <c r="A557" s="137"/>
      <c r="B557" s="88"/>
      <c r="C557" s="89"/>
      <c r="D557" s="55"/>
      <c r="E557" s="137"/>
      <c r="F557" s="88"/>
      <c r="G557" s="180"/>
      <c r="H557" s="181"/>
      <c r="I557" s="137"/>
      <c r="J557" s="88"/>
      <c r="K557" s="89"/>
      <c r="L557" s="55"/>
      <c r="M557" s="137"/>
      <c r="N557" s="182"/>
      <c r="O557" s="89"/>
      <c r="P557" s="55"/>
      <c r="Q557" s="183"/>
      <c r="R557" s="184"/>
      <c r="S557" s="185"/>
      <c r="T557" s="172"/>
      <c r="U557" s="183"/>
      <c r="V557" s="184"/>
      <c r="W557" s="185"/>
      <c r="X557" s="172"/>
      <c r="Y557" s="137"/>
      <c r="Z557" s="186"/>
      <c r="AA557" s="187"/>
      <c r="AB557" s="188"/>
      <c r="AC557" s="137"/>
      <c r="AD557" s="184"/>
      <c r="AE557" s="189"/>
      <c r="AF557" s="190"/>
      <c r="AG557" s="143"/>
      <c r="AH557" s="143"/>
      <c r="AI557" s="143"/>
      <c r="AJ557" s="143"/>
      <c r="AK557" s="172"/>
      <c r="AL557" s="172"/>
    </row>
    <row r="558">
      <c r="A558" s="137"/>
      <c r="B558" s="88"/>
      <c r="C558" s="89"/>
      <c r="D558" s="55"/>
      <c r="E558" s="137"/>
      <c r="F558" s="88"/>
      <c r="G558" s="180"/>
      <c r="H558" s="181"/>
      <c r="I558" s="137"/>
      <c r="J558" s="88"/>
      <c r="K558" s="89"/>
      <c r="L558" s="55"/>
      <c r="M558" s="137"/>
      <c r="N558" s="182"/>
      <c r="O558" s="89"/>
      <c r="P558" s="55"/>
      <c r="Q558" s="183"/>
      <c r="R558" s="184"/>
      <c r="S558" s="185"/>
      <c r="T558" s="172"/>
      <c r="U558" s="183"/>
      <c r="V558" s="184"/>
      <c r="W558" s="185"/>
      <c r="X558" s="172"/>
      <c r="Y558" s="137"/>
      <c r="Z558" s="186"/>
      <c r="AA558" s="187"/>
      <c r="AB558" s="188"/>
      <c r="AC558" s="137"/>
      <c r="AD558" s="184"/>
      <c r="AE558" s="189"/>
      <c r="AF558" s="190"/>
      <c r="AG558" s="143"/>
      <c r="AH558" s="143"/>
      <c r="AI558" s="143"/>
      <c r="AJ558" s="143"/>
      <c r="AK558" s="172"/>
      <c r="AL558" s="172"/>
    </row>
    <row r="559">
      <c r="A559" s="137"/>
      <c r="B559" s="88"/>
      <c r="C559" s="89"/>
      <c r="D559" s="55"/>
      <c r="E559" s="137"/>
      <c r="F559" s="88"/>
      <c r="G559" s="180"/>
      <c r="H559" s="181"/>
      <c r="I559" s="137"/>
      <c r="J559" s="88"/>
      <c r="K559" s="89"/>
      <c r="L559" s="55"/>
      <c r="M559" s="137"/>
      <c r="N559" s="182"/>
      <c r="O559" s="89"/>
      <c r="P559" s="55"/>
      <c r="Q559" s="183"/>
      <c r="R559" s="184"/>
      <c r="S559" s="185"/>
      <c r="T559" s="172"/>
      <c r="U559" s="183"/>
      <c r="V559" s="184"/>
      <c r="W559" s="185"/>
      <c r="X559" s="172"/>
      <c r="Y559" s="137"/>
      <c r="Z559" s="186"/>
      <c r="AA559" s="187"/>
      <c r="AB559" s="188"/>
      <c r="AC559" s="137"/>
      <c r="AD559" s="184"/>
      <c r="AE559" s="189"/>
      <c r="AF559" s="190"/>
      <c r="AG559" s="143"/>
      <c r="AH559" s="143"/>
      <c r="AI559" s="143"/>
      <c r="AJ559" s="143"/>
      <c r="AK559" s="172"/>
      <c r="AL559" s="172"/>
    </row>
    <row r="560">
      <c r="A560" s="137"/>
      <c r="B560" s="88"/>
      <c r="C560" s="89"/>
      <c r="D560" s="55"/>
      <c r="E560" s="137"/>
      <c r="F560" s="88"/>
      <c r="G560" s="180"/>
      <c r="H560" s="181"/>
      <c r="I560" s="137"/>
      <c r="J560" s="88"/>
      <c r="K560" s="89"/>
      <c r="L560" s="55"/>
      <c r="M560" s="137"/>
      <c r="N560" s="182"/>
      <c r="O560" s="89"/>
      <c r="P560" s="55"/>
      <c r="Q560" s="183"/>
      <c r="R560" s="184"/>
      <c r="S560" s="185"/>
      <c r="T560" s="172"/>
      <c r="U560" s="183"/>
      <c r="V560" s="184"/>
      <c r="W560" s="185"/>
      <c r="X560" s="172"/>
      <c r="Y560" s="137"/>
      <c r="Z560" s="186"/>
      <c r="AA560" s="187"/>
      <c r="AB560" s="188"/>
      <c r="AC560" s="137"/>
      <c r="AD560" s="184"/>
      <c r="AE560" s="189"/>
      <c r="AF560" s="190"/>
      <c r="AG560" s="143"/>
      <c r="AH560" s="143"/>
      <c r="AI560" s="143"/>
      <c r="AJ560" s="143"/>
      <c r="AK560" s="172"/>
      <c r="AL560" s="172"/>
    </row>
    <row r="561">
      <c r="A561" s="137"/>
      <c r="B561" s="88"/>
      <c r="C561" s="89"/>
      <c r="D561" s="55"/>
      <c r="E561" s="137"/>
      <c r="F561" s="88"/>
      <c r="G561" s="180"/>
      <c r="H561" s="181"/>
      <c r="I561" s="137"/>
      <c r="J561" s="88"/>
      <c r="K561" s="89"/>
      <c r="L561" s="55"/>
      <c r="M561" s="137"/>
      <c r="N561" s="182"/>
      <c r="O561" s="89"/>
      <c r="P561" s="55"/>
      <c r="Q561" s="183"/>
      <c r="R561" s="184"/>
      <c r="S561" s="185"/>
      <c r="T561" s="172"/>
      <c r="U561" s="183"/>
      <c r="V561" s="184"/>
      <c r="W561" s="185"/>
      <c r="X561" s="172"/>
      <c r="Y561" s="137"/>
      <c r="Z561" s="186"/>
      <c r="AA561" s="187"/>
      <c r="AB561" s="188"/>
      <c r="AC561" s="137"/>
      <c r="AD561" s="184"/>
      <c r="AE561" s="189"/>
      <c r="AF561" s="190"/>
      <c r="AG561" s="143"/>
      <c r="AH561" s="143"/>
      <c r="AI561" s="143"/>
      <c r="AJ561" s="143"/>
      <c r="AK561" s="172"/>
      <c r="AL561" s="172"/>
    </row>
    <row r="562">
      <c r="A562" s="137"/>
      <c r="B562" s="88"/>
      <c r="C562" s="89"/>
      <c r="D562" s="55"/>
      <c r="E562" s="137"/>
      <c r="F562" s="88"/>
      <c r="G562" s="180"/>
      <c r="H562" s="181"/>
      <c r="I562" s="137"/>
      <c r="J562" s="88"/>
      <c r="K562" s="89"/>
      <c r="L562" s="55"/>
      <c r="M562" s="137"/>
      <c r="N562" s="182"/>
      <c r="O562" s="89"/>
      <c r="P562" s="55"/>
      <c r="Q562" s="183"/>
      <c r="R562" s="184"/>
      <c r="S562" s="185"/>
      <c r="T562" s="172"/>
      <c r="U562" s="183"/>
      <c r="V562" s="184"/>
      <c r="W562" s="185"/>
      <c r="X562" s="172"/>
      <c r="Y562" s="137"/>
      <c r="Z562" s="186"/>
      <c r="AA562" s="187"/>
      <c r="AB562" s="188"/>
      <c r="AC562" s="137"/>
      <c r="AD562" s="184"/>
      <c r="AE562" s="189"/>
      <c r="AF562" s="190"/>
      <c r="AG562" s="143"/>
      <c r="AH562" s="143"/>
      <c r="AI562" s="143"/>
      <c r="AJ562" s="143"/>
      <c r="AK562" s="172"/>
      <c r="AL562" s="172"/>
    </row>
    <row r="563">
      <c r="A563" s="137"/>
      <c r="B563" s="88"/>
      <c r="C563" s="89"/>
      <c r="D563" s="55"/>
      <c r="E563" s="137"/>
      <c r="F563" s="88"/>
      <c r="G563" s="180"/>
      <c r="H563" s="181"/>
      <c r="I563" s="137"/>
      <c r="J563" s="88"/>
      <c r="K563" s="89"/>
      <c r="L563" s="55"/>
      <c r="M563" s="137"/>
      <c r="N563" s="182"/>
      <c r="O563" s="89"/>
      <c r="P563" s="55"/>
      <c r="Q563" s="183"/>
      <c r="R563" s="184"/>
      <c r="S563" s="185"/>
      <c r="T563" s="172"/>
      <c r="U563" s="183"/>
      <c r="V563" s="184"/>
      <c r="W563" s="185"/>
      <c r="X563" s="172"/>
      <c r="Y563" s="137"/>
      <c r="Z563" s="186"/>
      <c r="AA563" s="187"/>
      <c r="AB563" s="188"/>
      <c r="AC563" s="137"/>
      <c r="AD563" s="184"/>
      <c r="AE563" s="189"/>
      <c r="AF563" s="190"/>
      <c r="AG563" s="143"/>
      <c r="AH563" s="143"/>
      <c r="AI563" s="143"/>
      <c r="AJ563" s="143"/>
      <c r="AK563" s="172"/>
      <c r="AL563" s="172"/>
    </row>
    <row r="564">
      <c r="A564" s="137"/>
      <c r="B564" s="88"/>
      <c r="C564" s="89"/>
      <c r="D564" s="55"/>
      <c r="E564" s="137"/>
      <c r="F564" s="88"/>
      <c r="G564" s="180"/>
      <c r="H564" s="181"/>
      <c r="I564" s="137"/>
      <c r="J564" s="88"/>
      <c r="K564" s="89"/>
      <c r="L564" s="55"/>
      <c r="M564" s="137"/>
      <c r="N564" s="182"/>
      <c r="O564" s="89"/>
      <c r="P564" s="55"/>
      <c r="Q564" s="183"/>
      <c r="R564" s="184"/>
      <c r="S564" s="185"/>
      <c r="T564" s="172"/>
      <c r="U564" s="183"/>
      <c r="V564" s="184"/>
      <c r="W564" s="185"/>
      <c r="X564" s="172"/>
      <c r="Y564" s="137"/>
      <c r="Z564" s="186"/>
      <c r="AA564" s="187"/>
      <c r="AB564" s="188"/>
      <c r="AC564" s="137"/>
      <c r="AD564" s="184"/>
      <c r="AE564" s="189"/>
      <c r="AF564" s="190"/>
      <c r="AG564" s="143"/>
      <c r="AH564" s="143"/>
      <c r="AI564" s="143"/>
      <c r="AJ564" s="143"/>
      <c r="AK564" s="172"/>
      <c r="AL564" s="172"/>
    </row>
    <row r="565">
      <c r="A565" s="137"/>
      <c r="B565" s="88"/>
      <c r="C565" s="89"/>
      <c r="D565" s="55"/>
      <c r="E565" s="137"/>
      <c r="F565" s="88"/>
      <c r="G565" s="180"/>
      <c r="H565" s="181"/>
      <c r="I565" s="137"/>
      <c r="J565" s="88"/>
      <c r="K565" s="89"/>
      <c r="L565" s="55"/>
      <c r="M565" s="137"/>
      <c r="N565" s="182"/>
      <c r="O565" s="89"/>
      <c r="P565" s="55"/>
      <c r="Q565" s="183"/>
      <c r="R565" s="184"/>
      <c r="S565" s="185"/>
      <c r="T565" s="172"/>
      <c r="U565" s="183"/>
      <c r="V565" s="184"/>
      <c r="W565" s="185"/>
      <c r="X565" s="172"/>
      <c r="Y565" s="137"/>
      <c r="Z565" s="186"/>
      <c r="AA565" s="187"/>
      <c r="AB565" s="188"/>
      <c r="AC565" s="137"/>
      <c r="AD565" s="184"/>
      <c r="AE565" s="189"/>
      <c r="AF565" s="190"/>
      <c r="AG565" s="143"/>
      <c r="AH565" s="143"/>
      <c r="AI565" s="143"/>
      <c r="AJ565" s="143"/>
      <c r="AK565" s="172"/>
      <c r="AL565" s="172"/>
    </row>
    <row r="566">
      <c r="A566" s="137"/>
      <c r="B566" s="88"/>
      <c r="C566" s="89"/>
      <c r="D566" s="55"/>
      <c r="E566" s="137"/>
      <c r="F566" s="88"/>
      <c r="G566" s="180"/>
      <c r="H566" s="181"/>
      <c r="I566" s="137"/>
      <c r="J566" s="88"/>
      <c r="K566" s="89"/>
      <c r="L566" s="55"/>
      <c r="M566" s="137"/>
      <c r="N566" s="182"/>
      <c r="O566" s="89"/>
      <c r="P566" s="55"/>
      <c r="Q566" s="183"/>
      <c r="R566" s="184"/>
      <c r="S566" s="185"/>
      <c r="T566" s="172"/>
      <c r="U566" s="183"/>
      <c r="V566" s="184"/>
      <c r="W566" s="185"/>
      <c r="X566" s="172"/>
      <c r="Y566" s="137"/>
      <c r="Z566" s="186"/>
      <c r="AA566" s="187"/>
      <c r="AB566" s="188"/>
      <c r="AC566" s="137"/>
      <c r="AD566" s="184"/>
      <c r="AE566" s="189"/>
      <c r="AF566" s="190"/>
      <c r="AG566" s="143"/>
      <c r="AH566" s="143"/>
      <c r="AI566" s="143"/>
      <c r="AJ566" s="143"/>
      <c r="AK566" s="172"/>
      <c r="AL566" s="172"/>
    </row>
    <row r="567">
      <c r="A567" s="137"/>
      <c r="B567" s="88"/>
      <c r="C567" s="89"/>
      <c r="D567" s="55"/>
      <c r="E567" s="137"/>
      <c r="F567" s="88"/>
      <c r="G567" s="180"/>
      <c r="H567" s="181"/>
      <c r="I567" s="137"/>
      <c r="J567" s="88"/>
      <c r="K567" s="89"/>
      <c r="L567" s="55"/>
      <c r="M567" s="137"/>
      <c r="N567" s="182"/>
      <c r="O567" s="89"/>
      <c r="P567" s="55"/>
      <c r="Q567" s="183"/>
      <c r="R567" s="184"/>
      <c r="S567" s="185"/>
      <c r="T567" s="172"/>
      <c r="U567" s="183"/>
      <c r="V567" s="184"/>
      <c r="W567" s="185"/>
      <c r="X567" s="172"/>
      <c r="Y567" s="137"/>
      <c r="Z567" s="186"/>
      <c r="AA567" s="187"/>
      <c r="AB567" s="188"/>
      <c r="AC567" s="137"/>
      <c r="AD567" s="184"/>
      <c r="AE567" s="189"/>
      <c r="AF567" s="190"/>
      <c r="AG567" s="143"/>
      <c r="AH567" s="143"/>
      <c r="AI567" s="143"/>
      <c r="AJ567" s="143"/>
      <c r="AK567" s="172"/>
      <c r="AL567" s="172"/>
    </row>
    <row r="568">
      <c r="A568" s="137"/>
      <c r="B568" s="88"/>
      <c r="C568" s="89"/>
      <c r="D568" s="55"/>
      <c r="E568" s="137"/>
      <c r="F568" s="88"/>
      <c r="G568" s="180"/>
      <c r="H568" s="181"/>
      <c r="I568" s="137"/>
      <c r="J568" s="88"/>
      <c r="K568" s="89"/>
      <c r="L568" s="55"/>
      <c r="M568" s="137"/>
      <c r="N568" s="182"/>
      <c r="O568" s="89"/>
      <c r="P568" s="55"/>
      <c r="Q568" s="183"/>
      <c r="R568" s="184"/>
      <c r="S568" s="185"/>
      <c r="T568" s="172"/>
      <c r="U568" s="183"/>
      <c r="V568" s="184"/>
      <c r="W568" s="185"/>
      <c r="X568" s="172"/>
      <c r="Y568" s="137"/>
      <c r="Z568" s="186"/>
      <c r="AA568" s="187"/>
      <c r="AB568" s="188"/>
      <c r="AC568" s="137"/>
      <c r="AD568" s="184"/>
      <c r="AE568" s="189"/>
      <c r="AF568" s="190"/>
      <c r="AG568" s="143"/>
      <c r="AH568" s="143"/>
      <c r="AI568" s="143"/>
      <c r="AJ568" s="143"/>
      <c r="AK568" s="172"/>
      <c r="AL568" s="172"/>
    </row>
    <row r="569">
      <c r="A569" s="137"/>
      <c r="B569" s="88"/>
      <c r="C569" s="89"/>
      <c r="D569" s="55"/>
      <c r="E569" s="137"/>
      <c r="F569" s="88"/>
      <c r="G569" s="180"/>
      <c r="H569" s="181"/>
      <c r="I569" s="137"/>
      <c r="J569" s="88"/>
      <c r="K569" s="89"/>
      <c r="L569" s="55"/>
      <c r="M569" s="137"/>
      <c r="N569" s="182"/>
      <c r="O569" s="89"/>
      <c r="P569" s="55"/>
      <c r="Q569" s="183"/>
      <c r="R569" s="184"/>
      <c r="S569" s="185"/>
      <c r="T569" s="172"/>
      <c r="U569" s="183"/>
      <c r="V569" s="184"/>
      <c r="W569" s="185"/>
      <c r="X569" s="172"/>
      <c r="Y569" s="137"/>
      <c r="Z569" s="186"/>
      <c r="AA569" s="187"/>
      <c r="AB569" s="188"/>
      <c r="AC569" s="137"/>
      <c r="AD569" s="184"/>
      <c r="AE569" s="189"/>
      <c r="AF569" s="190"/>
      <c r="AG569" s="143"/>
      <c r="AH569" s="143"/>
      <c r="AI569" s="143"/>
      <c r="AJ569" s="143"/>
      <c r="AK569" s="172"/>
      <c r="AL569" s="172"/>
    </row>
    <row r="570">
      <c r="A570" s="137"/>
      <c r="B570" s="88"/>
      <c r="C570" s="89"/>
      <c r="D570" s="55"/>
      <c r="E570" s="137"/>
      <c r="F570" s="88"/>
      <c r="G570" s="180"/>
      <c r="H570" s="181"/>
      <c r="I570" s="137"/>
      <c r="J570" s="88"/>
      <c r="K570" s="89"/>
      <c r="L570" s="55"/>
      <c r="M570" s="137"/>
      <c r="N570" s="182"/>
      <c r="O570" s="89"/>
      <c r="P570" s="55"/>
      <c r="Q570" s="183"/>
      <c r="R570" s="184"/>
      <c r="S570" s="185"/>
      <c r="T570" s="172"/>
      <c r="U570" s="183"/>
      <c r="V570" s="184"/>
      <c r="W570" s="185"/>
      <c r="X570" s="172"/>
      <c r="Y570" s="137"/>
      <c r="Z570" s="186"/>
      <c r="AA570" s="187"/>
      <c r="AB570" s="188"/>
      <c r="AC570" s="137"/>
      <c r="AD570" s="184"/>
      <c r="AE570" s="189"/>
      <c r="AF570" s="190"/>
      <c r="AG570" s="143"/>
      <c r="AH570" s="143"/>
      <c r="AI570" s="143"/>
      <c r="AJ570" s="143"/>
      <c r="AK570" s="172"/>
      <c r="AL570" s="172"/>
    </row>
    <row r="571">
      <c r="A571" s="137"/>
      <c r="B571" s="88"/>
      <c r="C571" s="89"/>
      <c r="D571" s="55"/>
      <c r="E571" s="137"/>
      <c r="F571" s="88"/>
      <c r="G571" s="180"/>
      <c r="H571" s="181"/>
      <c r="I571" s="137"/>
      <c r="J571" s="88"/>
      <c r="K571" s="89"/>
      <c r="L571" s="55"/>
      <c r="M571" s="137"/>
      <c r="N571" s="182"/>
      <c r="O571" s="89"/>
      <c r="P571" s="55"/>
      <c r="Q571" s="183"/>
      <c r="R571" s="184"/>
      <c r="S571" s="185"/>
      <c r="T571" s="172"/>
      <c r="U571" s="183"/>
      <c r="V571" s="184"/>
      <c r="W571" s="185"/>
      <c r="X571" s="172"/>
      <c r="Y571" s="137"/>
      <c r="Z571" s="186"/>
      <c r="AA571" s="187"/>
      <c r="AB571" s="188"/>
      <c r="AC571" s="137"/>
      <c r="AD571" s="184"/>
      <c r="AE571" s="189"/>
      <c r="AF571" s="190"/>
      <c r="AG571" s="143"/>
      <c r="AH571" s="143"/>
      <c r="AI571" s="143"/>
      <c r="AJ571" s="143"/>
      <c r="AK571" s="172"/>
      <c r="AL571" s="172"/>
    </row>
    <row r="572">
      <c r="A572" s="137"/>
      <c r="B572" s="88"/>
      <c r="C572" s="89"/>
      <c r="D572" s="55"/>
      <c r="E572" s="137"/>
      <c r="F572" s="88"/>
      <c r="G572" s="180"/>
      <c r="H572" s="181"/>
      <c r="I572" s="137"/>
      <c r="J572" s="88"/>
      <c r="K572" s="89"/>
      <c r="L572" s="55"/>
      <c r="M572" s="137"/>
      <c r="N572" s="182"/>
      <c r="O572" s="89"/>
      <c r="P572" s="55"/>
      <c r="Q572" s="183"/>
      <c r="R572" s="184"/>
      <c r="S572" s="185"/>
      <c r="T572" s="172"/>
      <c r="U572" s="183"/>
      <c r="V572" s="184"/>
      <c r="W572" s="185"/>
      <c r="X572" s="172"/>
      <c r="Y572" s="137"/>
      <c r="Z572" s="186"/>
      <c r="AA572" s="187"/>
      <c r="AB572" s="188"/>
      <c r="AC572" s="137"/>
      <c r="AD572" s="184"/>
      <c r="AE572" s="189"/>
      <c r="AF572" s="190"/>
      <c r="AG572" s="143"/>
      <c r="AH572" s="143"/>
      <c r="AI572" s="143"/>
      <c r="AJ572" s="143"/>
      <c r="AK572" s="172"/>
      <c r="AL572" s="172"/>
    </row>
    <row r="573">
      <c r="A573" s="137"/>
      <c r="B573" s="88"/>
      <c r="C573" s="89"/>
      <c r="D573" s="55"/>
      <c r="E573" s="137"/>
      <c r="F573" s="88"/>
      <c r="G573" s="180"/>
      <c r="H573" s="181"/>
      <c r="I573" s="137"/>
      <c r="J573" s="88"/>
      <c r="K573" s="89"/>
      <c r="L573" s="55"/>
      <c r="M573" s="137"/>
      <c r="N573" s="182"/>
      <c r="O573" s="89"/>
      <c r="P573" s="55"/>
      <c r="Q573" s="183"/>
      <c r="R573" s="184"/>
      <c r="S573" s="185"/>
      <c r="T573" s="172"/>
      <c r="U573" s="183"/>
      <c r="V573" s="184"/>
      <c r="W573" s="185"/>
      <c r="X573" s="172"/>
      <c r="Y573" s="137"/>
      <c r="Z573" s="186"/>
      <c r="AA573" s="187"/>
      <c r="AB573" s="188"/>
      <c r="AC573" s="137"/>
      <c r="AD573" s="184"/>
      <c r="AE573" s="189"/>
      <c r="AF573" s="190"/>
      <c r="AG573" s="143"/>
      <c r="AH573" s="143"/>
      <c r="AI573" s="143"/>
      <c r="AJ573" s="143"/>
      <c r="AK573" s="172"/>
      <c r="AL573" s="172"/>
    </row>
    <row r="574">
      <c r="A574" s="137"/>
      <c r="B574" s="88"/>
      <c r="C574" s="89"/>
      <c r="D574" s="55"/>
      <c r="E574" s="137"/>
      <c r="F574" s="88"/>
      <c r="G574" s="180"/>
      <c r="H574" s="181"/>
      <c r="I574" s="137"/>
      <c r="J574" s="88"/>
      <c r="K574" s="89"/>
      <c r="L574" s="55"/>
      <c r="M574" s="137"/>
      <c r="N574" s="182"/>
      <c r="O574" s="89"/>
      <c r="P574" s="55"/>
      <c r="Q574" s="183"/>
      <c r="R574" s="184"/>
      <c r="S574" s="185"/>
      <c r="T574" s="172"/>
      <c r="U574" s="183"/>
      <c r="V574" s="184"/>
      <c r="W574" s="185"/>
      <c r="X574" s="172"/>
      <c r="Y574" s="137"/>
      <c r="Z574" s="186"/>
      <c r="AA574" s="187"/>
      <c r="AB574" s="188"/>
      <c r="AC574" s="137"/>
      <c r="AD574" s="184"/>
      <c r="AE574" s="189"/>
      <c r="AF574" s="190"/>
      <c r="AG574" s="143"/>
      <c r="AH574" s="143"/>
      <c r="AI574" s="143"/>
      <c r="AJ574" s="143"/>
      <c r="AK574" s="172"/>
      <c r="AL574" s="172"/>
    </row>
    <row r="575">
      <c r="A575" s="137"/>
      <c r="B575" s="88"/>
      <c r="C575" s="89"/>
      <c r="D575" s="55"/>
      <c r="E575" s="137"/>
      <c r="F575" s="88"/>
      <c r="G575" s="180"/>
      <c r="H575" s="181"/>
      <c r="I575" s="137"/>
      <c r="J575" s="88"/>
      <c r="K575" s="89"/>
      <c r="L575" s="55"/>
      <c r="M575" s="137"/>
      <c r="N575" s="182"/>
      <c r="O575" s="89"/>
      <c r="P575" s="55"/>
      <c r="Q575" s="183"/>
      <c r="R575" s="184"/>
      <c r="S575" s="185"/>
      <c r="T575" s="172"/>
      <c r="U575" s="183"/>
      <c r="V575" s="184"/>
      <c r="W575" s="185"/>
      <c r="X575" s="172"/>
      <c r="Y575" s="137"/>
      <c r="Z575" s="186"/>
      <c r="AA575" s="187"/>
      <c r="AB575" s="188"/>
      <c r="AC575" s="137"/>
      <c r="AD575" s="184"/>
      <c r="AE575" s="189"/>
      <c r="AF575" s="190"/>
      <c r="AG575" s="143"/>
      <c r="AH575" s="143"/>
      <c r="AI575" s="143"/>
      <c r="AJ575" s="143"/>
      <c r="AK575" s="172"/>
      <c r="AL575" s="172"/>
    </row>
    <row r="576">
      <c r="A576" s="137"/>
      <c r="B576" s="88"/>
      <c r="C576" s="89"/>
      <c r="D576" s="55"/>
      <c r="E576" s="137"/>
      <c r="F576" s="88"/>
      <c r="G576" s="180"/>
      <c r="H576" s="181"/>
      <c r="I576" s="137"/>
      <c r="J576" s="88"/>
      <c r="K576" s="89"/>
      <c r="L576" s="55"/>
      <c r="M576" s="137"/>
      <c r="N576" s="182"/>
      <c r="O576" s="89"/>
      <c r="P576" s="55"/>
      <c r="Q576" s="183"/>
      <c r="R576" s="184"/>
      <c r="S576" s="185"/>
      <c r="T576" s="172"/>
      <c r="U576" s="183"/>
      <c r="V576" s="184"/>
      <c r="W576" s="185"/>
      <c r="X576" s="172"/>
      <c r="Y576" s="137"/>
      <c r="Z576" s="186"/>
      <c r="AA576" s="187"/>
      <c r="AB576" s="188"/>
      <c r="AC576" s="137"/>
      <c r="AD576" s="184"/>
      <c r="AE576" s="189"/>
      <c r="AF576" s="190"/>
      <c r="AG576" s="143"/>
      <c r="AH576" s="143"/>
      <c r="AI576" s="143"/>
      <c r="AJ576" s="143"/>
      <c r="AK576" s="172"/>
      <c r="AL576" s="172"/>
    </row>
    <row r="577">
      <c r="A577" s="137"/>
      <c r="B577" s="88"/>
      <c r="C577" s="89"/>
      <c r="D577" s="55"/>
      <c r="E577" s="137"/>
      <c r="F577" s="88"/>
      <c r="G577" s="180"/>
      <c r="H577" s="181"/>
      <c r="I577" s="137"/>
      <c r="J577" s="88"/>
      <c r="K577" s="89"/>
      <c r="L577" s="55"/>
      <c r="M577" s="137"/>
      <c r="N577" s="182"/>
      <c r="O577" s="89"/>
      <c r="P577" s="55"/>
      <c r="Q577" s="183"/>
      <c r="R577" s="184"/>
      <c r="S577" s="185"/>
      <c r="T577" s="172"/>
      <c r="U577" s="183"/>
      <c r="V577" s="184"/>
      <c r="W577" s="185"/>
      <c r="X577" s="172"/>
      <c r="Y577" s="137"/>
      <c r="Z577" s="186"/>
      <c r="AA577" s="187"/>
      <c r="AB577" s="188"/>
      <c r="AC577" s="137"/>
      <c r="AD577" s="184"/>
      <c r="AE577" s="189"/>
      <c r="AF577" s="190"/>
      <c r="AG577" s="143"/>
      <c r="AH577" s="143"/>
      <c r="AI577" s="143"/>
      <c r="AJ577" s="143"/>
      <c r="AK577" s="172"/>
      <c r="AL577" s="172"/>
    </row>
    <row r="578">
      <c r="A578" s="137"/>
      <c r="B578" s="88"/>
      <c r="C578" s="89"/>
      <c r="D578" s="55"/>
      <c r="E578" s="137"/>
      <c r="F578" s="88"/>
      <c r="G578" s="180"/>
      <c r="H578" s="181"/>
      <c r="I578" s="137"/>
      <c r="J578" s="88"/>
      <c r="K578" s="89"/>
      <c r="L578" s="55"/>
      <c r="M578" s="137"/>
      <c r="N578" s="182"/>
      <c r="O578" s="89"/>
      <c r="P578" s="55"/>
      <c r="Q578" s="183"/>
      <c r="R578" s="184"/>
      <c r="S578" s="185"/>
      <c r="T578" s="172"/>
      <c r="U578" s="183"/>
      <c r="V578" s="184"/>
      <c r="W578" s="185"/>
      <c r="X578" s="172"/>
      <c r="Y578" s="137"/>
      <c r="Z578" s="186"/>
      <c r="AA578" s="187"/>
      <c r="AB578" s="188"/>
      <c r="AC578" s="137"/>
      <c r="AD578" s="184"/>
      <c r="AE578" s="189"/>
      <c r="AF578" s="190"/>
      <c r="AG578" s="143"/>
      <c r="AH578" s="143"/>
      <c r="AI578" s="143"/>
      <c r="AJ578" s="143"/>
      <c r="AK578" s="172"/>
      <c r="AL578" s="172"/>
    </row>
    <row r="579">
      <c r="A579" s="137"/>
      <c r="B579" s="88"/>
      <c r="C579" s="89"/>
      <c r="D579" s="55"/>
      <c r="E579" s="137"/>
      <c r="F579" s="88"/>
      <c r="G579" s="180"/>
      <c r="H579" s="181"/>
      <c r="I579" s="137"/>
      <c r="J579" s="88"/>
      <c r="K579" s="89"/>
      <c r="L579" s="55"/>
      <c r="M579" s="137"/>
      <c r="N579" s="182"/>
      <c r="O579" s="89"/>
      <c r="P579" s="55"/>
      <c r="Q579" s="183"/>
      <c r="R579" s="184"/>
      <c r="S579" s="185"/>
      <c r="T579" s="172"/>
      <c r="U579" s="183"/>
      <c r="V579" s="184"/>
      <c r="W579" s="185"/>
      <c r="X579" s="172"/>
      <c r="Y579" s="137"/>
      <c r="Z579" s="186"/>
      <c r="AA579" s="187"/>
      <c r="AB579" s="188"/>
      <c r="AC579" s="137"/>
      <c r="AD579" s="184"/>
      <c r="AE579" s="189"/>
      <c r="AF579" s="190"/>
      <c r="AG579" s="143"/>
      <c r="AH579" s="143"/>
      <c r="AI579" s="143"/>
      <c r="AJ579" s="143"/>
      <c r="AK579" s="172"/>
      <c r="AL579" s="172"/>
    </row>
    <row r="580">
      <c r="A580" s="137"/>
      <c r="B580" s="88"/>
      <c r="C580" s="89"/>
      <c r="D580" s="55"/>
      <c r="E580" s="137"/>
      <c r="F580" s="88"/>
      <c r="G580" s="180"/>
      <c r="H580" s="181"/>
      <c r="I580" s="137"/>
      <c r="J580" s="88"/>
      <c r="K580" s="89"/>
      <c r="L580" s="55"/>
      <c r="M580" s="137"/>
      <c r="N580" s="182"/>
      <c r="O580" s="89"/>
      <c r="P580" s="55"/>
      <c r="Q580" s="183"/>
      <c r="R580" s="184"/>
      <c r="S580" s="185"/>
      <c r="T580" s="172"/>
      <c r="U580" s="183"/>
      <c r="V580" s="184"/>
      <c r="W580" s="185"/>
      <c r="X580" s="172"/>
      <c r="Y580" s="137"/>
      <c r="Z580" s="186"/>
      <c r="AA580" s="187"/>
      <c r="AB580" s="188"/>
      <c r="AC580" s="137"/>
      <c r="AD580" s="184"/>
      <c r="AE580" s="189"/>
      <c r="AF580" s="190"/>
      <c r="AG580" s="143"/>
      <c r="AH580" s="143"/>
      <c r="AI580" s="143"/>
      <c r="AJ580" s="143"/>
      <c r="AK580" s="172"/>
      <c r="AL580" s="172"/>
    </row>
    <row r="581">
      <c r="A581" s="137"/>
      <c r="B581" s="88"/>
      <c r="C581" s="89"/>
      <c r="D581" s="55"/>
      <c r="E581" s="137"/>
      <c r="F581" s="88"/>
      <c r="G581" s="180"/>
      <c r="H581" s="181"/>
      <c r="I581" s="137"/>
      <c r="J581" s="88"/>
      <c r="K581" s="89"/>
      <c r="L581" s="55"/>
      <c r="M581" s="137"/>
      <c r="N581" s="182"/>
      <c r="O581" s="89"/>
      <c r="P581" s="55"/>
      <c r="Q581" s="183"/>
      <c r="R581" s="184"/>
      <c r="S581" s="185"/>
      <c r="T581" s="172"/>
      <c r="U581" s="183"/>
      <c r="V581" s="184"/>
      <c r="W581" s="185"/>
      <c r="X581" s="172"/>
      <c r="Y581" s="137"/>
      <c r="Z581" s="186"/>
      <c r="AA581" s="187"/>
      <c r="AB581" s="188"/>
      <c r="AC581" s="137"/>
      <c r="AD581" s="184"/>
      <c r="AE581" s="189"/>
      <c r="AF581" s="190"/>
      <c r="AG581" s="143"/>
      <c r="AH581" s="143"/>
      <c r="AI581" s="143"/>
      <c r="AJ581" s="143"/>
      <c r="AK581" s="172"/>
      <c r="AL581" s="172"/>
    </row>
    <row r="582">
      <c r="A582" s="137"/>
      <c r="B582" s="88"/>
      <c r="C582" s="89"/>
      <c r="D582" s="55"/>
      <c r="E582" s="137"/>
      <c r="F582" s="88"/>
      <c r="G582" s="180"/>
      <c r="H582" s="181"/>
      <c r="I582" s="137"/>
      <c r="J582" s="88"/>
      <c r="K582" s="89"/>
      <c r="L582" s="55"/>
      <c r="M582" s="137"/>
      <c r="N582" s="182"/>
      <c r="O582" s="89"/>
      <c r="P582" s="55"/>
      <c r="Q582" s="183"/>
      <c r="R582" s="184"/>
      <c r="S582" s="185"/>
      <c r="T582" s="172"/>
      <c r="U582" s="183"/>
      <c r="V582" s="184"/>
      <c r="W582" s="185"/>
      <c r="X582" s="172"/>
      <c r="Y582" s="137"/>
      <c r="Z582" s="186"/>
      <c r="AA582" s="187"/>
      <c r="AB582" s="188"/>
      <c r="AC582" s="137"/>
      <c r="AD582" s="184"/>
      <c r="AE582" s="189"/>
      <c r="AF582" s="190"/>
      <c r="AG582" s="143"/>
      <c r="AH582" s="143"/>
      <c r="AI582" s="143"/>
      <c r="AJ582" s="143"/>
      <c r="AK582" s="172"/>
      <c r="AL582" s="172"/>
    </row>
    <row r="583">
      <c r="A583" s="137"/>
      <c r="B583" s="88"/>
      <c r="C583" s="89"/>
      <c r="D583" s="55"/>
      <c r="E583" s="137"/>
      <c r="F583" s="88"/>
      <c r="G583" s="180"/>
      <c r="H583" s="181"/>
      <c r="I583" s="137"/>
      <c r="J583" s="88"/>
      <c r="K583" s="89"/>
      <c r="L583" s="55"/>
      <c r="M583" s="137"/>
      <c r="N583" s="182"/>
      <c r="O583" s="89"/>
      <c r="P583" s="55"/>
      <c r="Q583" s="183"/>
      <c r="R583" s="184"/>
      <c r="S583" s="185"/>
      <c r="T583" s="172"/>
      <c r="U583" s="183"/>
      <c r="V583" s="184"/>
      <c r="W583" s="185"/>
      <c r="X583" s="172"/>
      <c r="Y583" s="137"/>
      <c r="Z583" s="186"/>
      <c r="AA583" s="187"/>
      <c r="AB583" s="188"/>
      <c r="AC583" s="137"/>
      <c r="AD583" s="184"/>
      <c r="AE583" s="189"/>
      <c r="AF583" s="190"/>
      <c r="AG583" s="143"/>
      <c r="AH583" s="143"/>
      <c r="AI583" s="143"/>
      <c r="AJ583" s="143"/>
      <c r="AK583" s="172"/>
      <c r="AL583" s="172"/>
    </row>
    <row r="584">
      <c r="A584" s="137"/>
      <c r="B584" s="88"/>
      <c r="C584" s="89"/>
      <c r="D584" s="55"/>
      <c r="E584" s="137"/>
      <c r="F584" s="88"/>
      <c r="G584" s="180"/>
      <c r="H584" s="181"/>
      <c r="I584" s="137"/>
      <c r="J584" s="88"/>
      <c r="K584" s="89"/>
      <c r="L584" s="55"/>
      <c r="M584" s="137"/>
      <c r="N584" s="182"/>
      <c r="O584" s="89"/>
      <c r="P584" s="55"/>
      <c r="Q584" s="183"/>
      <c r="R584" s="184"/>
      <c r="S584" s="185"/>
      <c r="T584" s="172"/>
      <c r="U584" s="183"/>
      <c r="V584" s="184"/>
      <c r="W584" s="185"/>
      <c r="X584" s="172"/>
      <c r="Y584" s="137"/>
      <c r="Z584" s="186"/>
      <c r="AA584" s="187"/>
      <c r="AB584" s="188"/>
      <c r="AC584" s="137"/>
      <c r="AD584" s="184"/>
      <c r="AE584" s="189"/>
      <c r="AF584" s="190"/>
      <c r="AG584" s="143"/>
      <c r="AH584" s="143"/>
      <c r="AI584" s="143"/>
      <c r="AJ584" s="143"/>
      <c r="AK584" s="172"/>
      <c r="AL584" s="172"/>
    </row>
    <row r="585">
      <c r="A585" s="137"/>
      <c r="B585" s="88"/>
      <c r="C585" s="89"/>
      <c r="D585" s="55"/>
      <c r="E585" s="137"/>
      <c r="F585" s="88"/>
      <c r="G585" s="180"/>
      <c r="H585" s="181"/>
      <c r="I585" s="137"/>
      <c r="J585" s="88"/>
      <c r="K585" s="89"/>
      <c r="L585" s="55"/>
      <c r="M585" s="137"/>
      <c r="N585" s="182"/>
      <c r="O585" s="89"/>
      <c r="P585" s="55"/>
      <c r="Q585" s="183"/>
      <c r="R585" s="184"/>
      <c r="S585" s="185"/>
      <c r="T585" s="172"/>
      <c r="U585" s="183"/>
      <c r="V585" s="184"/>
      <c r="W585" s="185"/>
      <c r="X585" s="172"/>
      <c r="Y585" s="137"/>
      <c r="Z585" s="186"/>
      <c r="AA585" s="187"/>
      <c r="AB585" s="188"/>
      <c r="AC585" s="137"/>
      <c r="AD585" s="184"/>
      <c r="AE585" s="189"/>
      <c r="AF585" s="190"/>
      <c r="AG585" s="143"/>
      <c r="AH585" s="143"/>
      <c r="AI585" s="143"/>
      <c r="AJ585" s="143"/>
      <c r="AK585" s="172"/>
      <c r="AL585" s="172"/>
    </row>
    <row r="586">
      <c r="A586" s="137"/>
      <c r="B586" s="88"/>
      <c r="C586" s="89"/>
      <c r="D586" s="55"/>
      <c r="E586" s="137"/>
      <c r="F586" s="88"/>
      <c r="G586" s="180"/>
      <c r="H586" s="181"/>
      <c r="I586" s="137"/>
      <c r="J586" s="88"/>
      <c r="K586" s="89"/>
      <c r="L586" s="55"/>
      <c r="M586" s="137"/>
      <c r="N586" s="182"/>
      <c r="O586" s="89"/>
      <c r="P586" s="55"/>
      <c r="Q586" s="183"/>
      <c r="R586" s="184"/>
      <c r="S586" s="185"/>
      <c r="T586" s="172"/>
      <c r="U586" s="183"/>
      <c r="V586" s="184"/>
      <c r="W586" s="185"/>
      <c r="X586" s="172"/>
      <c r="Y586" s="137"/>
      <c r="Z586" s="186"/>
      <c r="AA586" s="187"/>
      <c r="AB586" s="188"/>
      <c r="AC586" s="137"/>
      <c r="AD586" s="184"/>
      <c r="AE586" s="189"/>
      <c r="AF586" s="190"/>
      <c r="AG586" s="143"/>
      <c r="AH586" s="143"/>
      <c r="AI586" s="143"/>
      <c r="AJ586" s="143"/>
      <c r="AK586" s="172"/>
      <c r="AL586" s="172"/>
    </row>
    <row r="587">
      <c r="A587" s="137"/>
      <c r="B587" s="88"/>
      <c r="C587" s="89"/>
      <c r="D587" s="55"/>
      <c r="E587" s="137"/>
      <c r="F587" s="88"/>
      <c r="G587" s="180"/>
      <c r="H587" s="181"/>
      <c r="I587" s="137"/>
      <c r="J587" s="88"/>
      <c r="K587" s="89"/>
      <c r="L587" s="55"/>
      <c r="M587" s="137"/>
      <c r="N587" s="182"/>
      <c r="O587" s="89"/>
      <c r="P587" s="55"/>
      <c r="Q587" s="183"/>
      <c r="R587" s="184"/>
      <c r="S587" s="185"/>
      <c r="T587" s="172"/>
      <c r="U587" s="183"/>
      <c r="V587" s="184"/>
      <c r="W587" s="185"/>
      <c r="X587" s="172"/>
      <c r="Y587" s="137"/>
      <c r="Z587" s="186"/>
      <c r="AA587" s="187"/>
      <c r="AB587" s="188"/>
      <c r="AC587" s="137"/>
      <c r="AD587" s="184"/>
      <c r="AE587" s="189"/>
      <c r="AF587" s="190"/>
      <c r="AG587" s="143"/>
      <c r="AH587" s="143"/>
      <c r="AI587" s="143"/>
      <c r="AJ587" s="143"/>
      <c r="AK587" s="172"/>
      <c r="AL587" s="172"/>
    </row>
    <row r="588">
      <c r="A588" s="137"/>
      <c r="B588" s="88"/>
      <c r="C588" s="89"/>
      <c r="D588" s="55"/>
      <c r="E588" s="137"/>
      <c r="F588" s="88"/>
      <c r="G588" s="180"/>
      <c r="H588" s="181"/>
      <c r="I588" s="137"/>
      <c r="J588" s="88"/>
      <c r="K588" s="89"/>
      <c r="L588" s="55"/>
      <c r="M588" s="137"/>
      <c r="N588" s="182"/>
      <c r="O588" s="89"/>
      <c r="P588" s="55"/>
      <c r="Q588" s="183"/>
      <c r="R588" s="184"/>
      <c r="S588" s="185"/>
      <c r="T588" s="172"/>
      <c r="U588" s="183"/>
      <c r="V588" s="184"/>
      <c r="W588" s="185"/>
      <c r="X588" s="172"/>
      <c r="Y588" s="137"/>
      <c r="Z588" s="186"/>
      <c r="AA588" s="187"/>
      <c r="AB588" s="188"/>
      <c r="AC588" s="137"/>
      <c r="AD588" s="184"/>
      <c r="AE588" s="189"/>
      <c r="AF588" s="190"/>
      <c r="AG588" s="143"/>
      <c r="AH588" s="143"/>
      <c r="AI588" s="143"/>
      <c r="AJ588" s="143"/>
      <c r="AK588" s="172"/>
      <c r="AL588" s="172"/>
    </row>
    <row r="589">
      <c r="A589" s="137"/>
      <c r="B589" s="88"/>
      <c r="C589" s="89"/>
      <c r="D589" s="55"/>
      <c r="E589" s="137"/>
      <c r="F589" s="88"/>
      <c r="G589" s="180"/>
      <c r="H589" s="181"/>
      <c r="I589" s="137"/>
      <c r="J589" s="88"/>
      <c r="K589" s="89"/>
      <c r="L589" s="55"/>
      <c r="M589" s="137"/>
      <c r="N589" s="182"/>
      <c r="O589" s="89"/>
      <c r="P589" s="55"/>
      <c r="Q589" s="183"/>
      <c r="R589" s="184"/>
      <c r="S589" s="185"/>
      <c r="T589" s="172"/>
      <c r="U589" s="183"/>
      <c r="V589" s="184"/>
      <c r="W589" s="185"/>
      <c r="X589" s="172"/>
      <c r="Y589" s="137"/>
      <c r="Z589" s="186"/>
      <c r="AA589" s="187"/>
      <c r="AB589" s="188"/>
      <c r="AC589" s="137"/>
      <c r="AD589" s="184"/>
      <c r="AE589" s="189"/>
      <c r="AF589" s="190"/>
      <c r="AG589" s="143"/>
      <c r="AH589" s="143"/>
      <c r="AI589" s="143"/>
      <c r="AJ589" s="143"/>
      <c r="AK589" s="172"/>
      <c r="AL589" s="172"/>
    </row>
    <row r="590">
      <c r="A590" s="137"/>
      <c r="B590" s="88"/>
      <c r="C590" s="89"/>
      <c r="D590" s="55"/>
      <c r="E590" s="137"/>
      <c r="F590" s="88"/>
      <c r="G590" s="180"/>
      <c r="H590" s="181"/>
      <c r="I590" s="137"/>
      <c r="J590" s="88"/>
      <c r="K590" s="89"/>
      <c r="L590" s="55"/>
      <c r="M590" s="137"/>
      <c r="N590" s="182"/>
      <c r="O590" s="89"/>
      <c r="P590" s="55"/>
      <c r="Q590" s="183"/>
      <c r="R590" s="184"/>
      <c r="S590" s="185"/>
      <c r="T590" s="172"/>
      <c r="U590" s="183"/>
      <c r="V590" s="184"/>
      <c r="W590" s="185"/>
      <c r="X590" s="172"/>
      <c r="Y590" s="137"/>
      <c r="Z590" s="186"/>
      <c r="AA590" s="187"/>
      <c r="AB590" s="188"/>
      <c r="AC590" s="137"/>
      <c r="AD590" s="184"/>
      <c r="AE590" s="189"/>
      <c r="AF590" s="190"/>
      <c r="AG590" s="143"/>
      <c r="AH590" s="143"/>
      <c r="AI590" s="143"/>
      <c r="AJ590" s="143"/>
      <c r="AK590" s="172"/>
      <c r="AL590" s="172"/>
    </row>
    <row r="591">
      <c r="A591" s="137"/>
      <c r="B591" s="88"/>
      <c r="C591" s="89"/>
      <c r="D591" s="55"/>
      <c r="E591" s="137"/>
      <c r="F591" s="88"/>
      <c r="G591" s="180"/>
      <c r="H591" s="181"/>
      <c r="I591" s="137"/>
      <c r="J591" s="88"/>
      <c r="K591" s="89"/>
      <c r="L591" s="55"/>
      <c r="M591" s="137"/>
      <c r="N591" s="182"/>
      <c r="O591" s="89"/>
      <c r="P591" s="55"/>
      <c r="Q591" s="183"/>
      <c r="R591" s="184"/>
      <c r="S591" s="185"/>
      <c r="T591" s="172"/>
      <c r="U591" s="183"/>
      <c r="V591" s="184"/>
      <c r="W591" s="185"/>
      <c r="X591" s="172"/>
      <c r="Y591" s="137"/>
      <c r="Z591" s="186"/>
      <c r="AA591" s="187"/>
      <c r="AB591" s="188"/>
      <c r="AC591" s="137"/>
      <c r="AD591" s="184"/>
      <c r="AE591" s="189"/>
      <c r="AF591" s="190"/>
      <c r="AG591" s="143"/>
      <c r="AH591" s="143"/>
      <c r="AI591" s="143"/>
      <c r="AJ591" s="143"/>
      <c r="AK591" s="172"/>
      <c r="AL591" s="172"/>
    </row>
    <row r="592">
      <c r="A592" s="137"/>
      <c r="B592" s="88"/>
      <c r="C592" s="89"/>
      <c r="D592" s="55"/>
      <c r="E592" s="137"/>
      <c r="F592" s="88"/>
      <c r="G592" s="180"/>
      <c r="H592" s="181"/>
      <c r="I592" s="137"/>
      <c r="J592" s="88"/>
      <c r="K592" s="89"/>
      <c r="L592" s="55"/>
      <c r="M592" s="137"/>
      <c r="N592" s="182"/>
      <c r="O592" s="89"/>
      <c r="P592" s="55"/>
      <c r="Q592" s="183"/>
      <c r="R592" s="184"/>
      <c r="S592" s="185"/>
      <c r="T592" s="172"/>
      <c r="U592" s="183"/>
      <c r="V592" s="184"/>
      <c r="W592" s="185"/>
      <c r="X592" s="172"/>
      <c r="Y592" s="137"/>
      <c r="Z592" s="186"/>
      <c r="AA592" s="187"/>
      <c r="AB592" s="188"/>
      <c r="AC592" s="137"/>
      <c r="AD592" s="184"/>
      <c r="AE592" s="189"/>
      <c r="AF592" s="190"/>
      <c r="AG592" s="143"/>
      <c r="AH592" s="143"/>
      <c r="AI592" s="143"/>
      <c r="AJ592" s="143"/>
      <c r="AK592" s="172"/>
      <c r="AL592" s="172"/>
    </row>
    <row r="593">
      <c r="A593" s="137"/>
      <c r="B593" s="88"/>
      <c r="C593" s="89"/>
      <c r="D593" s="55"/>
      <c r="E593" s="137"/>
      <c r="F593" s="88"/>
      <c r="G593" s="180"/>
      <c r="H593" s="181"/>
      <c r="I593" s="137"/>
      <c r="J593" s="88"/>
      <c r="K593" s="89"/>
      <c r="L593" s="55"/>
      <c r="M593" s="137"/>
      <c r="N593" s="182"/>
      <c r="O593" s="89"/>
      <c r="P593" s="55"/>
      <c r="Q593" s="183"/>
      <c r="R593" s="184"/>
      <c r="S593" s="185"/>
      <c r="T593" s="172"/>
      <c r="U593" s="183"/>
      <c r="V593" s="184"/>
      <c r="W593" s="185"/>
      <c r="X593" s="172"/>
      <c r="Y593" s="137"/>
      <c r="Z593" s="186"/>
      <c r="AA593" s="187"/>
      <c r="AB593" s="188"/>
      <c r="AC593" s="137"/>
      <c r="AD593" s="184"/>
      <c r="AE593" s="189"/>
      <c r="AF593" s="190"/>
      <c r="AG593" s="143"/>
      <c r="AH593" s="143"/>
      <c r="AI593" s="143"/>
      <c r="AJ593" s="143"/>
      <c r="AK593" s="172"/>
      <c r="AL593" s="172"/>
    </row>
    <row r="594">
      <c r="A594" s="137"/>
      <c r="B594" s="88"/>
      <c r="C594" s="89"/>
      <c r="D594" s="55"/>
      <c r="E594" s="137"/>
      <c r="F594" s="88"/>
      <c r="G594" s="180"/>
      <c r="H594" s="181"/>
      <c r="I594" s="137"/>
      <c r="J594" s="88"/>
      <c r="K594" s="89"/>
      <c r="L594" s="55"/>
      <c r="M594" s="137"/>
      <c r="N594" s="182"/>
      <c r="O594" s="89"/>
      <c r="P594" s="55"/>
      <c r="Q594" s="183"/>
      <c r="R594" s="184"/>
      <c r="S594" s="185"/>
      <c r="T594" s="172"/>
      <c r="U594" s="183"/>
      <c r="V594" s="184"/>
      <c r="W594" s="185"/>
      <c r="X594" s="172"/>
      <c r="Y594" s="137"/>
      <c r="Z594" s="186"/>
      <c r="AA594" s="187"/>
      <c r="AB594" s="188"/>
      <c r="AC594" s="137"/>
      <c r="AD594" s="184"/>
      <c r="AE594" s="189"/>
      <c r="AF594" s="190"/>
      <c r="AG594" s="143"/>
      <c r="AH594" s="143"/>
      <c r="AI594" s="143"/>
      <c r="AJ594" s="143"/>
      <c r="AK594" s="172"/>
      <c r="AL594" s="172"/>
    </row>
    <row r="595">
      <c r="A595" s="137"/>
      <c r="B595" s="88"/>
      <c r="C595" s="89"/>
      <c r="D595" s="55"/>
      <c r="E595" s="137"/>
      <c r="F595" s="88"/>
      <c r="G595" s="180"/>
      <c r="H595" s="181"/>
      <c r="I595" s="137"/>
      <c r="J595" s="88"/>
      <c r="K595" s="89"/>
      <c r="L595" s="55"/>
      <c r="M595" s="137"/>
      <c r="N595" s="182"/>
      <c r="O595" s="89"/>
      <c r="P595" s="55"/>
      <c r="Q595" s="183"/>
      <c r="R595" s="184"/>
      <c r="S595" s="185"/>
      <c r="T595" s="172"/>
      <c r="U595" s="183"/>
      <c r="V595" s="184"/>
      <c r="W595" s="185"/>
      <c r="X595" s="172"/>
      <c r="Y595" s="137"/>
      <c r="Z595" s="186"/>
      <c r="AA595" s="187"/>
      <c r="AB595" s="188"/>
      <c r="AC595" s="137"/>
      <c r="AD595" s="184"/>
      <c r="AE595" s="189"/>
      <c r="AF595" s="190"/>
      <c r="AG595" s="143"/>
      <c r="AH595" s="143"/>
      <c r="AI595" s="143"/>
      <c r="AJ595" s="143"/>
      <c r="AK595" s="172"/>
      <c r="AL595" s="172"/>
    </row>
    <row r="596">
      <c r="A596" s="137"/>
      <c r="B596" s="88"/>
      <c r="C596" s="89"/>
      <c r="D596" s="55"/>
      <c r="E596" s="137"/>
      <c r="F596" s="88"/>
      <c r="G596" s="180"/>
      <c r="H596" s="181"/>
      <c r="I596" s="137"/>
      <c r="J596" s="88"/>
      <c r="K596" s="89"/>
      <c r="L596" s="55"/>
      <c r="M596" s="137"/>
      <c r="N596" s="182"/>
      <c r="O596" s="89"/>
      <c r="P596" s="55"/>
      <c r="Q596" s="183"/>
      <c r="R596" s="184"/>
      <c r="S596" s="185"/>
      <c r="T596" s="172"/>
      <c r="U596" s="183"/>
      <c r="V596" s="184"/>
      <c r="W596" s="185"/>
      <c r="X596" s="172"/>
      <c r="Y596" s="137"/>
      <c r="Z596" s="186"/>
      <c r="AA596" s="187"/>
      <c r="AB596" s="188"/>
      <c r="AC596" s="137"/>
      <c r="AD596" s="184"/>
      <c r="AE596" s="189"/>
      <c r="AF596" s="190"/>
      <c r="AG596" s="143"/>
      <c r="AH596" s="143"/>
      <c r="AI596" s="143"/>
      <c r="AJ596" s="143"/>
      <c r="AK596" s="172"/>
      <c r="AL596" s="172"/>
    </row>
    <row r="597">
      <c r="A597" s="137"/>
      <c r="B597" s="88"/>
      <c r="C597" s="89"/>
      <c r="D597" s="55"/>
      <c r="E597" s="137"/>
      <c r="F597" s="88"/>
      <c r="G597" s="180"/>
      <c r="H597" s="181"/>
      <c r="I597" s="137"/>
      <c r="J597" s="88"/>
      <c r="K597" s="89"/>
      <c r="L597" s="55"/>
      <c r="M597" s="137"/>
      <c r="N597" s="182"/>
      <c r="O597" s="89"/>
      <c r="P597" s="55"/>
      <c r="Q597" s="183"/>
      <c r="R597" s="184"/>
      <c r="S597" s="185"/>
      <c r="T597" s="172"/>
      <c r="U597" s="183"/>
      <c r="V597" s="184"/>
      <c r="W597" s="185"/>
      <c r="X597" s="172"/>
      <c r="Y597" s="137"/>
      <c r="Z597" s="186"/>
      <c r="AA597" s="187"/>
      <c r="AB597" s="188"/>
      <c r="AC597" s="137"/>
      <c r="AD597" s="184"/>
      <c r="AE597" s="189"/>
      <c r="AF597" s="190"/>
      <c r="AG597" s="143"/>
      <c r="AH597" s="143"/>
      <c r="AI597" s="143"/>
      <c r="AJ597" s="143"/>
      <c r="AK597" s="172"/>
      <c r="AL597" s="172"/>
    </row>
    <row r="598">
      <c r="A598" s="137"/>
      <c r="B598" s="88"/>
      <c r="C598" s="89"/>
      <c r="D598" s="55"/>
      <c r="E598" s="137"/>
      <c r="F598" s="88"/>
      <c r="G598" s="180"/>
      <c r="H598" s="181"/>
      <c r="I598" s="137"/>
      <c r="J598" s="88"/>
      <c r="K598" s="89"/>
      <c r="L598" s="55"/>
      <c r="M598" s="137"/>
      <c r="N598" s="182"/>
      <c r="O598" s="89"/>
      <c r="P598" s="55"/>
      <c r="Q598" s="183"/>
      <c r="R598" s="184"/>
      <c r="S598" s="185"/>
      <c r="T598" s="172"/>
      <c r="U598" s="183"/>
      <c r="V598" s="184"/>
      <c r="W598" s="185"/>
      <c r="X598" s="172"/>
      <c r="Y598" s="137"/>
      <c r="Z598" s="186"/>
      <c r="AA598" s="187"/>
      <c r="AB598" s="188"/>
      <c r="AC598" s="137"/>
      <c r="AD598" s="184"/>
      <c r="AE598" s="189"/>
      <c r="AF598" s="190"/>
      <c r="AG598" s="143"/>
      <c r="AH598" s="143"/>
      <c r="AI598" s="143"/>
      <c r="AJ598" s="143"/>
      <c r="AK598" s="172"/>
      <c r="AL598" s="172"/>
    </row>
    <row r="599">
      <c r="A599" s="137"/>
      <c r="B599" s="88"/>
      <c r="C599" s="89"/>
      <c r="D599" s="55"/>
      <c r="E599" s="137"/>
      <c r="F599" s="88"/>
      <c r="G599" s="180"/>
      <c r="H599" s="181"/>
      <c r="I599" s="137"/>
      <c r="J599" s="88"/>
      <c r="K599" s="89"/>
      <c r="L599" s="55"/>
      <c r="M599" s="137"/>
      <c r="N599" s="182"/>
      <c r="O599" s="89"/>
      <c r="P599" s="55"/>
      <c r="Q599" s="183"/>
      <c r="R599" s="184"/>
      <c r="S599" s="185"/>
      <c r="T599" s="172"/>
      <c r="U599" s="183"/>
      <c r="V599" s="184"/>
      <c r="W599" s="185"/>
      <c r="X599" s="172"/>
      <c r="Y599" s="137"/>
      <c r="Z599" s="186"/>
      <c r="AA599" s="187"/>
      <c r="AB599" s="188"/>
      <c r="AC599" s="137"/>
      <c r="AD599" s="184"/>
      <c r="AE599" s="189"/>
      <c r="AF599" s="190"/>
      <c r="AG599" s="143"/>
      <c r="AH599" s="143"/>
      <c r="AI599" s="143"/>
      <c r="AJ599" s="143"/>
      <c r="AK599" s="172"/>
      <c r="AL599" s="172"/>
    </row>
    <row r="600">
      <c r="A600" s="137"/>
      <c r="B600" s="88"/>
      <c r="C600" s="89"/>
      <c r="D600" s="55"/>
      <c r="E600" s="137"/>
      <c r="F600" s="88"/>
      <c r="G600" s="180"/>
      <c r="H600" s="181"/>
      <c r="I600" s="137"/>
      <c r="J600" s="88"/>
      <c r="K600" s="89"/>
      <c r="L600" s="55"/>
      <c r="M600" s="137"/>
      <c r="N600" s="182"/>
      <c r="O600" s="89"/>
      <c r="P600" s="55"/>
      <c r="Q600" s="183"/>
      <c r="R600" s="184"/>
      <c r="S600" s="185"/>
      <c r="T600" s="172"/>
      <c r="U600" s="183"/>
      <c r="V600" s="184"/>
      <c r="W600" s="185"/>
      <c r="X600" s="172"/>
      <c r="Y600" s="137"/>
      <c r="Z600" s="186"/>
      <c r="AA600" s="187"/>
      <c r="AB600" s="188"/>
      <c r="AC600" s="137"/>
      <c r="AD600" s="184"/>
      <c r="AE600" s="189"/>
      <c r="AF600" s="190"/>
      <c r="AG600" s="143"/>
      <c r="AH600" s="143"/>
      <c r="AI600" s="143"/>
      <c r="AJ600" s="143"/>
      <c r="AK600" s="172"/>
      <c r="AL600" s="172"/>
    </row>
    <row r="601">
      <c r="A601" s="137"/>
      <c r="B601" s="88"/>
      <c r="C601" s="89"/>
      <c r="D601" s="55"/>
      <c r="E601" s="137"/>
      <c r="F601" s="88"/>
      <c r="G601" s="180"/>
      <c r="H601" s="181"/>
      <c r="I601" s="137"/>
      <c r="J601" s="88"/>
      <c r="K601" s="89"/>
      <c r="L601" s="55"/>
      <c r="M601" s="137"/>
      <c r="N601" s="182"/>
      <c r="O601" s="89"/>
      <c r="P601" s="55"/>
      <c r="Q601" s="183"/>
      <c r="R601" s="184"/>
      <c r="S601" s="185"/>
      <c r="T601" s="172"/>
      <c r="U601" s="183"/>
      <c r="V601" s="184"/>
      <c r="W601" s="185"/>
      <c r="X601" s="172"/>
      <c r="Y601" s="137"/>
      <c r="Z601" s="186"/>
      <c r="AA601" s="187"/>
      <c r="AB601" s="188"/>
      <c r="AC601" s="137"/>
      <c r="AD601" s="184"/>
      <c r="AE601" s="189"/>
      <c r="AF601" s="190"/>
      <c r="AG601" s="143"/>
      <c r="AH601" s="143"/>
      <c r="AI601" s="143"/>
      <c r="AJ601" s="143"/>
      <c r="AK601" s="172"/>
      <c r="AL601" s="172"/>
    </row>
    <row r="602">
      <c r="A602" s="137"/>
      <c r="B602" s="88"/>
      <c r="C602" s="89"/>
      <c r="D602" s="55"/>
      <c r="E602" s="137"/>
      <c r="F602" s="88"/>
      <c r="G602" s="180"/>
      <c r="H602" s="181"/>
      <c r="I602" s="137"/>
      <c r="J602" s="88"/>
      <c r="K602" s="89"/>
      <c r="L602" s="55"/>
      <c r="M602" s="137"/>
      <c r="N602" s="182"/>
      <c r="O602" s="89"/>
      <c r="P602" s="55"/>
      <c r="Q602" s="183"/>
      <c r="R602" s="184"/>
      <c r="S602" s="185"/>
      <c r="T602" s="172"/>
      <c r="U602" s="183"/>
      <c r="V602" s="184"/>
      <c r="W602" s="185"/>
      <c r="X602" s="172"/>
      <c r="Y602" s="137"/>
      <c r="Z602" s="186"/>
      <c r="AA602" s="187"/>
      <c r="AB602" s="188"/>
      <c r="AC602" s="137"/>
      <c r="AD602" s="184"/>
      <c r="AE602" s="189"/>
      <c r="AF602" s="190"/>
      <c r="AG602" s="143"/>
      <c r="AH602" s="143"/>
      <c r="AI602" s="143"/>
      <c r="AJ602" s="143"/>
      <c r="AK602" s="172"/>
      <c r="AL602" s="172"/>
    </row>
    <row r="603">
      <c r="A603" s="137"/>
      <c r="B603" s="88"/>
      <c r="C603" s="89"/>
      <c r="D603" s="55"/>
      <c r="E603" s="137"/>
      <c r="F603" s="88"/>
      <c r="G603" s="180"/>
      <c r="H603" s="181"/>
      <c r="I603" s="137"/>
      <c r="J603" s="88"/>
      <c r="K603" s="89"/>
      <c r="L603" s="55"/>
      <c r="M603" s="137"/>
      <c r="N603" s="182"/>
      <c r="O603" s="89"/>
      <c r="P603" s="55"/>
      <c r="Q603" s="183"/>
      <c r="R603" s="184"/>
      <c r="S603" s="185"/>
      <c r="T603" s="172"/>
      <c r="U603" s="183"/>
      <c r="V603" s="184"/>
      <c r="W603" s="185"/>
      <c r="X603" s="172"/>
      <c r="Y603" s="137"/>
      <c r="Z603" s="186"/>
      <c r="AA603" s="187"/>
      <c r="AB603" s="188"/>
      <c r="AC603" s="137"/>
      <c r="AD603" s="184"/>
      <c r="AE603" s="189"/>
      <c r="AF603" s="190"/>
      <c r="AG603" s="143"/>
      <c r="AH603" s="143"/>
      <c r="AI603" s="143"/>
      <c r="AJ603" s="143"/>
      <c r="AK603" s="172"/>
      <c r="AL603" s="172"/>
    </row>
    <row r="604">
      <c r="A604" s="137"/>
      <c r="B604" s="88"/>
      <c r="C604" s="89"/>
      <c r="D604" s="55"/>
      <c r="E604" s="137"/>
      <c r="F604" s="88"/>
      <c r="G604" s="180"/>
      <c r="H604" s="181"/>
      <c r="I604" s="137"/>
      <c r="J604" s="88"/>
      <c r="K604" s="89"/>
      <c r="L604" s="55"/>
      <c r="M604" s="137"/>
      <c r="N604" s="182"/>
      <c r="O604" s="89"/>
      <c r="P604" s="55"/>
      <c r="Q604" s="183"/>
      <c r="R604" s="184"/>
      <c r="S604" s="185"/>
      <c r="T604" s="172"/>
      <c r="U604" s="183"/>
      <c r="V604" s="184"/>
      <c r="W604" s="185"/>
      <c r="X604" s="172"/>
      <c r="Y604" s="137"/>
      <c r="Z604" s="186"/>
      <c r="AA604" s="187"/>
      <c r="AB604" s="188"/>
      <c r="AC604" s="137"/>
      <c r="AD604" s="184"/>
      <c r="AE604" s="189"/>
      <c r="AF604" s="190"/>
      <c r="AG604" s="143"/>
      <c r="AH604" s="143"/>
      <c r="AI604" s="143"/>
      <c r="AJ604" s="143"/>
      <c r="AK604" s="172"/>
      <c r="AL604" s="172"/>
    </row>
    <row r="605">
      <c r="A605" s="137"/>
      <c r="B605" s="88"/>
      <c r="C605" s="89"/>
      <c r="D605" s="55"/>
      <c r="E605" s="137"/>
      <c r="F605" s="88"/>
      <c r="G605" s="180"/>
      <c r="H605" s="181"/>
      <c r="I605" s="137"/>
      <c r="J605" s="88"/>
      <c r="K605" s="89"/>
      <c r="L605" s="55"/>
      <c r="M605" s="137"/>
      <c r="N605" s="182"/>
      <c r="O605" s="89"/>
      <c r="P605" s="55"/>
      <c r="Q605" s="183"/>
      <c r="R605" s="184"/>
      <c r="S605" s="185"/>
      <c r="T605" s="172"/>
      <c r="U605" s="183"/>
      <c r="V605" s="184"/>
      <c r="W605" s="185"/>
      <c r="X605" s="172"/>
      <c r="Y605" s="137"/>
      <c r="Z605" s="186"/>
      <c r="AA605" s="187"/>
      <c r="AB605" s="188"/>
      <c r="AC605" s="137"/>
      <c r="AD605" s="184"/>
      <c r="AE605" s="189"/>
      <c r="AF605" s="190"/>
      <c r="AG605" s="143"/>
      <c r="AH605" s="143"/>
      <c r="AI605" s="143"/>
      <c r="AJ605" s="143"/>
      <c r="AK605" s="172"/>
      <c r="AL605" s="172"/>
    </row>
    <row r="606">
      <c r="A606" s="137"/>
      <c r="B606" s="88"/>
      <c r="C606" s="89"/>
      <c r="D606" s="55"/>
      <c r="E606" s="137"/>
      <c r="F606" s="88"/>
      <c r="G606" s="180"/>
      <c r="H606" s="181"/>
      <c r="I606" s="137"/>
      <c r="J606" s="88"/>
      <c r="K606" s="89"/>
      <c r="L606" s="55"/>
      <c r="M606" s="137"/>
      <c r="N606" s="182"/>
      <c r="O606" s="89"/>
      <c r="P606" s="55"/>
      <c r="Q606" s="183"/>
      <c r="R606" s="184"/>
      <c r="S606" s="185"/>
      <c r="T606" s="172"/>
      <c r="U606" s="183"/>
      <c r="V606" s="184"/>
      <c r="W606" s="185"/>
      <c r="X606" s="172"/>
      <c r="Y606" s="137"/>
      <c r="Z606" s="186"/>
      <c r="AA606" s="187"/>
      <c r="AB606" s="188"/>
      <c r="AC606" s="137"/>
      <c r="AD606" s="184"/>
      <c r="AE606" s="189"/>
      <c r="AF606" s="190"/>
      <c r="AG606" s="143"/>
      <c r="AH606" s="143"/>
      <c r="AI606" s="143"/>
      <c r="AJ606" s="143"/>
      <c r="AK606" s="172"/>
      <c r="AL606" s="172"/>
    </row>
    <row r="607">
      <c r="A607" s="137"/>
      <c r="B607" s="88"/>
      <c r="C607" s="89"/>
      <c r="D607" s="55"/>
      <c r="E607" s="137"/>
      <c r="F607" s="88"/>
      <c r="G607" s="180"/>
      <c r="H607" s="181"/>
      <c r="I607" s="137"/>
      <c r="J607" s="88"/>
      <c r="K607" s="89"/>
      <c r="L607" s="55"/>
      <c r="M607" s="137"/>
      <c r="N607" s="182"/>
      <c r="O607" s="89"/>
      <c r="P607" s="55"/>
      <c r="Q607" s="183"/>
      <c r="R607" s="184"/>
      <c r="S607" s="185"/>
      <c r="T607" s="172"/>
      <c r="U607" s="183"/>
      <c r="V607" s="184"/>
      <c r="W607" s="185"/>
      <c r="X607" s="172"/>
      <c r="Y607" s="137"/>
      <c r="Z607" s="186"/>
      <c r="AA607" s="187"/>
      <c r="AB607" s="188"/>
      <c r="AC607" s="137"/>
      <c r="AD607" s="184"/>
      <c r="AE607" s="189"/>
      <c r="AF607" s="190"/>
      <c r="AG607" s="143"/>
      <c r="AH607" s="143"/>
      <c r="AI607" s="143"/>
      <c r="AJ607" s="143"/>
      <c r="AK607" s="172"/>
      <c r="AL607" s="172"/>
    </row>
    <row r="608">
      <c r="A608" s="137"/>
      <c r="B608" s="88"/>
      <c r="C608" s="89"/>
      <c r="D608" s="55"/>
      <c r="E608" s="137"/>
      <c r="F608" s="88"/>
      <c r="G608" s="180"/>
      <c r="H608" s="181"/>
      <c r="I608" s="137"/>
      <c r="J608" s="88"/>
      <c r="K608" s="89"/>
      <c r="L608" s="55"/>
      <c r="M608" s="137"/>
      <c r="N608" s="182"/>
      <c r="O608" s="89"/>
      <c r="P608" s="55"/>
      <c r="Q608" s="183"/>
      <c r="R608" s="184"/>
      <c r="S608" s="185"/>
      <c r="T608" s="172"/>
      <c r="U608" s="183"/>
      <c r="V608" s="184"/>
      <c r="W608" s="185"/>
      <c r="X608" s="172"/>
      <c r="Y608" s="137"/>
      <c r="Z608" s="186"/>
      <c r="AA608" s="187"/>
      <c r="AB608" s="188"/>
      <c r="AC608" s="137"/>
      <c r="AD608" s="184"/>
      <c r="AE608" s="189"/>
      <c r="AF608" s="190"/>
      <c r="AG608" s="143"/>
      <c r="AH608" s="143"/>
      <c r="AI608" s="143"/>
      <c r="AJ608" s="143"/>
      <c r="AK608" s="172"/>
      <c r="AL608" s="172"/>
    </row>
    <row r="609">
      <c r="A609" s="137"/>
      <c r="B609" s="88"/>
      <c r="C609" s="89"/>
      <c r="D609" s="55"/>
      <c r="E609" s="137"/>
      <c r="F609" s="88"/>
      <c r="G609" s="180"/>
      <c r="H609" s="181"/>
      <c r="I609" s="137"/>
      <c r="J609" s="88"/>
      <c r="K609" s="89"/>
      <c r="L609" s="55"/>
      <c r="M609" s="137"/>
      <c r="N609" s="182"/>
      <c r="O609" s="89"/>
      <c r="P609" s="55"/>
      <c r="Q609" s="183"/>
      <c r="R609" s="184"/>
      <c r="S609" s="185"/>
      <c r="T609" s="172"/>
      <c r="U609" s="183"/>
      <c r="V609" s="184"/>
      <c r="W609" s="185"/>
      <c r="X609" s="172"/>
      <c r="Y609" s="137"/>
      <c r="Z609" s="186"/>
      <c r="AA609" s="187"/>
      <c r="AB609" s="188"/>
      <c r="AC609" s="137"/>
      <c r="AD609" s="184"/>
      <c r="AE609" s="189"/>
      <c r="AF609" s="190"/>
      <c r="AG609" s="143"/>
      <c r="AH609" s="143"/>
      <c r="AI609" s="143"/>
      <c r="AJ609" s="143"/>
      <c r="AK609" s="172"/>
      <c r="AL609" s="172"/>
    </row>
    <row r="610">
      <c r="A610" s="137"/>
      <c r="B610" s="88"/>
      <c r="C610" s="89"/>
      <c r="D610" s="55"/>
      <c r="E610" s="137"/>
      <c r="F610" s="88"/>
      <c r="G610" s="180"/>
      <c r="H610" s="181"/>
      <c r="I610" s="137"/>
      <c r="J610" s="88"/>
      <c r="K610" s="89"/>
      <c r="L610" s="55"/>
      <c r="M610" s="137"/>
      <c r="N610" s="182"/>
      <c r="O610" s="89"/>
      <c r="P610" s="55"/>
      <c r="Q610" s="183"/>
      <c r="R610" s="184"/>
      <c r="S610" s="185"/>
      <c r="T610" s="172"/>
      <c r="U610" s="183"/>
      <c r="V610" s="184"/>
      <c r="W610" s="185"/>
      <c r="X610" s="172"/>
      <c r="Y610" s="137"/>
      <c r="Z610" s="186"/>
      <c r="AA610" s="187"/>
      <c r="AB610" s="188"/>
      <c r="AC610" s="137"/>
      <c r="AD610" s="184"/>
      <c r="AE610" s="189"/>
      <c r="AF610" s="190"/>
      <c r="AG610" s="143"/>
      <c r="AH610" s="143"/>
      <c r="AI610" s="143"/>
      <c r="AJ610" s="143"/>
      <c r="AK610" s="172"/>
      <c r="AL610" s="172"/>
    </row>
    <row r="611">
      <c r="A611" s="137"/>
      <c r="B611" s="88"/>
      <c r="C611" s="89"/>
      <c r="D611" s="55"/>
      <c r="E611" s="137"/>
      <c r="F611" s="88"/>
      <c r="G611" s="180"/>
      <c r="H611" s="181"/>
      <c r="I611" s="137"/>
      <c r="J611" s="88"/>
      <c r="K611" s="89"/>
      <c r="L611" s="55"/>
      <c r="M611" s="137"/>
      <c r="N611" s="182"/>
      <c r="O611" s="89"/>
      <c r="P611" s="55"/>
      <c r="Q611" s="183"/>
      <c r="R611" s="184"/>
      <c r="S611" s="185"/>
      <c r="T611" s="172"/>
      <c r="U611" s="183"/>
      <c r="V611" s="184"/>
      <c r="W611" s="185"/>
      <c r="X611" s="172"/>
      <c r="Y611" s="137"/>
      <c r="Z611" s="186"/>
      <c r="AA611" s="187"/>
      <c r="AB611" s="188"/>
      <c r="AC611" s="137"/>
      <c r="AD611" s="184"/>
      <c r="AE611" s="189"/>
      <c r="AF611" s="190"/>
      <c r="AG611" s="143"/>
      <c r="AH611" s="143"/>
      <c r="AI611" s="143"/>
      <c r="AJ611" s="143"/>
      <c r="AK611" s="172"/>
      <c r="AL611" s="172"/>
    </row>
    <row r="612">
      <c r="A612" s="137"/>
      <c r="B612" s="88"/>
      <c r="C612" s="89"/>
      <c r="D612" s="55"/>
      <c r="E612" s="137"/>
      <c r="F612" s="88"/>
      <c r="G612" s="180"/>
      <c r="H612" s="181"/>
      <c r="I612" s="137"/>
      <c r="J612" s="88"/>
      <c r="K612" s="89"/>
      <c r="L612" s="55"/>
      <c r="M612" s="137"/>
      <c r="N612" s="182"/>
      <c r="O612" s="89"/>
      <c r="P612" s="55"/>
      <c r="Q612" s="183"/>
      <c r="R612" s="184"/>
      <c r="S612" s="185"/>
      <c r="T612" s="172"/>
      <c r="U612" s="183"/>
      <c r="V612" s="184"/>
      <c r="W612" s="185"/>
      <c r="X612" s="172"/>
      <c r="Y612" s="137"/>
      <c r="Z612" s="186"/>
      <c r="AA612" s="187"/>
      <c r="AB612" s="188"/>
      <c r="AC612" s="137"/>
      <c r="AD612" s="184"/>
      <c r="AE612" s="189"/>
      <c r="AF612" s="190"/>
      <c r="AG612" s="143"/>
      <c r="AH612" s="143"/>
      <c r="AI612" s="143"/>
      <c r="AJ612" s="143"/>
      <c r="AK612" s="172"/>
      <c r="AL612" s="172"/>
    </row>
    <row r="613">
      <c r="A613" s="137"/>
      <c r="B613" s="88"/>
      <c r="C613" s="89"/>
      <c r="D613" s="55"/>
      <c r="E613" s="137"/>
      <c r="F613" s="88"/>
      <c r="G613" s="180"/>
      <c r="H613" s="181"/>
      <c r="I613" s="137"/>
      <c r="J613" s="88"/>
      <c r="K613" s="89"/>
      <c r="L613" s="55"/>
      <c r="M613" s="137"/>
      <c r="N613" s="182"/>
      <c r="O613" s="89"/>
      <c r="P613" s="55"/>
      <c r="Q613" s="183"/>
      <c r="R613" s="184"/>
      <c r="S613" s="185"/>
      <c r="T613" s="172"/>
      <c r="U613" s="183"/>
      <c r="V613" s="184"/>
      <c r="W613" s="185"/>
      <c r="X613" s="172"/>
      <c r="Y613" s="137"/>
      <c r="Z613" s="186"/>
      <c r="AA613" s="187"/>
      <c r="AB613" s="188"/>
      <c r="AC613" s="137"/>
      <c r="AD613" s="184"/>
      <c r="AE613" s="189"/>
      <c r="AF613" s="190"/>
      <c r="AG613" s="143"/>
      <c r="AH613" s="143"/>
      <c r="AI613" s="143"/>
      <c r="AJ613" s="143"/>
      <c r="AK613" s="172"/>
      <c r="AL613" s="172"/>
    </row>
    <row r="614">
      <c r="A614" s="137"/>
      <c r="B614" s="88"/>
      <c r="C614" s="89"/>
      <c r="D614" s="55"/>
      <c r="E614" s="137"/>
      <c r="F614" s="88"/>
      <c r="G614" s="180"/>
      <c r="H614" s="181"/>
      <c r="I614" s="137"/>
      <c r="J614" s="88"/>
      <c r="K614" s="89"/>
      <c r="L614" s="55"/>
      <c r="M614" s="137"/>
      <c r="N614" s="182"/>
      <c r="O614" s="89"/>
      <c r="P614" s="55"/>
      <c r="Q614" s="183"/>
      <c r="R614" s="184"/>
      <c r="S614" s="185"/>
      <c r="T614" s="172"/>
      <c r="U614" s="183"/>
      <c r="V614" s="184"/>
      <c r="W614" s="185"/>
      <c r="X614" s="172"/>
      <c r="Y614" s="137"/>
      <c r="Z614" s="186"/>
      <c r="AA614" s="187"/>
      <c r="AB614" s="188"/>
      <c r="AC614" s="137"/>
      <c r="AD614" s="184"/>
      <c r="AE614" s="189"/>
      <c r="AF614" s="190"/>
      <c r="AG614" s="143"/>
      <c r="AH614" s="143"/>
      <c r="AI614" s="143"/>
      <c r="AJ614" s="143"/>
      <c r="AK614" s="172"/>
      <c r="AL614" s="172"/>
    </row>
    <row r="615">
      <c r="A615" s="137"/>
      <c r="B615" s="88"/>
      <c r="C615" s="89"/>
      <c r="D615" s="55"/>
      <c r="E615" s="137"/>
      <c r="F615" s="88"/>
      <c r="G615" s="180"/>
      <c r="H615" s="181"/>
      <c r="I615" s="137"/>
      <c r="J615" s="88"/>
      <c r="K615" s="89"/>
      <c r="L615" s="55"/>
      <c r="M615" s="137"/>
      <c r="N615" s="182"/>
      <c r="O615" s="89"/>
      <c r="P615" s="55"/>
      <c r="Q615" s="183"/>
      <c r="R615" s="184"/>
      <c r="S615" s="185"/>
      <c r="T615" s="172"/>
      <c r="U615" s="183"/>
      <c r="V615" s="184"/>
      <c r="W615" s="185"/>
      <c r="X615" s="172"/>
      <c r="Y615" s="137"/>
      <c r="Z615" s="186"/>
      <c r="AA615" s="187"/>
      <c r="AB615" s="188"/>
      <c r="AC615" s="137"/>
      <c r="AD615" s="184"/>
      <c r="AE615" s="189"/>
      <c r="AF615" s="190"/>
      <c r="AG615" s="143"/>
      <c r="AH615" s="143"/>
      <c r="AI615" s="143"/>
      <c r="AJ615" s="143"/>
      <c r="AK615" s="172"/>
      <c r="AL615" s="172"/>
    </row>
    <row r="616">
      <c r="A616" s="137"/>
      <c r="B616" s="88"/>
      <c r="C616" s="89"/>
      <c r="D616" s="55"/>
      <c r="E616" s="137"/>
      <c r="F616" s="88"/>
      <c r="G616" s="180"/>
      <c r="H616" s="181"/>
      <c r="I616" s="137"/>
      <c r="J616" s="88"/>
      <c r="K616" s="89"/>
      <c r="L616" s="55"/>
      <c r="M616" s="137"/>
      <c r="N616" s="182"/>
      <c r="O616" s="89"/>
      <c r="P616" s="55"/>
      <c r="Q616" s="183"/>
      <c r="R616" s="184"/>
      <c r="S616" s="185"/>
      <c r="T616" s="172"/>
      <c r="U616" s="183"/>
      <c r="V616" s="184"/>
      <c r="W616" s="185"/>
      <c r="X616" s="172"/>
      <c r="Y616" s="137"/>
      <c r="Z616" s="186"/>
      <c r="AA616" s="187"/>
      <c r="AB616" s="188"/>
      <c r="AC616" s="137"/>
      <c r="AD616" s="184"/>
      <c r="AE616" s="189"/>
      <c r="AF616" s="190"/>
      <c r="AG616" s="143"/>
      <c r="AH616" s="143"/>
      <c r="AI616" s="143"/>
      <c r="AJ616" s="143"/>
      <c r="AK616" s="172"/>
      <c r="AL616" s="172"/>
    </row>
    <row r="617">
      <c r="A617" s="137"/>
      <c r="B617" s="88"/>
      <c r="C617" s="89"/>
      <c r="D617" s="55"/>
      <c r="E617" s="137"/>
      <c r="F617" s="88"/>
      <c r="G617" s="180"/>
      <c r="H617" s="181"/>
      <c r="I617" s="137"/>
      <c r="J617" s="88"/>
      <c r="K617" s="89"/>
      <c r="L617" s="55"/>
      <c r="M617" s="137"/>
      <c r="N617" s="182"/>
      <c r="O617" s="89"/>
      <c r="P617" s="55"/>
      <c r="Q617" s="183"/>
      <c r="R617" s="184"/>
      <c r="S617" s="185"/>
      <c r="T617" s="172"/>
      <c r="U617" s="183"/>
      <c r="V617" s="184"/>
      <c r="W617" s="185"/>
      <c r="X617" s="172"/>
      <c r="Y617" s="137"/>
      <c r="Z617" s="186"/>
      <c r="AA617" s="187"/>
      <c r="AB617" s="188"/>
      <c r="AC617" s="137"/>
      <c r="AD617" s="184"/>
      <c r="AE617" s="189"/>
      <c r="AF617" s="190"/>
      <c r="AG617" s="143"/>
      <c r="AH617" s="143"/>
      <c r="AI617" s="143"/>
      <c r="AJ617" s="143"/>
      <c r="AK617" s="172"/>
      <c r="AL617" s="172"/>
    </row>
    <row r="618">
      <c r="A618" s="137"/>
      <c r="B618" s="88"/>
      <c r="C618" s="89"/>
      <c r="D618" s="55"/>
      <c r="E618" s="137"/>
      <c r="F618" s="88"/>
      <c r="G618" s="180"/>
      <c r="H618" s="181"/>
      <c r="I618" s="137"/>
      <c r="J618" s="88"/>
      <c r="K618" s="89"/>
      <c r="L618" s="55"/>
      <c r="M618" s="137"/>
      <c r="N618" s="182"/>
      <c r="O618" s="89"/>
      <c r="P618" s="55"/>
      <c r="Q618" s="183"/>
      <c r="R618" s="184"/>
      <c r="S618" s="185"/>
      <c r="T618" s="172"/>
      <c r="U618" s="183"/>
      <c r="V618" s="184"/>
      <c r="W618" s="185"/>
      <c r="X618" s="172"/>
      <c r="Y618" s="137"/>
      <c r="Z618" s="186"/>
      <c r="AA618" s="187"/>
      <c r="AB618" s="188"/>
      <c r="AC618" s="137"/>
      <c r="AD618" s="184"/>
      <c r="AE618" s="189"/>
      <c r="AF618" s="190"/>
      <c r="AG618" s="143"/>
      <c r="AH618" s="143"/>
      <c r="AI618" s="143"/>
      <c r="AJ618" s="143"/>
      <c r="AK618" s="172"/>
      <c r="AL618" s="172"/>
    </row>
    <row r="619">
      <c r="A619" s="137"/>
      <c r="B619" s="88"/>
      <c r="C619" s="89"/>
      <c r="D619" s="55"/>
      <c r="E619" s="137"/>
      <c r="F619" s="88"/>
      <c r="G619" s="180"/>
      <c r="H619" s="181"/>
      <c r="I619" s="137"/>
      <c r="J619" s="88"/>
      <c r="K619" s="89"/>
      <c r="L619" s="55"/>
      <c r="M619" s="137"/>
      <c r="N619" s="182"/>
      <c r="O619" s="89"/>
      <c r="P619" s="55"/>
      <c r="Q619" s="183"/>
      <c r="R619" s="184"/>
      <c r="S619" s="185"/>
      <c r="T619" s="172"/>
      <c r="U619" s="183"/>
      <c r="V619" s="184"/>
      <c r="W619" s="185"/>
      <c r="X619" s="172"/>
      <c r="Y619" s="137"/>
      <c r="Z619" s="186"/>
      <c r="AA619" s="187"/>
      <c r="AB619" s="188"/>
      <c r="AC619" s="137"/>
      <c r="AD619" s="184"/>
      <c r="AE619" s="189"/>
      <c r="AF619" s="190"/>
      <c r="AG619" s="143"/>
      <c r="AH619" s="143"/>
      <c r="AI619" s="143"/>
      <c r="AJ619" s="143"/>
      <c r="AK619" s="172"/>
      <c r="AL619" s="172"/>
    </row>
    <row r="620">
      <c r="A620" s="137"/>
      <c r="B620" s="88"/>
      <c r="C620" s="89"/>
      <c r="D620" s="55"/>
      <c r="E620" s="137"/>
      <c r="F620" s="88"/>
      <c r="G620" s="180"/>
      <c r="H620" s="181"/>
      <c r="I620" s="137"/>
      <c r="J620" s="88"/>
      <c r="K620" s="89"/>
      <c r="L620" s="55"/>
      <c r="M620" s="137"/>
      <c r="N620" s="182"/>
      <c r="O620" s="89"/>
      <c r="P620" s="55"/>
      <c r="Q620" s="183"/>
      <c r="R620" s="184"/>
      <c r="S620" s="185"/>
      <c r="T620" s="172"/>
      <c r="U620" s="183"/>
      <c r="V620" s="184"/>
      <c r="W620" s="185"/>
      <c r="X620" s="172"/>
      <c r="Y620" s="137"/>
      <c r="Z620" s="186"/>
      <c r="AA620" s="187"/>
      <c r="AB620" s="188"/>
      <c r="AC620" s="137"/>
      <c r="AD620" s="184"/>
      <c r="AE620" s="189"/>
      <c r="AF620" s="190"/>
      <c r="AG620" s="143"/>
      <c r="AH620" s="143"/>
      <c r="AI620" s="143"/>
      <c r="AJ620" s="143"/>
      <c r="AK620" s="172"/>
      <c r="AL620" s="172"/>
    </row>
    <row r="621">
      <c r="A621" s="137"/>
      <c r="B621" s="88"/>
      <c r="C621" s="89"/>
      <c r="D621" s="55"/>
      <c r="E621" s="137"/>
      <c r="F621" s="88"/>
      <c r="G621" s="180"/>
      <c r="H621" s="181"/>
      <c r="I621" s="137"/>
      <c r="J621" s="88"/>
      <c r="K621" s="89"/>
      <c r="L621" s="55"/>
      <c r="M621" s="137"/>
      <c r="N621" s="182"/>
      <c r="O621" s="89"/>
      <c r="P621" s="55"/>
      <c r="Q621" s="183"/>
      <c r="R621" s="184"/>
      <c r="S621" s="185"/>
      <c r="T621" s="172"/>
      <c r="U621" s="183"/>
      <c r="V621" s="184"/>
      <c r="W621" s="185"/>
      <c r="X621" s="172"/>
      <c r="Y621" s="137"/>
      <c r="Z621" s="186"/>
      <c r="AA621" s="187"/>
      <c r="AB621" s="188"/>
      <c r="AC621" s="137"/>
      <c r="AD621" s="184"/>
      <c r="AE621" s="189"/>
      <c r="AF621" s="190"/>
      <c r="AG621" s="143"/>
      <c r="AH621" s="143"/>
      <c r="AI621" s="143"/>
      <c r="AJ621" s="143"/>
      <c r="AK621" s="172"/>
      <c r="AL621" s="172"/>
    </row>
    <row r="622">
      <c r="A622" s="137"/>
      <c r="B622" s="88"/>
      <c r="C622" s="89"/>
      <c r="D622" s="55"/>
      <c r="E622" s="137"/>
      <c r="F622" s="88"/>
      <c r="G622" s="180"/>
      <c r="H622" s="181"/>
      <c r="I622" s="137"/>
      <c r="J622" s="88"/>
      <c r="K622" s="89"/>
      <c r="L622" s="55"/>
      <c r="M622" s="137"/>
      <c r="N622" s="182"/>
      <c r="O622" s="89"/>
      <c r="P622" s="55"/>
      <c r="Q622" s="183"/>
      <c r="R622" s="184"/>
      <c r="S622" s="185"/>
      <c r="T622" s="172"/>
      <c r="U622" s="183"/>
      <c r="V622" s="184"/>
      <c r="W622" s="185"/>
      <c r="X622" s="172"/>
      <c r="Y622" s="137"/>
      <c r="Z622" s="186"/>
      <c r="AA622" s="187"/>
      <c r="AB622" s="188"/>
      <c r="AC622" s="137"/>
      <c r="AD622" s="184"/>
      <c r="AE622" s="189"/>
      <c r="AF622" s="190"/>
      <c r="AG622" s="143"/>
      <c r="AH622" s="143"/>
      <c r="AI622" s="143"/>
      <c r="AJ622" s="143"/>
      <c r="AK622" s="172"/>
      <c r="AL622" s="172"/>
    </row>
    <row r="623">
      <c r="A623" s="137"/>
      <c r="B623" s="88"/>
      <c r="C623" s="89"/>
      <c r="D623" s="55"/>
      <c r="E623" s="137"/>
      <c r="F623" s="88"/>
      <c r="G623" s="180"/>
      <c r="H623" s="181"/>
      <c r="I623" s="137"/>
      <c r="J623" s="88"/>
      <c r="K623" s="89"/>
      <c r="L623" s="55"/>
      <c r="M623" s="137"/>
      <c r="N623" s="182"/>
      <c r="O623" s="89"/>
      <c r="P623" s="55"/>
      <c r="Q623" s="183"/>
      <c r="R623" s="184"/>
      <c r="S623" s="185"/>
      <c r="T623" s="172"/>
      <c r="U623" s="183"/>
      <c r="V623" s="184"/>
      <c r="W623" s="185"/>
      <c r="X623" s="172"/>
      <c r="Y623" s="137"/>
      <c r="Z623" s="186"/>
      <c r="AA623" s="187"/>
      <c r="AB623" s="188"/>
      <c r="AC623" s="137"/>
      <c r="AD623" s="184"/>
      <c r="AE623" s="189"/>
      <c r="AF623" s="190"/>
      <c r="AG623" s="143"/>
      <c r="AH623" s="143"/>
      <c r="AI623" s="143"/>
      <c r="AJ623" s="143"/>
      <c r="AK623" s="172"/>
      <c r="AL623" s="172"/>
    </row>
    <row r="624">
      <c r="A624" s="137"/>
      <c r="B624" s="88"/>
      <c r="C624" s="89"/>
      <c r="D624" s="55"/>
      <c r="E624" s="137"/>
      <c r="F624" s="88"/>
      <c r="G624" s="180"/>
      <c r="H624" s="181"/>
      <c r="I624" s="137"/>
      <c r="J624" s="88"/>
      <c r="K624" s="89"/>
      <c r="L624" s="55"/>
      <c r="M624" s="137"/>
      <c r="N624" s="182"/>
      <c r="O624" s="89"/>
      <c r="P624" s="55"/>
      <c r="Q624" s="183"/>
      <c r="R624" s="184"/>
      <c r="S624" s="185"/>
      <c r="T624" s="172"/>
      <c r="U624" s="183"/>
      <c r="V624" s="184"/>
      <c r="W624" s="185"/>
      <c r="X624" s="172"/>
      <c r="Y624" s="137"/>
      <c r="Z624" s="186"/>
      <c r="AA624" s="187"/>
      <c r="AB624" s="188"/>
      <c r="AC624" s="137"/>
      <c r="AD624" s="184"/>
      <c r="AE624" s="189"/>
      <c r="AF624" s="190"/>
      <c r="AG624" s="143"/>
      <c r="AH624" s="143"/>
      <c r="AI624" s="143"/>
      <c r="AJ624" s="143"/>
      <c r="AK624" s="172"/>
      <c r="AL624" s="172"/>
    </row>
    <row r="625">
      <c r="A625" s="137"/>
      <c r="B625" s="88"/>
      <c r="C625" s="89"/>
      <c r="D625" s="55"/>
      <c r="E625" s="137"/>
      <c r="F625" s="88"/>
      <c r="G625" s="180"/>
      <c r="H625" s="181"/>
      <c r="I625" s="137"/>
      <c r="J625" s="88"/>
      <c r="K625" s="89"/>
      <c r="L625" s="55"/>
      <c r="M625" s="137"/>
      <c r="N625" s="182"/>
      <c r="O625" s="89"/>
      <c r="P625" s="55"/>
      <c r="Q625" s="183"/>
      <c r="R625" s="184"/>
      <c r="S625" s="185"/>
      <c r="T625" s="172"/>
      <c r="U625" s="183"/>
      <c r="V625" s="184"/>
      <c r="W625" s="185"/>
      <c r="X625" s="172"/>
      <c r="Y625" s="137"/>
      <c r="Z625" s="186"/>
      <c r="AA625" s="187"/>
      <c r="AB625" s="188"/>
      <c r="AC625" s="137"/>
      <c r="AD625" s="184"/>
      <c r="AE625" s="189"/>
      <c r="AF625" s="190"/>
      <c r="AG625" s="143"/>
      <c r="AH625" s="143"/>
      <c r="AI625" s="143"/>
      <c r="AJ625" s="143"/>
      <c r="AK625" s="172"/>
      <c r="AL625" s="172"/>
    </row>
    <row r="626">
      <c r="A626" s="137"/>
      <c r="B626" s="88"/>
      <c r="C626" s="89"/>
      <c r="D626" s="55"/>
      <c r="E626" s="137"/>
      <c r="F626" s="88"/>
      <c r="G626" s="180"/>
      <c r="H626" s="181"/>
      <c r="I626" s="137"/>
      <c r="J626" s="88"/>
      <c r="K626" s="89"/>
      <c r="L626" s="55"/>
      <c r="M626" s="137"/>
      <c r="N626" s="182"/>
      <c r="O626" s="89"/>
      <c r="P626" s="55"/>
      <c r="Q626" s="183"/>
      <c r="R626" s="184"/>
      <c r="S626" s="185"/>
      <c r="T626" s="172"/>
      <c r="U626" s="183"/>
      <c r="V626" s="184"/>
      <c r="W626" s="185"/>
      <c r="X626" s="172"/>
      <c r="Y626" s="137"/>
      <c r="Z626" s="186"/>
      <c r="AA626" s="187"/>
      <c r="AB626" s="188"/>
      <c r="AC626" s="137"/>
      <c r="AD626" s="184"/>
      <c r="AE626" s="189"/>
      <c r="AF626" s="190"/>
      <c r="AG626" s="143"/>
      <c r="AH626" s="143"/>
      <c r="AI626" s="143"/>
      <c r="AJ626" s="143"/>
      <c r="AK626" s="172"/>
      <c r="AL626" s="172"/>
    </row>
    <row r="627">
      <c r="A627" s="137"/>
      <c r="B627" s="88"/>
      <c r="C627" s="89"/>
      <c r="D627" s="55"/>
      <c r="E627" s="137"/>
      <c r="F627" s="88"/>
      <c r="G627" s="180"/>
      <c r="H627" s="181"/>
      <c r="I627" s="137"/>
      <c r="J627" s="88"/>
      <c r="K627" s="89"/>
      <c r="L627" s="55"/>
      <c r="M627" s="137"/>
      <c r="N627" s="182"/>
      <c r="O627" s="89"/>
      <c r="P627" s="55"/>
      <c r="Q627" s="183"/>
      <c r="R627" s="184"/>
      <c r="S627" s="185"/>
      <c r="T627" s="172"/>
      <c r="U627" s="183"/>
      <c r="V627" s="184"/>
      <c r="W627" s="185"/>
      <c r="X627" s="172"/>
      <c r="Y627" s="137"/>
      <c r="Z627" s="186"/>
      <c r="AA627" s="187"/>
      <c r="AB627" s="188"/>
      <c r="AC627" s="137"/>
      <c r="AD627" s="184"/>
      <c r="AE627" s="189"/>
      <c r="AF627" s="190"/>
      <c r="AG627" s="143"/>
      <c r="AH627" s="143"/>
      <c r="AI627" s="143"/>
      <c r="AJ627" s="143"/>
      <c r="AK627" s="172"/>
      <c r="AL627" s="172"/>
    </row>
    <row r="628">
      <c r="A628" s="137"/>
      <c r="B628" s="88"/>
      <c r="C628" s="89"/>
      <c r="D628" s="55"/>
      <c r="E628" s="137"/>
      <c r="F628" s="88"/>
      <c r="G628" s="180"/>
      <c r="H628" s="181"/>
      <c r="I628" s="137"/>
      <c r="J628" s="88"/>
      <c r="K628" s="89"/>
      <c r="L628" s="55"/>
      <c r="M628" s="137"/>
      <c r="N628" s="182"/>
      <c r="O628" s="89"/>
      <c r="P628" s="55"/>
      <c r="Q628" s="183"/>
      <c r="R628" s="184"/>
      <c r="S628" s="185"/>
      <c r="T628" s="172"/>
      <c r="U628" s="183"/>
      <c r="V628" s="184"/>
      <c r="W628" s="185"/>
      <c r="X628" s="172"/>
      <c r="Y628" s="137"/>
      <c r="Z628" s="186"/>
      <c r="AA628" s="187"/>
      <c r="AB628" s="188"/>
      <c r="AC628" s="137"/>
      <c r="AD628" s="184"/>
      <c r="AE628" s="189"/>
      <c r="AF628" s="190"/>
      <c r="AG628" s="143"/>
      <c r="AH628" s="143"/>
      <c r="AI628" s="143"/>
      <c r="AJ628" s="143"/>
      <c r="AK628" s="172"/>
      <c r="AL628" s="172"/>
    </row>
    <row r="629">
      <c r="A629" s="137"/>
      <c r="B629" s="88"/>
      <c r="C629" s="89"/>
      <c r="D629" s="55"/>
      <c r="E629" s="137"/>
      <c r="F629" s="88"/>
      <c r="G629" s="180"/>
      <c r="H629" s="181"/>
      <c r="I629" s="137"/>
      <c r="J629" s="88"/>
      <c r="K629" s="89"/>
      <c r="L629" s="55"/>
      <c r="M629" s="137"/>
      <c r="N629" s="182"/>
      <c r="O629" s="89"/>
      <c r="P629" s="55"/>
      <c r="Q629" s="183"/>
      <c r="R629" s="184"/>
      <c r="S629" s="185"/>
      <c r="T629" s="172"/>
      <c r="U629" s="183"/>
      <c r="V629" s="184"/>
      <c r="W629" s="185"/>
      <c r="X629" s="172"/>
      <c r="Y629" s="137"/>
      <c r="Z629" s="186"/>
      <c r="AA629" s="187"/>
      <c r="AB629" s="188"/>
      <c r="AC629" s="137"/>
      <c r="AD629" s="184"/>
      <c r="AE629" s="189"/>
      <c r="AF629" s="190"/>
      <c r="AG629" s="143"/>
      <c r="AH629" s="143"/>
      <c r="AI629" s="143"/>
      <c r="AJ629" s="143"/>
      <c r="AK629" s="172"/>
      <c r="AL629" s="172"/>
    </row>
    <row r="630">
      <c r="A630" s="137"/>
      <c r="B630" s="88"/>
      <c r="C630" s="89"/>
      <c r="D630" s="55"/>
      <c r="E630" s="137"/>
      <c r="F630" s="88"/>
      <c r="G630" s="180"/>
      <c r="H630" s="181"/>
      <c r="I630" s="137"/>
      <c r="J630" s="88"/>
      <c r="K630" s="89"/>
      <c r="L630" s="55"/>
      <c r="M630" s="137"/>
      <c r="N630" s="182"/>
      <c r="O630" s="89"/>
      <c r="P630" s="55"/>
      <c r="Q630" s="183"/>
      <c r="R630" s="184"/>
      <c r="S630" s="185"/>
      <c r="T630" s="172"/>
      <c r="U630" s="183"/>
      <c r="V630" s="184"/>
      <c r="W630" s="185"/>
      <c r="X630" s="172"/>
      <c r="Y630" s="137"/>
      <c r="Z630" s="186"/>
      <c r="AA630" s="187"/>
      <c r="AB630" s="188"/>
      <c r="AC630" s="137"/>
      <c r="AD630" s="184"/>
      <c r="AE630" s="189"/>
      <c r="AF630" s="190"/>
      <c r="AG630" s="143"/>
      <c r="AH630" s="143"/>
      <c r="AI630" s="143"/>
      <c r="AJ630" s="143"/>
      <c r="AK630" s="172"/>
      <c r="AL630" s="172"/>
    </row>
    <row r="631">
      <c r="A631" s="137"/>
      <c r="B631" s="88"/>
      <c r="C631" s="89"/>
      <c r="D631" s="55"/>
      <c r="E631" s="137"/>
      <c r="F631" s="88"/>
      <c r="G631" s="180"/>
      <c r="H631" s="181"/>
      <c r="I631" s="137"/>
      <c r="J631" s="88"/>
      <c r="K631" s="89"/>
      <c r="L631" s="55"/>
      <c r="M631" s="137"/>
      <c r="N631" s="182"/>
      <c r="O631" s="89"/>
      <c r="P631" s="55"/>
      <c r="Q631" s="183"/>
      <c r="R631" s="184"/>
      <c r="S631" s="185"/>
      <c r="T631" s="172"/>
      <c r="U631" s="183"/>
      <c r="V631" s="184"/>
      <c r="W631" s="185"/>
      <c r="X631" s="172"/>
      <c r="Y631" s="137"/>
      <c r="Z631" s="186"/>
      <c r="AA631" s="187"/>
      <c r="AB631" s="188"/>
      <c r="AC631" s="137"/>
      <c r="AD631" s="184"/>
      <c r="AE631" s="189"/>
      <c r="AF631" s="190"/>
      <c r="AG631" s="143"/>
      <c r="AH631" s="143"/>
      <c r="AI631" s="143"/>
      <c r="AJ631" s="143"/>
      <c r="AK631" s="172"/>
      <c r="AL631" s="172"/>
    </row>
    <row r="632">
      <c r="A632" s="137"/>
      <c r="B632" s="88"/>
      <c r="C632" s="89"/>
      <c r="D632" s="55"/>
      <c r="E632" s="137"/>
      <c r="F632" s="88"/>
      <c r="G632" s="180"/>
      <c r="H632" s="181"/>
      <c r="I632" s="137"/>
      <c r="J632" s="88"/>
      <c r="K632" s="89"/>
      <c r="L632" s="55"/>
      <c r="M632" s="137"/>
      <c r="N632" s="182"/>
      <c r="O632" s="89"/>
      <c r="P632" s="55"/>
      <c r="Q632" s="183"/>
      <c r="R632" s="184"/>
      <c r="S632" s="185"/>
      <c r="T632" s="172"/>
      <c r="U632" s="183"/>
      <c r="V632" s="184"/>
      <c r="W632" s="185"/>
      <c r="X632" s="172"/>
      <c r="Y632" s="137"/>
      <c r="Z632" s="186"/>
      <c r="AA632" s="187"/>
      <c r="AB632" s="188"/>
      <c r="AC632" s="137"/>
      <c r="AD632" s="184"/>
      <c r="AE632" s="189"/>
      <c r="AF632" s="190"/>
      <c r="AG632" s="143"/>
      <c r="AH632" s="143"/>
      <c r="AI632" s="143"/>
      <c r="AJ632" s="143"/>
      <c r="AK632" s="172"/>
      <c r="AL632" s="172"/>
    </row>
    <row r="633">
      <c r="A633" s="137"/>
      <c r="B633" s="88"/>
      <c r="C633" s="89"/>
      <c r="D633" s="55"/>
      <c r="E633" s="137"/>
      <c r="F633" s="88"/>
      <c r="G633" s="180"/>
      <c r="H633" s="181"/>
      <c r="I633" s="137"/>
      <c r="J633" s="88"/>
      <c r="K633" s="89"/>
      <c r="L633" s="55"/>
      <c r="M633" s="137"/>
      <c r="N633" s="182"/>
      <c r="O633" s="89"/>
      <c r="P633" s="55"/>
      <c r="Q633" s="183"/>
      <c r="R633" s="184"/>
      <c r="S633" s="185"/>
      <c r="T633" s="172"/>
      <c r="U633" s="183"/>
      <c r="V633" s="184"/>
      <c r="W633" s="185"/>
      <c r="X633" s="172"/>
      <c r="Y633" s="137"/>
      <c r="Z633" s="186"/>
      <c r="AA633" s="187"/>
      <c r="AB633" s="188"/>
      <c r="AC633" s="137"/>
      <c r="AD633" s="184"/>
      <c r="AE633" s="189"/>
      <c r="AF633" s="190"/>
      <c r="AG633" s="143"/>
      <c r="AH633" s="143"/>
      <c r="AI633" s="143"/>
      <c r="AJ633" s="143"/>
      <c r="AK633" s="172"/>
      <c r="AL633" s="172"/>
    </row>
    <row r="634">
      <c r="A634" s="137"/>
      <c r="B634" s="88"/>
      <c r="C634" s="89"/>
      <c r="D634" s="55"/>
      <c r="E634" s="137"/>
      <c r="F634" s="88"/>
      <c r="G634" s="180"/>
      <c r="H634" s="181"/>
      <c r="I634" s="137"/>
      <c r="J634" s="88"/>
      <c r="K634" s="89"/>
      <c r="L634" s="55"/>
      <c r="M634" s="137"/>
      <c r="N634" s="182"/>
      <c r="O634" s="89"/>
      <c r="P634" s="55"/>
      <c r="Q634" s="183"/>
      <c r="R634" s="184"/>
      <c r="S634" s="185"/>
      <c r="T634" s="172"/>
      <c r="U634" s="183"/>
      <c r="V634" s="184"/>
      <c r="W634" s="185"/>
      <c r="X634" s="172"/>
      <c r="Y634" s="137"/>
      <c r="Z634" s="186"/>
      <c r="AA634" s="187"/>
      <c r="AB634" s="188"/>
      <c r="AC634" s="137"/>
      <c r="AD634" s="184"/>
      <c r="AE634" s="189"/>
      <c r="AF634" s="190"/>
      <c r="AG634" s="143"/>
      <c r="AH634" s="143"/>
      <c r="AI634" s="143"/>
      <c r="AJ634" s="143"/>
      <c r="AK634" s="172"/>
      <c r="AL634" s="172"/>
    </row>
    <row r="635">
      <c r="A635" s="137"/>
      <c r="B635" s="88"/>
      <c r="C635" s="89"/>
      <c r="D635" s="55"/>
      <c r="E635" s="137"/>
      <c r="F635" s="88"/>
      <c r="G635" s="180"/>
      <c r="H635" s="181"/>
      <c r="I635" s="137"/>
      <c r="J635" s="88"/>
      <c r="K635" s="89"/>
      <c r="L635" s="55"/>
      <c r="M635" s="137"/>
      <c r="N635" s="182"/>
      <c r="O635" s="89"/>
      <c r="P635" s="55"/>
      <c r="Q635" s="183"/>
      <c r="R635" s="184"/>
      <c r="S635" s="185"/>
      <c r="T635" s="172"/>
      <c r="U635" s="183"/>
      <c r="V635" s="184"/>
      <c r="W635" s="185"/>
      <c r="X635" s="172"/>
      <c r="Y635" s="137"/>
      <c r="Z635" s="186"/>
      <c r="AA635" s="187"/>
      <c r="AB635" s="188"/>
      <c r="AC635" s="137"/>
      <c r="AD635" s="184"/>
      <c r="AE635" s="189"/>
      <c r="AF635" s="190"/>
      <c r="AG635" s="143"/>
      <c r="AH635" s="143"/>
      <c r="AI635" s="143"/>
      <c r="AJ635" s="143"/>
      <c r="AK635" s="172"/>
      <c r="AL635" s="172"/>
    </row>
    <row r="636">
      <c r="A636" s="137"/>
      <c r="B636" s="88"/>
      <c r="C636" s="89"/>
      <c r="D636" s="55"/>
      <c r="E636" s="137"/>
      <c r="F636" s="88"/>
      <c r="G636" s="180"/>
      <c r="H636" s="181"/>
      <c r="I636" s="137"/>
      <c r="J636" s="88"/>
      <c r="K636" s="89"/>
      <c r="L636" s="55"/>
      <c r="M636" s="137"/>
      <c r="N636" s="182"/>
      <c r="O636" s="89"/>
      <c r="P636" s="55"/>
      <c r="Q636" s="183"/>
      <c r="R636" s="184"/>
      <c r="S636" s="185"/>
      <c r="T636" s="172"/>
      <c r="U636" s="183"/>
      <c r="V636" s="184"/>
      <c r="W636" s="185"/>
      <c r="X636" s="172"/>
      <c r="Y636" s="137"/>
      <c r="Z636" s="186"/>
      <c r="AA636" s="187"/>
      <c r="AB636" s="188"/>
      <c r="AC636" s="137"/>
      <c r="AD636" s="184"/>
      <c r="AE636" s="189"/>
      <c r="AF636" s="190"/>
      <c r="AG636" s="143"/>
      <c r="AH636" s="143"/>
      <c r="AI636" s="143"/>
      <c r="AJ636" s="143"/>
      <c r="AK636" s="172"/>
      <c r="AL636" s="172"/>
    </row>
    <row r="637">
      <c r="A637" s="137"/>
      <c r="B637" s="88"/>
      <c r="C637" s="89"/>
      <c r="D637" s="55"/>
      <c r="E637" s="137"/>
      <c r="F637" s="88"/>
      <c r="G637" s="180"/>
      <c r="H637" s="181"/>
      <c r="I637" s="137"/>
      <c r="J637" s="88"/>
      <c r="K637" s="89"/>
      <c r="L637" s="55"/>
      <c r="M637" s="137"/>
      <c r="N637" s="182"/>
      <c r="O637" s="89"/>
      <c r="P637" s="55"/>
      <c r="Q637" s="183"/>
      <c r="R637" s="184"/>
      <c r="S637" s="185"/>
      <c r="T637" s="172"/>
      <c r="U637" s="183"/>
      <c r="V637" s="184"/>
      <c r="W637" s="185"/>
      <c r="X637" s="172"/>
      <c r="Y637" s="137"/>
      <c r="Z637" s="186"/>
      <c r="AA637" s="187"/>
      <c r="AB637" s="188"/>
      <c r="AC637" s="137"/>
      <c r="AD637" s="184"/>
      <c r="AE637" s="189"/>
      <c r="AF637" s="190"/>
      <c r="AG637" s="143"/>
      <c r="AH637" s="143"/>
      <c r="AI637" s="143"/>
      <c r="AJ637" s="143"/>
      <c r="AK637" s="172"/>
      <c r="AL637" s="172"/>
    </row>
    <row r="638">
      <c r="A638" s="137"/>
      <c r="B638" s="88"/>
      <c r="C638" s="89"/>
      <c r="D638" s="55"/>
      <c r="E638" s="137"/>
      <c r="F638" s="88"/>
      <c r="G638" s="180"/>
      <c r="H638" s="181"/>
      <c r="I638" s="137"/>
      <c r="J638" s="88"/>
      <c r="K638" s="89"/>
      <c r="L638" s="55"/>
      <c r="M638" s="137"/>
      <c r="N638" s="182"/>
      <c r="O638" s="89"/>
      <c r="P638" s="55"/>
      <c r="Q638" s="183"/>
      <c r="R638" s="184"/>
      <c r="S638" s="185"/>
      <c r="T638" s="172"/>
      <c r="U638" s="183"/>
      <c r="V638" s="184"/>
      <c r="W638" s="185"/>
      <c r="X638" s="172"/>
      <c r="Y638" s="137"/>
      <c r="Z638" s="186"/>
      <c r="AA638" s="187"/>
      <c r="AB638" s="188"/>
      <c r="AC638" s="137"/>
      <c r="AD638" s="184"/>
      <c r="AE638" s="189"/>
      <c r="AF638" s="190"/>
      <c r="AG638" s="143"/>
      <c r="AH638" s="143"/>
      <c r="AI638" s="143"/>
      <c r="AJ638" s="143"/>
      <c r="AK638" s="172"/>
      <c r="AL638" s="172"/>
    </row>
    <row r="639">
      <c r="A639" s="137"/>
      <c r="B639" s="88"/>
      <c r="C639" s="89"/>
      <c r="D639" s="55"/>
      <c r="E639" s="137"/>
      <c r="F639" s="88"/>
      <c r="G639" s="180"/>
      <c r="H639" s="181"/>
      <c r="I639" s="137"/>
      <c r="J639" s="88"/>
      <c r="K639" s="89"/>
      <c r="L639" s="55"/>
      <c r="M639" s="137"/>
      <c r="N639" s="182"/>
      <c r="O639" s="89"/>
      <c r="P639" s="55"/>
      <c r="Q639" s="183"/>
      <c r="R639" s="184"/>
      <c r="S639" s="185"/>
      <c r="T639" s="172"/>
      <c r="U639" s="183"/>
      <c r="V639" s="184"/>
      <c r="W639" s="185"/>
      <c r="X639" s="172"/>
      <c r="Y639" s="137"/>
      <c r="Z639" s="186"/>
      <c r="AA639" s="187"/>
      <c r="AB639" s="188"/>
      <c r="AC639" s="137"/>
      <c r="AD639" s="184"/>
      <c r="AE639" s="189"/>
      <c r="AF639" s="190"/>
      <c r="AG639" s="143"/>
      <c r="AH639" s="143"/>
      <c r="AI639" s="143"/>
      <c r="AJ639" s="143"/>
      <c r="AK639" s="172"/>
      <c r="AL639" s="172"/>
    </row>
    <row r="640">
      <c r="A640" s="137"/>
      <c r="B640" s="88"/>
      <c r="C640" s="89"/>
      <c r="D640" s="55"/>
      <c r="E640" s="137"/>
      <c r="F640" s="88"/>
      <c r="G640" s="180"/>
      <c r="H640" s="181"/>
      <c r="I640" s="137"/>
      <c r="J640" s="88"/>
      <c r="K640" s="89"/>
      <c r="L640" s="55"/>
      <c r="M640" s="137"/>
      <c r="N640" s="182"/>
      <c r="O640" s="89"/>
      <c r="P640" s="55"/>
      <c r="Q640" s="183"/>
      <c r="R640" s="184"/>
      <c r="S640" s="185"/>
      <c r="T640" s="172"/>
      <c r="U640" s="183"/>
      <c r="V640" s="184"/>
      <c r="W640" s="185"/>
      <c r="X640" s="172"/>
      <c r="Y640" s="137"/>
      <c r="Z640" s="186"/>
      <c r="AA640" s="187"/>
      <c r="AB640" s="188"/>
      <c r="AC640" s="137"/>
      <c r="AD640" s="184"/>
      <c r="AE640" s="189"/>
      <c r="AF640" s="190"/>
      <c r="AG640" s="143"/>
      <c r="AH640" s="143"/>
      <c r="AI640" s="143"/>
      <c r="AJ640" s="143"/>
      <c r="AK640" s="172"/>
      <c r="AL640" s="172"/>
    </row>
    <row r="641">
      <c r="A641" s="137"/>
      <c r="B641" s="88"/>
      <c r="C641" s="89"/>
      <c r="D641" s="55"/>
      <c r="E641" s="137"/>
      <c r="F641" s="88"/>
      <c r="G641" s="180"/>
      <c r="H641" s="181"/>
      <c r="I641" s="137"/>
      <c r="J641" s="88"/>
      <c r="K641" s="89"/>
      <c r="L641" s="55"/>
      <c r="M641" s="137"/>
      <c r="N641" s="182"/>
      <c r="O641" s="89"/>
      <c r="P641" s="55"/>
      <c r="Q641" s="183"/>
      <c r="R641" s="184"/>
      <c r="S641" s="185"/>
      <c r="T641" s="172"/>
      <c r="U641" s="183"/>
      <c r="V641" s="184"/>
      <c r="W641" s="185"/>
      <c r="X641" s="172"/>
      <c r="Y641" s="137"/>
      <c r="Z641" s="186"/>
      <c r="AA641" s="187"/>
      <c r="AB641" s="188"/>
      <c r="AC641" s="137"/>
      <c r="AD641" s="184"/>
      <c r="AE641" s="189"/>
      <c r="AF641" s="190"/>
      <c r="AG641" s="143"/>
      <c r="AH641" s="143"/>
      <c r="AI641" s="143"/>
      <c r="AJ641" s="143"/>
      <c r="AK641" s="172"/>
      <c r="AL641" s="172"/>
    </row>
    <row r="642">
      <c r="A642" s="137"/>
      <c r="B642" s="88"/>
      <c r="C642" s="89"/>
      <c r="D642" s="55"/>
      <c r="E642" s="137"/>
      <c r="F642" s="88"/>
      <c r="G642" s="180"/>
      <c r="H642" s="181"/>
      <c r="I642" s="137"/>
      <c r="J642" s="88"/>
      <c r="K642" s="89"/>
      <c r="L642" s="55"/>
      <c r="M642" s="137"/>
      <c r="N642" s="182"/>
      <c r="O642" s="89"/>
      <c r="P642" s="55"/>
      <c r="Q642" s="183"/>
      <c r="R642" s="184"/>
      <c r="S642" s="185"/>
      <c r="T642" s="172"/>
      <c r="U642" s="183"/>
      <c r="V642" s="184"/>
      <c r="W642" s="185"/>
      <c r="X642" s="172"/>
      <c r="Y642" s="137"/>
      <c r="Z642" s="186"/>
      <c r="AA642" s="187"/>
      <c r="AB642" s="188"/>
      <c r="AC642" s="137"/>
      <c r="AD642" s="184"/>
      <c r="AE642" s="189"/>
      <c r="AF642" s="190"/>
      <c r="AG642" s="143"/>
      <c r="AH642" s="143"/>
      <c r="AI642" s="143"/>
      <c r="AJ642" s="143"/>
      <c r="AK642" s="172"/>
      <c r="AL642" s="172"/>
    </row>
    <row r="643">
      <c r="A643" s="137"/>
      <c r="B643" s="88"/>
      <c r="C643" s="89"/>
      <c r="D643" s="55"/>
      <c r="E643" s="137"/>
      <c r="F643" s="88"/>
      <c r="G643" s="180"/>
      <c r="H643" s="181"/>
      <c r="I643" s="137"/>
      <c r="J643" s="88"/>
      <c r="K643" s="89"/>
      <c r="L643" s="55"/>
      <c r="M643" s="137"/>
      <c r="N643" s="182"/>
      <c r="O643" s="89"/>
      <c r="P643" s="55"/>
      <c r="Q643" s="183"/>
      <c r="R643" s="184"/>
      <c r="S643" s="185"/>
      <c r="T643" s="172"/>
      <c r="U643" s="183"/>
      <c r="V643" s="184"/>
      <c r="W643" s="185"/>
      <c r="X643" s="172"/>
      <c r="Y643" s="137"/>
      <c r="Z643" s="186"/>
      <c r="AA643" s="187"/>
      <c r="AB643" s="188"/>
      <c r="AC643" s="137"/>
      <c r="AD643" s="184"/>
      <c r="AE643" s="189"/>
      <c r="AF643" s="190"/>
      <c r="AG643" s="143"/>
      <c r="AH643" s="143"/>
      <c r="AI643" s="143"/>
      <c r="AJ643" s="143"/>
      <c r="AK643" s="172"/>
      <c r="AL643" s="172"/>
    </row>
    <row r="644">
      <c r="A644" s="137"/>
      <c r="B644" s="88"/>
      <c r="C644" s="89"/>
      <c r="D644" s="55"/>
      <c r="E644" s="137"/>
      <c r="F644" s="88"/>
      <c r="G644" s="180"/>
      <c r="H644" s="181"/>
      <c r="I644" s="137"/>
      <c r="J644" s="88"/>
      <c r="K644" s="89"/>
      <c r="L644" s="55"/>
      <c r="M644" s="137"/>
      <c r="N644" s="182"/>
      <c r="O644" s="89"/>
      <c r="P644" s="55"/>
      <c r="Q644" s="183"/>
      <c r="R644" s="184"/>
      <c r="S644" s="185"/>
      <c r="T644" s="172"/>
      <c r="U644" s="183"/>
      <c r="V644" s="184"/>
      <c r="W644" s="185"/>
      <c r="X644" s="172"/>
      <c r="Y644" s="137"/>
      <c r="Z644" s="186"/>
      <c r="AA644" s="187"/>
      <c r="AB644" s="188"/>
      <c r="AC644" s="137"/>
      <c r="AD644" s="184"/>
      <c r="AE644" s="189"/>
      <c r="AF644" s="190"/>
      <c r="AG644" s="143"/>
      <c r="AH644" s="143"/>
      <c r="AI644" s="143"/>
      <c r="AJ644" s="143"/>
      <c r="AK644" s="172"/>
      <c r="AL644" s="172"/>
    </row>
    <row r="645">
      <c r="A645" s="137"/>
      <c r="B645" s="88"/>
      <c r="C645" s="89"/>
      <c r="D645" s="55"/>
      <c r="E645" s="137"/>
      <c r="F645" s="88"/>
      <c r="G645" s="180"/>
      <c r="H645" s="181"/>
      <c r="I645" s="137"/>
      <c r="J645" s="88"/>
      <c r="K645" s="89"/>
      <c r="L645" s="55"/>
      <c r="M645" s="137"/>
      <c r="N645" s="182"/>
      <c r="O645" s="89"/>
      <c r="P645" s="55"/>
      <c r="Q645" s="183"/>
      <c r="R645" s="184"/>
      <c r="S645" s="185"/>
      <c r="T645" s="172"/>
      <c r="U645" s="183"/>
      <c r="V645" s="184"/>
      <c r="W645" s="185"/>
      <c r="X645" s="172"/>
      <c r="Y645" s="137"/>
      <c r="Z645" s="186"/>
      <c r="AA645" s="187"/>
      <c r="AB645" s="188"/>
      <c r="AC645" s="137"/>
      <c r="AD645" s="184"/>
      <c r="AE645" s="189"/>
      <c r="AF645" s="190"/>
      <c r="AG645" s="143"/>
      <c r="AH645" s="143"/>
      <c r="AI645" s="143"/>
      <c r="AJ645" s="143"/>
      <c r="AK645" s="172"/>
      <c r="AL645" s="172"/>
    </row>
    <row r="646">
      <c r="A646" s="137"/>
      <c r="B646" s="88"/>
      <c r="C646" s="89"/>
      <c r="D646" s="55"/>
      <c r="E646" s="137"/>
      <c r="F646" s="88"/>
      <c r="G646" s="180"/>
      <c r="H646" s="181"/>
      <c r="I646" s="137"/>
      <c r="J646" s="88"/>
      <c r="K646" s="89"/>
      <c r="L646" s="55"/>
      <c r="M646" s="137"/>
      <c r="N646" s="182"/>
      <c r="O646" s="89"/>
      <c r="P646" s="55"/>
      <c r="Q646" s="183"/>
      <c r="R646" s="184"/>
      <c r="S646" s="185"/>
      <c r="T646" s="172"/>
      <c r="U646" s="183"/>
      <c r="V646" s="184"/>
      <c r="W646" s="185"/>
      <c r="X646" s="172"/>
      <c r="Y646" s="137"/>
      <c r="Z646" s="186"/>
      <c r="AA646" s="187"/>
      <c r="AB646" s="188"/>
      <c r="AC646" s="137"/>
      <c r="AD646" s="184"/>
      <c r="AE646" s="189"/>
      <c r="AF646" s="190"/>
      <c r="AG646" s="143"/>
      <c r="AH646" s="143"/>
      <c r="AI646" s="143"/>
      <c r="AJ646" s="143"/>
      <c r="AK646" s="172"/>
      <c r="AL646" s="172"/>
    </row>
    <row r="647">
      <c r="A647" s="137"/>
      <c r="B647" s="88"/>
      <c r="C647" s="89"/>
      <c r="D647" s="55"/>
      <c r="E647" s="137"/>
      <c r="F647" s="88"/>
      <c r="G647" s="180"/>
      <c r="H647" s="181"/>
      <c r="I647" s="137"/>
      <c r="J647" s="88"/>
      <c r="K647" s="89"/>
      <c r="L647" s="55"/>
      <c r="M647" s="137"/>
      <c r="N647" s="182"/>
      <c r="O647" s="89"/>
      <c r="P647" s="55"/>
      <c r="Q647" s="183"/>
      <c r="R647" s="184"/>
      <c r="S647" s="185"/>
      <c r="T647" s="172"/>
      <c r="U647" s="183"/>
      <c r="V647" s="184"/>
      <c r="W647" s="185"/>
      <c r="X647" s="172"/>
      <c r="Y647" s="137"/>
      <c r="Z647" s="186"/>
      <c r="AA647" s="187"/>
      <c r="AB647" s="188"/>
      <c r="AC647" s="137"/>
      <c r="AD647" s="184"/>
      <c r="AE647" s="189"/>
      <c r="AF647" s="190"/>
      <c r="AG647" s="143"/>
      <c r="AH647" s="143"/>
      <c r="AI647" s="143"/>
      <c r="AJ647" s="143"/>
      <c r="AK647" s="172"/>
      <c r="AL647" s="172"/>
    </row>
    <row r="648">
      <c r="A648" s="137"/>
      <c r="B648" s="88"/>
      <c r="C648" s="89"/>
      <c r="D648" s="55"/>
      <c r="E648" s="137"/>
      <c r="F648" s="88"/>
      <c r="G648" s="180"/>
      <c r="H648" s="181"/>
      <c r="I648" s="137"/>
      <c r="J648" s="88"/>
      <c r="K648" s="89"/>
      <c r="L648" s="55"/>
      <c r="M648" s="137"/>
      <c r="N648" s="182"/>
      <c r="O648" s="89"/>
      <c r="P648" s="55"/>
      <c r="Q648" s="183"/>
      <c r="R648" s="184"/>
      <c r="S648" s="185"/>
      <c r="T648" s="172"/>
      <c r="U648" s="183"/>
      <c r="V648" s="184"/>
      <c r="W648" s="185"/>
      <c r="X648" s="172"/>
      <c r="Y648" s="137"/>
      <c r="Z648" s="186"/>
      <c r="AA648" s="187"/>
      <c r="AB648" s="188"/>
      <c r="AC648" s="137"/>
      <c r="AD648" s="184"/>
      <c r="AE648" s="189"/>
      <c r="AF648" s="190"/>
      <c r="AG648" s="143"/>
      <c r="AH648" s="143"/>
      <c r="AI648" s="143"/>
      <c r="AJ648" s="143"/>
      <c r="AK648" s="172"/>
      <c r="AL648" s="172"/>
    </row>
    <row r="649">
      <c r="A649" s="137"/>
      <c r="B649" s="88"/>
      <c r="C649" s="89"/>
      <c r="D649" s="55"/>
      <c r="E649" s="137"/>
      <c r="F649" s="88"/>
      <c r="G649" s="180"/>
      <c r="H649" s="181"/>
      <c r="I649" s="137"/>
      <c r="J649" s="88"/>
      <c r="K649" s="89"/>
      <c r="L649" s="55"/>
      <c r="M649" s="137"/>
      <c r="N649" s="182"/>
      <c r="O649" s="89"/>
      <c r="P649" s="55"/>
      <c r="Q649" s="183"/>
      <c r="R649" s="184"/>
      <c r="S649" s="185"/>
      <c r="T649" s="172"/>
      <c r="U649" s="183"/>
      <c r="V649" s="184"/>
      <c r="W649" s="185"/>
      <c r="X649" s="172"/>
      <c r="Y649" s="137"/>
      <c r="Z649" s="186"/>
      <c r="AA649" s="187"/>
      <c r="AB649" s="188"/>
      <c r="AC649" s="137"/>
      <c r="AD649" s="184"/>
      <c r="AE649" s="189"/>
      <c r="AF649" s="190"/>
      <c r="AG649" s="143"/>
      <c r="AH649" s="143"/>
      <c r="AI649" s="143"/>
      <c r="AJ649" s="143"/>
      <c r="AK649" s="172"/>
      <c r="AL649" s="172"/>
    </row>
    <row r="650">
      <c r="A650" s="137"/>
      <c r="B650" s="88"/>
      <c r="C650" s="89"/>
      <c r="D650" s="55"/>
      <c r="E650" s="137"/>
      <c r="F650" s="88"/>
      <c r="G650" s="180"/>
      <c r="H650" s="181"/>
      <c r="I650" s="137"/>
      <c r="J650" s="88"/>
      <c r="K650" s="89"/>
      <c r="L650" s="55"/>
      <c r="M650" s="137"/>
      <c r="N650" s="182"/>
      <c r="O650" s="89"/>
      <c r="P650" s="55"/>
      <c r="Q650" s="183"/>
      <c r="R650" s="184"/>
      <c r="S650" s="185"/>
      <c r="T650" s="172"/>
      <c r="U650" s="183"/>
      <c r="V650" s="184"/>
      <c r="W650" s="185"/>
      <c r="X650" s="172"/>
      <c r="Y650" s="137"/>
      <c r="Z650" s="186"/>
      <c r="AA650" s="187"/>
      <c r="AB650" s="188"/>
      <c r="AC650" s="137"/>
      <c r="AD650" s="184"/>
      <c r="AE650" s="189"/>
      <c r="AF650" s="190"/>
      <c r="AG650" s="143"/>
      <c r="AH650" s="143"/>
      <c r="AI650" s="143"/>
      <c r="AJ650" s="143"/>
      <c r="AK650" s="172"/>
      <c r="AL650" s="172"/>
    </row>
    <row r="651">
      <c r="A651" s="137"/>
      <c r="B651" s="88"/>
      <c r="C651" s="89"/>
      <c r="D651" s="55"/>
      <c r="E651" s="137"/>
      <c r="F651" s="88"/>
      <c r="G651" s="180"/>
      <c r="H651" s="181"/>
      <c r="I651" s="137"/>
      <c r="J651" s="88"/>
      <c r="K651" s="89"/>
      <c r="L651" s="55"/>
      <c r="M651" s="137"/>
      <c r="N651" s="182"/>
      <c r="O651" s="89"/>
      <c r="P651" s="55"/>
      <c r="Q651" s="183"/>
      <c r="R651" s="184"/>
      <c r="S651" s="185"/>
      <c r="T651" s="172"/>
      <c r="U651" s="183"/>
      <c r="V651" s="184"/>
      <c r="W651" s="185"/>
      <c r="X651" s="172"/>
      <c r="Y651" s="137"/>
      <c r="Z651" s="186"/>
      <c r="AA651" s="187"/>
      <c r="AB651" s="188"/>
      <c r="AC651" s="137"/>
      <c r="AD651" s="184"/>
      <c r="AE651" s="189"/>
      <c r="AF651" s="190"/>
      <c r="AG651" s="143"/>
      <c r="AH651" s="143"/>
      <c r="AI651" s="143"/>
      <c r="AJ651" s="143"/>
      <c r="AK651" s="172"/>
      <c r="AL651" s="172"/>
    </row>
    <row r="652">
      <c r="A652" s="137"/>
      <c r="B652" s="88"/>
      <c r="C652" s="89"/>
      <c r="D652" s="55"/>
      <c r="E652" s="137"/>
      <c r="F652" s="88"/>
      <c r="G652" s="180"/>
      <c r="H652" s="181"/>
      <c r="I652" s="137"/>
      <c r="J652" s="88"/>
      <c r="K652" s="89"/>
      <c r="L652" s="55"/>
      <c r="M652" s="137"/>
      <c r="N652" s="182"/>
      <c r="O652" s="89"/>
      <c r="P652" s="55"/>
      <c r="Q652" s="183"/>
      <c r="R652" s="184"/>
      <c r="S652" s="185"/>
      <c r="T652" s="172"/>
      <c r="U652" s="183"/>
      <c r="V652" s="184"/>
      <c r="W652" s="185"/>
      <c r="X652" s="172"/>
      <c r="Y652" s="137"/>
      <c r="Z652" s="186"/>
      <c r="AA652" s="187"/>
      <c r="AB652" s="188"/>
      <c r="AC652" s="137"/>
      <c r="AD652" s="184"/>
      <c r="AE652" s="189"/>
      <c r="AF652" s="190"/>
      <c r="AG652" s="143"/>
      <c r="AH652" s="143"/>
      <c r="AI652" s="143"/>
      <c r="AJ652" s="143"/>
      <c r="AK652" s="172"/>
      <c r="AL652" s="172"/>
    </row>
    <row r="653">
      <c r="A653" s="137"/>
      <c r="B653" s="88"/>
      <c r="C653" s="89"/>
      <c r="D653" s="55"/>
      <c r="E653" s="137"/>
      <c r="F653" s="88"/>
      <c r="G653" s="180"/>
      <c r="H653" s="181"/>
      <c r="I653" s="137"/>
      <c r="J653" s="88"/>
      <c r="K653" s="89"/>
      <c r="L653" s="55"/>
      <c r="M653" s="137"/>
      <c r="N653" s="182"/>
      <c r="O653" s="89"/>
      <c r="P653" s="55"/>
      <c r="Q653" s="183"/>
      <c r="R653" s="184"/>
      <c r="S653" s="185"/>
      <c r="T653" s="172"/>
      <c r="U653" s="183"/>
      <c r="V653" s="184"/>
      <c r="W653" s="185"/>
      <c r="X653" s="172"/>
      <c r="Y653" s="137"/>
      <c r="Z653" s="186"/>
      <c r="AA653" s="187"/>
      <c r="AB653" s="188"/>
      <c r="AC653" s="137"/>
      <c r="AD653" s="184"/>
      <c r="AE653" s="189"/>
      <c r="AF653" s="190"/>
      <c r="AG653" s="143"/>
      <c r="AH653" s="143"/>
      <c r="AI653" s="143"/>
      <c r="AJ653" s="143"/>
      <c r="AK653" s="172"/>
      <c r="AL653" s="172"/>
    </row>
    <row r="654">
      <c r="A654" s="137"/>
      <c r="B654" s="88"/>
      <c r="C654" s="89"/>
      <c r="D654" s="55"/>
      <c r="E654" s="137"/>
      <c r="F654" s="88"/>
      <c r="G654" s="180"/>
      <c r="H654" s="181"/>
      <c r="I654" s="137"/>
      <c r="J654" s="88"/>
      <c r="K654" s="89"/>
      <c r="L654" s="55"/>
      <c r="M654" s="137"/>
      <c r="N654" s="182"/>
      <c r="O654" s="89"/>
      <c r="P654" s="55"/>
      <c r="Q654" s="183"/>
      <c r="R654" s="184"/>
      <c r="S654" s="185"/>
      <c r="T654" s="172"/>
      <c r="U654" s="183"/>
      <c r="V654" s="184"/>
      <c r="W654" s="185"/>
      <c r="X654" s="172"/>
      <c r="Y654" s="137"/>
      <c r="Z654" s="186"/>
      <c r="AA654" s="187"/>
      <c r="AB654" s="188"/>
      <c r="AC654" s="137"/>
      <c r="AD654" s="184"/>
      <c r="AE654" s="189"/>
      <c r="AF654" s="190"/>
      <c r="AG654" s="143"/>
      <c r="AH654" s="143"/>
      <c r="AI654" s="143"/>
      <c r="AJ654" s="143"/>
      <c r="AK654" s="172"/>
      <c r="AL654" s="172"/>
    </row>
    <row r="655">
      <c r="A655" s="137"/>
      <c r="B655" s="88"/>
      <c r="C655" s="89"/>
      <c r="D655" s="55"/>
      <c r="E655" s="137"/>
      <c r="F655" s="88"/>
      <c r="G655" s="180"/>
      <c r="H655" s="181"/>
      <c r="I655" s="137"/>
      <c r="J655" s="88"/>
      <c r="K655" s="89"/>
      <c r="L655" s="55"/>
      <c r="M655" s="137"/>
      <c r="N655" s="182"/>
      <c r="O655" s="89"/>
      <c r="P655" s="55"/>
      <c r="Q655" s="183"/>
      <c r="R655" s="184"/>
      <c r="S655" s="185"/>
      <c r="T655" s="172"/>
      <c r="U655" s="183"/>
      <c r="V655" s="184"/>
      <c r="W655" s="185"/>
      <c r="X655" s="172"/>
      <c r="Y655" s="137"/>
      <c r="Z655" s="186"/>
      <c r="AA655" s="187"/>
      <c r="AB655" s="188"/>
      <c r="AC655" s="137"/>
      <c r="AD655" s="184"/>
      <c r="AE655" s="189"/>
      <c r="AF655" s="190"/>
      <c r="AG655" s="143"/>
      <c r="AH655" s="143"/>
      <c r="AI655" s="143"/>
      <c r="AJ655" s="143"/>
      <c r="AK655" s="172"/>
      <c r="AL655" s="172"/>
    </row>
    <row r="656">
      <c r="A656" s="137"/>
      <c r="B656" s="88"/>
      <c r="C656" s="89"/>
      <c r="D656" s="55"/>
      <c r="E656" s="137"/>
      <c r="F656" s="88"/>
      <c r="G656" s="180"/>
      <c r="H656" s="181"/>
      <c r="I656" s="137"/>
      <c r="J656" s="88"/>
      <c r="K656" s="89"/>
      <c r="L656" s="55"/>
      <c r="M656" s="137"/>
      <c r="N656" s="182"/>
      <c r="O656" s="89"/>
      <c r="P656" s="55"/>
      <c r="Q656" s="183"/>
      <c r="R656" s="184"/>
      <c r="S656" s="185"/>
      <c r="T656" s="172"/>
      <c r="U656" s="183"/>
      <c r="V656" s="184"/>
      <c r="W656" s="185"/>
      <c r="X656" s="172"/>
      <c r="Y656" s="137"/>
      <c r="Z656" s="186"/>
      <c r="AA656" s="187"/>
      <c r="AB656" s="188"/>
      <c r="AC656" s="137"/>
      <c r="AD656" s="184"/>
      <c r="AE656" s="189"/>
      <c r="AF656" s="190"/>
      <c r="AG656" s="143"/>
      <c r="AH656" s="143"/>
      <c r="AI656" s="143"/>
      <c r="AJ656" s="143"/>
      <c r="AK656" s="172"/>
      <c r="AL656" s="172"/>
    </row>
    <row r="657">
      <c r="A657" s="137"/>
      <c r="B657" s="88"/>
      <c r="C657" s="89"/>
      <c r="D657" s="55"/>
      <c r="E657" s="137"/>
      <c r="F657" s="88"/>
      <c r="G657" s="180"/>
      <c r="H657" s="181"/>
      <c r="I657" s="137"/>
      <c r="J657" s="88"/>
      <c r="K657" s="89"/>
      <c r="L657" s="55"/>
      <c r="M657" s="137"/>
      <c r="N657" s="182"/>
      <c r="O657" s="89"/>
      <c r="P657" s="55"/>
      <c r="Q657" s="183"/>
      <c r="R657" s="184"/>
      <c r="S657" s="185"/>
      <c r="T657" s="172"/>
      <c r="U657" s="183"/>
      <c r="V657" s="184"/>
      <c r="W657" s="185"/>
      <c r="X657" s="172"/>
      <c r="Y657" s="137"/>
      <c r="Z657" s="186"/>
      <c r="AA657" s="187"/>
      <c r="AB657" s="188"/>
      <c r="AC657" s="137"/>
      <c r="AD657" s="184"/>
      <c r="AE657" s="189"/>
      <c r="AF657" s="190"/>
      <c r="AG657" s="143"/>
      <c r="AH657" s="143"/>
      <c r="AI657" s="143"/>
      <c r="AJ657" s="143"/>
      <c r="AK657" s="172"/>
      <c r="AL657" s="172"/>
    </row>
    <row r="658">
      <c r="A658" s="137"/>
      <c r="B658" s="88"/>
      <c r="C658" s="89"/>
      <c r="D658" s="55"/>
      <c r="E658" s="137"/>
      <c r="F658" s="88"/>
      <c r="G658" s="180"/>
      <c r="H658" s="181"/>
      <c r="I658" s="137"/>
      <c r="J658" s="88"/>
      <c r="K658" s="89"/>
      <c r="L658" s="55"/>
      <c r="M658" s="137"/>
      <c r="N658" s="182"/>
      <c r="O658" s="89"/>
      <c r="P658" s="55"/>
      <c r="Q658" s="183"/>
      <c r="R658" s="184"/>
      <c r="S658" s="185"/>
      <c r="T658" s="172"/>
      <c r="U658" s="183"/>
      <c r="V658" s="184"/>
      <c r="W658" s="185"/>
      <c r="X658" s="172"/>
      <c r="Y658" s="137"/>
      <c r="Z658" s="186"/>
      <c r="AA658" s="187"/>
      <c r="AB658" s="188"/>
      <c r="AC658" s="137"/>
      <c r="AD658" s="184"/>
      <c r="AE658" s="189"/>
      <c r="AF658" s="190"/>
      <c r="AG658" s="143"/>
      <c r="AH658" s="143"/>
      <c r="AI658" s="143"/>
      <c r="AJ658" s="143"/>
      <c r="AK658" s="172"/>
      <c r="AL658" s="172"/>
    </row>
    <row r="659">
      <c r="A659" s="137"/>
      <c r="B659" s="88"/>
      <c r="C659" s="89"/>
      <c r="D659" s="55"/>
      <c r="E659" s="137"/>
      <c r="F659" s="88"/>
      <c r="G659" s="180"/>
      <c r="H659" s="181"/>
      <c r="I659" s="137"/>
      <c r="J659" s="88"/>
      <c r="K659" s="89"/>
      <c r="L659" s="55"/>
      <c r="M659" s="137"/>
      <c r="N659" s="182"/>
      <c r="O659" s="89"/>
      <c r="P659" s="55"/>
      <c r="Q659" s="183"/>
      <c r="R659" s="184"/>
      <c r="S659" s="185"/>
      <c r="T659" s="172"/>
      <c r="U659" s="183"/>
      <c r="V659" s="184"/>
      <c r="W659" s="185"/>
      <c r="X659" s="172"/>
      <c r="Y659" s="137"/>
      <c r="Z659" s="186"/>
      <c r="AA659" s="187"/>
      <c r="AB659" s="188"/>
      <c r="AC659" s="137"/>
      <c r="AD659" s="184"/>
      <c r="AE659" s="189"/>
      <c r="AF659" s="190"/>
      <c r="AG659" s="143"/>
      <c r="AH659" s="143"/>
      <c r="AI659" s="143"/>
      <c r="AJ659" s="143"/>
      <c r="AK659" s="172"/>
      <c r="AL659" s="172"/>
    </row>
    <row r="660">
      <c r="A660" s="137"/>
      <c r="B660" s="88"/>
      <c r="C660" s="89"/>
      <c r="D660" s="55"/>
      <c r="E660" s="137"/>
      <c r="F660" s="88"/>
      <c r="G660" s="180"/>
      <c r="H660" s="181"/>
      <c r="I660" s="137"/>
      <c r="J660" s="88"/>
      <c r="K660" s="89"/>
      <c r="L660" s="55"/>
      <c r="M660" s="137"/>
      <c r="N660" s="182"/>
      <c r="O660" s="89"/>
      <c r="P660" s="55"/>
      <c r="Q660" s="183"/>
      <c r="R660" s="184"/>
      <c r="S660" s="185"/>
      <c r="T660" s="172"/>
      <c r="U660" s="183"/>
      <c r="V660" s="184"/>
      <c r="W660" s="185"/>
      <c r="X660" s="172"/>
      <c r="Y660" s="137"/>
      <c r="Z660" s="186"/>
      <c r="AA660" s="187"/>
      <c r="AB660" s="188"/>
      <c r="AC660" s="137"/>
      <c r="AD660" s="184"/>
      <c r="AE660" s="189"/>
      <c r="AF660" s="190"/>
      <c r="AG660" s="143"/>
      <c r="AH660" s="143"/>
      <c r="AI660" s="143"/>
      <c r="AJ660" s="143"/>
      <c r="AK660" s="172"/>
      <c r="AL660" s="172"/>
    </row>
    <row r="661">
      <c r="A661" s="137"/>
      <c r="B661" s="88"/>
      <c r="C661" s="89"/>
      <c r="D661" s="55"/>
      <c r="E661" s="137"/>
      <c r="F661" s="88"/>
      <c r="G661" s="180"/>
      <c r="H661" s="181"/>
      <c r="I661" s="137"/>
      <c r="J661" s="88"/>
      <c r="K661" s="89"/>
      <c r="L661" s="55"/>
      <c r="M661" s="137"/>
      <c r="N661" s="182"/>
      <c r="O661" s="89"/>
      <c r="P661" s="55"/>
      <c r="Q661" s="183"/>
      <c r="R661" s="184"/>
      <c r="S661" s="185"/>
      <c r="T661" s="172"/>
      <c r="U661" s="183"/>
      <c r="V661" s="184"/>
      <c r="W661" s="185"/>
      <c r="X661" s="172"/>
      <c r="Y661" s="137"/>
      <c r="Z661" s="186"/>
      <c r="AA661" s="187"/>
      <c r="AB661" s="188"/>
      <c r="AC661" s="137"/>
      <c r="AD661" s="184"/>
      <c r="AE661" s="189"/>
      <c r="AF661" s="190"/>
      <c r="AG661" s="143"/>
      <c r="AH661" s="143"/>
      <c r="AI661" s="143"/>
      <c r="AJ661" s="143"/>
      <c r="AK661" s="172"/>
      <c r="AL661" s="172"/>
    </row>
    <row r="662">
      <c r="A662" s="137"/>
      <c r="B662" s="88"/>
      <c r="C662" s="89"/>
      <c r="D662" s="55"/>
      <c r="E662" s="137"/>
      <c r="F662" s="88"/>
      <c r="G662" s="180"/>
      <c r="H662" s="181"/>
      <c r="I662" s="137"/>
      <c r="J662" s="88"/>
      <c r="K662" s="89"/>
      <c r="L662" s="55"/>
      <c r="M662" s="137"/>
      <c r="N662" s="182"/>
      <c r="O662" s="89"/>
      <c r="P662" s="55"/>
      <c r="Q662" s="183"/>
      <c r="R662" s="184"/>
      <c r="S662" s="185"/>
      <c r="T662" s="172"/>
      <c r="U662" s="183"/>
      <c r="V662" s="184"/>
      <c r="W662" s="185"/>
      <c r="X662" s="172"/>
      <c r="Y662" s="137"/>
      <c r="Z662" s="186"/>
      <c r="AA662" s="187"/>
      <c r="AB662" s="188"/>
      <c r="AC662" s="137"/>
      <c r="AD662" s="184"/>
      <c r="AE662" s="189"/>
      <c r="AF662" s="190"/>
      <c r="AG662" s="143"/>
      <c r="AH662" s="143"/>
      <c r="AI662" s="143"/>
      <c r="AJ662" s="143"/>
      <c r="AK662" s="172"/>
      <c r="AL662" s="172"/>
    </row>
    <row r="663">
      <c r="A663" s="137"/>
      <c r="B663" s="88"/>
      <c r="C663" s="89"/>
      <c r="D663" s="55"/>
      <c r="E663" s="137"/>
      <c r="F663" s="88"/>
      <c r="G663" s="180"/>
      <c r="H663" s="181"/>
      <c r="I663" s="137"/>
      <c r="J663" s="88"/>
      <c r="K663" s="89"/>
      <c r="L663" s="55"/>
      <c r="M663" s="137"/>
      <c r="N663" s="182"/>
      <c r="O663" s="89"/>
      <c r="P663" s="55"/>
      <c r="Q663" s="183"/>
      <c r="R663" s="184"/>
      <c r="S663" s="185"/>
      <c r="T663" s="172"/>
      <c r="U663" s="183"/>
      <c r="V663" s="184"/>
      <c r="W663" s="185"/>
      <c r="X663" s="172"/>
      <c r="Y663" s="137"/>
      <c r="Z663" s="186"/>
      <c r="AA663" s="187"/>
      <c r="AB663" s="188"/>
      <c r="AC663" s="137"/>
      <c r="AD663" s="184"/>
      <c r="AE663" s="189"/>
      <c r="AF663" s="190"/>
      <c r="AG663" s="143"/>
      <c r="AH663" s="143"/>
      <c r="AI663" s="143"/>
      <c r="AJ663" s="143"/>
      <c r="AK663" s="172"/>
      <c r="AL663" s="172"/>
    </row>
    <row r="664">
      <c r="A664" s="137"/>
      <c r="B664" s="88"/>
      <c r="C664" s="89"/>
      <c r="D664" s="55"/>
      <c r="E664" s="137"/>
      <c r="F664" s="88"/>
      <c r="G664" s="180"/>
      <c r="H664" s="181"/>
      <c r="I664" s="137"/>
      <c r="J664" s="88"/>
      <c r="K664" s="89"/>
      <c r="L664" s="55"/>
      <c r="M664" s="137"/>
      <c r="N664" s="182"/>
      <c r="O664" s="89"/>
      <c r="P664" s="55"/>
      <c r="Q664" s="183"/>
      <c r="R664" s="184"/>
      <c r="S664" s="185"/>
      <c r="T664" s="172"/>
      <c r="U664" s="183"/>
      <c r="V664" s="184"/>
      <c r="W664" s="185"/>
      <c r="X664" s="172"/>
      <c r="Y664" s="137"/>
      <c r="Z664" s="186"/>
      <c r="AA664" s="187"/>
      <c r="AB664" s="188"/>
      <c r="AC664" s="137"/>
      <c r="AD664" s="184"/>
      <c r="AE664" s="189"/>
      <c r="AF664" s="190"/>
      <c r="AG664" s="143"/>
      <c r="AH664" s="143"/>
      <c r="AI664" s="143"/>
      <c r="AJ664" s="143"/>
      <c r="AK664" s="172"/>
      <c r="AL664" s="172"/>
    </row>
    <row r="665">
      <c r="A665" s="137"/>
      <c r="B665" s="88"/>
      <c r="C665" s="89"/>
      <c r="D665" s="55"/>
      <c r="E665" s="137"/>
      <c r="F665" s="88"/>
      <c r="G665" s="180"/>
      <c r="H665" s="181"/>
      <c r="I665" s="137"/>
      <c r="J665" s="88"/>
      <c r="K665" s="89"/>
      <c r="L665" s="55"/>
      <c r="M665" s="137"/>
      <c r="N665" s="182"/>
      <c r="O665" s="89"/>
      <c r="P665" s="55"/>
      <c r="Q665" s="183"/>
      <c r="R665" s="184"/>
      <c r="S665" s="185"/>
      <c r="T665" s="172"/>
      <c r="U665" s="183"/>
      <c r="V665" s="184"/>
      <c r="W665" s="185"/>
      <c r="X665" s="172"/>
      <c r="Y665" s="137"/>
      <c r="Z665" s="186"/>
      <c r="AA665" s="187"/>
      <c r="AB665" s="188"/>
      <c r="AC665" s="137"/>
      <c r="AD665" s="184"/>
      <c r="AE665" s="189"/>
      <c r="AF665" s="190"/>
      <c r="AG665" s="143"/>
      <c r="AH665" s="143"/>
      <c r="AI665" s="143"/>
      <c r="AJ665" s="143"/>
      <c r="AK665" s="172"/>
      <c r="AL665" s="172"/>
    </row>
    <row r="666">
      <c r="A666" s="137"/>
      <c r="B666" s="88"/>
      <c r="C666" s="89"/>
      <c r="D666" s="55"/>
      <c r="E666" s="137"/>
      <c r="F666" s="88"/>
      <c r="G666" s="180"/>
      <c r="H666" s="181"/>
      <c r="I666" s="137"/>
      <c r="J666" s="88"/>
      <c r="K666" s="89"/>
      <c r="L666" s="55"/>
      <c r="M666" s="137"/>
      <c r="N666" s="182"/>
      <c r="O666" s="89"/>
      <c r="P666" s="55"/>
      <c r="Q666" s="183"/>
      <c r="R666" s="184"/>
      <c r="S666" s="185"/>
      <c r="T666" s="172"/>
      <c r="U666" s="183"/>
      <c r="V666" s="184"/>
      <c r="W666" s="185"/>
      <c r="X666" s="172"/>
      <c r="Y666" s="137"/>
      <c r="Z666" s="186"/>
      <c r="AA666" s="187"/>
      <c r="AB666" s="188"/>
      <c r="AC666" s="137"/>
      <c r="AD666" s="184"/>
      <c r="AE666" s="189"/>
      <c r="AF666" s="190"/>
      <c r="AG666" s="143"/>
      <c r="AH666" s="143"/>
      <c r="AI666" s="143"/>
      <c r="AJ666" s="143"/>
      <c r="AK666" s="172"/>
      <c r="AL666" s="172"/>
    </row>
    <row r="667">
      <c r="A667" s="137"/>
      <c r="B667" s="88"/>
      <c r="C667" s="89"/>
      <c r="D667" s="55"/>
      <c r="E667" s="137"/>
      <c r="F667" s="88"/>
      <c r="G667" s="180"/>
      <c r="H667" s="181"/>
      <c r="I667" s="137"/>
      <c r="J667" s="88"/>
      <c r="K667" s="89"/>
      <c r="L667" s="55"/>
      <c r="M667" s="137"/>
      <c r="N667" s="182"/>
      <c r="O667" s="89"/>
      <c r="P667" s="55"/>
      <c r="Q667" s="183"/>
      <c r="R667" s="184"/>
      <c r="S667" s="185"/>
      <c r="T667" s="172"/>
      <c r="U667" s="183"/>
      <c r="V667" s="184"/>
      <c r="W667" s="185"/>
      <c r="X667" s="172"/>
      <c r="Y667" s="137"/>
      <c r="Z667" s="186"/>
      <c r="AA667" s="187"/>
      <c r="AB667" s="188"/>
      <c r="AC667" s="137"/>
      <c r="AD667" s="184"/>
      <c r="AE667" s="189"/>
      <c r="AF667" s="190"/>
      <c r="AG667" s="143"/>
      <c r="AH667" s="143"/>
      <c r="AI667" s="143"/>
      <c r="AJ667" s="143"/>
      <c r="AK667" s="172"/>
      <c r="AL667" s="172"/>
    </row>
    <row r="668">
      <c r="A668" s="137"/>
      <c r="B668" s="88"/>
      <c r="C668" s="89"/>
      <c r="D668" s="55"/>
      <c r="E668" s="137"/>
      <c r="F668" s="88"/>
      <c r="G668" s="180"/>
      <c r="H668" s="181"/>
      <c r="I668" s="137"/>
      <c r="J668" s="88"/>
      <c r="K668" s="89"/>
      <c r="L668" s="55"/>
      <c r="M668" s="137"/>
      <c r="N668" s="182"/>
      <c r="O668" s="89"/>
      <c r="P668" s="55"/>
      <c r="Q668" s="183"/>
      <c r="R668" s="184"/>
      <c r="S668" s="185"/>
      <c r="T668" s="172"/>
      <c r="U668" s="183"/>
      <c r="V668" s="184"/>
      <c r="W668" s="185"/>
      <c r="X668" s="172"/>
      <c r="Y668" s="137"/>
      <c r="Z668" s="186"/>
      <c r="AA668" s="187"/>
      <c r="AB668" s="188"/>
      <c r="AC668" s="137"/>
      <c r="AD668" s="184"/>
      <c r="AE668" s="189"/>
      <c r="AF668" s="190"/>
      <c r="AG668" s="143"/>
      <c r="AH668" s="143"/>
      <c r="AI668" s="143"/>
      <c r="AJ668" s="143"/>
      <c r="AK668" s="172"/>
      <c r="AL668" s="172"/>
    </row>
    <row r="669">
      <c r="A669" s="137"/>
      <c r="B669" s="88"/>
      <c r="C669" s="89"/>
      <c r="D669" s="55"/>
      <c r="E669" s="137"/>
      <c r="F669" s="88"/>
      <c r="G669" s="180"/>
      <c r="H669" s="181"/>
      <c r="I669" s="137"/>
      <c r="J669" s="88"/>
      <c r="K669" s="89"/>
      <c r="L669" s="55"/>
      <c r="M669" s="137"/>
      <c r="N669" s="182"/>
      <c r="O669" s="89"/>
      <c r="P669" s="55"/>
      <c r="Q669" s="183"/>
      <c r="R669" s="184"/>
      <c r="S669" s="185"/>
      <c r="T669" s="172"/>
      <c r="U669" s="183"/>
      <c r="V669" s="184"/>
      <c r="W669" s="185"/>
      <c r="X669" s="172"/>
      <c r="Y669" s="137"/>
      <c r="Z669" s="186"/>
      <c r="AA669" s="187"/>
      <c r="AB669" s="188"/>
      <c r="AC669" s="137"/>
      <c r="AD669" s="184"/>
      <c r="AE669" s="189"/>
      <c r="AF669" s="190"/>
      <c r="AG669" s="143"/>
      <c r="AH669" s="143"/>
      <c r="AI669" s="143"/>
      <c r="AJ669" s="143"/>
      <c r="AK669" s="172"/>
      <c r="AL669" s="172"/>
    </row>
    <row r="670">
      <c r="A670" s="137"/>
      <c r="B670" s="88"/>
      <c r="C670" s="89"/>
      <c r="D670" s="55"/>
      <c r="E670" s="137"/>
      <c r="F670" s="88"/>
      <c r="G670" s="180"/>
      <c r="H670" s="181"/>
      <c r="I670" s="137"/>
      <c r="J670" s="88"/>
      <c r="K670" s="89"/>
      <c r="L670" s="55"/>
      <c r="M670" s="137"/>
      <c r="N670" s="182"/>
      <c r="O670" s="89"/>
      <c r="P670" s="55"/>
      <c r="Q670" s="183"/>
      <c r="R670" s="184"/>
      <c r="S670" s="185"/>
      <c r="T670" s="172"/>
      <c r="U670" s="183"/>
      <c r="V670" s="184"/>
      <c r="W670" s="185"/>
      <c r="X670" s="172"/>
      <c r="Y670" s="137"/>
      <c r="Z670" s="186"/>
      <c r="AA670" s="187"/>
      <c r="AB670" s="188"/>
      <c r="AC670" s="137"/>
      <c r="AD670" s="184"/>
      <c r="AE670" s="189"/>
      <c r="AF670" s="190"/>
      <c r="AG670" s="143"/>
      <c r="AH670" s="143"/>
      <c r="AI670" s="143"/>
      <c r="AJ670" s="143"/>
      <c r="AK670" s="172"/>
      <c r="AL670" s="172"/>
    </row>
    <row r="671">
      <c r="A671" s="137"/>
      <c r="B671" s="88"/>
      <c r="C671" s="89"/>
      <c r="D671" s="55"/>
      <c r="E671" s="137"/>
      <c r="F671" s="88"/>
      <c r="G671" s="180"/>
      <c r="H671" s="181"/>
      <c r="I671" s="137"/>
      <c r="J671" s="88"/>
      <c r="K671" s="89"/>
      <c r="L671" s="55"/>
      <c r="M671" s="137"/>
      <c r="N671" s="182"/>
      <c r="O671" s="89"/>
      <c r="P671" s="55"/>
      <c r="Q671" s="183"/>
      <c r="R671" s="184"/>
      <c r="S671" s="185"/>
      <c r="T671" s="172"/>
      <c r="U671" s="183"/>
      <c r="V671" s="184"/>
      <c r="W671" s="185"/>
      <c r="X671" s="172"/>
      <c r="Y671" s="137"/>
      <c r="Z671" s="186"/>
      <c r="AA671" s="187"/>
      <c r="AB671" s="188"/>
      <c r="AC671" s="137"/>
      <c r="AD671" s="184"/>
      <c r="AE671" s="189"/>
      <c r="AF671" s="190"/>
      <c r="AG671" s="143"/>
      <c r="AH671" s="143"/>
      <c r="AI671" s="143"/>
      <c r="AJ671" s="143"/>
      <c r="AK671" s="172"/>
      <c r="AL671" s="172"/>
    </row>
    <row r="672">
      <c r="A672" s="137"/>
      <c r="B672" s="88"/>
      <c r="C672" s="89"/>
      <c r="D672" s="55"/>
      <c r="E672" s="137"/>
      <c r="F672" s="88"/>
      <c r="G672" s="180"/>
      <c r="H672" s="181"/>
      <c r="I672" s="137"/>
      <c r="J672" s="88"/>
      <c r="K672" s="89"/>
      <c r="L672" s="55"/>
      <c r="M672" s="137"/>
      <c r="N672" s="182"/>
      <c r="O672" s="89"/>
      <c r="P672" s="55"/>
      <c r="Q672" s="183"/>
      <c r="R672" s="184"/>
      <c r="S672" s="185"/>
      <c r="T672" s="172"/>
      <c r="U672" s="183"/>
      <c r="V672" s="184"/>
      <c r="W672" s="185"/>
      <c r="X672" s="172"/>
      <c r="Y672" s="137"/>
      <c r="Z672" s="186"/>
      <c r="AA672" s="187"/>
      <c r="AB672" s="188"/>
      <c r="AC672" s="137"/>
      <c r="AD672" s="184"/>
      <c r="AE672" s="189"/>
      <c r="AF672" s="190"/>
      <c r="AG672" s="143"/>
      <c r="AH672" s="143"/>
      <c r="AI672" s="143"/>
      <c r="AJ672" s="143"/>
      <c r="AK672" s="172"/>
      <c r="AL672" s="172"/>
    </row>
    <row r="673">
      <c r="A673" s="137"/>
      <c r="B673" s="88"/>
      <c r="C673" s="89"/>
      <c r="D673" s="55"/>
      <c r="E673" s="137"/>
      <c r="F673" s="88"/>
      <c r="G673" s="180"/>
      <c r="H673" s="181"/>
      <c r="I673" s="137"/>
      <c r="J673" s="88"/>
      <c r="K673" s="89"/>
      <c r="L673" s="55"/>
      <c r="M673" s="137"/>
      <c r="N673" s="182"/>
      <c r="O673" s="89"/>
      <c r="P673" s="55"/>
      <c r="Q673" s="183"/>
      <c r="R673" s="184"/>
      <c r="S673" s="185"/>
      <c r="T673" s="172"/>
      <c r="U673" s="183"/>
      <c r="V673" s="184"/>
      <c r="W673" s="185"/>
      <c r="X673" s="172"/>
      <c r="Y673" s="137"/>
      <c r="Z673" s="186"/>
      <c r="AA673" s="187"/>
      <c r="AB673" s="188"/>
      <c r="AC673" s="137"/>
      <c r="AD673" s="184"/>
      <c r="AE673" s="189"/>
      <c r="AF673" s="190"/>
      <c r="AG673" s="143"/>
      <c r="AH673" s="143"/>
      <c r="AI673" s="143"/>
      <c r="AJ673" s="143"/>
      <c r="AK673" s="172"/>
      <c r="AL673" s="172"/>
    </row>
    <row r="674">
      <c r="A674" s="137"/>
      <c r="B674" s="88"/>
      <c r="C674" s="89"/>
      <c r="D674" s="55"/>
      <c r="E674" s="137"/>
      <c r="F674" s="88"/>
      <c r="G674" s="180"/>
      <c r="H674" s="181"/>
      <c r="I674" s="137"/>
      <c r="J674" s="88"/>
      <c r="K674" s="89"/>
      <c r="L674" s="55"/>
      <c r="M674" s="137"/>
      <c r="N674" s="182"/>
      <c r="O674" s="89"/>
      <c r="P674" s="55"/>
      <c r="Q674" s="183"/>
      <c r="R674" s="184"/>
      <c r="S674" s="185"/>
      <c r="T674" s="172"/>
      <c r="U674" s="183"/>
      <c r="V674" s="184"/>
      <c r="W674" s="185"/>
      <c r="X674" s="172"/>
      <c r="Y674" s="137"/>
      <c r="Z674" s="186"/>
      <c r="AA674" s="187"/>
      <c r="AB674" s="188"/>
      <c r="AC674" s="137"/>
      <c r="AD674" s="184"/>
      <c r="AE674" s="189"/>
      <c r="AF674" s="190"/>
      <c r="AG674" s="143"/>
      <c r="AH674" s="143"/>
      <c r="AI674" s="143"/>
      <c r="AJ674" s="143"/>
      <c r="AK674" s="172"/>
      <c r="AL674" s="172"/>
    </row>
    <row r="675">
      <c r="A675" s="137"/>
      <c r="B675" s="88"/>
      <c r="C675" s="89"/>
      <c r="D675" s="55"/>
      <c r="E675" s="137"/>
      <c r="F675" s="88"/>
      <c r="G675" s="180"/>
      <c r="H675" s="181"/>
      <c r="I675" s="137"/>
      <c r="J675" s="88"/>
      <c r="K675" s="89"/>
      <c r="L675" s="55"/>
      <c r="M675" s="137"/>
      <c r="N675" s="182"/>
      <c r="O675" s="89"/>
      <c r="P675" s="55"/>
      <c r="Q675" s="183"/>
      <c r="R675" s="184"/>
      <c r="S675" s="185"/>
      <c r="T675" s="172"/>
      <c r="U675" s="183"/>
      <c r="V675" s="184"/>
      <c r="W675" s="185"/>
      <c r="X675" s="172"/>
      <c r="Y675" s="137"/>
      <c r="Z675" s="186"/>
      <c r="AA675" s="187"/>
      <c r="AB675" s="188"/>
      <c r="AC675" s="137"/>
      <c r="AD675" s="184"/>
      <c r="AE675" s="189"/>
      <c r="AF675" s="190"/>
      <c r="AG675" s="143"/>
      <c r="AH675" s="143"/>
      <c r="AI675" s="143"/>
      <c r="AJ675" s="143"/>
      <c r="AK675" s="172"/>
      <c r="AL675" s="172"/>
    </row>
    <row r="676">
      <c r="A676" s="137"/>
      <c r="B676" s="88"/>
      <c r="C676" s="89"/>
      <c r="D676" s="55"/>
      <c r="E676" s="137"/>
      <c r="F676" s="88"/>
      <c r="G676" s="180"/>
      <c r="H676" s="181"/>
      <c r="I676" s="137"/>
      <c r="J676" s="88"/>
      <c r="K676" s="89"/>
      <c r="L676" s="55"/>
      <c r="M676" s="137"/>
      <c r="N676" s="182"/>
      <c r="O676" s="89"/>
      <c r="P676" s="55"/>
      <c r="Q676" s="183"/>
      <c r="R676" s="184"/>
      <c r="S676" s="185"/>
      <c r="T676" s="172"/>
      <c r="U676" s="183"/>
      <c r="V676" s="184"/>
      <c r="W676" s="185"/>
      <c r="X676" s="172"/>
      <c r="Y676" s="137"/>
      <c r="Z676" s="186"/>
      <c r="AA676" s="187"/>
      <c r="AB676" s="188"/>
      <c r="AC676" s="137"/>
      <c r="AD676" s="184"/>
      <c r="AE676" s="189"/>
      <c r="AF676" s="190"/>
      <c r="AG676" s="143"/>
      <c r="AH676" s="143"/>
      <c r="AI676" s="143"/>
      <c r="AJ676" s="143"/>
      <c r="AK676" s="172"/>
      <c r="AL676" s="172"/>
    </row>
    <row r="677">
      <c r="A677" s="137"/>
      <c r="B677" s="88"/>
      <c r="C677" s="89"/>
      <c r="D677" s="55"/>
      <c r="E677" s="137"/>
      <c r="F677" s="88"/>
      <c r="G677" s="180"/>
      <c r="H677" s="181"/>
      <c r="I677" s="137"/>
      <c r="J677" s="88"/>
      <c r="K677" s="89"/>
      <c r="L677" s="55"/>
      <c r="M677" s="137"/>
      <c r="N677" s="182"/>
      <c r="O677" s="89"/>
      <c r="P677" s="55"/>
      <c r="Q677" s="183"/>
      <c r="R677" s="184"/>
      <c r="S677" s="185"/>
      <c r="T677" s="172"/>
      <c r="U677" s="183"/>
      <c r="V677" s="184"/>
      <c r="W677" s="185"/>
      <c r="X677" s="172"/>
      <c r="Y677" s="137"/>
      <c r="Z677" s="186"/>
      <c r="AA677" s="187"/>
      <c r="AB677" s="188"/>
      <c r="AC677" s="137"/>
      <c r="AD677" s="184"/>
      <c r="AE677" s="189"/>
      <c r="AF677" s="190"/>
      <c r="AG677" s="143"/>
      <c r="AH677" s="143"/>
      <c r="AI677" s="143"/>
      <c r="AJ677" s="143"/>
      <c r="AK677" s="172"/>
      <c r="AL677" s="172"/>
    </row>
    <row r="678">
      <c r="A678" s="137"/>
      <c r="B678" s="88"/>
      <c r="C678" s="89"/>
      <c r="D678" s="55"/>
      <c r="E678" s="137"/>
      <c r="F678" s="88"/>
      <c r="G678" s="180"/>
      <c r="H678" s="181"/>
      <c r="I678" s="137"/>
      <c r="J678" s="88"/>
      <c r="K678" s="89"/>
      <c r="L678" s="55"/>
      <c r="M678" s="137"/>
      <c r="N678" s="182"/>
      <c r="O678" s="89"/>
      <c r="P678" s="55"/>
      <c r="Q678" s="183"/>
      <c r="R678" s="184"/>
      <c r="S678" s="185"/>
      <c r="T678" s="172"/>
      <c r="U678" s="183"/>
      <c r="V678" s="184"/>
      <c r="W678" s="185"/>
      <c r="X678" s="172"/>
      <c r="Y678" s="137"/>
      <c r="Z678" s="186"/>
      <c r="AA678" s="187"/>
      <c r="AB678" s="188"/>
      <c r="AC678" s="137"/>
      <c r="AD678" s="184"/>
      <c r="AE678" s="189"/>
      <c r="AF678" s="190"/>
      <c r="AG678" s="143"/>
      <c r="AH678" s="143"/>
      <c r="AI678" s="143"/>
      <c r="AJ678" s="143"/>
      <c r="AK678" s="172"/>
      <c r="AL678" s="172"/>
    </row>
    <row r="679">
      <c r="A679" s="137"/>
      <c r="B679" s="88"/>
      <c r="C679" s="89"/>
      <c r="D679" s="55"/>
      <c r="E679" s="137"/>
      <c r="F679" s="88"/>
      <c r="G679" s="180"/>
      <c r="H679" s="181"/>
      <c r="I679" s="137"/>
      <c r="J679" s="88"/>
      <c r="K679" s="89"/>
      <c r="L679" s="55"/>
      <c r="M679" s="137"/>
      <c r="N679" s="182"/>
      <c r="O679" s="89"/>
      <c r="P679" s="55"/>
      <c r="Q679" s="183"/>
      <c r="R679" s="184"/>
      <c r="S679" s="185"/>
      <c r="T679" s="172"/>
      <c r="U679" s="183"/>
      <c r="V679" s="184"/>
      <c r="W679" s="185"/>
      <c r="X679" s="172"/>
      <c r="Y679" s="137"/>
      <c r="Z679" s="186"/>
      <c r="AA679" s="187"/>
      <c r="AB679" s="188"/>
      <c r="AC679" s="137"/>
      <c r="AD679" s="184"/>
      <c r="AE679" s="189"/>
      <c r="AF679" s="190"/>
      <c r="AG679" s="143"/>
      <c r="AH679" s="143"/>
      <c r="AI679" s="143"/>
      <c r="AJ679" s="143"/>
      <c r="AK679" s="172"/>
      <c r="AL679" s="172"/>
    </row>
    <row r="680">
      <c r="A680" s="137"/>
      <c r="B680" s="88"/>
      <c r="C680" s="89"/>
      <c r="D680" s="55"/>
      <c r="E680" s="137"/>
      <c r="F680" s="88"/>
      <c r="G680" s="180"/>
      <c r="H680" s="181"/>
      <c r="I680" s="137"/>
      <c r="J680" s="88"/>
      <c r="K680" s="89"/>
      <c r="L680" s="55"/>
      <c r="M680" s="137"/>
      <c r="N680" s="182"/>
      <c r="O680" s="89"/>
      <c r="P680" s="55"/>
      <c r="Q680" s="183"/>
      <c r="R680" s="184"/>
      <c r="S680" s="185"/>
      <c r="T680" s="172"/>
      <c r="U680" s="183"/>
      <c r="V680" s="184"/>
      <c r="W680" s="185"/>
      <c r="X680" s="172"/>
      <c r="Y680" s="137"/>
      <c r="Z680" s="186"/>
      <c r="AA680" s="187"/>
      <c r="AB680" s="188"/>
      <c r="AC680" s="137"/>
      <c r="AD680" s="184"/>
      <c r="AE680" s="189"/>
      <c r="AF680" s="190"/>
      <c r="AG680" s="143"/>
      <c r="AH680" s="143"/>
      <c r="AI680" s="143"/>
      <c r="AJ680" s="143"/>
      <c r="AK680" s="172"/>
      <c r="AL680" s="172"/>
    </row>
    <row r="681">
      <c r="A681" s="137"/>
      <c r="B681" s="88"/>
      <c r="C681" s="89"/>
      <c r="D681" s="55"/>
      <c r="E681" s="137"/>
      <c r="F681" s="88"/>
      <c r="G681" s="180"/>
      <c r="H681" s="181"/>
      <c r="I681" s="137"/>
      <c r="J681" s="88"/>
      <c r="K681" s="89"/>
      <c r="L681" s="55"/>
      <c r="M681" s="137"/>
      <c r="N681" s="182"/>
      <c r="O681" s="89"/>
      <c r="P681" s="55"/>
      <c r="Q681" s="183"/>
      <c r="R681" s="184"/>
      <c r="S681" s="185"/>
      <c r="T681" s="172"/>
      <c r="U681" s="183"/>
      <c r="V681" s="184"/>
      <c r="W681" s="185"/>
      <c r="X681" s="172"/>
      <c r="Y681" s="137"/>
      <c r="Z681" s="186"/>
      <c r="AA681" s="187"/>
      <c r="AB681" s="188"/>
      <c r="AC681" s="137"/>
      <c r="AD681" s="184"/>
      <c r="AE681" s="189"/>
      <c r="AF681" s="190"/>
      <c r="AG681" s="143"/>
      <c r="AH681" s="143"/>
      <c r="AI681" s="143"/>
      <c r="AJ681" s="143"/>
      <c r="AK681" s="172"/>
      <c r="AL681" s="172"/>
    </row>
    <row r="682">
      <c r="A682" s="137"/>
      <c r="B682" s="88"/>
      <c r="C682" s="89"/>
      <c r="D682" s="55"/>
      <c r="E682" s="137"/>
      <c r="F682" s="88"/>
      <c r="G682" s="180"/>
      <c r="H682" s="181"/>
      <c r="I682" s="137"/>
      <c r="J682" s="88"/>
      <c r="K682" s="89"/>
      <c r="L682" s="55"/>
      <c r="M682" s="137"/>
      <c r="N682" s="182"/>
      <c r="O682" s="89"/>
      <c r="P682" s="55"/>
      <c r="Q682" s="183"/>
      <c r="R682" s="184"/>
      <c r="S682" s="185"/>
      <c r="T682" s="172"/>
      <c r="U682" s="183"/>
      <c r="V682" s="184"/>
      <c r="W682" s="185"/>
      <c r="X682" s="172"/>
      <c r="Y682" s="137"/>
      <c r="Z682" s="186"/>
      <c r="AA682" s="187"/>
      <c r="AB682" s="188"/>
      <c r="AC682" s="137"/>
      <c r="AD682" s="184"/>
      <c r="AE682" s="189"/>
      <c r="AF682" s="190"/>
      <c r="AG682" s="143"/>
      <c r="AH682" s="143"/>
      <c r="AI682" s="143"/>
      <c r="AJ682" s="143"/>
      <c r="AK682" s="172"/>
      <c r="AL682" s="172"/>
    </row>
    <row r="683">
      <c r="A683" s="137"/>
      <c r="B683" s="88"/>
      <c r="C683" s="89"/>
      <c r="D683" s="55"/>
      <c r="E683" s="137"/>
      <c r="F683" s="88"/>
      <c r="G683" s="180"/>
      <c r="H683" s="181"/>
      <c r="I683" s="137"/>
      <c r="J683" s="88"/>
      <c r="K683" s="89"/>
      <c r="L683" s="55"/>
      <c r="M683" s="137"/>
      <c r="N683" s="182"/>
      <c r="O683" s="89"/>
      <c r="P683" s="55"/>
      <c r="Q683" s="183"/>
      <c r="R683" s="184"/>
      <c r="S683" s="185"/>
      <c r="T683" s="172"/>
      <c r="U683" s="183"/>
      <c r="V683" s="184"/>
      <c r="W683" s="185"/>
      <c r="X683" s="172"/>
      <c r="Y683" s="137"/>
      <c r="Z683" s="186"/>
      <c r="AA683" s="187"/>
      <c r="AB683" s="188"/>
      <c r="AC683" s="137"/>
      <c r="AD683" s="184"/>
      <c r="AE683" s="189"/>
      <c r="AF683" s="190"/>
      <c r="AG683" s="143"/>
      <c r="AH683" s="143"/>
      <c r="AI683" s="143"/>
      <c r="AJ683" s="143"/>
      <c r="AK683" s="172"/>
      <c r="AL683" s="172"/>
    </row>
    <row r="684">
      <c r="A684" s="137"/>
      <c r="B684" s="88"/>
      <c r="C684" s="89"/>
      <c r="D684" s="55"/>
      <c r="E684" s="137"/>
      <c r="F684" s="88"/>
      <c r="G684" s="180"/>
      <c r="H684" s="181"/>
      <c r="I684" s="137"/>
      <c r="J684" s="88"/>
      <c r="K684" s="89"/>
      <c r="L684" s="55"/>
      <c r="M684" s="137"/>
      <c r="N684" s="182"/>
      <c r="O684" s="89"/>
      <c r="P684" s="55"/>
      <c r="Q684" s="183"/>
      <c r="R684" s="184"/>
      <c r="S684" s="185"/>
      <c r="T684" s="172"/>
      <c r="U684" s="183"/>
      <c r="V684" s="184"/>
      <c r="W684" s="185"/>
      <c r="X684" s="172"/>
      <c r="Y684" s="137"/>
      <c r="Z684" s="186"/>
      <c r="AA684" s="187"/>
      <c r="AB684" s="188"/>
      <c r="AC684" s="137"/>
      <c r="AD684" s="184"/>
      <c r="AE684" s="189"/>
      <c r="AF684" s="190"/>
      <c r="AG684" s="143"/>
      <c r="AH684" s="143"/>
      <c r="AI684" s="143"/>
      <c r="AJ684" s="143"/>
      <c r="AK684" s="172"/>
      <c r="AL684" s="172"/>
    </row>
    <row r="685">
      <c r="A685" s="137"/>
      <c r="B685" s="88"/>
      <c r="C685" s="89"/>
      <c r="D685" s="55"/>
      <c r="E685" s="137"/>
      <c r="F685" s="88"/>
      <c r="G685" s="180"/>
      <c r="H685" s="181"/>
      <c r="I685" s="137"/>
      <c r="J685" s="88"/>
      <c r="K685" s="89"/>
      <c r="L685" s="55"/>
      <c r="M685" s="137"/>
      <c r="N685" s="182"/>
      <c r="O685" s="89"/>
      <c r="P685" s="55"/>
      <c r="Q685" s="183"/>
      <c r="R685" s="184"/>
      <c r="S685" s="185"/>
      <c r="T685" s="172"/>
      <c r="U685" s="183"/>
      <c r="V685" s="184"/>
      <c r="W685" s="185"/>
      <c r="X685" s="172"/>
      <c r="Y685" s="137"/>
      <c r="Z685" s="186"/>
      <c r="AA685" s="187"/>
      <c r="AB685" s="188"/>
      <c r="AC685" s="137"/>
      <c r="AD685" s="184"/>
      <c r="AE685" s="189"/>
      <c r="AF685" s="190"/>
      <c r="AG685" s="143"/>
      <c r="AH685" s="143"/>
      <c r="AI685" s="143"/>
      <c r="AJ685" s="143"/>
      <c r="AK685" s="172"/>
      <c r="AL685" s="172"/>
    </row>
    <row r="686">
      <c r="A686" s="137"/>
      <c r="B686" s="88"/>
      <c r="C686" s="89"/>
      <c r="D686" s="55"/>
      <c r="E686" s="137"/>
      <c r="F686" s="88"/>
      <c r="G686" s="180"/>
      <c r="H686" s="181"/>
      <c r="I686" s="137"/>
      <c r="J686" s="88"/>
      <c r="K686" s="89"/>
      <c r="L686" s="55"/>
      <c r="M686" s="137"/>
      <c r="N686" s="182"/>
      <c r="O686" s="89"/>
      <c r="P686" s="55"/>
      <c r="Q686" s="183"/>
      <c r="R686" s="184"/>
      <c r="S686" s="185"/>
      <c r="T686" s="172"/>
      <c r="U686" s="183"/>
      <c r="V686" s="184"/>
      <c r="W686" s="185"/>
      <c r="X686" s="172"/>
      <c r="Y686" s="137"/>
      <c r="Z686" s="186"/>
      <c r="AA686" s="187"/>
      <c r="AB686" s="188"/>
      <c r="AC686" s="137"/>
      <c r="AD686" s="184"/>
      <c r="AE686" s="189"/>
      <c r="AF686" s="190"/>
      <c r="AG686" s="143"/>
      <c r="AH686" s="143"/>
      <c r="AI686" s="143"/>
      <c r="AJ686" s="143"/>
      <c r="AK686" s="172"/>
      <c r="AL686" s="172"/>
    </row>
    <row r="687">
      <c r="A687" s="137"/>
      <c r="B687" s="88"/>
      <c r="C687" s="89"/>
      <c r="D687" s="55"/>
      <c r="E687" s="137"/>
      <c r="F687" s="88"/>
      <c r="G687" s="180"/>
      <c r="H687" s="181"/>
      <c r="I687" s="137"/>
      <c r="J687" s="88"/>
      <c r="K687" s="89"/>
      <c r="L687" s="55"/>
      <c r="M687" s="137"/>
      <c r="N687" s="182"/>
      <c r="O687" s="89"/>
      <c r="P687" s="55"/>
      <c r="Q687" s="183"/>
      <c r="R687" s="184"/>
      <c r="S687" s="185"/>
      <c r="T687" s="172"/>
      <c r="U687" s="183"/>
      <c r="V687" s="184"/>
      <c r="W687" s="185"/>
      <c r="X687" s="172"/>
      <c r="Y687" s="137"/>
      <c r="Z687" s="186"/>
      <c r="AA687" s="187"/>
      <c r="AB687" s="188"/>
      <c r="AC687" s="137"/>
      <c r="AD687" s="184"/>
      <c r="AE687" s="189"/>
      <c r="AF687" s="190"/>
      <c r="AG687" s="143"/>
      <c r="AH687" s="143"/>
      <c r="AI687" s="143"/>
      <c r="AJ687" s="143"/>
      <c r="AK687" s="172"/>
      <c r="AL687" s="172"/>
    </row>
    <row r="688">
      <c r="A688" s="137"/>
      <c r="B688" s="88"/>
      <c r="C688" s="89"/>
      <c r="D688" s="55"/>
      <c r="E688" s="137"/>
      <c r="F688" s="88"/>
      <c r="G688" s="180"/>
      <c r="H688" s="181"/>
      <c r="I688" s="137"/>
      <c r="J688" s="88"/>
      <c r="K688" s="89"/>
      <c r="L688" s="55"/>
      <c r="M688" s="137"/>
      <c r="N688" s="182"/>
      <c r="O688" s="89"/>
      <c r="P688" s="55"/>
      <c r="Q688" s="183"/>
      <c r="R688" s="184"/>
      <c r="S688" s="185"/>
      <c r="T688" s="172"/>
      <c r="U688" s="183"/>
      <c r="V688" s="184"/>
      <c r="W688" s="185"/>
      <c r="X688" s="172"/>
      <c r="Y688" s="137"/>
      <c r="Z688" s="186"/>
      <c r="AA688" s="187"/>
      <c r="AB688" s="188"/>
      <c r="AC688" s="137"/>
      <c r="AD688" s="184"/>
      <c r="AE688" s="189"/>
      <c r="AF688" s="190"/>
      <c r="AG688" s="143"/>
      <c r="AH688" s="143"/>
      <c r="AI688" s="143"/>
      <c r="AJ688" s="143"/>
      <c r="AK688" s="172"/>
      <c r="AL688" s="172"/>
    </row>
    <row r="689">
      <c r="A689" s="137"/>
      <c r="B689" s="88"/>
      <c r="C689" s="89"/>
      <c r="D689" s="55"/>
      <c r="E689" s="137"/>
      <c r="F689" s="88"/>
      <c r="G689" s="180"/>
      <c r="H689" s="181"/>
      <c r="I689" s="137"/>
      <c r="J689" s="88"/>
      <c r="K689" s="89"/>
      <c r="L689" s="55"/>
      <c r="M689" s="137"/>
      <c r="N689" s="182"/>
      <c r="O689" s="89"/>
      <c r="P689" s="55"/>
      <c r="Q689" s="183"/>
      <c r="R689" s="184"/>
      <c r="S689" s="185"/>
      <c r="T689" s="172"/>
      <c r="U689" s="183"/>
      <c r="V689" s="184"/>
      <c r="W689" s="185"/>
      <c r="X689" s="172"/>
      <c r="Y689" s="137"/>
      <c r="Z689" s="186"/>
      <c r="AA689" s="187"/>
      <c r="AB689" s="188"/>
      <c r="AC689" s="137"/>
      <c r="AD689" s="184"/>
      <c r="AE689" s="189"/>
      <c r="AF689" s="190"/>
      <c r="AG689" s="143"/>
      <c r="AH689" s="143"/>
      <c r="AI689" s="143"/>
      <c r="AJ689" s="143"/>
      <c r="AK689" s="172"/>
      <c r="AL689" s="172"/>
    </row>
    <row r="690">
      <c r="A690" s="137"/>
      <c r="B690" s="88"/>
      <c r="C690" s="89"/>
      <c r="D690" s="55"/>
      <c r="E690" s="137"/>
      <c r="F690" s="88"/>
      <c r="G690" s="180"/>
      <c r="H690" s="181"/>
      <c r="I690" s="137"/>
      <c r="J690" s="88"/>
      <c r="K690" s="89"/>
      <c r="L690" s="55"/>
      <c r="M690" s="137"/>
      <c r="N690" s="182"/>
      <c r="O690" s="89"/>
      <c r="P690" s="55"/>
      <c r="Q690" s="183"/>
      <c r="R690" s="184"/>
      <c r="S690" s="185"/>
      <c r="T690" s="172"/>
      <c r="U690" s="183"/>
      <c r="V690" s="184"/>
      <c r="W690" s="185"/>
      <c r="X690" s="172"/>
      <c r="Y690" s="137"/>
      <c r="Z690" s="186"/>
      <c r="AA690" s="187"/>
      <c r="AB690" s="188"/>
      <c r="AC690" s="137"/>
      <c r="AD690" s="184"/>
      <c r="AE690" s="189"/>
      <c r="AF690" s="190"/>
      <c r="AG690" s="143"/>
      <c r="AH690" s="143"/>
      <c r="AI690" s="143"/>
      <c r="AJ690" s="143"/>
      <c r="AK690" s="172"/>
      <c r="AL690" s="172"/>
    </row>
    <row r="691">
      <c r="A691" s="137"/>
      <c r="B691" s="88"/>
      <c r="C691" s="89"/>
      <c r="D691" s="55"/>
      <c r="E691" s="137"/>
      <c r="F691" s="88"/>
      <c r="G691" s="180"/>
      <c r="H691" s="181"/>
      <c r="I691" s="137"/>
      <c r="J691" s="88"/>
      <c r="K691" s="89"/>
      <c r="L691" s="55"/>
      <c r="M691" s="137"/>
      <c r="N691" s="182"/>
      <c r="O691" s="89"/>
      <c r="P691" s="55"/>
      <c r="Q691" s="183"/>
      <c r="R691" s="184"/>
      <c r="S691" s="185"/>
      <c r="T691" s="172"/>
      <c r="U691" s="183"/>
      <c r="V691" s="184"/>
      <c r="W691" s="185"/>
      <c r="X691" s="172"/>
      <c r="Y691" s="137"/>
      <c r="Z691" s="186"/>
      <c r="AA691" s="187"/>
      <c r="AB691" s="188"/>
      <c r="AC691" s="137"/>
      <c r="AD691" s="184"/>
      <c r="AE691" s="189"/>
      <c r="AF691" s="190"/>
      <c r="AG691" s="143"/>
      <c r="AH691" s="143"/>
      <c r="AI691" s="143"/>
      <c r="AJ691" s="143"/>
      <c r="AK691" s="172"/>
      <c r="AL691" s="172"/>
    </row>
    <row r="692">
      <c r="A692" s="137"/>
      <c r="B692" s="88"/>
      <c r="C692" s="89"/>
      <c r="D692" s="55"/>
      <c r="E692" s="137"/>
      <c r="F692" s="88"/>
      <c r="G692" s="180"/>
      <c r="H692" s="181"/>
      <c r="I692" s="137"/>
      <c r="J692" s="88"/>
      <c r="K692" s="89"/>
      <c r="L692" s="55"/>
      <c r="M692" s="137"/>
      <c r="N692" s="182"/>
      <c r="O692" s="89"/>
      <c r="P692" s="55"/>
      <c r="Q692" s="183"/>
      <c r="R692" s="184"/>
      <c r="S692" s="185"/>
      <c r="T692" s="172"/>
      <c r="U692" s="183"/>
      <c r="V692" s="184"/>
      <c r="W692" s="185"/>
      <c r="X692" s="172"/>
      <c r="Y692" s="137"/>
      <c r="Z692" s="186"/>
      <c r="AA692" s="187"/>
      <c r="AB692" s="188"/>
      <c r="AC692" s="137"/>
      <c r="AD692" s="184"/>
      <c r="AE692" s="189"/>
      <c r="AF692" s="190"/>
      <c r="AG692" s="143"/>
      <c r="AH692" s="143"/>
      <c r="AI692" s="143"/>
      <c r="AJ692" s="143"/>
      <c r="AK692" s="172"/>
      <c r="AL692" s="172"/>
    </row>
    <row r="693">
      <c r="A693" s="137"/>
      <c r="B693" s="88"/>
      <c r="C693" s="89"/>
      <c r="D693" s="55"/>
      <c r="E693" s="137"/>
      <c r="F693" s="88"/>
      <c r="G693" s="180"/>
      <c r="H693" s="181"/>
      <c r="I693" s="137"/>
      <c r="J693" s="88"/>
      <c r="K693" s="89"/>
      <c r="L693" s="55"/>
      <c r="M693" s="137"/>
      <c r="N693" s="182"/>
      <c r="O693" s="89"/>
      <c r="P693" s="55"/>
      <c r="Q693" s="183"/>
      <c r="R693" s="184"/>
      <c r="S693" s="185"/>
      <c r="T693" s="172"/>
      <c r="U693" s="183"/>
      <c r="V693" s="184"/>
      <c r="W693" s="185"/>
      <c r="X693" s="172"/>
      <c r="Y693" s="137"/>
      <c r="Z693" s="186"/>
      <c r="AA693" s="187"/>
      <c r="AB693" s="188"/>
      <c r="AC693" s="137"/>
      <c r="AD693" s="184"/>
      <c r="AE693" s="189"/>
      <c r="AF693" s="190"/>
      <c r="AG693" s="143"/>
      <c r="AH693" s="143"/>
      <c r="AI693" s="143"/>
      <c r="AJ693" s="143"/>
      <c r="AK693" s="172"/>
      <c r="AL693" s="172"/>
    </row>
    <row r="694">
      <c r="A694" s="137"/>
      <c r="B694" s="88"/>
      <c r="C694" s="89"/>
      <c r="D694" s="55"/>
      <c r="E694" s="137"/>
      <c r="F694" s="88"/>
      <c r="G694" s="180"/>
      <c r="H694" s="181"/>
      <c r="I694" s="137"/>
      <c r="J694" s="88"/>
      <c r="K694" s="89"/>
      <c r="L694" s="55"/>
      <c r="M694" s="137"/>
      <c r="N694" s="182"/>
      <c r="O694" s="89"/>
      <c r="P694" s="55"/>
      <c r="Q694" s="183"/>
      <c r="R694" s="184"/>
      <c r="S694" s="185"/>
      <c r="T694" s="172"/>
      <c r="U694" s="183"/>
      <c r="V694" s="184"/>
      <c r="W694" s="185"/>
      <c r="X694" s="172"/>
      <c r="Y694" s="137"/>
      <c r="Z694" s="186"/>
      <c r="AA694" s="187"/>
      <c r="AB694" s="188"/>
      <c r="AC694" s="137"/>
      <c r="AD694" s="184"/>
      <c r="AE694" s="189"/>
      <c r="AF694" s="190"/>
      <c r="AG694" s="143"/>
      <c r="AH694" s="143"/>
      <c r="AI694" s="143"/>
      <c r="AJ694" s="143"/>
      <c r="AK694" s="172"/>
      <c r="AL694" s="172"/>
    </row>
    <row r="695">
      <c r="A695" s="137"/>
      <c r="B695" s="88"/>
      <c r="C695" s="89"/>
      <c r="D695" s="55"/>
      <c r="E695" s="137"/>
      <c r="F695" s="88"/>
      <c r="G695" s="180"/>
      <c r="H695" s="181"/>
      <c r="I695" s="137"/>
      <c r="J695" s="88"/>
      <c r="K695" s="89"/>
      <c r="L695" s="55"/>
      <c r="M695" s="137"/>
      <c r="N695" s="182"/>
      <c r="O695" s="89"/>
      <c r="P695" s="55"/>
      <c r="Q695" s="183"/>
      <c r="R695" s="184"/>
      <c r="S695" s="185"/>
      <c r="T695" s="172"/>
      <c r="U695" s="183"/>
      <c r="V695" s="184"/>
      <c r="W695" s="185"/>
      <c r="X695" s="172"/>
      <c r="Y695" s="137"/>
      <c r="Z695" s="186"/>
      <c r="AA695" s="187"/>
      <c r="AB695" s="188"/>
      <c r="AC695" s="137"/>
      <c r="AD695" s="184"/>
      <c r="AE695" s="189"/>
      <c r="AF695" s="190"/>
      <c r="AG695" s="143"/>
      <c r="AH695" s="143"/>
      <c r="AI695" s="143"/>
      <c r="AJ695" s="143"/>
      <c r="AK695" s="172"/>
      <c r="AL695" s="172"/>
    </row>
    <row r="696">
      <c r="A696" s="137"/>
      <c r="B696" s="88"/>
      <c r="C696" s="89"/>
      <c r="D696" s="55"/>
      <c r="E696" s="137"/>
      <c r="F696" s="88"/>
      <c r="G696" s="180"/>
      <c r="H696" s="181"/>
      <c r="I696" s="137"/>
      <c r="J696" s="88"/>
      <c r="K696" s="89"/>
      <c r="L696" s="55"/>
      <c r="M696" s="137"/>
      <c r="N696" s="182"/>
      <c r="O696" s="89"/>
      <c r="P696" s="55"/>
      <c r="Q696" s="183"/>
      <c r="R696" s="184"/>
      <c r="S696" s="185"/>
      <c r="T696" s="172"/>
      <c r="U696" s="183"/>
      <c r="V696" s="184"/>
      <c r="W696" s="185"/>
      <c r="X696" s="172"/>
      <c r="Y696" s="137"/>
      <c r="Z696" s="186"/>
      <c r="AA696" s="187"/>
      <c r="AB696" s="188"/>
      <c r="AC696" s="137"/>
      <c r="AD696" s="184"/>
      <c r="AE696" s="189"/>
      <c r="AF696" s="190"/>
      <c r="AG696" s="143"/>
      <c r="AH696" s="143"/>
      <c r="AI696" s="143"/>
      <c r="AJ696" s="143"/>
      <c r="AK696" s="172"/>
      <c r="AL696" s="172"/>
    </row>
    <row r="697">
      <c r="A697" s="137"/>
      <c r="B697" s="88"/>
      <c r="C697" s="89"/>
      <c r="D697" s="55"/>
      <c r="E697" s="137"/>
      <c r="F697" s="88"/>
      <c r="G697" s="180"/>
      <c r="H697" s="181"/>
      <c r="I697" s="137"/>
      <c r="J697" s="88"/>
      <c r="K697" s="89"/>
      <c r="L697" s="55"/>
      <c r="M697" s="137"/>
      <c r="N697" s="182"/>
      <c r="O697" s="89"/>
      <c r="P697" s="55"/>
      <c r="Q697" s="183"/>
      <c r="R697" s="184"/>
      <c r="S697" s="185"/>
      <c r="T697" s="172"/>
      <c r="U697" s="183"/>
      <c r="V697" s="184"/>
      <c r="W697" s="185"/>
      <c r="X697" s="172"/>
      <c r="Y697" s="137"/>
      <c r="Z697" s="186"/>
      <c r="AA697" s="187"/>
      <c r="AB697" s="188"/>
      <c r="AC697" s="137"/>
      <c r="AD697" s="184"/>
      <c r="AE697" s="189"/>
      <c r="AF697" s="190"/>
      <c r="AG697" s="143"/>
      <c r="AH697" s="143"/>
      <c r="AI697" s="143"/>
      <c r="AJ697" s="143"/>
      <c r="AK697" s="172"/>
      <c r="AL697" s="172"/>
    </row>
    <row r="698">
      <c r="A698" s="137"/>
      <c r="B698" s="88"/>
      <c r="C698" s="89"/>
      <c r="D698" s="55"/>
      <c r="E698" s="137"/>
      <c r="F698" s="88"/>
      <c r="G698" s="180"/>
      <c r="H698" s="181"/>
      <c r="I698" s="137"/>
      <c r="J698" s="88"/>
      <c r="K698" s="89"/>
      <c r="L698" s="55"/>
      <c r="M698" s="137"/>
      <c r="N698" s="182"/>
      <c r="O698" s="89"/>
      <c r="P698" s="55"/>
      <c r="Q698" s="183"/>
      <c r="R698" s="184"/>
      <c r="S698" s="185"/>
      <c r="T698" s="172"/>
      <c r="U698" s="183"/>
      <c r="V698" s="184"/>
      <c r="W698" s="185"/>
      <c r="X698" s="172"/>
      <c r="Y698" s="137"/>
      <c r="Z698" s="186"/>
      <c r="AA698" s="187"/>
      <c r="AB698" s="188"/>
      <c r="AC698" s="137"/>
      <c r="AD698" s="184"/>
      <c r="AE698" s="189"/>
      <c r="AF698" s="190"/>
      <c r="AG698" s="143"/>
      <c r="AH698" s="143"/>
      <c r="AI698" s="143"/>
      <c r="AJ698" s="143"/>
      <c r="AK698" s="172"/>
      <c r="AL698" s="172"/>
    </row>
    <row r="699">
      <c r="A699" s="137"/>
      <c r="B699" s="88"/>
      <c r="C699" s="89"/>
      <c r="D699" s="55"/>
      <c r="E699" s="137"/>
      <c r="F699" s="88"/>
      <c r="G699" s="180"/>
      <c r="H699" s="181"/>
      <c r="I699" s="137"/>
      <c r="J699" s="88"/>
      <c r="K699" s="89"/>
      <c r="L699" s="55"/>
      <c r="M699" s="137"/>
      <c r="N699" s="182"/>
      <c r="O699" s="89"/>
      <c r="P699" s="55"/>
      <c r="Q699" s="183"/>
      <c r="R699" s="184"/>
      <c r="S699" s="185"/>
      <c r="T699" s="172"/>
      <c r="U699" s="183"/>
      <c r="V699" s="184"/>
      <c r="W699" s="185"/>
      <c r="X699" s="172"/>
      <c r="Y699" s="137"/>
      <c r="Z699" s="186"/>
      <c r="AA699" s="187"/>
      <c r="AB699" s="188"/>
      <c r="AC699" s="137"/>
      <c r="AD699" s="184"/>
      <c r="AE699" s="189"/>
      <c r="AF699" s="190"/>
      <c r="AG699" s="143"/>
      <c r="AH699" s="143"/>
      <c r="AI699" s="143"/>
      <c r="AJ699" s="143"/>
      <c r="AK699" s="172"/>
      <c r="AL699" s="172"/>
    </row>
    <row r="700">
      <c r="A700" s="137"/>
      <c r="B700" s="88"/>
      <c r="C700" s="89"/>
      <c r="D700" s="55"/>
      <c r="E700" s="137"/>
      <c r="F700" s="88"/>
      <c r="G700" s="180"/>
      <c r="H700" s="181"/>
      <c r="I700" s="137"/>
      <c r="J700" s="88"/>
      <c r="K700" s="89"/>
      <c r="L700" s="55"/>
      <c r="M700" s="137"/>
      <c r="N700" s="182"/>
      <c r="O700" s="89"/>
      <c r="P700" s="55"/>
      <c r="Q700" s="183"/>
      <c r="R700" s="184"/>
      <c r="S700" s="185"/>
      <c r="T700" s="172"/>
      <c r="U700" s="183"/>
      <c r="V700" s="184"/>
      <c r="W700" s="185"/>
      <c r="X700" s="172"/>
      <c r="Y700" s="137"/>
      <c r="Z700" s="186"/>
      <c r="AA700" s="187"/>
      <c r="AB700" s="188"/>
      <c r="AC700" s="137"/>
      <c r="AD700" s="184"/>
      <c r="AE700" s="189"/>
      <c r="AF700" s="190"/>
      <c r="AG700" s="143"/>
      <c r="AH700" s="143"/>
      <c r="AI700" s="143"/>
      <c r="AJ700" s="143"/>
      <c r="AK700" s="172"/>
      <c r="AL700" s="172"/>
    </row>
    <row r="701">
      <c r="A701" s="137"/>
      <c r="B701" s="88"/>
      <c r="C701" s="89"/>
      <c r="D701" s="55"/>
      <c r="E701" s="137"/>
      <c r="F701" s="88"/>
      <c r="G701" s="180"/>
      <c r="H701" s="181"/>
      <c r="I701" s="137"/>
      <c r="J701" s="88"/>
      <c r="K701" s="89"/>
      <c r="L701" s="55"/>
      <c r="M701" s="137"/>
      <c r="N701" s="182"/>
      <c r="O701" s="89"/>
      <c r="P701" s="55"/>
      <c r="Q701" s="183"/>
      <c r="R701" s="184"/>
      <c r="S701" s="185"/>
      <c r="T701" s="172"/>
      <c r="U701" s="183"/>
      <c r="V701" s="184"/>
      <c r="W701" s="185"/>
      <c r="X701" s="172"/>
      <c r="Y701" s="137"/>
      <c r="Z701" s="186"/>
      <c r="AA701" s="187"/>
      <c r="AB701" s="188"/>
      <c r="AC701" s="137"/>
      <c r="AD701" s="184"/>
      <c r="AE701" s="189"/>
      <c r="AF701" s="190"/>
      <c r="AG701" s="143"/>
      <c r="AH701" s="143"/>
      <c r="AI701" s="143"/>
      <c r="AJ701" s="143"/>
      <c r="AK701" s="172"/>
      <c r="AL701" s="172"/>
    </row>
    <row r="702">
      <c r="A702" s="137"/>
      <c r="B702" s="88"/>
      <c r="C702" s="89"/>
      <c r="D702" s="55"/>
      <c r="E702" s="137"/>
      <c r="F702" s="88"/>
      <c r="G702" s="180"/>
      <c r="H702" s="181"/>
      <c r="I702" s="137"/>
      <c r="J702" s="88"/>
      <c r="K702" s="89"/>
      <c r="L702" s="55"/>
      <c r="M702" s="137"/>
      <c r="N702" s="182"/>
      <c r="O702" s="89"/>
      <c r="P702" s="55"/>
      <c r="Q702" s="183"/>
      <c r="R702" s="184"/>
      <c r="S702" s="185"/>
      <c r="T702" s="172"/>
      <c r="U702" s="183"/>
      <c r="V702" s="184"/>
      <c r="W702" s="185"/>
      <c r="X702" s="172"/>
      <c r="Y702" s="137"/>
      <c r="Z702" s="186"/>
      <c r="AA702" s="187"/>
      <c r="AB702" s="188"/>
      <c r="AC702" s="137"/>
      <c r="AD702" s="184"/>
      <c r="AE702" s="189"/>
      <c r="AF702" s="190"/>
      <c r="AG702" s="143"/>
      <c r="AH702" s="143"/>
      <c r="AI702" s="143"/>
      <c r="AJ702" s="143"/>
      <c r="AK702" s="172"/>
      <c r="AL702" s="172"/>
    </row>
    <row r="703">
      <c r="A703" s="137"/>
      <c r="B703" s="88"/>
      <c r="C703" s="89"/>
      <c r="D703" s="55"/>
      <c r="E703" s="137"/>
      <c r="F703" s="88"/>
      <c r="G703" s="180"/>
      <c r="H703" s="181"/>
      <c r="I703" s="137"/>
      <c r="J703" s="88"/>
      <c r="K703" s="89"/>
      <c r="L703" s="55"/>
      <c r="M703" s="137"/>
      <c r="N703" s="182"/>
      <c r="O703" s="89"/>
      <c r="P703" s="55"/>
      <c r="Q703" s="183"/>
      <c r="R703" s="184"/>
      <c r="S703" s="185"/>
      <c r="T703" s="172"/>
      <c r="U703" s="183"/>
      <c r="V703" s="184"/>
      <c r="W703" s="185"/>
      <c r="X703" s="172"/>
      <c r="Y703" s="137"/>
      <c r="Z703" s="186"/>
      <c r="AA703" s="187"/>
      <c r="AB703" s="188"/>
      <c r="AC703" s="137"/>
      <c r="AD703" s="184"/>
      <c r="AE703" s="189"/>
      <c r="AF703" s="190"/>
      <c r="AG703" s="143"/>
      <c r="AH703" s="143"/>
      <c r="AI703" s="143"/>
      <c r="AJ703" s="143"/>
      <c r="AK703" s="172"/>
      <c r="AL703" s="172"/>
    </row>
    <row r="704">
      <c r="A704" s="137"/>
      <c r="B704" s="88"/>
      <c r="C704" s="89"/>
      <c r="D704" s="55"/>
      <c r="E704" s="137"/>
      <c r="F704" s="88"/>
      <c r="G704" s="180"/>
      <c r="H704" s="181"/>
      <c r="I704" s="137"/>
      <c r="J704" s="88"/>
      <c r="K704" s="89"/>
      <c r="L704" s="55"/>
      <c r="M704" s="137"/>
      <c r="N704" s="182"/>
      <c r="O704" s="89"/>
      <c r="P704" s="55"/>
      <c r="Q704" s="183"/>
      <c r="R704" s="184"/>
      <c r="S704" s="185"/>
      <c r="T704" s="172"/>
      <c r="U704" s="183"/>
      <c r="V704" s="184"/>
      <c r="W704" s="185"/>
      <c r="X704" s="172"/>
      <c r="Y704" s="137"/>
      <c r="Z704" s="186"/>
      <c r="AA704" s="187"/>
      <c r="AB704" s="188"/>
      <c r="AC704" s="137"/>
      <c r="AD704" s="184"/>
      <c r="AE704" s="189"/>
      <c r="AF704" s="190"/>
      <c r="AG704" s="143"/>
      <c r="AH704" s="143"/>
      <c r="AI704" s="143"/>
      <c r="AJ704" s="143"/>
      <c r="AK704" s="172"/>
      <c r="AL704" s="172"/>
    </row>
    <row r="705">
      <c r="A705" s="137"/>
      <c r="B705" s="88"/>
      <c r="C705" s="89"/>
      <c r="D705" s="55"/>
      <c r="E705" s="137"/>
      <c r="F705" s="88"/>
      <c r="G705" s="180"/>
      <c r="H705" s="181"/>
      <c r="I705" s="137"/>
      <c r="J705" s="88"/>
      <c r="K705" s="89"/>
      <c r="L705" s="55"/>
      <c r="M705" s="137"/>
      <c r="N705" s="182"/>
      <c r="O705" s="89"/>
      <c r="P705" s="55"/>
      <c r="Q705" s="183"/>
      <c r="R705" s="184"/>
      <c r="S705" s="185"/>
      <c r="T705" s="172"/>
      <c r="U705" s="183"/>
      <c r="V705" s="184"/>
      <c r="W705" s="185"/>
      <c r="X705" s="172"/>
      <c r="Y705" s="137"/>
      <c r="Z705" s="186"/>
      <c r="AA705" s="187"/>
      <c r="AB705" s="188"/>
      <c r="AC705" s="137"/>
      <c r="AD705" s="184"/>
      <c r="AE705" s="189"/>
      <c r="AF705" s="190"/>
      <c r="AG705" s="143"/>
      <c r="AH705" s="143"/>
      <c r="AI705" s="143"/>
      <c r="AJ705" s="143"/>
      <c r="AK705" s="172"/>
      <c r="AL705" s="172"/>
    </row>
    <row r="706">
      <c r="A706" s="137"/>
      <c r="B706" s="88"/>
      <c r="C706" s="89"/>
      <c r="D706" s="55"/>
      <c r="E706" s="137"/>
      <c r="F706" s="88"/>
      <c r="G706" s="180"/>
      <c r="H706" s="181"/>
      <c r="I706" s="137"/>
      <c r="J706" s="88"/>
      <c r="K706" s="89"/>
      <c r="L706" s="55"/>
      <c r="M706" s="137"/>
      <c r="N706" s="182"/>
      <c r="O706" s="89"/>
      <c r="P706" s="55"/>
      <c r="Q706" s="183"/>
      <c r="R706" s="184"/>
      <c r="S706" s="185"/>
      <c r="T706" s="172"/>
      <c r="U706" s="183"/>
      <c r="V706" s="184"/>
      <c r="W706" s="185"/>
      <c r="X706" s="172"/>
      <c r="Y706" s="137"/>
      <c r="Z706" s="186"/>
      <c r="AA706" s="187"/>
      <c r="AB706" s="188"/>
      <c r="AC706" s="137"/>
      <c r="AD706" s="184"/>
      <c r="AE706" s="189"/>
      <c r="AF706" s="190"/>
      <c r="AG706" s="143"/>
      <c r="AH706" s="143"/>
      <c r="AI706" s="143"/>
      <c r="AJ706" s="143"/>
      <c r="AK706" s="172"/>
      <c r="AL706" s="172"/>
    </row>
    <row r="707">
      <c r="A707" s="137"/>
      <c r="B707" s="88"/>
      <c r="C707" s="89"/>
      <c r="D707" s="55"/>
      <c r="E707" s="137"/>
      <c r="F707" s="88"/>
      <c r="G707" s="180"/>
      <c r="H707" s="181"/>
      <c r="I707" s="137"/>
      <c r="J707" s="88"/>
      <c r="K707" s="89"/>
      <c r="L707" s="55"/>
      <c r="M707" s="137"/>
      <c r="N707" s="182"/>
      <c r="O707" s="89"/>
      <c r="P707" s="55"/>
      <c r="Q707" s="183"/>
      <c r="R707" s="184"/>
      <c r="S707" s="185"/>
      <c r="T707" s="172"/>
      <c r="U707" s="183"/>
      <c r="V707" s="184"/>
      <c r="W707" s="185"/>
      <c r="X707" s="172"/>
      <c r="Y707" s="137"/>
      <c r="Z707" s="186"/>
      <c r="AA707" s="187"/>
      <c r="AB707" s="188"/>
      <c r="AC707" s="137"/>
      <c r="AD707" s="184"/>
      <c r="AE707" s="189"/>
      <c r="AF707" s="190"/>
      <c r="AG707" s="143"/>
      <c r="AH707" s="143"/>
      <c r="AI707" s="143"/>
      <c r="AJ707" s="143"/>
      <c r="AK707" s="172"/>
      <c r="AL707" s="172"/>
    </row>
    <row r="708">
      <c r="A708" s="137"/>
      <c r="B708" s="88"/>
      <c r="C708" s="89"/>
      <c r="D708" s="55"/>
      <c r="E708" s="137"/>
      <c r="F708" s="88"/>
      <c r="G708" s="180"/>
      <c r="H708" s="181"/>
      <c r="I708" s="137"/>
      <c r="J708" s="88"/>
      <c r="K708" s="89"/>
      <c r="L708" s="55"/>
      <c r="M708" s="137"/>
      <c r="N708" s="182"/>
      <c r="O708" s="89"/>
      <c r="P708" s="55"/>
      <c r="Q708" s="183"/>
      <c r="R708" s="184"/>
      <c r="S708" s="185"/>
      <c r="T708" s="172"/>
      <c r="U708" s="183"/>
      <c r="V708" s="184"/>
      <c r="W708" s="185"/>
      <c r="X708" s="172"/>
      <c r="Y708" s="137"/>
      <c r="Z708" s="186"/>
      <c r="AA708" s="187"/>
      <c r="AB708" s="188"/>
      <c r="AC708" s="137"/>
      <c r="AD708" s="184"/>
      <c r="AE708" s="189"/>
      <c r="AF708" s="190"/>
      <c r="AG708" s="143"/>
      <c r="AH708" s="143"/>
      <c r="AI708" s="143"/>
      <c r="AJ708" s="143"/>
      <c r="AK708" s="172"/>
      <c r="AL708" s="172"/>
    </row>
    <row r="709">
      <c r="A709" s="137"/>
      <c r="B709" s="88"/>
      <c r="C709" s="89"/>
      <c r="D709" s="55"/>
      <c r="E709" s="137"/>
      <c r="F709" s="88"/>
      <c r="G709" s="180"/>
      <c r="H709" s="181"/>
      <c r="I709" s="137"/>
      <c r="J709" s="88"/>
      <c r="K709" s="89"/>
      <c r="L709" s="55"/>
      <c r="M709" s="137"/>
      <c r="N709" s="182"/>
      <c r="O709" s="89"/>
      <c r="P709" s="55"/>
      <c r="Q709" s="183"/>
      <c r="R709" s="184"/>
      <c r="S709" s="185"/>
      <c r="T709" s="172"/>
      <c r="U709" s="183"/>
      <c r="V709" s="184"/>
      <c r="W709" s="185"/>
      <c r="X709" s="172"/>
      <c r="Y709" s="137"/>
      <c r="Z709" s="186"/>
      <c r="AA709" s="187"/>
      <c r="AB709" s="188"/>
      <c r="AC709" s="137"/>
      <c r="AD709" s="184"/>
      <c r="AE709" s="189"/>
      <c r="AF709" s="190"/>
      <c r="AG709" s="143"/>
      <c r="AH709" s="143"/>
      <c r="AI709" s="143"/>
      <c r="AJ709" s="143"/>
      <c r="AK709" s="172"/>
      <c r="AL709" s="172"/>
    </row>
    <row r="710">
      <c r="A710" s="137"/>
      <c r="B710" s="88"/>
      <c r="C710" s="89"/>
      <c r="D710" s="55"/>
      <c r="E710" s="137"/>
      <c r="F710" s="88"/>
      <c r="G710" s="180"/>
      <c r="H710" s="181"/>
      <c r="I710" s="137"/>
      <c r="J710" s="88"/>
      <c r="K710" s="89"/>
      <c r="L710" s="55"/>
      <c r="M710" s="137"/>
      <c r="N710" s="182"/>
      <c r="O710" s="89"/>
      <c r="P710" s="55"/>
      <c r="Q710" s="183"/>
      <c r="R710" s="184"/>
      <c r="S710" s="185"/>
      <c r="T710" s="172"/>
      <c r="U710" s="183"/>
      <c r="V710" s="184"/>
      <c r="W710" s="185"/>
      <c r="X710" s="172"/>
      <c r="Y710" s="137"/>
      <c r="Z710" s="186"/>
      <c r="AA710" s="187"/>
      <c r="AB710" s="188"/>
      <c r="AC710" s="137"/>
      <c r="AD710" s="184"/>
      <c r="AE710" s="189"/>
      <c r="AF710" s="190"/>
      <c r="AG710" s="143"/>
      <c r="AH710" s="143"/>
      <c r="AI710" s="143"/>
      <c r="AJ710" s="143"/>
      <c r="AK710" s="172"/>
      <c r="AL710" s="172"/>
    </row>
    <row r="711">
      <c r="A711" s="137"/>
      <c r="B711" s="88"/>
      <c r="C711" s="89"/>
      <c r="D711" s="55"/>
      <c r="E711" s="137"/>
      <c r="F711" s="88"/>
      <c r="G711" s="180"/>
      <c r="H711" s="181"/>
      <c r="I711" s="137"/>
      <c r="J711" s="88"/>
      <c r="K711" s="89"/>
      <c r="L711" s="55"/>
      <c r="M711" s="137"/>
      <c r="N711" s="182"/>
      <c r="O711" s="89"/>
      <c r="P711" s="55"/>
      <c r="Q711" s="183"/>
      <c r="R711" s="184"/>
      <c r="S711" s="185"/>
      <c r="T711" s="172"/>
      <c r="U711" s="183"/>
      <c r="V711" s="184"/>
      <c r="W711" s="185"/>
      <c r="X711" s="172"/>
      <c r="Y711" s="137"/>
      <c r="Z711" s="186"/>
      <c r="AA711" s="187"/>
      <c r="AB711" s="188"/>
      <c r="AC711" s="137"/>
      <c r="AD711" s="184"/>
      <c r="AE711" s="189"/>
      <c r="AF711" s="190"/>
      <c r="AG711" s="143"/>
      <c r="AH711" s="143"/>
      <c r="AI711" s="143"/>
      <c r="AJ711" s="143"/>
      <c r="AK711" s="172"/>
      <c r="AL711" s="172"/>
    </row>
    <row r="712">
      <c r="A712" s="137"/>
      <c r="B712" s="88"/>
      <c r="C712" s="89"/>
      <c r="D712" s="55"/>
      <c r="E712" s="137"/>
      <c r="F712" s="88"/>
      <c r="G712" s="180"/>
      <c r="H712" s="181"/>
      <c r="I712" s="137"/>
      <c r="J712" s="88"/>
      <c r="K712" s="89"/>
      <c r="L712" s="55"/>
      <c r="M712" s="137"/>
      <c r="N712" s="182"/>
      <c r="O712" s="89"/>
      <c r="P712" s="55"/>
      <c r="Q712" s="183"/>
      <c r="R712" s="184"/>
      <c r="S712" s="185"/>
      <c r="T712" s="172"/>
      <c r="U712" s="183"/>
      <c r="V712" s="184"/>
      <c r="W712" s="185"/>
      <c r="X712" s="172"/>
      <c r="Y712" s="137"/>
      <c r="Z712" s="186"/>
      <c r="AA712" s="187"/>
      <c r="AB712" s="188"/>
      <c r="AC712" s="137"/>
      <c r="AD712" s="184"/>
      <c r="AE712" s="189"/>
      <c r="AF712" s="190"/>
      <c r="AG712" s="143"/>
      <c r="AH712" s="143"/>
      <c r="AI712" s="143"/>
      <c r="AJ712" s="143"/>
      <c r="AK712" s="172"/>
      <c r="AL712" s="172"/>
    </row>
    <row r="713">
      <c r="A713" s="137"/>
      <c r="B713" s="88"/>
      <c r="C713" s="89"/>
      <c r="D713" s="55"/>
      <c r="E713" s="137"/>
      <c r="F713" s="88"/>
      <c r="G713" s="180"/>
      <c r="H713" s="181"/>
      <c r="I713" s="137"/>
      <c r="J713" s="88"/>
      <c r="K713" s="89"/>
      <c r="L713" s="55"/>
      <c r="M713" s="137"/>
      <c r="N713" s="182"/>
      <c r="O713" s="89"/>
      <c r="P713" s="55"/>
      <c r="Q713" s="183"/>
      <c r="R713" s="184"/>
      <c r="S713" s="185"/>
      <c r="T713" s="172"/>
      <c r="U713" s="183"/>
      <c r="V713" s="184"/>
      <c r="W713" s="185"/>
      <c r="X713" s="172"/>
      <c r="Y713" s="137"/>
      <c r="Z713" s="186"/>
      <c r="AA713" s="187"/>
      <c r="AB713" s="188"/>
      <c r="AC713" s="137"/>
      <c r="AD713" s="184"/>
      <c r="AE713" s="189"/>
      <c r="AF713" s="190"/>
      <c r="AG713" s="143"/>
      <c r="AH713" s="143"/>
      <c r="AI713" s="143"/>
      <c r="AJ713" s="143"/>
      <c r="AK713" s="172"/>
      <c r="AL713" s="172"/>
    </row>
    <row r="714">
      <c r="A714" s="137"/>
      <c r="B714" s="88"/>
      <c r="C714" s="89"/>
      <c r="D714" s="55"/>
      <c r="E714" s="137"/>
      <c r="F714" s="88"/>
      <c r="G714" s="180"/>
      <c r="H714" s="181"/>
      <c r="I714" s="137"/>
      <c r="J714" s="88"/>
      <c r="K714" s="89"/>
      <c r="L714" s="55"/>
      <c r="M714" s="137"/>
      <c r="N714" s="182"/>
      <c r="O714" s="89"/>
      <c r="P714" s="55"/>
      <c r="Q714" s="183"/>
      <c r="R714" s="184"/>
      <c r="S714" s="185"/>
      <c r="T714" s="172"/>
      <c r="U714" s="183"/>
      <c r="V714" s="184"/>
      <c r="W714" s="185"/>
      <c r="X714" s="172"/>
      <c r="Y714" s="137"/>
      <c r="Z714" s="186"/>
      <c r="AA714" s="187"/>
      <c r="AB714" s="188"/>
      <c r="AC714" s="137"/>
      <c r="AD714" s="184"/>
      <c r="AE714" s="189"/>
      <c r="AF714" s="190"/>
      <c r="AG714" s="143"/>
      <c r="AH714" s="143"/>
      <c r="AI714" s="143"/>
      <c r="AJ714" s="143"/>
      <c r="AK714" s="172"/>
      <c r="AL714" s="172"/>
    </row>
    <row r="715">
      <c r="A715" s="137"/>
      <c r="B715" s="88"/>
      <c r="C715" s="89"/>
      <c r="D715" s="55"/>
      <c r="E715" s="137"/>
      <c r="F715" s="88"/>
      <c r="G715" s="180"/>
      <c r="H715" s="181"/>
      <c r="I715" s="137"/>
      <c r="J715" s="88"/>
      <c r="K715" s="89"/>
      <c r="L715" s="55"/>
      <c r="M715" s="137"/>
      <c r="N715" s="182"/>
      <c r="O715" s="89"/>
      <c r="P715" s="55"/>
      <c r="Q715" s="183"/>
      <c r="R715" s="184"/>
      <c r="S715" s="185"/>
      <c r="T715" s="172"/>
      <c r="U715" s="183"/>
      <c r="V715" s="184"/>
      <c r="W715" s="185"/>
      <c r="X715" s="172"/>
      <c r="Y715" s="137"/>
      <c r="Z715" s="186"/>
      <c r="AA715" s="187"/>
      <c r="AB715" s="188"/>
      <c r="AC715" s="137"/>
      <c r="AD715" s="184"/>
      <c r="AE715" s="189"/>
      <c r="AF715" s="190"/>
      <c r="AG715" s="143"/>
      <c r="AH715" s="143"/>
      <c r="AI715" s="143"/>
      <c r="AJ715" s="143"/>
      <c r="AK715" s="172"/>
      <c r="AL715" s="172"/>
    </row>
    <row r="716">
      <c r="A716" s="137"/>
      <c r="B716" s="88"/>
      <c r="C716" s="89"/>
      <c r="D716" s="55"/>
      <c r="E716" s="137"/>
      <c r="F716" s="88"/>
      <c r="G716" s="180"/>
      <c r="H716" s="181"/>
      <c r="I716" s="137"/>
      <c r="J716" s="88"/>
      <c r="K716" s="89"/>
      <c r="L716" s="55"/>
      <c r="M716" s="137"/>
      <c r="N716" s="182"/>
      <c r="O716" s="89"/>
      <c r="P716" s="55"/>
      <c r="Q716" s="183"/>
      <c r="R716" s="184"/>
      <c r="S716" s="185"/>
      <c r="T716" s="172"/>
      <c r="U716" s="183"/>
      <c r="V716" s="184"/>
      <c r="W716" s="185"/>
      <c r="X716" s="172"/>
      <c r="Y716" s="137"/>
      <c r="Z716" s="186"/>
      <c r="AA716" s="187"/>
      <c r="AB716" s="188"/>
      <c r="AC716" s="137"/>
      <c r="AD716" s="184"/>
      <c r="AE716" s="189"/>
      <c r="AF716" s="190"/>
      <c r="AG716" s="143"/>
      <c r="AH716" s="143"/>
      <c r="AI716" s="143"/>
      <c r="AJ716" s="143"/>
      <c r="AK716" s="172"/>
      <c r="AL716" s="172"/>
    </row>
    <row r="717">
      <c r="A717" s="137"/>
      <c r="B717" s="88"/>
      <c r="C717" s="89"/>
      <c r="D717" s="55"/>
      <c r="E717" s="137"/>
      <c r="F717" s="88"/>
      <c r="G717" s="180"/>
      <c r="H717" s="181"/>
      <c r="I717" s="137"/>
      <c r="J717" s="88"/>
      <c r="K717" s="89"/>
      <c r="L717" s="55"/>
      <c r="M717" s="137"/>
      <c r="N717" s="182"/>
      <c r="O717" s="89"/>
      <c r="P717" s="55"/>
      <c r="Q717" s="183"/>
      <c r="R717" s="184"/>
      <c r="S717" s="185"/>
      <c r="T717" s="172"/>
      <c r="U717" s="183"/>
      <c r="V717" s="184"/>
      <c r="W717" s="185"/>
      <c r="X717" s="172"/>
      <c r="Y717" s="137"/>
      <c r="Z717" s="186"/>
      <c r="AA717" s="187"/>
      <c r="AB717" s="188"/>
      <c r="AC717" s="137"/>
      <c r="AD717" s="184"/>
      <c r="AE717" s="189"/>
      <c r="AF717" s="190"/>
      <c r="AG717" s="143"/>
      <c r="AH717" s="143"/>
      <c r="AI717" s="143"/>
      <c r="AJ717" s="143"/>
      <c r="AK717" s="172"/>
      <c r="AL717" s="172"/>
    </row>
    <row r="718">
      <c r="A718" s="137"/>
      <c r="B718" s="88"/>
      <c r="C718" s="89"/>
      <c r="D718" s="55"/>
      <c r="E718" s="137"/>
      <c r="F718" s="88"/>
      <c r="G718" s="180"/>
      <c r="H718" s="181"/>
      <c r="I718" s="137"/>
      <c r="J718" s="88"/>
      <c r="K718" s="89"/>
      <c r="L718" s="55"/>
      <c r="M718" s="137"/>
      <c r="N718" s="182"/>
      <c r="O718" s="89"/>
      <c r="P718" s="55"/>
      <c r="Q718" s="183"/>
      <c r="R718" s="184"/>
      <c r="S718" s="185"/>
      <c r="T718" s="172"/>
      <c r="U718" s="183"/>
      <c r="V718" s="184"/>
      <c r="W718" s="185"/>
      <c r="X718" s="172"/>
      <c r="Y718" s="137"/>
      <c r="Z718" s="186"/>
      <c r="AA718" s="187"/>
      <c r="AB718" s="188"/>
      <c r="AC718" s="137"/>
      <c r="AD718" s="184"/>
      <c r="AE718" s="189"/>
      <c r="AF718" s="190"/>
      <c r="AG718" s="143"/>
      <c r="AH718" s="143"/>
      <c r="AI718" s="143"/>
      <c r="AJ718" s="143"/>
      <c r="AK718" s="172"/>
      <c r="AL718" s="172"/>
    </row>
    <row r="719">
      <c r="A719" s="137"/>
      <c r="B719" s="88"/>
      <c r="C719" s="89"/>
      <c r="D719" s="55"/>
      <c r="E719" s="137"/>
      <c r="F719" s="88"/>
      <c r="G719" s="180"/>
      <c r="H719" s="181"/>
      <c r="I719" s="137"/>
      <c r="J719" s="88"/>
      <c r="K719" s="89"/>
      <c r="L719" s="55"/>
      <c r="M719" s="137"/>
      <c r="N719" s="182"/>
      <c r="O719" s="89"/>
      <c r="P719" s="55"/>
      <c r="Q719" s="183"/>
      <c r="R719" s="184"/>
      <c r="S719" s="185"/>
      <c r="T719" s="172"/>
      <c r="U719" s="183"/>
      <c r="V719" s="184"/>
      <c r="W719" s="185"/>
      <c r="X719" s="172"/>
      <c r="Y719" s="137"/>
      <c r="Z719" s="186"/>
      <c r="AA719" s="187"/>
      <c r="AB719" s="188"/>
      <c r="AC719" s="137"/>
      <c r="AD719" s="184"/>
      <c r="AE719" s="189"/>
      <c r="AF719" s="190"/>
      <c r="AG719" s="143"/>
      <c r="AH719" s="143"/>
      <c r="AI719" s="143"/>
      <c r="AJ719" s="143"/>
      <c r="AK719" s="172"/>
      <c r="AL719" s="172"/>
    </row>
    <row r="720">
      <c r="A720" s="137"/>
      <c r="B720" s="88"/>
      <c r="C720" s="89"/>
      <c r="D720" s="55"/>
      <c r="E720" s="137"/>
      <c r="F720" s="88"/>
      <c r="G720" s="180"/>
      <c r="H720" s="181"/>
      <c r="I720" s="137"/>
      <c r="J720" s="88"/>
      <c r="K720" s="89"/>
      <c r="L720" s="55"/>
      <c r="M720" s="137"/>
      <c r="N720" s="182"/>
      <c r="O720" s="89"/>
      <c r="P720" s="55"/>
      <c r="Q720" s="183"/>
      <c r="R720" s="184"/>
      <c r="S720" s="185"/>
      <c r="T720" s="172"/>
      <c r="U720" s="183"/>
      <c r="V720" s="184"/>
      <c r="W720" s="185"/>
      <c r="X720" s="172"/>
      <c r="Y720" s="137"/>
      <c r="Z720" s="186"/>
      <c r="AA720" s="187"/>
      <c r="AB720" s="188"/>
      <c r="AC720" s="137"/>
      <c r="AD720" s="184"/>
      <c r="AE720" s="189"/>
      <c r="AF720" s="190"/>
      <c r="AG720" s="143"/>
      <c r="AH720" s="143"/>
      <c r="AI720" s="143"/>
      <c r="AJ720" s="143"/>
      <c r="AK720" s="172"/>
      <c r="AL720" s="172"/>
    </row>
    <row r="721">
      <c r="A721" s="137"/>
      <c r="B721" s="88"/>
      <c r="C721" s="89"/>
      <c r="D721" s="55"/>
      <c r="E721" s="137"/>
      <c r="F721" s="88"/>
      <c r="G721" s="180"/>
      <c r="H721" s="181"/>
      <c r="I721" s="137"/>
      <c r="J721" s="88"/>
      <c r="K721" s="89"/>
      <c r="L721" s="55"/>
      <c r="M721" s="137"/>
      <c r="N721" s="182"/>
      <c r="O721" s="89"/>
      <c r="P721" s="55"/>
      <c r="Q721" s="183"/>
      <c r="R721" s="184"/>
      <c r="S721" s="185"/>
      <c r="T721" s="172"/>
      <c r="U721" s="183"/>
      <c r="V721" s="184"/>
      <c r="W721" s="185"/>
      <c r="X721" s="172"/>
      <c r="Y721" s="137"/>
      <c r="Z721" s="186"/>
      <c r="AA721" s="187"/>
      <c r="AB721" s="188"/>
      <c r="AC721" s="137"/>
      <c r="AD721" s="184"/>
      <c r="AE721" s="189"/>
      <c r="AF721" s="190"/>
      <c r="AG721" s="143"/>
      <c r="AH721" s="143"/>
      <c r="AI721" s="143"/>
      <c r="AJ721" s="143"/>
      <c r="AK721" s="172"/>
      <c r="AL721" s="172"/>
    </row>
    <row r="722">
      <c r="A722" s="137"/>
      <c r="B722" s="88"/>
      <c r="C722" s="89"/>
      <c r="D722" s="55"/>
      <c r="E722" s="137"/>
      <c r="F722" s="88"/>
      <c r="G722" s="180"/>
      <c r="H722" s="181"/>
      <c r="I722" s="137"/>
      <c r="J722" s="88"/>
      <c r="K722" s="89"/>
      <c r="L722" s="55"/>
      <c r="M722" s="137"/>
      <c r="N722" s="182"/>
      <c r="O722" s="89"/>
      <c r="P722" s="55"/>
      <c r="Q722" s="183"/>
      <c r="R722" s="184"/>
      <c r="S722" s="185"/>
      <c r="T722" s="172"/>
      <c r="U722" s="183"/>
      <c r="V722" s="184"/>
      <c r="W722" s="185"/>
      <c r="X722" s="172"/>
      <c r="Y722" s="137"/>
      <c r="Z722" s="186"/>
      <c r="AA722" s="187"/>
      <c r="AB722" s="188"/>
      <c r="AC722" s="137"/>
      <c r="AD722" s="184"/>
      <c r="AE722" s="189"/>
      <c r="AF722" s="190"/>
      <c r="AG722" s="143"/>
      <c r="AH722" s="143"/>
      <c r="AI722" s="143"/>
      <c r="AJ722" s="143"/>
      <c r="AK722" s="172"/>
      <c r="AL722" s="172"/>
    </row>
    <row r="723">
      <c r="A723" s="137"/>
      <c r="B723" s="88"/>
      <c r="C723" s="89"/>
      <c r="D723" s="55"/>
      <c r="E723" s="137"/>
      <c r="F723" s="88"/>
      <c r="G723" s="180"/>
      <c r="H723" s="181"/>
      <c r="I723" s="137"/>
      <c r="J723" s="88"/>
      <c r="K723" s="89"/>
      <c r="L723" s="55"/>
      <c r="M723" s="137"/>
      <c r="N723" s="182"/>
      <c r="O723" s="89"/>
      <c r="P723" s="55"/>
      <c r="Q723" s="183"/>
      <c r="R723" s="184"/>
      <c r="S723" s="185"/>
      <c r="T723" s="172"/>
      <c r="U723" s="183"/>
      <c r="V723" s="184"/>
      <c r="W723" s="185"/>
      <c r="X723" s="172"/>
      <c r="Y723" s="137"/>
      <c r="Z723" s="186"/>
      <c r="AA723" s="187"/>
      <c r="AB723" s="188"/>
      <c r="AC723" s="137"/>
      <c r="AD723" s="184"/>
      <c r="AE723" s="189"/>
      <c r="AF723" s="190"/>
      <c r="AG723" s="143"/>
      <c r="AH723" s="143"/>
      <c r="AI723" s="143"/>
      <c r="AJ723" s="143"/>
      <c r="AK723" s="172"/>
      <c r="AL723" s="172"/>
    </row>
    <row r="724">
      <c r="A724" s="137"/>
      <c r="B724" s="88"/>
      <c r="C724" s="89"/>
      <c r="D724" s="55"/>
      <c r="E724" s="137"/>
      <c r="F724" s="88"/>
      <c r="G724" s="180"/>
      <c r="H724" s="181"/>
      <c r="I724" s="137"/>
      <c r="J724" s="88"/>
      <c r="K724" s="89"/>
      <c r="L724" s="55"/>
      <c r="M724" s="137"/>
      <c r="N724" s="182"/>
      <c r="O724" s="89"/>
      <c r="P724" s="55"/>
      <c r="Q724" s="183"/>
      <c r="R724" s="184"/>
      <c r="S724" s="185"/>
      <c r="T724" s="172"/>
      <c r="U724" s="183"/>
      <c r="V724" s="184"/>
      <c r="W724" s="185"/>
      <c r="X724" s="172"/>
      <c r="Y724" s="137"/>
      <c r="Z724" s="186"/>
      <c r="AA724" s="187"/>
      <c r="AB724" s="188"/>
      <c r="AC724" s="137"/>
      <c r="AD724" s="184"/>
      <c r="AE724" s="189"/>
      <c r="AF724" s="190"/>
      <c r="AG724" s="143"/>
      <c r="AH724" s="143"/>
      <c r="AI724" s="143"/>
      <c r="AJ724" s="143"/>
      <c r="AK724" s="172"/>
      <c r="AL724" s="172"/>
    </row>
    <row r="725">
      <c r="A725" s="137"/>
      <c r="B725" s="88"/>
      <c r="C725" s="89"/>
      <c r="D725" s="55"/>
      <c r="E725" s="137"/>
      <c r="F725" s="88"/>
      <c r="G725" s="180"/>
      <c r="H725" s="181"/>
      <c r="I725" s="137"/>
      <c r="J725" s="88"/>
      <c r="K725" s="89"/>
      <c r="L725" s="55"/>
      <c r="M725" s="137"/>
      <c r="N725" s="182"/>
      <c r="O725" s="89"/>
      <c r="P725" s="55"/>
      <c r="Q725" s="183"/>
      <c r="R725" s="184"/>
      <c r="S725" s="185"/>
      <c r="T725" s="172"/>
      <c r="U725" s="183"/>
      <c r="V725" s="184"/>
      <c r="W725" s="185"/>
      <c r="X725" s="172"/>
      <c r="Y725" s="137"/>
      <c r="Z725" s="186"/>
      <c r="AA725" s="187"/>
      <c r="AB725" s="188"/>
      <c r="AC725" s="137"/>
      <c r="AD725" s="184"/>
      <c r="AE725" s="189"/>
      <c r="AF725" s="190"/>
      <c r="AG725" s="143"/>
      <c r="AH725" s="143"/>
      <c r="AI725" s="143"/>
      <c r="AJ725" s="143"/>
      <c r="AK725" s="172"/>
      <c r="AL725" s="172"/>
    </row>
    <row r="726">
      <c r="A726" s="137"/>
      <c r="B726" s="88"/>
      <c r="C726" s="89"/>
      <c r="D726" s="55"/>
      <c r="E726" s="137"/>
      <c r="F726" s="88"/>
      <c r="G726" s="180"/>
      <c r="H726" s="181"/>
      <c r="I726" s="137"/>
      <c r="J726" s="88"/>
      <c r="K726" s="89"/>
      <c r="L726" s="55"/>
      <c r="M726" s="137"/>
      <c r="N726" s="182"/>
      <c r="O726" s="89"/>
      <c r="P726" s="55"/>
      <c r="Q726" s="183"/>
      <c r="R726" s="184"/>
      <c r="S726" s="185"/>
      <c r="T726" s="172"/>
      <c r="U726" s="183"/>
      <c r="V726" s="184"/>
      <c r="W726" s="185"/>
      <c r="X726" s="172"/>
      <c r="Y726" s="137"/>
      <c r="Z726" s="186"/>
      <c r="AA726" s="187"/>
      <c r="AB726" s="188"/>
      <c r="AC726" s="137"/>
      <c r="AD726" s="184"/>
      <c r="AE726" s="189"/>
      <c r="AF726" s="190"/>
      <c r="AG726" s="143"/>
      <c r="AH726" s="143"/>
      <c r="AI726" s="143"/>
      <c r="AJ726" s="143"/>
      <c r="AK726" s="172"/>
      <c r="AL726" s="172"/>
    </row>
    <row r="727">
      <c r="A727" s="137"/>
      <c r="B727" s="88"/>
      <c r="C727" s="89"/>
      <c r="D727" s="55"/>
      <c r="E727" s="137"/>
      <c r="F727" s="88"/>
      <c r="G727" s="180"/>
      <c r="H727" s="181"/>
      <c r="I727" s="137"/>
      <c r="J727" s="88"/>
      <c r="K727" s="89"/>
      <c r="L727" s="55"/>
      <c r="M727" s="137"/>
      <c r="N727" s="182"/>
      <c r="O727" s="89"/>
      <c r="P727" s="55"/>
      <c r="Q727" s="183"/>
      <c r="R727" s="184"/>
      <c r="S727" s="185"/>
      <c r="T727" s="172"/>
      <c r="U727" s="183"/>
      <c r="V727" s="184"/>
      <c r="W727" s="185"/>
      <c r="X727" s="172"/>
      <c r="Y727" s="137"/>
      <c r="Z727" s="186"/>
      <c r="AA727" s="187"/>
      <c r="AB727" s="188"/>
      <c r="AC727" s="137"/>
      <c r="AD727" s="184"/>
      <c r="AE727" s="189"/>
      <c r="AF727" s="190"/>
      <c r="AG727" s="143"/>
      <c r="AH727" s="143"/>
      <c r="AI727" s="143"/>
      <c r="AJ727" s="143"/>
      <c r="AK727" s="172"/>
      <c r="AL727" s="172"/>
    </row>
    <row r="728">
      <c r="A728" s="137"/>
      <c r="B728" s="88"/>
      <c r="C728" s="89"/>
      <c r="D728" s="55"/>
      <c r="E728" s="137"/>
      <c r="F728" s="88"/>
      <c r="G728" s="180"/>
      <c r="H728" s="181"/>
      <c r="I728" s="137"/>
      <c r="J728" s="88"/>
      <c r="K728" s="89"/>
      <c r="L728" s="55"/>
      <c r="M728" s="137"/>
      <c r="N728" s="182"/>
      <c r="O728" s="89"/>
      <c r="P728" s="55"/>
      <c r="Q728" s="183"/>
      <c r="R728" s="184"/>
      <c r="S728" s="185"/>
      <c r="T728" s="172"/>
      <c r="U728" s="183"/>
      <c r="V728" s="184"/>
      <c r="W728" s="185"/>
      <c r="X728" s="172"/>
      <c r="Y728" s="137"/>
      <c r="Z728" s="186"/>
      <c r="AA728" s="187"/>
      <c r="AB728" s="188"/>
      <c r="AC728" s="137"/>
      <c r="AD728" s="184"/>
      <c r="AE728" s="189"/>
      <c r="AF728" s="190"/>
      <c r="AG728" s="143"/>
      <c r="AH728" s="143"/>
      <c r="AI728" s="143"/>
      <c r="AJ728" s="143"/>
      <c r="AK728" s="172"/>
      <c r="AL728" s="172"/>
    </row>
    <row r="729">
      <c r="A729" s="137"/>
      <c r="B729" s="88"/>
      <c r="C729" s="89"/>
      <c r="D729" s="55"/>
      <c r="E729" s="137"/>
      <c r="F729" s="88"/>
      <c r="G729" s="180"/>
      <c r="H729" s="181"/>
      <c r="I729" s="137"/>
      <c r="J729" s="88"/>
      <c r="K729" s="89"/>
      <c r="L729" s="55"/>
      <c r="M729" s="137"/>
      <c r="N729" s="182"/>
      <c r="O729" s="89"/>
      <c r="P729" s="55"/>
      <c r="Q729" s="183"/>
      <c r="R729" s="184"/>
      <c r="S729" s="185"/>
      <c r="T729" s="172"/>
      <c r="U729" s="183"/>
      <c r="V729" s="184"/>
      <c r="W729" s="185"/>
      <c r="X729" s="172"/>
      <c r="Y729" s="137"/>
      <c r="Z729" s="186"/>
      <c r="AA729" s="187"/>
      <c r="AB729" s="188"/>
      <c r="AC729" s="137"/>
      <c r="AD729" s="184"/>
      <c r="AE729" s="189"/>
      <c r="AF729" s="190"/>
      <c r="AG729" s="143"/>
      <c r="AH729" s="143"/>
      <c r="AI729" s="143"/>
      <c r="AJ729" s="143"/>
      <c r="AK729" s="172"/>
      <c r="AL729" s="172"/>
    </row>
    <row r="730">
      <c r="A730" s="137"/>
      <c r="B730" s="88"/>
      <c r="C730" s="89"/>
      <c r="D730" s="55"/>
      <c r="E730" s="137"/>
      <c r="F730" s="88"/>
      <c r="G730" s="180"/>
      <c r="H730" s="181"/>
      <c r="I730" s="137"/>
      <c r="J730" s="88"/>
      <c r="K730" s="89"/>
      <c r="L730" s="55"/>
      <c r="M730" s="137"/>
      <c r="N730" s="182"/>
      <c r="O730" s="89"/>
      <c r="P730" s="55"/>
      <c r="Q730" s="183"/>
      <c r="R730" s="184"/>
      <c r="S730" s="185"/>
      <c r="T730" s="172"/>
      <c r="U730" s="183"/>
      <c r="V730" s="184"/>
      <c r="W730" s="185"/>
      <c r="X730" s="172"/>
      <c r="Y730" s="137"/>
      <c r="Z730" s="186"/>
      <c r="AA730" s="187"/>
      <c r="AB730" s="188"/>
      <c r="AC730" s="137"/>
      <c r="AD730" s="184"/>
      <c r="AE730" s="189"/>
      <c r="AF730" s="190"/>
      <c r="AG730" s="143"/>
      <c r="AH730" s="143"/>
      <c r="AI730" s="143"/>
      <c r="AJ730" s="143"/>
      <c r="AK730" s="172"/>
      <c r="AL730" s="172"/>
    </row>
    <row r="731">
      <c r="A731" s="137"/>
      <c r="B731" s="88"/>
      <c r="C731" s="89"/>
      <c r="D731" s="55"/>
      <c r="E731" s="137"/>
      <c r="F731" s="88"/>
      <c r="G731" s="180"/>
      <c r="H731" s="181"/>
      <c r="I731" s="137"/>
      <c r="J731" s="88"/>
      <c r="K731" s="89"/>
      <c r="L731" s="55"/>
      <c r="M731" s="137"/>
      <c r="N731" s="182"/>
      <c r="O731" s="89"/>
      <c r="P731" s="55"/>
      <c r="Q731" s="183"/>
      <c r="R731" s="184"/>
      <c r="S731" s="185"/>
      <c r="T731" s="172"/>
      <c r="U731" s="183"/>
      <c r="V731" s="184"/>
      <c r="W731" s="185"/>
      <c r="X731" s="172"/>
      <c r="Y731" s="137"/>
      <c r="Z731" s="186"/>
      <c r="AA731" s="187"/>
      <c r="AB731" s="188"/>
      <c r="AC731" s="137"/>
      <c r="AD731" s="184"/>
      <c r="AE731" s="189"/>
      <c r="AF731" s="190"/>
      <c r="AG731" s="143"/>
      <c r="AH731" s="143"/>
      <c r="AI731" s="143"/>
      <c r="AJ731" s="143"/>
      <c r="AK731" s="172"/>
      <c r="AL731" s="172"/>
    </row>
    <row r="732">
      <c r="A732" s="137"/>
      <c r="B732" s="88"/>
      <c r="C732" s="89"/>
      <c r="D732" s="55"/>
      <c r="E732" s="137"/>
      <c r="F732" s="88"/>
      <c r="G732" s="180"/>
      <c r="H732" s="181"/>
      <c r="I732" s="137"/>
      <c r="J732" s="88"/>
      <c r="K732" s="89"/>
      <c r="L732" s="55"/>
      <c r="M732" s="137"/>
      <c r="N732" s="182"/>
      <c r="O732" s="89"/>
      <c r="P732" s="55"/>
      <c r="Q732" s="183"/>
      <c r="R732" s="184"/>
      <c r="S732" s="185"/>
      <c r="T732" s="172"/>
      <c r="U732" s="183"/>
      <c r="V732" s="184"/>
      <c r="W732" s="185"/>
      <c r="X732" s="172"/>
      <c r="Y732" s="137"/>
      <c r="Z732" s="186"/>
      <c r="AA732" s="187"/>
      <c r="AB732" s="188"/>
      <c r="AC732" s="137"/>
      <c r="AD732" s="184"/>
      <c r="AE732" s="189"/>
      <c r="AF732" s="190"/>
      <c r="AG732" s="143"/>
      <c r="AH732" s="143"/>
      <c r="AI732" s="143"/>
      <c r="AJ732" s="143"/>
      <c r="AK732" s="172"/>
      <c r="AL732" s="172"/>
    </row>
    <row r="733">
      <c r="A733" s="137"/>
      <c r="B733" s="88"/>
      <c r="C733" s="89"/>
      <c r="D733" s="55"/>
      <c r="E733" s="137"/>
      <c r="F733" s="88"/>
      <c r="G733" s="180"/>
      <c r="H733" s="181"/>
      <c r="I733" s="137"/>
      <c r="J733" s="88"/>
      <c r="K733" s="89"/>
      <c r="L733" s="55"/>
      <c r="M733" s="137"/>
      <c r="N733" s="182"/>
      <c r="O733" s="89"/>
      <c r="P733" s="55"/>
      <c r="Q733" s="183"/>
      <c r="R733" s="184"/>
      <c r="S733" s="185"/>
      <c r="T733" s="172"/>
      <c r="U733" s="183"/>
      <c r="V733" s="184"/>
      <c r="W733" s="185"/>
      <c r="X733" s="172"/>
      <c r="Y733" s="137"/>
      <c r="Z733" s="186"/>
      <c r="AA733" s="187"/>
      <c r="AB733" s="188"/>
      <c r="AC733" s="137"/>
      <c r="AD733" s="184"/>
      <c r="AE733" s="189"/>
      <c r="AF733" s="190"/>
      <c r="AG733" s="143"/>
      <c r="AH733" s="143"/>
      <c r="AI733" s="143"/>
      <c r="AJ733" s="143"/>
      <c r="AK733" s="172"/>
      <c r="AL733" s="172"/>
    </row>
    <row r="734">
      <c r="A734" s="137"/>
      <c r="B734" s="88"/>
      <c r="C734" s="89"/>
      <c r="D734" s="55"/>
      <c r="E734" s="137"/>
      <c r="F734" s="88"/>
      <c r="G734" s="180"/>
      <c r="H734" s="181"/>
      <c r="I734" s="137"/>
      <c r="J734" s="88"/>
      <c r="K734" s="89"/>
      <c r="L734" s="55"/>
      <c r="M734" s="137"/>
      <c r="N734" s="182"/>
      <c r="O734" s="89"/>
      <c r="P734" s="55"/>
      <c r="Q734" s="183"/>
      <c r="R734" s="184"/>
      <c r="S734" s="185"/>
      <c r="T734" s="172"/>
      <c r="U734" s="183"/>
      <c r="V734" s="184"/>
      <c r="W734" s="185"/>
      <c r="X734" s="172"/>
      <c r="Y734" s="137"/>
      <c r="Z734" s="186"/>
      <c r="AA734" s="187"/>
      <c r="AB734" s="188"/>
      <c r="AC734" s="137"/>
      <c r="AD734" s="184"/>
      <c r="AE734" s="189"/>
      <c r="AF734" s="190"/>
      <c r="AG734" s="143"/>
      <c r="AH734" s="143"/>
      <c r="AI734" s="143"/>
      <c r="AJ734" s="143"/>
      <c r="AK734" s="172"/>
      <c r="AL734" s="172"/>
    </row>
    <row r="735">
      <c r="A735" s="137"/>
      <c r="B735" s="88"/>
      <c r="C735" s="89"/>
      <c r="D735" s="55"/>
      <c r="E735" s="137"/>
      <c r="F735" s="88"/>
      <c r="G735" s="180"/>
      <c r="H735" s="181"/>
      <c r="I735" s="137"/>
      <c r="J735" s="88"/>
      <c r="K735" s="89"/>
      <c r="L735" s="55"/>
      <c r="M735" s="137"/>
      <c r="N735" s="182"/>
      <c r="O735" s="89"/>
      <c r="P735" s="55"/>
      <c r="Q735" s="183"/>
      <c r="R735" s="184"/>
      <c r="S735" s="185"/>
      <c r="T735" s="172"/>
      <c r="U735" s="183"/>
      <c r="V735" s="184"/>
      <c r="W735" s="185"/>
      <c r="X735" s="172"/>
      <c r="Y735" s="137"/>
      <c r="Z735" s="186"/>
      <c r="AA735" s="187"/>
      <c r="AB735" s="188"/>
      <c r="AC735" s="137"/>
      <c r="AD735" s="184"/>
      <c r="AE735" s="189"/>
      <c r="AF735" s="190"/>
      <c r="AG735" s="143"/>
      <c r="AH735" s="143"/>
      <c r="AI735" s="143"/>
      <c r="AJ735" s="143"/>
      <c r="AK735" s="172"/>
      <c r="AL735" s="172"/>
    </row>
    <row r="736">
      <c r="A736" s="137"/>
      <c r="B736" s="88"/>
      <c r="C736" s="89"/>
      <c r="D736" s="55"/>
      <c r="E736" s="137"/>
      <c r="F736" s="88"/>
      <c r="G736" s="180"/>
      <c r="H736" s="181"/>
      <c r="I736" s="137"/>
      <c r="J736" s="88"/>
      <c r="K736" s="89"/>
      <c r="L736" s="55"/>
      <c r="M736" s="137"/>
      <c r="N736" s="182"/>
      <c r="O736" s="89"/>
      <c r="P736" s="55"/>
      <c r="Q736" s="183"/>
      <c r="R736" s="184"/>
      <c r="S736" s="185"/>
      <c r="T736" s="172"/>
      <c r="U736" s="183"/>
      <c r="V736" s="184"/>
      <c r="W736" s="185"/>
      <c r="X736" s="172"/>
      <c r="Y736" s="137"/>
      <c r="Z736" s="186"/>
      <c r="AA736" s="187"/>
      <c r="AB736" s="188"/>
      <c r="AC736" s="137"/>
      <c r="AD736" s="184"/>
      <c r="AE736" s="189"/>
      <c r="AF736" s="190"/>
      <c r="AG736" s="143"/>
      <c r="AH736" s="143"/>
      <c r="AI736" s="143"/>
      <c r="AJ736" s="143"/>
      <c r="AK736" s="172"/>
      <c r="AL736" s="172"/>
    </row>
    <row r="737">
      <c r="A737" s="137"/>
      <c r="B737" s="88"/>
      <c r="C737" s="89"/>
      <c r="D737" s="55"/>
      <c r="E737" s="137"/>
      <c r="F737" s="88"/>
      <c r="G737" s="180"/>
      <c r="H737" s="181"/>
      <c r="I737" s="137"/>
      <c r="J737" s="88"/>
      <c r="K737" s="89"/>
      <c r="L737" s="55"/>
      <c r="M737" s="137"/>
      <c r="N737" s="182"/>
      <c r="O737" s="89"/>
      <c r="P737" s="55"/>
      <c r="Q737" s="183"/>
      <c r="R737" s="184"/>
      <c r="S737" s="185"/>
      <c r="T737" s="172"/>
      <c r="U737" s="183"/>
      <c r="V737" s="184"/>
      <c r="W737" s="185"/>
      <c r="X737" s="172"/>
      <c r="Y737" s="137"/>
      <c r="Z737" s="186"/>
      <c r="AA737" s="187"/>
      <c r="AB737" s="188"/>
      <c r="AC737" s="137"/>
      <c r="AD737" s="184"/>
      <c r="AE737" s="189"/>
      <c r="AF737" s="190"/>
      <c r="AG737" s="143"/>
      <c r="AH737" s="143"/>
      <c r="AI737" s="143"/>
      <c r="AJ737" s="143"/>
      <c r="AK737" s="172"/>
      <c r="AL737" s="172"/>
    </row>
    <row r="738">
      <c r="A738" s="137"/>
      <c r="B738" s="88"/>
      <c r="C738" s="89"/>
      <c r="D738" s="55"/>
      <c r="E738" s="137"/>
      <c r="F738" s="88"/>
      <c r="G738" s="180"/>
      <c r="H738" s="181"/>
      <c r="I738" s="137"/>
      <c r="J738" s="88"/>
      <c r="K738" s="89"/>
      <c r="L738" s="55"/>
      <c r="M738" s="137"/>
      <c r="N738" s="182"/>
      <c r="O738" s="89"/>
      <c r="P738" s="55"/>
      <c r="Q738" s="183"/>
      <c r="R738" s="184"/>
      <c r="S738" s="185"/>
      <c r="T738" s="172"/>
      <c r="U738" s="183"/>
      <c r="V738" s="184"/>
      <c r="W738" s="185"/>
      <c r="X738" s="172"/>
      <c r="Y738" s="137"/>
      <c r="Z738" s="186"/>
      <c r="AA738" s="187"/>
      <c r="AB738" s="188"/>
      <c r="AC738" s="137"/>
      <c r="AD738" s="184"/>
      <c r="AE738" s="189"/>
      <c r="AF738" s="190"/>
      <c r="AG738" s="143"/>
      <c r="AH738" s="143"/>
      <c r="AI738" s="143"/>
      <c r="AJ738" s="143"/>
      <c r="AK738" s="172"/>
      <c r="AL738" s="172"/>
    </row>
    <row r="739">
      <c r="A739" s="137"/>
      <c r="B739" s="88"/>
      <c r="C739" s="89"/>
      <c r="D739" s="55"/>
      <c r="E739" s="137"/>
      <c r="F739" s="88"/>
      <c r="G739" s="180"/>
      <c r="H739" s="181"/>
      <c r="I739" s="137"/>
      <c r="J739" s="88"/>
      <c r="K739" s="89"/>
      <c r="L739" s="55"/>
      <c r="M739" s="137"/>
      <c r="N739" s="182"/>
      <c r="O739" s="89"/>
      <c r="P739" s="55"/>
      <c r="Q739" s="183"/>
      <c r="R739" s="184"/>
      <c r="S739" s="185"/>
      <c r="T739" s="172"/>
      <c r="U739" s="183"/>
      <c r="V739" s="184"/>
      <c r="W739" s="185"/>
      <c r="X739" s="172"/>
      <c r="Y739" s="137"/>
      <c r="Z739" s="186"/>
      <c r="AA739" s="187"/>
      <c r="AB739" s="188"/>
      <c r="AC739" s="137"/>
      <c r="AD739" s="184"/>
      <c r="AE739" s="189"/>
      <c r="AF739" s="190"/>
      <c r="AG739" s="143"/>
      <c r="AH739" s="143"/>
      <c r="AI739" s="143"/>
      <c r="AJ739" s="143"/>
      <c r="AK739" s="172"/>
      <c r="AL739" s="172"/>
    </row>
    <row r="740">
      <c r="A740" s="137"/>
      <c r="B740" s="88"/>
      <c r="C740" s="89"/>
      <c r="D740" s="55"/>
      <c r="E740" s="137"/>
      <c r="F740" s="88"/>
      <c r="G740" s="180"/>
      <c r="H740" s="181"/>
      <c r="I740" s="137"/>
      <c r="J740" s="88"/>
      <c r="K740" s="89"/>
      <c r="L740" s="55"/>
      <c r="M740" s="137"/>
      <c r="N740" s="182"/>
      <c r="O740" s="89"/>
      <c r="P740" s="55"/>
      <c r="Q740" s="183"/>
      <c r="R740" s="184"/>
      <c r="S740" s="185"/>
      <c r="T740" s="172"/>
      <c r="U740" s="183"/>
      <c r="V740" s="184"/>
      <c r="W740" s="185"/>
      <c r="X740" s="172"/>
      <c r="Y740" s="137"/>
      <c r="Z740" s="186"/>
      <c r="AA740" s="187"/>
      <c r="AB740" s="188"/>
      <c r="AC740" s="137"/>
      <c r="AD740" s="184"/>
      <c r="AE740" s="189"/>
      <c r="AF740" s="190"/>
      <c r="AG740" s="143"/>
      <c r="AH740" s="143"/>
      <c r="AI740" s="143"/>
      <c r="AJ740" s="143"/>
      <c r="AK740" s="172"/>
      <c r="AL740" s="172"/>
    </row>
    <row r="741">
      <c r="A741" s="137"/>
      <c r="B741" s="88"/>
      <c r="C741" s="89"/>
      <c r="D741" s="55"/>
      <c r="E741" s="137"/>
      <c r="F741" s="88"/>
      <c r="G741" s="180"/>
      <c r="H741" s="181"/>
      <c r="I741" s="137"/>
      <c r="J741" s="88"/>
      <c r="K741" s="89"/>
      <c r="L741" s="55"/>
      <c r="M741" s="137"/>
      <c r="N741" s="182"/>
      <c r="O741" s="89"/>
      <c r="P741" s="55"/>
      <c r="Q741" s="183"/>
      <c r="R741" s="184"/>
      <c r="S741" s="185"/>
      <c r="T741" s="172"/>
      <c r="U741" s="183"/>
      <c r="V741" s="184"/>
      <c r="W741" s="185"/>
      <c r="X741" s="172"/>
      <c r="Y741" s="137"/>
      <c r="Z741" s="186"/>
      <c r="AA741" s="187"/>
      <c r="AB741" s="188"/>
      <c r="AC741" s="137"/>
      <c r="AD741" s="184"/>
      <c r="AE741" s="189"/>
      <c r="AF741" s="190"/>
      <c r="AG741" s="143"/>
      <c r="AH741" s="143"/>
      <c r="AI741" s="143"/>
      <c r="AJ741" s="143"/>
      <c r="AK741" s="172"/>
      <c r="AL741" s="172"/>
    </row>
    <row r="742">
      <c r="A742" s="137"/>
      <c r="B742" s="88"/>
      <c r="C742" s="89"/>
      <c r="D742" s="55"/>
      <c r="E742" s="137"/>
      <c r="F742" s="88"/>
      <c r="G742" s="180"/>
      <c r="H742" s="181"/>
      <c r="I742" s="137"/>
      <c r="J742" s="88"/>
      <c r="K742" s="89"/>
      <c r="L742" s="55"/>
      <c r="M742" s="137"/>
      <c r="N742" s="182"/>
      <c r="O742" s="89"/>
      <c r="P742" s="55"/>
      <c r="Q742" s="183"/>
      <c r="R742" s="184"/>
      <c r="S742" s="185"/>
      <c r="T742" s="172"/>
      <c r="U742" s="183"/>
      <c r="V742" s="184"/>
      <c r="W742" s="185"/>
      <c r="X742" s="172"/>
      <c r="Y742" s="137"/>
      <c r="Z742" s="186"/>
      <c r="AA742" s="187"/>
      <c r="AB742" s="188"/>
      <c r="AC742" s="137"/>
      <c r="AD742" s="184"/>
      <c r="AE742" s="189"/>
      <c r="AF742" s="190"/>
      <c r="AG742" s="143"/>
      <c r="AH742" s="143"/>
      <c r="AI742" s="143"/>
      <c r="AJ742" s="143"/>
      <c r="AK742" s="172"/>
      <c r="AL742" s="172"/>
    </row>
    <row r="743">
      <c r="A743" s="137"/>
      <c r="B743" s="88"/>
      <c r="C743" s="89"/>
      <c r="D743" s="55"/>
      <c r="E743" s="137"/>
      <c r="F743" s="88"/>
      <c r="G743" s="180"/>
      <c r="H743" s="181"/>
      <c r="I743" s="137"/>
      <c r="J743" s="88"/>
      <c r="K743" s="89"/>
      <c r="L743" s="55"/>
      <c r="M743" s="137"/>
      <c r="N743" s="182"/>
      <c r="O743" s="89"/>
      <c r="P743" s="55"/>
      <c r="Q743" s="183"/>
      <c r="R743" s="184"/>
      <c r="S743" s="185"/>
      <c r="T743" s="172"/>
      <c r="U743" s="183"/>
      <c r="V743" s="184"/>
      <c r="W743" s="185"/>
      <c r="X743" s="172"/>
      <c r="Y743" s="137"/>
      <c r="Z743" s="186"/>
      <c r="AA743" s="187"/>
      <c r="AB743" s="188"/>
      <c r="AC743" s="137"/>
      <c r="AD743" s="184"/>
      <c r="AE743" s="189"/>
      <c r="AF743" s="190"/>
      <c r="AG743" s="143"/>
      <c r="AH743" s="143"/>
      <c r="AI743" s="143"/>
      <c r="AJ743" s="143"/>
      <c r="AK743" s="172"/>
      <c r="AL743" s="172"/>
    </row>
    <row r="744">
      <c r="A744" s="137"/>
      <c r="B744" s="88"/>
      <c r="C744" s="89"/>
      <c r="D744" s="55"/>
      <c r="E744" s="137"/>
      <c r="F744" s="88"/>
      <c r="G744" s="180"/>
      <c r="H744" s="181"/>
      <c r="I744" s="137"/>
      <c r="J744" s="88"/>
      <c r="K744" s="89"/>
      <c r="L744" s="55"/>
      <c r="M744" s="137"/>
      <c r="N744" s="182"/>
      <c r="O744" s="89"/>
      <c r="P744" s="55"/>
      <c r="Q744" s="183"/>
      <c r="R744" s="184"/>
      <c r="S744" s="185"/>
      <c r="T744" s="172"/>
      <c r="U744" s="183"/>
      <c r="V744" s="184"/>
      <c r="W744" s="185"/>
      <c r="X744" s="172"/>
      <c r="Y744" s="137"/>
      <c r="Z744" s="186"/>
      <c r="AA744" s="187"/>
      <c r="AB744" s="188"/>
      <c r="AC744" s="137"/>
      <c r="AD744" s="184"/>
      <c r="AE744" s="189"/>
      <c r="AF744" s="190"/>
      <c r="AG744" s="143"/>
      <c r="AH744" s="143"/>
      <c r="AI744" s="143"/>
      <c r="AJ744" s="143"/>
      <c r="AK744" s="172"/>
      <c r="AL744" s="172"/>
    </row>
    <row r="745">
      <c r="A745" s="137"/>
      <c r="B745" s="88"/>
      <c r="C745" s="89"/>
      <c r="D745" s="55"/>
      <c r="E745" s="137"/>
      <c r="F745" s="88"/>
      <c r="G745" s="180"/>
      <c r="H745" s="181"/>
      <c r="I745" s="137"/>
      <c r="J745" s="88"/>
      <c r="K745" s="89"/>
      <c r="L745" s="55"/>
      <c r="M745" s="137"/>
      <c r="N745" s="182"/>
      <c r="O745" s="89"/>
      <c r="P745" s="55"/>
      <c r="Q745" s="183"/>
      <c r="R745" s="184"/>
      <c r="S745" s="185"/>
      <c r="T745" s="172"/>
      <c r="U745" s="183"/>
      <c r="V745" s="184"/>
      <c r="W745" s="185"/>
      <c r="X745" s="172"/>
      <c r="Y745" s="137"/>
      <c r="Z745" s="186"/>
      <c r="AA745" s="187"/>
      <c r="AB745" s="188"/>
      <c r="AC745" s="137"/>
      <c r="AD745" s="184"/>
      <c r="AE745" s="189"/>
      <c r="AF745" s="190"/>
      <c r="AG745" s="143"/>
      <c r="AH745" s="143"/>
      <c r="AI745" s="143"/>
      <c r="AJ745" s="143"/>
      <c r="AK745" s="172"/>
      <c r="AL745" s="172"/>
    </row>
    <row r="746">
      <c r="A746" s="137"/>
      <c r="B746" s="88"/>
      <c r="C746" s="89"/>
      <c r="D746" s="55"/>
      <c r="E746" s="137"/>
      <c r="F746" s="88"/>
      <c r="G746" s="180"/>
      <c r="H746" s="181"/>
      <c r="I746" s="137"/>
      <c r="J746" s="88"/>
      <c r="K746" s="89"/>
      <c r="L746" s="55"/>
      <c r="M746" s="137"/>
      <c r="N746" s="182"/>
      <c r="O746" s="89"/>
      <c r="P746" s="55"/>
      <c r="Q746" s="183"/>
      <c r="R746" s="184"/>
      <c r="S746" s="185"/>
      <c r="T746" s="172"/>
      <c r="U746" s="183"/>
      <c r="V746" s="184"/>
      <c r="W746" s="185"/>
      <c r="X746" s="172"/>
      <c r="Y746" s="137"/>
      <c r="Z746" s="186"/>
      <c r="AA746" s="187"/>
      <c r="AB746" s="188"/>
      <c r="AC746" s="137"/>
      <c r="AD746" s="184"/>
      <c r="AE746" s="189"/>
      <c r="AF746" s="190"/>
      <c r="AG746" s="143"/>
      <c r="AH746" s="143"/>
      <c r="AI746" s="143"/>
      <c r="AJ746" s="143"/>
      <c r="AK746" s="172"/>
      <c r="AL746" s="172"/>
    </row>
    <row r="747">
      <c r="A747" s="137"/>
      <c r="B747" s="88"/>
      <c r="C747" s="89"/>
      <c r="D747" s="55"/>
      <c r="E747" s="137"/>
      <c r="F747" s="88"/>
      <c r="G747" s="180"/>
      <c r="H747" s="181"/>
      <c r="I747" s="137"/>
      <c r="J747" s="88"/>
      <c r="K747" s="89"/>
      <c r="L747" s="55"/>
      <c r="M747" s="137"/>
      <c r="N747" s="182"/>
      <c r="O747" s="89"/>
      <c r="P747" s="55"/>
      <c r="Q747" s="183"/>
      <c r="R747" s="184"/>
      <c r="S747" s="185"/>
      <c r="T747" s="172"/>
      <c r="U747" s="183"/>
      <c r="V747" s="184"/>
      <c r="W747" s="185"/>
      <c r="X747" s="172"/>
      <c r="Y747" s="137"/>
      <c r="Z747" s="186"/>
      <c r="AA747" s="187"/>
      <c r="AB747" s="188"/>
      <c r="AC747" s="137"/>
      <c r="AD747" s="184"/>
      <c r="AE747" s="189"/>
      <c r="AF747" s="190"/>
      <c r="AG747" s="143"/>
      <c r="AH747" s="143"/>
      <c r="AI747" s="143"/>
      <c r="AJ747" s="143"/>
      <c r="AK747" s="172"/>
      <c r="AL747" s="172"/>
    </row>
    <row r="748">
      <c r="A748" s="137"/>
      <c r="B748" s="88"/>
      <c r="C748" s="89"/>
      <c r="D748" s="55"/>
      <c r="E748" s="137"/>
      <c r="F748" s="88"/>
      <c r="G748" s="180"/>
      <c r="H748" s="181"/>
      <c r="I748" s="137"/>
      <c r="J748" s="88"/>
      <c r="K748" s="89"/>
      <c r="L748" s="55"/>
      <c r="M748" s="137"/>
      <c r="N748" s="182"/>
      <c r="O748" s="89"/>
      <c r="P748" s="55"/>
      <c r="Q748" s="183"/>
      <c r="R748" s="184"/>
      <c r="S748" s="185"/>
      <c r="T748" s="172"/>
      <c r="U748" s="183"/>
      <c r="V748" s="184"/>
      <c r="W748" s="185"/>
      <c r="X748" s="172"/>
      <c r="Y748" s="137"/>
      <c r="Z748" s="186"/>
      <c r="AA748" s="187"/>
      <c r="AB748" s="188"/>
      <c r="AC748" s="137"/>
      <c r="AD748" s="184"/>
      <c r="AE748" s="189"/>
      <c r="AF748" s="190"/>
      <c r="AG748" s="143"/>
      <c r="AH748" s="143"/>
      <c r="AI748" s="143"/>
      <c r="AJ748" s="143"/>
      <c r="AK748" s="172"/>
      <c r="AL748" s="172"/>
    </row>
    <row r="749">
      <c r="A749" s="137"/>
      <c r="B749" s="88"/>
      <c r="C749" s="89"/>
      <c r="D749" s="55"/>
      <c r="E749" s="137"/>
      <c r="F749" s="88"/>
      <c r="G749" s="180"/>
      <c r="H749" s="181"/>
      <c r="I749" s="137"/>
      <c r="J749" s="88"/>
      <c r="K749" s="89"/>
      <c r="L749" s="55"/>
      <c r="M749" s="137"/>
      <c r="N749" s="182"/>
      <c r="O749" s="89"/>
      <c r="P749" s="55"/>
      <c r="Q749" s="183"/>
      <c r="R749" s="184"/>
      <c r="S749" s="185"/>
      <c r="T749" s="172"/>
      <c r="U749" s="183"/>
      <c r="V749" s="184"/>
      <c r="W749" s="185"/>
      <c r="X749" s="172"/>
      <c r="Y749" s="137"/>
      <c r="Z749" s="186"/>
      <c r="AA749" s="187"/>
      <c r="AB749" s="188"/>
      <c r="AC749" s="137"/>
      <c r="AD749" s="184"/>
      <c r="AE749" s="189"/>
      <c r="AF749" s="190"/>
      <c r="AG749" s="143"/>
      <c r="AH749" s="143"/>
      <c r="AI749" s="143"/>
      <c r="AJ749" s="143"/>
      <c r="AK749" s="172"/>
      <c r="AL749" s="172"/>
    </row>
    <row r="750">
      <c r="A750" s="137"/>
      <c r="B750" s="88"/>
      <c r="C750" s="89"/>
      <c r="D750" s="55"/>
      <c r="E750" s="137"/>
      <c r="F750" s="88"/>
      <c r="G750" s="180"/>
      <c r="H750" s="181"/>
      <c r="I750" s="137"/>
      <c r="J750" s="88"/>
      <c r="K750" s="89"/>
      <c r="L750" s="55"/>
      <c r="M750" s="137"/>
      <c r="N750" s="182"/>
      <c r="O750" s="89"/>
      <c r="P750" s="55"/>
      <c r="Q750" s="183"/>
      <c r="R750" s="184"/>
      <c r="S750" s="185"/>
      <c r="T750" s="172"/>
      <c r="U750" s="183"/>
      <c r="V750" s="184"/>
      <c r="W750" s="185"/>
      <c r="X750" s="172"/>
      <c r="Y750" s="137"/>
      <c r="Z750" s="186"/>
      <c r="AA750" s="187"/>
      <c r="AB750" s="188"/>
      <c r="AC750" s="137"/>
      <c r="AD750" s="184"/>
      <c r="AE750" s="189"/>
      <c r="AF750" s="190"/>
      <c r="AG750" s="143"/>
      <c r="AH750" s="143"/>
      <c r="AI750" s="143"/>
      <c r="AJ750" s="143"/>
      <c r="AK750" s="172"/>
      <c r="AL750" s="172"/>
    </row>
    <row r="751">
      <c r="A751" s="137"/>
      <c r="B751" s="88"/>
      <c r="C751" s="89"/>
      <c r="D751" s="55"/>
      <c r="E751" s="137"/>
      <c r="F751" s="88"/>
      <c r="G751" s="180"/>
      <c r="H751" s="181"/>
      <c r="I751" s="137"/>
      <c r="J751" s="88"/>
      <c r="K751" s="89"/>
      <c r="L751" s="55"/>
      <c r="M751" s="137"/>
      <c r="N751" s="182"/>
      <c r="O751" s="89"/>
      <c r="P751" s="55"/>
      <c r="Q751" s="183"/>
      <c r="R751" s="184"/>
      <c r="S751" s="185"/>
      <c r="T751" s="172"/>
      <c r="U751" s="183"/>
      <c r="V751" s="184"/>
      <c r="W751" s="185"/>
      <c r="X751" s="172"/>
      <c r="Y751" s="137"/>
      <c r="Z751" s="186"/>
      <c r="AA751" s="187"/>
      <c r="AB751" s="188"/>
      <c r="AC751" s="137"/>
      <c r="AD751" s="184"/>
      <c r="AE751" s="189"/>
      <c r="AF751" s="190"/>
      <c r="AG751" s="143"/>
      <c r="AH751" s="143"/>
      <c r="AI751" s="143"/>
      <c r="AJ751" s="143"/>
      <c r="AK751" s="172"/>
      <c r="AL751" s="172"/>
    </row>
    <row r="752">
      <c r="A752" s="137"/>
      <c r="B752" s="88"/>
      <c r="C752" s="89"/>
      <c r="D752" s="55"/>
      <c r="E752" s="137"/>
      <c r="F752" s="88"/>
      <c r="G752" s="180"/>
      <c r="H752" s="181"/>
      <c r="I752" s="137"/>
      <c r="J752" s="88"/>
      <c r="K752" s="89"/>
      <c r="L752" s="55"/>
      <c r="M752" s="137"/>
      <c r="N752" s="182"/>
      <c r="O752" s="89"/>
      <c r="P752" s="55"/>
      <c r="Q752" s="183"/>
      <c r="R752" s="184"/>
      <c r="S752" s="185"/>
      <c r="T752" s="172"/>
      <c r="U752" s="183"/>
      <c r="V752" s="184"/>
      <c r="W752" s="185"/>
      <c r="X752" s="172"/>
      <c r="Y752" s="137"/>
      <c r="Z752" s="186"/>
      <c r="AA752" s="187"/>
      <c r="AB752" s="188"/>
      <c r="AC752" s="137"/>
      <c r="AD752" s="184"/>
      <c r="AE752" s="189"/>
      <c r="AF752" s="190"/>
      <c r="AG752" s="143"/>
      <c r="AH752" s="143"/>
      <c r="AI752" s="143"/>
      <c r="AJ752" s="143"/>
      <c r="AK752" s="172"/>
      <c r="AL752" s="172"/>
    </row>
    <row r="753">
      <c r="A753" s="137"/>
      <c r="B753" s="88"/>
      <c r="C753" s="89"/>
      <c r="D753" s="55"/>
      <c r="E753" s="137"/>
      <c r="F753" s="88"/>
      <c r="G753" s="180"/>
      <c r="H753" s="181"/>
      <c r="I753" s="137"/>
      <c r="J753" s="88"/>
      <c r="K753" s="89"/>
      <c r="L753" s="55"/>
      <c r="M753" s="137"/>
      <c r="N753" s="182"/>
      <c r="O753" s="89"/>
      <c r="P753" s="55"/>
      <c r="Q753" s="183"/>
      <c r="R753" s="184"/>
      <c r="S753" s="185"/>
      <c r="T753" s="172"/>
      <c r="U753" s="183"/>
      <c r="V753" s="184"/>
      <c r="W753" s="185"/>
      <c r="X753" s="172"/>
      <c r="Y753" s="137"/>
      <c r="Z753" s="186"/>
      <c r="AA753" s="187"/>
      <c r="AB753" s="188"/>
      <c r="AC753" s="137"/>
      <c r="AD753" s="184"/>
      <c r="AE753" s="189"/>
      <c r="AF753" s="190"/>
      <c r="AG753" s="143"/>
      <c r="AH753" s="143"/>
      <c r="AI753" s="143"/>
      <c r="AJ753" s="143"/>
      <c r="AK753" s="172"/>
      <c r="AL753" s="172"/>
    </row>
    <row r="754">
      <c r="A754" s="137"/>
      <c r="B754" s="88"/>
      <c r="C754" s="89"/>
      <c r="D754" s="55"/>
      <c r="E754" s="137"/>
      <c r="F754" s="88"/>
      <c r="G754" s="180"/>
      <c r="H754" s="181"/>
      <c r="I754" s="137"/>
      <c r="J754" s="88"/>
      <c r="K754" s="89"/>
      <c r="L754" s="55"/>
      <c r="M754" s="137"/>
      <c r="N754" s="182"/>
      <c r="O754" s="89"/>
      <c r="P754" s="55"/>
      <c r="Q754" s="183"/>
      <c r="R754" s="184"/>
      <c r="S754" s="185"/>
      <c r="T754" s="172"/>
      <c r="U754" s="183"/>
      <c r="V754" s="184"/>
      <c r="W754" s="185"/>
      <c r="X754" s="172"/>
      <c r="Y754" s="137"/>
      <c r="Z754" s="186"/>
      <c r="AA754" s="187"/>
      <c r="AB754" s="188"/>
      <c r="AC754" s="137"/>
      <c r="AD754" s="184"/>
      <c r="AE754" s="189"/>
      <c r="AF754" s="190"/>
      <c r="AG754" s="143"/>
      <c r="AH754" s="143"/>
      <c r="AI754" s="143"/>
      <c r="AJ754" s="143"/>
      <c r="AK754" s="172"/>
      <c r="AL754" s="172"/>
    </row>
    <row r="755">
      <c r="A755" s="137"/>
      <c r="B755" s="88"/>
      <c r="C755" s="89"/>
      <c r="D755" s="55"/>
      <c r="E755" s="137"/>
      <c r="F755" s="88"/>
      <c r="G755" s="180"/>
      <c r="H755" s="181"/>
      <c r="I755" s="137"/>
      <c r="J755" s="88"/>
      <c r="K755" s="89"/>
      <c r="L755" s="55"/>
      <c r="M755" s="137"/>
      <c r="N755" s="182"/>
      <c r="O755" s="89"/>
      <c r="P755" s="55"/>
      <c r="Q755" s="183"/>
      <c r="R755" s="184"/>
      <c r="S755" s="185"/>
      <c r="T755" s="172"/>
      <c r="U755" s="183"/>
      <c r="V755" s="184"/>
      <c r="W755" s="185"/>
      <c r="X755" s="172"/>
      <c r="Y755" s="137"/>
      <c r="Z755" s="186"/>
      <c r="AA755" s="187"/>
      <c r="AB755" s="188"/>
      <c r="AC755" s="137"/>
      <c r="AD755" s="184"/>
      <c r="AE755" s="189"/>
      <c r="AF755" s="190"/>
      <c r="AG755" s="143"/>
      <c r="AH755" s="143"/>
      <c r="AI755" s="143"/>
      <c r="AJ755" s="143"/>
      <c r="AK755" s="172"/>
      <c r="AL755" s="172"/>
    </row>
    <row r="756">
      <c r="A756" s="137"/>
      <c r="B756" s="88"/>
      <c r="C756" s="89"/>
      <c r="D756" s="55"/>
      <c r="E756" s="137"/>
      <c r="F756" s="88"/>
      <c r="G756" s="180"/>
      <c r="H756" s="181"/>
      <c r="I756" s="137"/>
      <c r="J756" s="88"/>
      <c r="K756" s="89"/>
      <c r="L756" s="55"/>
      <c r="M756" s="137"/>
      <c r="N756" s="182"/>
      <c r="O756" s="89"/>
      <c r="P756" s="55"/>
      <c r="Q756" s="183"/>
      <c r="R756" s="184"/>
      <c r="S756" s="185"/>
      <c r="T756" s="172"/>
      <c r="U756" s="183"/>
      <c r="V756" s="184"/>
      <c r="W756" s="185"/>
      <c r="X756" s="172"/>
      <c r="Y756" s="137"/>
      <c r="Z756" s="186"/>
      <c r="AA756" s="187"/>
      <c r="AB756" s="188"/>
      <c r="AC756" s="137"/>
      <c r="AD756" s="184"/>
      <c r="AE756" s="189"/>
      <c r="AF756" s="190"/>
      <c r="AG756" s="143"/>
      <c r="AH756" s="143"/>
      <c r="AI756" s="143"/>
      <c r="AJ756" s="143"/>
      <c r="AK756" s="172"/>
      <c r="AL756" s="172"/>
    </row>
    <row r="757">
      <c r="A757" s="137"/>
      <c r="B757" s="88"/>
      <c r="C757" s="89"/>
      <c r="D757" s="55"/>
      <c r="E757" s="137"/>
      <c r="F757" s="88"/>
      <c r="G757" s="180"/>
      <c r="H757" s="181"/>
      <c r="I757" s="137"/>
      <c r="J757" s="88"/>
      <c r="K757" s="89"/>
      <c r="L757" s="55"/>
      <c r="M757" s="137"/>
      <c r="N757" s="182"/>
      <c r="O757" s="89"/>
      <c r="P757" s="55"/>
      <c r="Q757" s="183"/>
      <c r="R757" s="184"/>
      <c r="S757" s="185"/>
      <c r="T757" s="172"/>
      <c r="U757" s="183"/>
      <c r="V757" s="184"/>
      <c r="W757" s="185"/>
      <c r="X757" s="172"/>
      <c r="Y757" s="137"/>
      <c r="Z757" s="186"/>
      <c r="AA757" s="187"/>
      <c r="AB757" s="188"/>
      <c r="AC757" s="137"/>
      <c r="AD757" s="184"/>
      <c r="AE757" s="189"/>
      <c r="AF757" s="190"/>
      <c r="AG757" s="143"/>
      <c r="AH757" s="143"/>
      <c r="AI757" s="143"/>
      <c r="AJ757" s="143"/>
      <c r="AK757" s="172"/>
      <c r="AL757" s="172"/>
    </row>
    <row r="758">
      <c r="A758" s="137"/>
      <c r="B758" s="88"/>
      <c r="C758" s="89"/>
      <c r="D758" s="55"/>
      <c r="E758" s="137"/>
      <c r="F758" s="88"/>
      <c r="G758" s="180"/>
      <c r="H758" s="181"/>
      <c r="I758" s="137"/>
      <c r="J758" s="88"/>
      <c r="K758" s="89"/>
      <c r="L758" s="55"/>
      <c r="M758" s="137"/>
      <c r="N758" s="182"/>
      <c r="O758" s="89"/>
      <c r="P758" s="55"/>
      <c r="Q758" s="183"/>
      <c r="R758" s="184"/>
      <c r="S758" s="185"/>
      <c r="T758" s="172"/>
      <c r="U758" s="183"/>
      <c r="V758" s="184"/>
      <c r="W758" s="185"/>
      <c r="X758" s="172"/>
      <c r="Y758" s="137"/>
      <c r="Z758" s="186"/>
      <c r="AA758" s="187"/>
      <c r="AB758" s="188"/>
      <c r="AC758" s="137"/>
      <c r="AD758" s="184"/>
      <c r="AE758" s="189"/>
      <c r="AF758" s="190"/>
      <c r="AG758" s="143"/>
      <c r="AH758" s="143"/>
      <c r="AI758" s="143"/>
      <c r="AJ758" s="143"/>
      <c r="AK758" s="172"/>
      <c r="AL758" s="172"/>
    </row>
    <row r="759">
      <c r="A759" s="137"/>
      <c r="B759" s="88"/>
      <c r="C759" s="89"/>
      <c r="D759" s="55"/>
      <c r="E759" s="137"/>
      <c r="F759" s="88"/>
      <c r="G759" s="180"/>
      <c r="H759" s="181"/>
      <c r="I759" s="137"/>
      <c r="J759" s="88"/>
      <c r="K759" s="89"/>
      <c r="L759" s="55"/>
      <c r="M759" s="137"/>
      <c r="N759" s="182"/>
      <c r="O759" s="89"/>
      <c r="P759" s="55"/>
      <c r="Q759" s="183"/>
      <c r="R759" s="184"/>
      <c r="S759" s="185"/>
      <c r="T759" s="172"/>
      <c r="U759" s="183"/>
      <c r="V759" s="184"/>
      <c r="W759" s="185"/>
      <c r="X759" s="172"/>
      <c r="Y759" s="137"/>
      <c r="Z759" s="186"/>
      <c r="AA759" s="187"/>
      <c r="AB759" s="188"/>
      <c r="AC759" s="137"/>
      <c r="AD759" s="184"/>
      <c r="AE759" s="189"/>
      <c r="AF759" s="190"/>
      <c r="AG759" s="143"/>
      <c r="AH759" s="143"/>
      <c r="AI759" s="143"/>
      <c r="AJ759" s="143"/>
      <c r="AK759" s="172"/>
      <c r="AL759" s="172"/>
    </row>
    <row r="760">
      <c r="A760" s="137"/>
      <c r="B760" s="88"/>
      <c r="C760" s="89"/>
      <c r="D760" s="55"/>
      <c r="E760" s="137"/>
      <c r="F760" s="88"/>
      <c r="G760" s="180"/>
      <c r="H760" s="181"/>
      <c r="I760" s="137"/>
      <c r="J760" s="88"/>
      <c r="K760" s="89"/>
      <c r="L760" s="55"/>
      <c r="M760" s="137"/>
      <c r="N760" s="182"/>
      <c r="O760" s="89"/>
      <c r="P760" s="55"/>
      <c r="Q760" s="183"/>
      <c r="R760" s="184"/>
      <c r="S760" s="185"/>
      <c r="T760" s="172"/>
      <c r="U760" s="183"/>
      <c r="V760" s="184"/>
      <c r="W760" s="185"/>
      <c r="X760" s="172"/>
      <c r="Y760" s="137"/>
      <c r="Z760" s="186"/>
      <c r="AA760" s="187"/>
      <c r="AB760" s="188"/>
      <c r="AC760" s="137"/>
      <c r="AD760" s="184"/>
      <c r="AE760" s="189"/>
      <c r="AF760" s="190"/>
      <c r="AG760" s="143"/>
      <c r="AH760" s="143"/>
      <c r="AI760" s="143"/>
      <c r="AJ760" s="143"/>
      <c r="AK760" s="172"/>
      <c r="AL760" s="172"/>
    </row>
    <row r="761">
      <c r="A761" s="137"/>
      <c r="B761" s="88"/>
      <c r="C761" s="89"/>
      <c r="D761" s="55"/>
      <c r="E761" s="137"/>
      <c r="F761" s="88"/>
      <c r="G761" s="180"/>
      <c r="H761" s="181"/>
      <c r="I761" s="137"/>
      <c r="J761" s="88"/>
      <c r="K761" s="89"/>
      <c r="L761" s="55"/>
      <c r="M761" s="137"/>
      <c r="N761" s="182"/>
      <c r="O761" s="89"/>
      <c r="P761" s="55"/>
      <c r="Q761" s="183"/>
      <c r="R761" s="184"/>
      <c r="S761" s="185"/>
      <c r="T761" s="172"/>
      <c r="U761" s="183"/>
      <c r="V761" s="184"/>
      <c r="W761" s="185"/>
      <c r="X761" s="172"/>
      <c r="Y761" s="137"/>
      <c r="Z761" s="186"/>
      <c r="AA761" s="187"/>
      <c r="AB761" s="188"/>
      <c r="AC761" s="137"/>
      <c r="AD761" s="184"/>
      <c r="AE761" s="189"/>
      <c r="AF761" s="190"/>
      <c r="AG761" s="143"/>
      <c r="AH761" s="143"/>
      <c r="AI761" s="143"/>
      <c r="AJ761" s="143"/>
      <c r="AK761" s="172"/>
      <c r="AL761" s="172"/>
    </row>
    <row r="762">
      <c r="A762" s="137"/>
      <c r="B762" s="88"/>
      <c r="C762" s="89"/>
      <c r="D762" s="55"/>
      <c r="E762" s="137"/>
      <c r="F762" s="88"/>
      <c r="G762" s="180"/>
      <c r="H762" s="181"/>
      <c r="I762" s="137"/>
      <c r="J762" s="88"/>
      <c r="K762" s="89"/>
      <c r="L762" s="55"/>
      <c r="M762" s="137"/>
      <c r="N762" s="182"/>
      <c r="O762" s="89"/>
      <c r="P762" s="55"/>
      <c r="Q762" s="183"/>
      <c r="R762" s="184"/>
      <c r="S762" s="185"/>
      <c r="T762" s="172"/>
      <c r="U762" s="183"/>
      <c r="V762" s="184"/>
      <c r="W762" s="185"/>
      <c r="X762" s="172"/>
      <c r="Y762" s="137"/>
      <c r="Z762" s="186"/>
      <c r="AA762" s="187"/>
      <c r="AB762" s="188"/>
      <c r="AC762" s="137"/>
      <c r="AD762" s="184"/>
      <c r="AE762" s="189"/>
      <c r="AF762" s="190"/>
      <c r="AG762" s="143"/>
      <c r="AH762" s="143"/>
      <c r="AI762" s="143"/>
      <c r="AJ762" s="143"/>
      <c r="AK762" s="172"/>
      <c r="AL762" s="172"/>
    </row>
    <row r="763">
      <c r="A763" s="137"/>
      <c r="B763" s="88"/>
      <c r="C763" s="89"/>
      <c r="D763" s="55"/>
      <c r="E763" s="137"/>
      <c r="F763" s="88"/>
      <c r="G763" s="180"/>
      <c r="H763" s="181"/>
      <c r="I763" s="137"/>
      <c r="J763" s="88"/>
      <c r="K763" s="89"/>
      <c r="L763" s="55"/>
      <c r="M763" s="137"/>
      <c r="N763" s="182"/>
      <c r="O763" s="89"/>
      <c r="P763" s="55"/>
      <c r="Q763" s="183"/>
      <c r="R763" s="184"/>
      <c r="S763" s="185"/>
      <c r="T763" s="172"/>
      <c r="U763" s="183"/>
      <c r="V763" s="184"/>
      <c r="W763" s="185"/>
      <c r="X763" s="172"/>
      <c r="Y763" s="137"/>
      <c r="Z763" s="186"/>
      <c r="AA763" s="187"/>
      <c r="AB763" s="188"/>
      <c r="AC763" s="137"/>
      <c r="AD763" s="184"/>
      <c r="AE763" s="189"/>
      <c r="AF763" s="190"/>
      <c r="AG763" s="143"/>
      <c r="AH763" s="143"/>
      <c r="AI763" s="143"/>
      <c r="AJ763" s="143"/>
      <c r="AK763" s="172"/>
      <c r="AL763" s="172"/>
    </row>
    <row r="764">
      <c r="A764" s="137"/>
      <c r="B764" s="88"/>
      <c r="C764" s="89"/>
      <c r="D764" s="55"/>
      <c r="E764" s="137"/>
      <c r="F764" s="88"/>
      <c r="G764" s="180"/>
      <c r="H764" s="181"/>
      <c r="I764" s="137"/>
      <c r="J764" s="88"/>
      <c r="K764" s="89"/>
      <c r="L764" s="55"/>
      <c r="M764" s="137"/>
      <c r="N764" s="182"/>
      <c r="O764" s="89"/>
      <c r="P764" s="55"/>
      <c r="Q764" s="183"/>
      <c r="R764" s="184"/>
      <c r="S764" s="185"/>
      <c r="T764" s="172"/>
      <c r="U764" s="183"/>
      <c r="V764" s="184"/>
      <c r="W764" s="185"/>
      <c r="X764" s="172"/>
      <c r="Y764" s="137"/>
      <c r="Z764" s="186"/>
      <c r="AA764" s="187"/>
      <c r="AB764" s="188"/>
      <c r="AC764" s="137"/>
      <c r="AD764" s="184"/>
      <c r="AE764" s="189"/>
      <c r="AF764" s="190"/>
      <c r="AG764" s="143"/>
      <c r="AH764" s="143"/>
      <c r="AI764" s="143"/>
      <c r="AJ764" s="143"/>
      <c r="AK764" s="172"/>
      <c r="AL764" s="172"/>
    </row>
    <row r="765">
      <c r="A765" s="137"/>
      <c r="B765" s="88"/>
      <c r="C765" s="89"/>
      <c r="D765" s="55"/>
      <c r="E765" s="137"/>
      <c r="F765" s="88"/>
      <c r="G765" s="180"/>
      <c r="H765" s="181"/>
      <c r="I765" s="137"/>
      <c r="J765" s="88"/>
      <c r="K765" s="89"/>
      <c r="L765" s="55"/>
      <c r="M765" s="137"/>
      <c r="N765" s="182"/>
      <c r="O765" s="89"/>
      <c r="P765" s="55"/>
      <c r="Q765" s="183"/>
      <c r="R765" s="184"/>
      <c r="S765" s="185"/>
      <c r="T765" s="172"/>
      <c r="U765" s="183"/>
      <c r="V765" s="184"/>
      <c r="W765" s="185"/>
      <c r="X765" s="172"/>
      <c r="Y765" s="137"/>
      <c r="Z765" s="186"/>
      <c r="AA765" s="187"/>
      <c r="AB765" s="188"/>
      <c r="AC765" s="137"/>
      <c r="AD765" s="184"/>
      <c r="AE765" s="189"/>
      <c r="AF765" s="190"/>
      <c r="AG765" s="143"/>
      <c r="AH765" s="143"/>
      <c r="AI765" s="143"/>
      <c r="AJ765" s="143"/>
      <c r="AK765" s="172"/>
      <c r="AL765" s="172"/>
    </row>
    <row r="766">
      <c r="A766" s="137"/>
      <c r="B766" s="88"/>
      <c r="C766" s="89"/>
      <c r="D766" s="55"/>
      <c r="E766" s="137"/>
      <c r="F766" s="88"/>
      <c r="G766" s="180"/>
      <c r="H766" s="181"/>
      <c r="I766" s="137"/>
      <c r="J766" s="88"/>
      <c r="K766" s="89"/>
      <c r="L766" s="55"/>
      <c r="M766" s="137"/>
      <c r="N766" s="182"/>
      <c r="O766" s="89"/>
      <c r="P766" s="55"/>
      <c r="Q766" s="183"/>
      <c r="R766" s="184"/>
      <c r="S766" s="185"/>
      <c r="T766" s="172"/>
      <c r="U766" s="183"/>
      <c r="V766" s="184"/>
      <c r="W766" s="185"/>
      <c r="X766" s="172"/>
      <c r="Y766" s="137"/>
      <c r="Z766" s="186"/>
      <c r="AA766" s="187"/>
      <c r="AB766" s="188"/>
      <c r="AC766" s="137"/>
      <c r="AD766" s="184"/>
      <c r="AE766" s="189"/>
      <c r="AF766" s="190"/>
      <c r="AG766" s="143"/>
      <c r="AH766" s="143"/>
      <c r="AI766" s="143"/>
      <c r="AJ766" s="143"/>
      <c r="AK766" s="172"/>
      <c r="AL766" s="172"/>
    </row>
    <row r="767">
      <c r="A767" s="137"/>
      <c r="B767" s="88"/>
      <c r="C767" s="89"/>
      <c r="D767" s="55"/>
      <c r="E767" s="137"/>
      <c r="F767" s="88"/>
      <c r="G767" s="180"/>
      <c r="H767" s="181"/>
      <c r="I767" s="137"/>
      <c r="J767" s="88"/>
      <c r="K767" s="89"/>
      <c r="L767" s="55"/>
      <c r="M767" s="137"/>
      <c r="N767" s="182"/>
      <c r="O767" s="89"/>
      <c r="P767" s="55"/>
      <c r="Q767" s="183"/>
      <c r="R767" s="184"/>
      <c r="S767" s="185"/>
      <c r="T767" s="172"/>
      <c r="U767" s="183"/>
      <c r="V767" s="184"/>
      <c r="W767" s="185"/>
      <c r="X767" s="172"/>
      <c r="Y767" s="137"/>
      <c r="Z767" s="186"/>
      <c r="AA767" s="187"/>
      <c r="AB767" s="188"/>
      <c r="AC767" s="137"/>
      <c r="AD767" s="184"/>
      <c r="AE767" s="189"/>
      <c r="AF767" s="190"/>
      <c r="AG767" s="143"/>
      <c r="AH767" s="143"/>
      <c r="AI767" s="143"/>
      <c r="AJ767" s="143"/>
      <c r="AK767" s="172"/>
      <c r="AL767" s="172"/>
    </row>
    <row r="768">
      <c r="A768" s="137"/>
      <c r="B768" s="88"/>
      <c r="C768" s="89"/>
      <c r="D768" s="55"/>
      <c r="E768" s="137"/>
      <c r="F768" s="88"/>
      <c r="G768" s="180"/>
      <c r="H768" s="181"/>
      <c r="I768" s="137"/>
      <c r="J768" s="88"/>
      <c r="K768" s="89"/>
      <c r="L768" s="55"/>
      <c r="M768" s="137"/>
      <c r="N768" s="182"/>
      <c r="O768" s="89"/>
      <c r="P768" s="55"/>
      <c r="Q768" s="183"/>
      <c r="R768" s="184"/>
      <c r="S768" s="185"/>
      <c r="T768" s="172"/>
      <c r="U768" s="183"/>
      <c r="V768" s="184"/>
      <c r="W768" s="185"/>
      <c r="X768" s="172"/>
      <c r="Y768" s="137"/>
      <c r="Z768" s="186"/>
      <c r="AA768" s="187"/>
      <c r="AB768" s="188"/>
      <c r="AC768" s="137"/>
      <c r="AD768" s="184"/>
      <c r="AE768" s="189"/>
      <c r="AF768" s="190"/>
      <c r="AG768" s="143"/>
      <c r="AH768" s="143"/>
      <c r="AI768" s="143"/>
      <c r="AJ768" s="143"/>
      <c r="AK768" s="172"/>
      <c r="AL768" s="172"/>
    </row>
    <row r="769">
      <c r="A769" s="137"/>
      <c r="B769" s="88"/>
      <c r="C769" s="89"/>
      <c r="D769" s="55"/>
      <c r="E769" s="137"/>
      <c r="F769" s="88"/>
      <c r="G769" s="180"/>
      <c r="H769" s="181"/>
      <c r="I769" s="137"/>
      <c r="J769" s="88"/>
      <c r="K769" s="89"/>
      <c r="L769" s="55"/>
      <c r="M769" s="137"/>
      <c r="N769" s="182"/>
      <c r="O769" s="89"/>
      <c r="P769" s="55"/>
      <c r="Q769" s="183"/>
      <c r="R769" s="184"/>
      <c r="S769" s="185"/>
      <c r="T769" s="172"/>
      <c r="U769" s="183"/>
      <c r="V769" s="184"/>
      <c r="W769" s="185"/>
      <c r="X769" s="172"/>
      <c r="Y769" s="137"/>
      <c r="Z769" s="186"/>
      <c r="AA769" s="187"/>
      <c r="AB769" s="188"/>
      <c r="AC769" s="137"/>
      <c r="AD769" s="184"/>
      <c r="AE769" s="189"/>
      <c r="AF769" s="190"/>
      <c r="AG769" s="143"/>
      <c r="AH769" s="143"/>
      <c r="AI769" s="143"/>
      <c r="AJ769" s="143"/>
      <c r="AK769" s="172"/>
      <c r="AL769" s="172"/>
    </row>
    <row r="770">
      <c r="A770" s="137"/>
      <c r="B770" s="88"/>
      <c r="C770" s="89"/>
      <c r="D770" s="55"/>
      <c r="E770" s="137"/>
      <c r="F770" s="88"/>
      <c r="G770" s="180"/>
      <c r="H770" s="181"/>
      <c r="I770" s="137"/>
      <c r="J770" s="88"/>
      <c r="K770" s="89"/>
      <c r="L770" s="55"/>
      <c r="M770" s="137"/>
      <c r="N770" s="182"/>
      <c r="O770" s="89"/>
      <c r="P770" s="55"/>
      <c r="Q770" s="183"/>
      <c r="R770" s="184"/>
      <c r="S770" s="185"/>
      <c r="T770" s="172"/>
      <c r="U770" s="183"/>
      <c r="V770" s="184"/>
      <c r="W770" s="185"/>
      <c r="X770" s="172"/>
      <c r="Y770" s="137"/>
      <c r="Z770" s="186"/>
      <c r="AA770" s="187"/>
      <c r="AB770" s="188"/>
      <c r="AC770" s="137"/>
      <c r="AD770" s="184"/>
      <c r="AE770" s="189"/>
      <c r="AF770" s="190"/>
      <c r="AG770" s="143"/>
      <c r="AH770" s="143"/>
      <c r="AI770" s="143"/>
      <c r="AJ770" s="143"/>
      <c r="AK770" s="172"/>
      <c r="AL770" s="172"/>
    </row>
    <row r="771">
      <c r="A771" s="137"/>
      <c r="B771" s="88"/>
      <c r="C771" s="89"/>
      <c r="D771" s="55"/>
      <c r="E771" s="137"/>
      <c r="F771" s="88"/>
      <c r="G771" s="180"/>
      <c r="H771" s="181"/>
      <c r="I771" s="137"/>
      <c r="J771" s="88"/>
      <c r="K771" s="89"/>
      <c r="L771" s="55"/>
      <c r="M771" s="137"/>
      <c r="N771" s="182"/>
      <c r="O771" s="89"/>
      <c r="P771" s="55"/>
      <c r="Q771" s="183"/>
      <c r="R771" s="184"/>
      <c r="S771" s="185"/>
      <c r="T771" s="172"/>
      <c r="U771" s="183"/>
      <c r="V771" s="184"/>
      <c r="W771" s="185"/>
      <c r="X771" s="172"/>
      <c r="Y771" s="137"/>
      <c r="Z771" s="186"/>
      <c r="AA771" s="187"/>
      <c r="AB771" s="188"/>
      <c r="AC771" s="137"/>
      <c r="AD771" s="184"/>
      <c r="AE771" s="189"/>
      <c r="AF771" s="190"/>
      <c r="AG771" s="143"/>
      <c r="AH771" s="143"/>
      <c r="AI771" s="143"/>
      <c r="AJ771" s="143"/>
      <c r="AK771" s="172"/>
      <c r="AL771" s="172"/>
    </row>
    <row r="772">
      <c r="A772" s="137"/>
      <c r="B772" s="88"/>
      <c r="C772" s="89"/>
      <c r="D772" s="55"/>
      <c r="E772" s="137"/>
      <c r="F772" s="88"/>
      <c r="G772" s="180"/>
      <c r="H772" s="181"/>
      <c r="I772" s="137"/>
      <c r="J772" s="88"/>
      <c r="K772" s="89"/>
      <c r="L772" s="55"/>
      <c r="M772" s="137"/>
      <c r="N772" s="182"/>
      <c r="O772" s="89"/>
      <c r="P772" s="55"/>
      <c r="Q772" s="183"/>
      <c r="R772" s="184"/>
      <c r="S772" s="185"/>
      <c r="T772" s="172"/>
      <c r="U772" s="183"/>
      <c r="V772" s="184"/>
      <c r="W772" s="185"/>
      <c r="X772" s="172"/>
      <c r="Y772" s="137"/>
      <c r="Z772" s="186"/>
      <c r="AA772" s="187"/>
      <c r="AB772" s="188"/>
      <c r="AC772" s="137"/>
      <c r="AD772" s="184"/>
      <c r="AE772" s="189"/>
      <c r="AF772" s="190"/>
      <c r="AG772" s="143"/>
      <c r="AH772" s="143"/>
      <c r="AI772" s="143"/>
      <c r="AJ772" s="143"/>
      <c r="AK772" s="172"/>
      <c r="AL772" s="172"/>
    </row>
    <row r="773">
      <c r="A773" s="137"/>
      <c r="B773" s="88"/>
      <c r="C773" s="89"/>
      <c r="D773" s="55"/>
      <c r="E773" s="137"/>
      <c r="F773" s="88"/>
      <c r="G773" s="180"/>
      <c r="H773" s="181"/>
      <c r="I773" s="137"/>
      <c r="J773" s="88"/>
      <c r="K773" s="89"/>
      <c r="L773" s="55"/>
      <c r="M773" s="137"/>
      <c r="N773" s="182"/>
      <c r="O773" s="89"/>
      <c r="P773" s="55"/>
      <c r="Q773" s="183"/>
      <c r="R773" s="184"/>
      <c r="S773" s="185"/>
      <c r="T773" s="172"/>
      <c r="U773" s="183"/>
      <c r="V773" s="184"/>
      <c r="W773" s="185"/>
      <c r="X773" s="172"/>
      <c r="Y773" s="137"/>
      <c r="Z773" s="186"/>
      <c r="AA773" s="187"/>
      <c r="AB773" s="188"/>
      <c r="AC773" s="137"/>
      <c r="AD773" s="184"/>
      <c r="AE773" s="189"/>
      <c r="AF773" s="190"/>
      <c r="AG773" s="143"/>
      <c r="AH773" s="143"/>
      <c r="AI773" s="143"/>
      <c r="AJ773" s="143"/>
      <c r="AK773" s="172"/>
      <c r="AL773" s="172"/>
    </row>
    <row r="774">
      <c r="A774" s="137"/>
      <c r="B774" s="88"/>
      <c r="C774" s="89"/>
      <c r="D774" s="55"/>
      <c r="E774" s="137"/>
      <c r="F774" s="88"/>
      <c r="G774" s="180"/>
      <c r="H774" s="181"/>
      <c r="I774" s="137"/>
      <c r="J774" s="88"/>
      <c r="K774" s="89"/>
      <c r="L774" s="55"/>
      <c r="M774" s="137"/>
      <c r="N774" s="182"/>
      <c r="O774" s="89"/>
      <c r="P774" s="55"/>
      <c r="Q774" s="183"/>
      <c r="R774" s="184"/>
      <c r="S774" s="185"/>
      <c r="T774" s="172"/>
      <c r="U774" s="183"/>
      <c r="V774" s="184"/>
      <c r="W774" s="185"/>
      <c r="X774" s="172"/>
      <c r="Y774" s="137"/>
      <c r="Z774" s="186"/>
      <c r="AA774" s="187"/>
      <c r="AB774" s="188"/>
      <c r="AC774" s="137"/>
      <c r="AD774" s="184"/>
      <c r="AE774" s="189"/>
      <c r="AF774" s="190"/>
      <c r="AG774" s="143"/>
      <c r="AH774" s="143"/>
      <c r="AI774" s="143"/>
      <c r="AJ774" s="143"/>
      <c r="AK774" s="172"/>
      <c r="AL774" s="172"/>
    </row>
    <row r="775">
      <c r="A775" s="137"/>
      <c r="B775" s="88"/>
      <c r="C775" s="89"/>
      <c r="D775" s="55"/>
      <c r="E775" s="137"/>
      <c r="F775" s="88"/>
      <c r="G775" s="180"/>
      <c r="H775" s="181"/>
      <c r="I775" s="137"/>
      <c r="J775" s="88"/>
      <c r="K775" s="89"/>
      <c r="L775" s="55"/>
      <c r="M775" s="137"/>
      <c r="N775" s="182"/>
      <c r="O775" s="89"/>
      <c r="P775" s="55"/>
      <c r="Q775" s="183"/>
      <c r="R775" s="184"/>
      <c r="S775" s="185"/>
      <c r="T775" s="172"/>
      <c r="U775" s="183"/>
      <c r="V775" s="184"/>
      <c r="W775" s="185"/>
      <c r="X775" s="172"/>
      <c r="Y775" s="137"/>
      <c r="Z775" s="186"/>
      <c r="AA775" s="187"/>
      <c r="AB775" s="188"/>
      <c r="AC775" s="137"/>
      <c r="AD775" s="184"/>
      <c r="AE775" s="189"/>
      <c r="AF775" s="190"/>
      <c r="AG775" s="143"/>
      <c r="AH775" s="143"/>
      <c r="AI775" s="143"/>
      <c r="AJ775" s="143"/>
      <c r="AK775" s="172"/>
      <c r="AL775" s="172"/>
    </row>
    <row r="776">
      <c r="A776" s="137"/>
      <c r="B776" s="88"/>
      <c r="C776" s="89"/>
      <c r="D776" s="55"/>
      <c r="E776" s="137"/>
      <c r="F776" s="88"/>
      <c r="G776" s="180"/>
      <c r="H776" s="181"/>
      <c r="I776" s="137"/>
      <c r="J776" s="88"/>
      <c r="K776" s="89"/>
      <c r="L776" s="55"/>
      <c r="M776" s="137"/>
      <c r="N776" s="182"/>
      <c r="O776" s="89"/>
      <c r="P776" s="55"/>
      <c r="Q776" s="183"/>
      <c r="R776" s="184"/>
      <c r="S776" s="185"/>
      <c r="T776" s="172"/>
      <c r="U776" s="183"/>
      <c r="V776" s="184"/>
      <c r="W776" s="185"/>
      <c r="X776" s="172"/>
      <c r="Y776" s="137"/>
      <c r="Z776" s="186"/>
      <c r="AA776" s="187"/>
      <c r="AB776" s="188"/>
      <c r="AC776" s="137"/>
      <c r="AD776" s="184"/>
      <c r="AE776" s="189"/>
      <c r="AF776" s="190"/>
      <c r="AG776" s="143"/>
      <c r="AH776" s="143"/>
      <c r="AI776" s="143"/>
      <c r="AJ776" s="143"/>
      <c r="AK776" s="172"/>
      <c r="AL776" s="172"/>
    </row>
    <row r="777">
      <c r="A777" s="137"/>
      <c r="B777" s="88"/>
      <c r="C777" s="89"/>
      <c r="D777" s="55"/>
      <c r="E777" s="137"/>
      <c r="F777" s="88"/>
      <c r="G777" s="180"/>
      <c r="H777" s="181"/>
      <c r="I777" s="137"/>
      <c r="J777" s="88"/>
      <c r="K777" s="89"/>
      <c r="L777" s="55"/>
      <c r="M777" s="137"/>
      <c r="N777" s="182"/>
      <c r="O777" s="89"/>
      <c r="P777" s="55"/>
      <c r="Q777" s="183"/>
      <c r="R777" s="184"/>
      <c r="S777" s="185"/>
      <c r="T777" s="172"/>
      <c r="U777" s="183"/>
      <c r="V777" s="184"/>
      <c r="W777" s="185"/>
      <c r="X777" s="172"/>
      <c r="Y777" s="137"/>
      <c r="Z777" s="186"/>
      <c r="AA777" s="187"/>
      <c r="AB777" s="188"/>
      <c r="AC777" s="137"/>
      <c r="AD777" s="184"/>
      <c r="AE777" s="189"/>
      <c r="AF777" s="190"/>
      <c r="AG777" s="143"/>
      <c r="AH777" s="143"/>
      <c r="AI777" s="143"/>
      <c r="AJ777" s="143"/>
      <c r="AK777" s="172"/>
      <c r="AL777" s="172"/>
    </row>
    <row r="778">
      <c r="A778" s="137"/>
      <c r="B778" s="88"/>
      <c r="C778" s="89"/>
      <c r="D778" s="55"/>
      <c r="E778" s="137"/>
      <c r="F778" s="88"/>
      <c r="G778" s="180"/>
      <c r="H778" s="181"/>
      <c r="I778" s="137"/>
      <c r="J778" s="88"/>
      <c r="K778" s="89"/>
      <c r="L778" s="55"/>
      <c r="M778" s="137"/>
      <c r="N778" s="182"/>
      <c r="O778" s="89"/>
      <c r="P778" s="55"/>
      <c r="Q778" s="183"/>
      <c r="R778" s="184"/>
      <c r="S778" s="185"/>
      <c r="T778" s="172"/>
      <c r="U778" s="183"/>
      <c r="V778" s="184"/>
      <c r="W778" s="185"/>
      <c r="X778" s="172"/>
      <c r="Y778" s="137"/>
      <c r="Z778" s="186"/>
      <c r="AA778" s="187"/>
      <c r="AB778" s="188"/>
      <c r="AC778" s="137"/>
      <c r="AD778" s="184"/>
      <c r="AE778" s="189"/>
      <c r="AF778" s="190"/>
      <c r="AG778" s="143"/>
      <c r="AH778" s="143"/>
      <c r="AI778" s="143"/>
      <c r="AJ778" s="143"/>
      <c r="AK778" s="172"/>
      <c r="AL778" s="172"/>
    </row>
    <row r="779">
      <c r="A779" s="137"/>
      <c r="B779" s="88"/>
      <c r="C779" s="89"/>
      <c r="D779" s="55"/>
      <c r="E779" s="137"/>
      <c r="F779" s="88"/>
      <c r="G779" s="180"/>
      <c r="H779" s="181"/>
      <c r="I779" s="137"/>
      <c r="J779" s="88"/>
      <c r="K779" s="89"/>
      <c r="L779" s="55"/>
      <c r="M779" s="137"/>
      <c r="N779" s="182"/>
      <c r="O779" s="89"/>
      <c r="P779" s="55"/>
      <c r="Q779" s="183"/>
      <c r="R779" s="184"/>
      <c r="S779" s="185"/>
      <c r="T779" s="172"/>
      <c r="U779" s="183"/>
      <c r="V779" s="184"/>
      <c r="W779" s="185"/>
      <c r="X779" s="172"/>
      <c r="Y779" s="137"/>
      <c r="Z779" s="186"/>
      <c r="AA779" s="187"/>
      <c r="AB779" s="188"/>
      <c r="AC779" s="137"/>
      <c r="AD779" s="184"/>
      <c r="AE779" s="189"/>
      <c r="AF779" s="190"/>
      <c r="AG779" s="143"/>
      <c r="AH779" s="143"/>
      <c r="AI779" s="143"/>
      <c r="AJ779" s="143"/>
      <c r="AK779" s="172"/>
      <c r="AL779" s="172"/>
    </row>
    <row r="780">
      <c r="A780" s="137"/>
      <c r="B780" s="88"/>
      <c r="C780" s="89"/>
      <c r="D780" s="55"/>
      <c r="E780" s="137"/>
      <c r="F780" s="88"/>
      <c r="G780" s="180"/>
      <c r="H780" s="181"/>
      <c r="I780" s="137"/>
      <c r="J780" s="88"/>
      <c r="K780" s="89"/>
      <c r="L780" s="55"/>
      <c r="M780" s="137"/>
      <c r="N780" s="182"/>
      <c r="O780" s="89"/>
      <c r="P780" s="55"/>
      <c r="Q780" s="183"/>
      <c r="R780" s="184"/>
      <c r="S780" s="185"/>
      <c r="T780" s="172"/>
      <c r="U780" s="183"/>
      <c r="V780" s="184"/>
      <c r="W780" s="185"/>
      <c r="X780" s="172"/>
      <c r="Y780" s="137"/>
      <c r="Z780" s="186"/>
      <c r="AA780" s="187"/>
      <c r="AB780" s="188"/>
      <c r="AC780" s="137"/>
      <c r="AD780" s="184"/>
      <c r="AE780" s="189"/>
      <c r="AF780" s="190"/>
      <c r="AG780" s="143"/>
      <c r="AH780" s="143"/>
      <c r="AI780" s="143"/>
      <c r="AJ780" s="143"/>
      <c r="AK780" s="172"/>
      <c r="AL780" s="172"/>
    </row>
    <row r="781">
      <c r="A781" s="137"/>
      <c r="B781" s="88"/>
      <c r="C781" s="89"/>
      <c r="D781" s="55"/>
      <c r="E781" s="137"/>
      <c r="F781" s="88"/>
      <c r="G781" s="180"/>
      <c r="H781" s="181"/>
      <c r="I781" s="137"/>
      <c r="J781" s="88"/>
      <c r="K781" s="89"/>
      <c r="L781" s="55"/>
      <c r="M781" s="137"/>
      <c r="N781" s="182"/>
      <c r="O781" s="89"/>
      <c r="P781" s="55"/>
      <c r="Q781" s="183"/>
      <c r="R781" s="184"/>
      <c r="S781" s="185"/>
      <c r="T781" s="172"/>
      <c r="U781" s="183"/>
      <c r="V781" s="184"/>
      <c r="W781" s="185"/>
      <c r="X781" s="172"/>
      <c r="Y781" s="137"/>
      <c r="Z781" s="186"/>
      <c r="AA781" s="187"/>
      <c r="AB781" s="188"/>
      <c r="AC781" s="137"/>
      <c r="AD781" s="184"/>
      <c r="AE781" s="189"/>
      <c r="AF781" s="190"/>
      <c r="AG781" s="143"/>
      <c r="AH781" s="143"/>
      <c r="AI781" s="143"/>
      <c r="AJ781" s="143"/>
      <c r="AK781" s="172"/>
      <c r="AL781" s="172"/>
    </row>
    <row r="782">
      <c r="A782" s="137"/>
      <c r="B782" s="88"/>
      <c r="C782" s="89"/>
      <c r="D782" s="55"/>
      <c r="E782" s="137"/>
      <c r="F782" s="88"/>
      <c r="G782" s="180"/>
      <c r="H782" s="181"/>
      <c r="I782" s="137"/>
      <c r="J782" s="88"/>
      <c r="K782" s="89"/>
      <c r="L782" s="55"/>
      <c r="M782" s="137"/>
      <c r="N782" s="182"/>
      <c r="O782" s="89"/>
      <c r="P782" s="55"/>
      <c r="Q782" s="183"/>
      <c r="R782" s="184"/>
      <c r="S782" s="185"/>
      <c r="T782" s="172"/>
      <c r="U782" s="183"/>
      <c r="V782" s="184"/>
      <c r="W782" s="185"/>
      <c r="X782" s="172"/>
      <c r="Y782" s="137"/>
      <c r="Z782" s="186"/>
      <c r="AA782" s="187"/>
      <c r="AB782" s="188"/>
      <c r="AC782" s="137"/>
      <c r="AD782" s="184"/>
      <c r="AE782" s="189"/>
      <c r="AF782" s="190"/>
      <c r="AG782" s="143"/>
      <c r="AH782" s="143"/>
      <c r="AI782" s="143"/>
      <c r="AJ782" s="143"/>
      <c r="AK782" s="172"/>
      <c r="AL782" s="172"/>
    </row>
    <row r="783">
      <c r="A783" s="137"/>
      <c r="B783" s="88"/>
      <c r="C783" s="89"/>
      <c r="D783" s="55"/>
      <c r="E783" s="137"/>
      <c r="F783" s="88"/>
      <c r="G783" s="180"/>
      <c r="H783" s="181"/>
      <c r="I783" s="137"/>
      <c r="J783" s="88"/>
      <c r="K783" s="89"/>
      <c r="L783" s="55"/>
      <c r="M783" s="137"/>
      <c r="N783" s="182"/>
      <c r="O783" s="89"/>
      <c r="P783" s="55"/>
      <c r="Q783" s="183"/>
      <c r="R783" s="184"/>
      <c r="S783" s="185"/>
      <c r="T783" s="172"/>
      <c r="U783" s="183"/>
      <c r="V783" s="184"/>
      <c r="W783" s="185"/>
      <c r="X783" s="172"/>
      <c r="Y783" s="137"/>
      <c r="Z783" s="186"/>
      <c r="AA783" s="187"/>
      <c r="AB783" s="188"/>
      <c r="AC783" s="137"/>
      <c r="AD783" s="184"/>
      <c r="AE783" s="189"/>
      <c r="AF783" s="190"/>
      <c r="AG783" s="143"/>
      <c r="AH783" s="143"/>
      <c r="AI783" s="143"/>
      <c r="AJ783" s="143"/>
      <c r="AK783" s="172"/>
      <c r="AL783" s="172"/>
    </row>
    <row r="784">
      <c r="A784" s="137"/>
      <c r="B784" s="88"/>
      <c r="C784" s="89"/>
      <c r="D784" s="55"/>
      <c r="E784" s="137"/>
      <c r="F784" s="88"/>
      <c r="G784" s="180"/>
      <c r="H784" s="181"/>
      <c r="I784" s="137"/>
      <c r="J784" s="88"/>
      <c r="K784" s="89"/>
      <c r="L784" s="55"/>
      <c r="M784" s="137"/>
      <c r="N784" s="182"/>
      <c r="O784" s="89"/>
      <c r="P784" s="55"/>
      <c r="Q784" s="183"/>
      <c r="R784" s="184"/>
      <c r="S784" s="185"/>
      <c r="T784" s="172"/>
      <c r="U784" s="183"/>
      <c r="V784" s="184"/>
      <c r="W784" s="185"/>
      <c r="X784" s="172"/>
      <c r="Y784" s="137"/>
      <c r="Z784" s="186"/>
      <c r="AA784" s="187"/>
      <c r="AB784" s="188"/>
      <c r="AC784" s="137"/>
      <c r="AD784" s="184"/>
      <c r="AE784" s="189"/>
      <c r="AF784" s="190"/>
      <c r="AG784" s="143"/>
      <c r="AH784" s="143"/>
      <c r="AI784" s="143"/>
      <c r="AJ784" s="143"/>
      <c r="AK784" s="172"/>
      <c r="AL784" s="172"/>
    </row>
    <row r="785">
      <c r="A785" s="137"/>
      <c r="B785" s="88"/>
      <c r="C785" s="89"/>
      <c r="D785" s="55"/>
      <c r="E785" s="137"/>
      <c r="F785" s="88"/>
      <c r="G785" s="180"/>
      <c r="H785" s="181"/>
      <c r="I785" s="137"/>
      <c r="J785" s="88"/>
      <c r="K785" s="89"/>
      <c r="L785" s="55"/>
      <c r="M785" s="137"/>
      <c r="N785" s="182"/>
      <c r="O785" s="89"/>
      <c r="P785" s="55"/>
      <c r="Q785" s="183"/>
      <c r="R785" s="184"/>
      <c r="S785" s="185"/>
      <c r="T785" s="172"/>
      <c r="U785" s="183"/>
      <c r="V785" s="184"/>
      <c r="W785" s="185"/>
      <c r="X785" s="172"/>
      <c r="Y785" s="137"/>
      <c r="Z785" s="186"/>
      <c r="AA785" s="187"/>
      <c r="AB785" s="188"/>
      <c r="AC785" s="137"/>
      <c r="AD785" s="184"/>
      <c r="AE785" s="189"/>
      <c r="AF785" s="190"/>
      <c r="AG785" s="143"/>
      <c r="AH785" s="143"/>
      <c r="AI785" s="143"/>
      <c r="AJ785" s="143"/>
      <c r="AK785" s="172"/>
      <c r="AL785" s="172"/>
    </row>
    <row r="786">
      <c r="A786" s="137"/>
      <c r="B786" s="88"/>
      <c r="C786" s="89"/>
      <c r="D786" s="55"/>
      <c r="E786" s="137"/>
      <c r="F786" s="88"/>
      <c r="G786" s="180"/>
      <c r="H786" s="181"/>
      <c r="I786" s="137"/>
      <c r="J786" s="88"/>
      <c r="K786" s="89"/>
      <c r="L786" s="55"/>
      <c r="M786" s="137"/>
      <c r="N786" s="182"/>
      <c r="O786" s="89"/>
      <c r="P786" s="55"/>
      <c r="Q786" s="183"/>
      <c r="R786" s="184"/>
      <c r="S786" s="185"/>
      <c r="T786" s="172"/>
      <c r="U786" s="183"/>
      <c r="V786" s="184"/>
      <c r="W786" s="185"/>
      <c r="X786" s="172"/>
      <c r="Y786" s="137"/>
      <c r="Z786" s="186"/>
      <c r="AA786" s="187"/>
      <c r="AB786" s="188"/>
      <c r="AC786" s="137"/>
      <c r="AD786" s="184"/>
      <c r="AE786" s="189"/>
      <c r="AF786" s="190"/>
      <c r="AG786" s="143"/>
      <c r="AH786" s="143"/>
      <c r="AI786" s="143"/>
      <c r="AJ786" s="143"/>
      <c r="AK786" s="172"/>
      <c r="AL786" s="172"/>
    </row>
    <row r="787">
      <c r="A787" s="137"/>
      <c r="B787" s="88"/>
      <c r="C787" s="89"/>
      <c r="D787" s="55"/>
      <c r="E787" s="137"/>
      <c r="F787" s="88"/>
      <c r="G787" s="180"/>
      <c r="H787" s="181"/>
      <c r="I787" s="137"/>
      <c r="J787" s="88"/>
      <c r="K787" s="89"/>
      <c r="L787" s="55"/>
      <c r="M787" s="137"/>
      <c r="N787" s="182"/>
      <c r="O787" s="89"/>
      <c r="P787" s="55"/>
      <c r="Q787" s="183"/>
      <c r="R787" s="184"/>
      <c r="S787" s="185"/>
      <c r="T787" s="172"/>
      <c r="U787" s="183"/>
      <c r="V787" s="184"/>
      <c r="W787" s="185"/>
      <c r="X787" s="172"/>
      <c r="Y787" s="137"/>
      <c r="Z787" s="186"/>
      <c r="AA787" s="187"/>
      <c r="AB787" s="188"/>
      <c r="AC787" s="137"/>
      <c r="AD787" s="184"/>
      <c r="AE787" s="189"/>
      <c r="AF787" s="190"/>
      <c r="AG787" s="143"/>
      <c r="AH787" s="143"/>
      <c r="AI787" s="143"/>
      <c r="AJ787" s="143"/>
      <c r="AK787" s="172"/>
      <c r="AL787" s="172"/>
    </row>
    <row r="788">
      <c r="A788" s="137"/>
      <c r="B788" s="88"/>
      <c r="C788" s="89"/>
      <c r="D788" s="55"/>
      <c r="E788" s="137"/>
      <c r="F788" s="88"/>
      <c r="G788" s="180"/>
      <c r="H788" s="181"/>
      <c r="I788" s="137"/>
      <c r="J788" s="88"/>
      <c r="K788" s="89"/>
      <c r="L788" s="55"/>
      <c r="M788" s="137"/>
      <c r="N788" s="182"/>
      <c r="O788" s="89"/>
      <c r="P788" s="55"/>
      <c r="Q788" s="183"/>
      <c r="R788" s="184"/>
      <c r="S788" s="185"/>
      <c r="T788" s="172"/>
      <c r="U788" s="183"/>
      <c r="V788" s="184"/>
      <c r="W788" s="185"/>
      <c r="X788" s="172"/>
      <c r="Y788" s="137"/>
      <c r="Z788" s="186"/>
      <c r="AA788" s="187"/>
      <c r="AB788" s="188"/>
      <c r="AC788" s="137"/>
      <c r="AD788" s="184"/>
      <c r="AE788" s="189"/>
      <c r="AF788" s="190"/>
      <c r="AG788" s="143"/>
      <c r="AH788" s="143"/>
      <c r="AI788" s="143"/>
      <c r="AJ788" s="143"/>
      <c r="AK788" s="172"/>
      <c r="AL788" s="172"/>
    </row>
    <row r="789">
      <c r="A789" s="137"/>
      <c r="B789" s="88"/>
      <c r="C789" s="89"/>
      <c r="D789" s="55"/>
      <c r="E789" s="137"/>
      <c r="F789" s="88"/>
      <c r="G789" s="180"/>
      <c r="H789" s="181"/>
      <c r="I789" s="137"/>
      <c r="J789" s="88"/>
      <c r="K789" s="89"/>
      <c r="L789" s="55"/>
      <c r="M789" s="137"/>
      <c r="N789" s="182"/>
      <c r="O789" s="89"/>
      <c r="P789" s="55"/>
      <c r="Q789" s="183"/>
      <c r="R789" s="184"/>
      <c r="S789" s="185"/>
      <c r="T789" s="172"/>
      <c r="U789" s="183"/>
      <c r="V789" s="184"/>
      <c r="W789" s="185"/>
      <c r="X789" s="172"/>
      <c r="Y789" s="137"/>
      <c r="Z789" s="186"/>
      <c r="AA789" s="187"/>
      <c r="AB789" s="188"/>
      <c r="AC789" s="137"/>
      <c r="AD789" s="184"/>
      <c r="AE789" s="189"/>
      <c r="AF789" s="190"/>
      <c r="AG789" s="143"/>
      <c r="AH789" s="143"/>
      <c r="AI789" s="143"/>
      <c r="AJ789" s="143"/>
      <c r="AK789" s="172"/>
      <c r="AL789" s="172"/>
    </row>
    <row r="790">
      <c r="A790" s="137"/>
      <c r="B790" s="88"/>
      <c r="C790" s="89"/>
      <c r="D790" s="55"/>
      <c r="E790" s="137"/>
      <c r="F790" s="88"/>
      <c r="G790" s="180"/>
      <c r="H790" s="181"/>
      <c r="I790" s="137"/>
      <c r="J790" s="88"/>
      <c r="K790" s="89"/>
      <c r="L790" s="55"/>
      <c r="M790" s="137"/>
      <c r="N790" s="182"/>
      <c r="O790" s="89"/>
      <c r="P790" s="55"/>
      <c r="Q790" s="183"/>
      <c r="R790" s="184"/>
      <c r="S790" s="185"/>
      <c r="T790" s="172"/>
      <c r="U790" s="183"/>
      <c r="V790" s="184"/>
      <c r="W790" s="185"/>
      <c r="X790" s="172"/>
      <c r="Y790" s="137"/>
      <c r="Z790" s="186"/>
      <c r="AA790" s="187"/>
      <c r="AB790" s="188"/>
      <c r="AC790" s="137"/>
      <c r="AD790" s="184"/>
      <c r="AE790" s="189"/>
      <c r="AF790" s="190"/>
      <c r="AG790" s="143"/>
      <c r="AH790" s="143"/>
      <c r="AI790" s="143"/>
      <c r="AJ790" s="143"/>
      <c r="AK790" s="172"/>
      <c r="AL790" s="172"/>
    </row>
    <row r="791">
      <c r="A791" s="137"/>
      <c r="B791" s="88"/>
      <c r="C791" s="89"/>
      <c r="D791" s="55"/>
      <c r="E791" s="137"/>
      <c r="F791" s="88"/>
      <c r="G791" s="180"/>
      <c r="H791" s="181"/>
      <c r="I791" s="137"/>
      <c r="J791" s="88"/>
      <c r="K791" s="89"/>
      <c r="L791" s="55"/>
      <c r="M791" s="137"/>
      <c r="N791" s="182"/>
      <c r="O791" s="89"/>
      <c r="P791" s="55"/>
      <c r="Q791" s="183"/>
      <c r="R791" s="184"/>
      <c r="S791" s="185"/>
      <c r="T791" s="172"/>
      <c r="U791" s="183"/>
      <c r="V791" s="184"/>
      <c r="W791" s="185"/>
      <c r="X791" s="172"/>
      <c r="Y791" s="137"/>
      <c r="Z791" s="186"/>
      <c r="AA791" s="187"/>
      <c r="AB791" s="188"/>
      <c r="AC791" s="137"/>
      <c r="AD791" s="184"/>
      <c r="AE791" s="189"/>
      <c r="AF791" s="190"/>
      <c r="AG791" s="143"/>
      <c r="AH791" s="143"/>
      <c r="AI791" s="143"/>
      <c r="AJ791" s="143"/>
      <c r="AK791" s="172"/>
      <c r="AL791" s="172"/>
    </row>
    <row r="792">
      <c r="A792" s="137"/>
      <c r="B792" s="88"/>
      <c r="C792" s="89"/>
      <c r="D792" s="55"/>
      <c r="E792" s="137"/>
      <c r="F792" s="88"/>
      <c r="G792" s="180"/>
      <c r="H792" s="181"/>
      <c r="I792" s="137"/>
      <c r="J792" s="88"/>
      <c r="K792" s="89"/>
      <c r="L792" s="55"/>
      <c r="M792" s="137"/>
      <c r="N792" s="182"/>
      <c r="O792" s="89"/>
      <c r="P792" s="55"/>
      <c r="Q792" s="183"/>
      <c r="R792" s="184"/>
      <c r="S792" s="185"/>
      <c r="T792" s="172"/>
      <c r="U792" s="183"/>
      <c r="V792" s="184"/>
      <c r="W792" s="185"/>
      <c r="X792" s="172"/>
      <c r="Y792" s="137"/>
      <c r="Z792" s="186"/>
      <c r="AA792" s="187"/>
      <c r="AB792" s="188"/>
      <c r="AC792" s="137"/>
      <c r="AD792" s="184"/>
      <c r="AE792" s="189"/>
      <c r="AF792" s="190"/>
      <c r="AG792" s="143"/>
      <c r="AH792" s="143"/>
      <c r="AI792" s="143"/>
      <c r="AJ792" s="143"/>
      <c r="AK792" s="172"/>
      <c r="AL792" s="172"/>
    </row>
    <row r="793">
      <c r="A793" s="137"/>
      <c r="B793" s="88"/>
      <c r="C793" s="89"/>
      <c r="D793" s="55"/>
      <c r="E793" s="137"/>
      <c r="F793" s="88"/>
      <c r="G793" s="180"/>
      <c r="H793" s="181"/>
      <c r="I793" s="137"/>
      <c r="J793" s="88"/>
      <c r="K793" s="89"/>
      <c r="L793" s="55"/>
      <c r="M793" s="137"/>
      <c r="N793" s="182"/>
      <c r="O793" s="89"/>
      <c r="P793" s="55"/>
      <c r="Q793" s="183"/>
      <c r="R793" s="184"/>
      <c r="S793" s="185"/>
      <c r="T793" s="172"/>
      <c r="U793" s="183"/>
      <c r="V793" s="184"/>
      <c r="W793" s="185"/>
      <c r="X793" s="172"/>
      <c r="Y793" s="137"/>
      <c r="Z793" s="186"/>
      <c r="AA793" s="187"/>
      <c r="AB793" s="188"/>
      <c r="AC793" s="137"/>
      <c r="AD793" s="184"/>
      <c r="AE793" s="189"/>
      <c r="AF793" s="190"/>
      <c r="AG793" s="143"/>
      <c r="AH793" s="143"/>
      <c r="AI793" s="143"/>
      <c r="AJ793" s="143"/>
      <c r="AK793" s="172"/>
      <c r="AL793" s="172"/>
    </row>
    <row r="794">
      <c r="A794" s="137"/>
      <c r="B794" s="88"/>
      <c r="C794" s="89"/>
      <c r="D794" s="55"/>
      <c r="E794" s="137"/>
      <c r="F794" s="88"/>
      <c r="G794" s="180"/>
      <c r="H794" s="181"/>
      <c r="I794" s="137"/>
      <c r="J794" s="88"/>
      <c r="K794" s="89"/>
      <c r="L794" s="55"/>
      <c r="M794" s="137"/>
      <c r="N794" s="182"/>
      <c r="O794" s="89"/>
      <c r="P794" s="55"/>
      <c r="Q794" s="183"/>
      <c r="R794" s="184"/>
      <c r="S794" s="185"/>
      <c r="T794" s="172"/>
      <c r="U794" s="183"/>
      <c r="V794" s="184"/>
      <c r="W794" s="185"/>
      <c r="X794" s="172"/>
      <c r="Y794" s="137"/>
      <c r="Z794" s="186"/>
      <c r="AA794" s="187"/>
      <c r="AB794" s="188"/>
      <c r="AC794" s="137"/>
      <c r="AD794" s="184"/>
      <c r="AE794" s="189"/>
      <c r="AF794" s="190"/>
      <c r="AG794" s="143"/>
      <c r="AH794" s="143"/>
      <c r="AI794" s="143"/>
      <c r="AJ794" s="143"/>
      <c r="AK794" s="172"/>
      <c r="AL794" s="172"/>
    </row>
    <row r="795">
      <c r="A795" s="137"/>
      <c r="B795" s="88"/>
      <c r="C795" s="89"/>
      <c r="D795" s="55"/>
      <c r="E795" s="137"/>
      <c r="F795" s="88"/>
      <c r="G795" s="180"/>
      <c r="H795" s="181"/>
      <c r="I795" s="137"/>
      <c r="J795" s="88"/>
      <c r="K795" s="89"/>
      <c r="L795" s="55"/>
      <c r="M795" s="137"/>
      <c r="N795" s="182"/>
      <c r="O795" s="89"/>
      <c r="P795" s="55"/>
      <c r="Q795" s="183"/>
      <c r="R795" s="184"/>
      <c r="S795" s="185"/>
      <c r="T795" s="172"/>
      <c r="U795" s="183"/>
      <c r="V795" s="184"/>
      <c r="W795" s="185"/>
      <c r="X795" s="172"/>
      <c r="Y795" s="137"/>
      <c r="Z795" s="186"/>
      <c r="AA795" s="187"/>
      <c r="AB795" s="188"/>
      <c r="AC795" s="137"/>
      <c r="AD795" s="184"/>
      <c r="AE795" s="189"/>
      <c r="AF795" s="190"/>
      <c r="AG795" s="143"/>
      <c r="AH795" s="143"/>
      <c r="AI795" s="143"/>
      <c r="AJ795" s="143"/>
      <c r="AK795" s="172"/>
      <c r="AL795" s="172"/>
    </row>
    <row r="796">
      <c r="A796" s="137"/>
      <c r="B796" s="88"/>
      <c r="C796" s="89"/>
      <c r="D796" s="55"/>
      <c r="E796" s="137"/>
      <c r="F796" s="88"/>
      <c r="G796" s="180"/>
      <c r="H796" s="181"/>
      <c r="I796" s="137"/>
      <c r="J796" s="88"/>
      <c r="K796" s="89"/>
      <c r="L796" s="55"/>
      <c r="M796" s="137"/>
      <c r="N796" s="182"/>
      <c r="O796" s="89"/>
      <c r="P796" s="55"/>
      <c r="Q796" s="183"/>
      <c r="R796" s="184"/>
      <c r="S796" s="185"/>
      <c r="T796" s="172"/>
      <c r="U796" s="183"/>
      <c r="V796" s="184"/>
      <c r="W796" s="185"/>
      <c r="X796" s="172"/>
      <c r="Y796" s="137"/>
      <c r="Z796" s="186"/>
      <c r="AA796" s="187"/>
      <c r="AB796" s="188"/>
      <c r="AC796" s="137"/>
      <c r="AD796" s="184"/>
      <c r="AE796" s="189"/>
      <c r="AF796" s="190"/>
      <c r="AG796" s="143"/>
      <c r="AH796" s="143"/>
      <c r="AI796" s="143"/>
      <c r="AJ796" s="143"/>
      <c r="AK796" s="172"/>
      <c r="AL796" s="172"/>
    </row>
    <row r="797">
      <c r="A797" s="137"/>
      <c r="B797" s="88"/>
      <c r="C797" s="89"/>
      <c r="D797" s="55"/>
      <c r="E797" s="137"/>
      <c r="F797" s="88"/>
      <c r="G797" s="180"/>
      <c r="H797" s="181"/>
      <c r="I797" s="137"/>
      <c r="J797" s="88"/>
      <c r="K797" s="89"/>
      <c r="L797" s="55"/>
      <c r="M797" s="137"/>
      <c r="N797" s="182"/>
      <c r="O797" s="89"/>
      <c r="P797" s="55"/>
      <c r="Q797" s="183"/>
      <c r="R797" s="184"/>
      <c r="S797" s="185"/>
      <c r="T797" s="172"/>
      <c r="U797" s="183"/>
      <c r="V797" s="184"/>
      <c r="W797" s="185"/>
      <c r="X797" s="172"/>
      <c r="Y797" s="137"/>
      <c r="Z797" s="186"/>
      <c r="AA797" s="187"/>
      <c r="AB797" s="188"/>
      <c r="AC797" s="137"/>
      <c r="AD797" s="184"/>
      <c r="AE797" s="189"/>
      <c r="AF797" s="190"/>
      <c r="AG797" s="143"/>
      <c r="AH797" s="143"/>
      <c r="AI797" s="143"/>
      <c r="AJ797" s="143"/>
      <c r="AK797" s="172"/>
      <c r="AL797" s="172"/>
    </row>
    <row r="798">
      <c r="A798" s="137"/>
      <c r="B798" s="88"/>
      <c r="C798" s="89"/>
      <c r="D798" s="55"/>
      <c r="E798" s="137"/>
      <c r="F798" s="88"/>
      <c r="G798" s="180"/>
      <c r="H798" s="181"/>
      <c r="I798" s="137"/>
      <c r="J798" s="88"/>
      <c r="K798" s="89"/>
      <c r="L798" s="55"/>
      <c r="M798" s="137"/>
      <c r="N798" s="182"/>
      <c r="O798" s="89"/>
      <c r="P798" s="55"/>
      <c r="Q798" s="183"/>
      <c r="R798" s="184"/>
      <c r="S798" s="185"/>
      <c r="T798" s="172"/>
      <c r="U798" s="183"/>
      <c r="V798" s="184"/>
      <c r="W798" s="185"/>
      <c r="X798" s="172"/>
      <c r="Y798" s="137"/>
      <c r="Z798" s="186"/>
      <c r="AA798" s="187"/>
      <c r="AB798" s="188"/>
      <c r="AC798" s="137"/>
      <c r="AD798" s="184"/>
      <c r="AE798" s="189"/>
      <c r="AF798" s="190"/>
      <c r="AG798" s="143"/>
      <c r="AH798" s="143"/>
      <c r="AI798" s="143"/>
      <c r="AJ798" s="143"/>
      <c r="AK798" s="172"/>
      <c r="AL798" s="172"/>
    </row>
    <row r="799">
      <c r="A799" s="137"/>
      <c r="B799" s="88"/>
      <c r="C799" s="89"/>
      <c r="D799" s="55"/>
      <c r="E799" s="137"/>
      <c r="F799" s="88"/>
      <c r="G799" s="180"/>
      <c r="H799" s="181"/>
      <c r="I799" s="137"/>
      <c r="J799" s="88"/>
      <c r="K799" s="89"/>
      <c r="L799" s="55"/>
      <c r="M799" s="137"/>
      <c r="N799" s="182"/>
      <c r="O799" s="89"/>
      <c r="P799" s="55"/>
      <c r="Q799" s="183"/>
      <c r="R799" s="184"/>
      <c r="S799" s="185"/>
      <c r="T799" s="172"/>
      <c r="U799" s="183"/>
      <c r="V799" s="184"/>
      <c r="W799" s="185"/>
      <c r="X799" s="172"/>
      <c r="Y799" s="137"/>
      <c r="Z799" s="186"/>
      <c r="AA799" s="187"/>
      <c r="AB799" s="188"/>
      <c r="AC799" s="137"/>
      <c r="AD799" s="184"/>
      <c r="AE799" s="189"/>
      <c r="AF799" s="190"/>
      <c r="AG799" s="143"/>
      <c r="AH799" s="143"/>
      <c r="AI799" s="143"/>
      <c r="AJ799" s="143"/>
      <c r="AK799" s="172"/>
      <c r="AL799" s="172"/>
    </row>
    <row r="800">
      <c r="A800" s="137"/>
      <c r="B800" s="88"/>
      <c r="C800" s="89"/>
      <c r="D800" s="55"/>
      <c r="E800" s="137"/>
      <c r="F800" s="88"/>
      <c r="G800" s="180"/>
      <c r="H800" s="181"/>
      <c r="I800" s="137"/>
      <c r="J800" s="88"/>
      <c r="K800" s="89"/>
      <c r="L800" s="55"/>
      <c r="M800" s="137"/>
      <c r="N800" s="182"/>
      <c r="O800" s="89"/>
      <c r="P800" s="55"/>
      <c r="Q800" s="183"/>
      <c r="R800" s="184"/>
      <c r="S800" s="185"/>
      <c r="T800" s="172"/>
      <c r="U800" s="183"/>
      <c r="V800" s="184"/>
      <c r="W800" s="185"/>
      <c r="X800" s="172"/>
      <c r="Y800" s="137"/>
      <c r="Z800" s="186"/>
      <c r="AA800" s="187"/>
      <c r="AB800" s="188"/>
      <c r="AC800" s="137"/>
      <c r="AD800" s="184"/>
      <c r="AE800" s="189"/>
      <c r="AF800" s="190"/>
      <c r="AG800" s="143"/>
      <c r="AH800" s="143"/>
      <c r="AI800" s="143"/>
      <c r="AJ800" s="143"/>
      <c r="AK800" s="172"/>
      <c r="AL800" s="172"/>
    </row>
    <row r="801">
      <c r="A801" s="137"/>
      <c r="B801" s="88"/>
      <c r="C801" s="89"/>
      <c r="D801" s="55"/>
      <c r="E801" s="137"/>
      <c r="F801" s="88"/>
      <c r="G801" s="180"/>
      <c r="H801" s="181"/>
      <c r="I801" s="137"/>
      <c r="J801" s="88"/>
      <c r="K801" s="89"/>
      <c r="L801" s="55"/>
      <c r="M801" s="137"/>
      <c r="N801" s="182"/>
      <c r="O801" s="89"/>
      <c r="P801" s="55"/>
      <c r="Q801" s="183"/>
      <c r="R801" s="184"/>
      <c r="S801" s="185"/>
      <c r="T801" s="172"/>
      <c r="U801" s="183"/>
      <c r="V801" s="184"/>
      <c r="W801" s="185"/>
      <c r="X801" s="172"/>
      <c r="Y801" s="137"/>
      <c r="Z801" s="186"/>
      <c r="AA801" s="187"/>
      <c r="AB801" s="188"/>
      <c r="AC801" s="137"/>
      <c r="AD801" s="184"/>
      <c r="AE801" s="189"/>
      <c r="AF801" s="190"/>
      <c r="AG801" s="143"/>
      <c r="AH801" s="143"/>
      <c r="AI801" s="143"/>
      <c r="AJ801" s="143"/>
      <c r="AK801" s="172"/>
      <c r="AL801" s="172"/>
    </row>
    <row r="802">
      <c r="A802" s="137"/>
      <c r="B802" s="88"/>
      <c r="C802" s="89"/>
      <c r="D802" s="55"/>
      <c r="E802" s="137"/>
      <c r="F802" s="88"/>
      <c r="G802" s="180"/>
      <c r="H802" s="181"/>
      <c r="I802" s="137"/>
      <c r="J802" s="88"/>
      <c r="K802" s="89"/>
      <c r="L802" s="55"/>
      <c r="M802" s="137"/>
      <c r="N802" s="182"/>
      <c r="O802" s="89"/>
      <c r="P802" s="55"/>
      <c r="Q802" s="183"/>
      <c r="R802" s="184"/>
      <c r="S802" s="185"/>
      <c r="T802" s="172"/>
      <c r="U802" s="183"/>
      <c r="V802" s="184"/>
      <c r="W802" s="185"/>
      <c r="X802" s="172"/>
      <c r="Y802" s="137"/>
      <c r="Z802" s="186"/>
      <c r="AA802" s="187"/>
      <c r="AB802" s="188"/>
      <c r="AC802" s="137"/>
      <c r="AD802" s="184"/>
      <c r="AE802" s="189"/>
      <c r="AF802" s="190"/>
      <c r="AG802" s="143"/>
      <c r="AH802" s="143"/>
      <c r="AI802" s="143"/>
      <c r="AJ802" s="143"/>
      <c r="AK802" s="172"/>
      <c r="AL802" s="172"/>
    </row>
    <row r="803">
      <c r="A803" s="137"/>
      <c r="B803" s="88"/>
      <c r="C803" s="89"/>
      <c r="D803" s="55"/>
      <c r="E803" s="137"/>
      <c r="F803" s="88"/>
      <c r="G803" s="180"/>
      <c r="H803" s="181"/>
      <c r="I803" s="137"/>
      <c r="J803" s="88"/>
      <c r="K803" s="89"/>
      <c r="L803" s="55"/>
      <c r="M803" s="137"/>
      <c r="N803" s="182"/>
      <c r="O803" s="89"/>
      <c r="P803" s="55"/>
      <c r="Q803" s="183"/>
      <c r="R803" s="184"/>
      <c r="S803" s="185"/>
      <c r="T803" s="172"/>
      <c r="U803" s="183"/>
      <c r="V803" s="184"/>
      <c r="W803" s="185"/>
      <c r="X803" s="172"/>
      <c r="Y803" s="137"/>
      <c r="Z803" s="186"/>
      <c r="AA803" s="187"/>
      <c r="AB803" s="188"/>
      <c r="AC803" s="137"/>
      <c r="AD803" s="184"/>
      <c r="AE803" s="189"/>
      <c r="AF803" s="190"/>
      <c r="AG803" s="143"/>
      <c r="AH803" s="143"/>
      <c r="AI803" s="143"/>
      <c r="AJ803" s="143"/>
      <c r="AK803" s="172"/>
      <c r="AL803" s="172"/>
    </row>
    <row r="804">
      <c r="A804" s="137"/>
      <c r="B804" s="88"/>
      <c r="C804" s="89"/>
      <c r="D804" s="55"/>
      <c r="E804" s="137"/>
      <c r="F804" s="88"/>
      <c r="G804" s="180"/>
      <c r="H804" s="181"/>
      <c r="I804" s="137"/>
      <c r="J804" s="88"/>
      <c r="K804" s="89"/>
      <c r="L804" s="55"/>
      <c r="M804" s="137"/>
      <c r="N804" s="182"/>
      <c r="O804" s="89"/>
      <c r="P804" s="55"/>
      <c r="Q804" s="183"/>
      <c r="R804" s="184"/>
      <c r="S804" s="185"/>
      <c r="T804" s="172"/>
      <c r="U804" s="183"/>
      <c r="V804" s="184"/>
      <c r="W804" s="185"/>
      <c r="X804" s="172"/>
      <c r="Y804" s="137"/>
      <c r="Z804" s="186"/>
      <c r="AA804" s="187"/>
      <c r="AB804" s="188"/>
      <c r="AC804" s="137"/>
      <c r="AD804" s="184"/>
      <c r="AE804" s="189"/>
      <c r="AF804" s="190"/>
      <c r="AG804" s="143"/>
      <c r="AH804" s="143"/>
      <c r="AI804" s="143"/>
      <c r="AJ804" s="143"/>
      <c r="AK804" s="172"/>
      <c r="AL804" s="172"/>
    </row>
    <row r="805">
      <c r="A805" s="137"/>
      <c r="B805" s="88"/>
      <c r="C805" s="89"/>
      <c r="D805" s="55"/>
      <c r="E805" s="137"/>
      <c r="F805" s="88"/>
      <c r="G805" s="180"/>
      <c r="H805" s="181"/>
      <c r="I805" s="137"/>
      <c r="J805" s="88"/>
      <c r="K805" s="89"/>
      <c r="L805" s="55"/>
      <c r="M805" s="137"/>
      <c r="N805" s="182"/>
      <c r="O805" s="89"/>
      <c r="P805" s="55"/>
      <c r="Q805" s="183"/>
      <c r="R805" s="184"/>
      <c r="S805" s="185"/>
      <c r="T805" s="172"/>
      <c r="U805" s="183"/>
      <c r="V805" s="184"/>
      <c r="W805" s="185"/>
      <c r="X805" s="172"/>
      <c r="Y805" s="137"/>
      <c r="Z805" s="186"/>
      <c r="AA805" s="187"/>
      <c r="AB805" s="188"/>
      <c r="AC805" s="137"/>
      <c r="AD805" s="184"/>
      <c r="AE805" s="189"/>
      <c r="AF805" s="190"/>
      <c r="AG805" s="143"/>
      <c r="AH805" s="143"/>
      <c r="AI805" s="143"/>
      <c r="AJ805" s="143"/>
      <c r="AK805" s="172"/>
      <c r="AL805" s="172"/>
    </row>
    <row r="806">
      <c r="A806" s="137"/>
      <c r="B806" s="88"/>
      <c r="C806" s="89"/>
      <c r="D806" s="55"/>
      <c r="E806" s="137"/>
      <c r="F806" s="88"/>
      <c r="G806" s="180"/>
      <c r="H806" s="181"/>
      <c r="I806" s="137"/>
      <c r="J806" s="88"/>
      <c r="K806" s="89"/>
      <c r="L806" s="55"/>
      <c r="M806" s="137"/>
      <c r="N806" s="182"/>
      <c r="O806" s="89"/>
      <c r="P806" s="55"/>
      <c r="Q806" s="183"/>
      <c r="R806" s="184"/>
      <c r="S806" s="185"/>
      <c r="T806" s="172"/>
      <c r="U806" s="183"/>
      <c r="V806" s="184"/>
      <c r="W806" s="185"/>
      <c r="X806" s="172"/>
      <c r="Y806" s="137"/>
      <c r="Z806" s="186"/>
      <c r="AA806" s="187"/>
      <c r="AB806" s="188"/>
      <c r="AC806" s="137"/>
      <c r="AD806" s="184"/>
      <c r="AE806" s="189"/>
      <c r="AF806" s="190"/>
      <c r="AG806" s="143"/>
      <c r="AH806" s="143"/>
      <c r="AI806" s="143"/>
      <c r="AJ806" s="143"/>
      <c r="AK806" s="172"/>
      <c r="AL806" s="172"/>
    </row>
    <row r="807">
      <c r="A807" s="137"/>
      <c r="B807" s="88"/>
      <c r="C807" s="89"/>
      <c r="D807" s="55"/>
      <c r="E807" s="137"/>
      <c r="F807" s="88"/>
      <c r="G807" s="180"/>
      <c r="H807" s="181"/>
      <c r="I807" s="137"/>
      <c r="J807" s="88"/>
      <c r="K807" s="89"/>
      <c r="L807" s="55"/>
      <c r="M807" s="137"/>
      <c r="N807" s="182"/>
      <c r="O807" s="89"/>
      <c r="P807" s="55"/>
      <c r="Q807" s="183"/>
      <c r="R807" s="184"/>
      <c r="S807" s="185"/>
      <c r="T807" s="172"/>
      <c r="U807" s="183"/>
      <c r="V807" s="184"/>
      <c r="W807" s="185"/>
      <c r="X807" s="172"/>
      <c r="Y807" s="137"/>
      <c r="Z807" s="186"/>
      <c r="AA807" s="187"/>
      <c r="AB807" s="188"/>
      <c r="AC807" s="137"/>
      <c r="AD807" s="184"/>
      <c r="AE807" s="189"/>
      <c r="AF807" s="190"/>
      <c r="AG807" s="143"/>
      <c r="AH807" s="143"/>
      <c r="AI807" s="143"/>
      <c r="AJ807" s="143"/>
      <c r="AK807" s="172"/>
      <c r="AL807" s="172"/>
    </row>
    <row r="808">
      <c r="A808" s="137"/>
      <c r="B808" s="88"/>
      <c r="C808" s="89"/>
      <c r="D808" s="55"/>
      <c r="E808" s="137"/>
      <c r="F808" s="88"/>
      <c r="G808" s="180"/>
      <c r="H808" s="181"/>
      <c r="I808" s="137"/>
      <c r="J808" s="88"/>
      <c r="K808" s="89"/>
      <c r="L808" s="55"/>
      <c r="M808" s="137"/>
      <c r="N808" s="182"/>
      <c r="O808" s="89"/>
      <c r="P808" s="55"/>
      <c r="Q808" s="183"/>
      <c r="R808" s="184"/>
      <c r="S808" s="185"/>
      <c r="T808" s="172"/>
      <c r="U808" s="183"/>
      <c r="V808" s="184"/>
      <c r="W808" s="185"/>
      <c r="X808" s="172"/>
      <c r="Y808" s="137"/>
      <c r="Z808" s="186"/>
      <c r="AA808" s="187"/>
      <c r="AB808" s="188"/>
      <c r="AC808" s="137"/>
      <c r="AD808" s="184"/>
      <c r="AE808" s="189"/>
      <c r="AF808" s="190"/>
      <c r="AG808" s="143"/>
      <c r="AH808" s="143"/>
      <c r="AI808" s="143"/>
      <c r="AJ808" s="143"/>
      <c r="AK808" s="172"/>
      <c r="AL808" s="172"/>
    </row>
    <row r="809">
      <c r="A809" s="137"/>
      <c r="B809" s="88"/>
      <c r="C809" s="89"/>
      <c r="D809" s="55"/>
      <c r="E809" s="137"/>
      <c r="F809" s="88"/>
      <c r="G809" s="180"/>
      <c r="H809" s="181"/>
      <c r="I809" s="137"/>
      <c r="J809" s="88"/>
      <c r="K809" s="89"/>
      <c r="L809" s="55"/>
      <c r="M809" s="137"/>
      <c r="N809" s="182"/>
      <c r="O809" s="89"/>
      <c r="P809" s="55"/>
      <c r="Q809" s="183"/>
      <c r="R809" s="184"/>
      <c r="S809" s="185"/>
      <c r="T809" s="172"/>
      <c r="U809" s="183"/>
      <c r="V809" s="184"/>
      <c r="W809" s="185"/>
      <c r="X809" s="172"/>
      <c r="Y809" s="137"/>
      <c r="Z809" s="186"/>
      <c r="AA809" s="187"/>
      <c r="AB809" s="188"/>
      <c r="AC809" s="137"/>
      <c r="AD809" s="184"/>
      <c r="AE809" s="189"/>
      <c r="AF809" s="190"/>
      <c r="AG809" s="143"/>
      <c r="AH809" s="143"/>
      <c r="AI809" s="143"/>
      <c r="AJ809" s="143"/>
      <c r="AK809" s="172"/>
      <c r="AL809" s="172"/>
    </row>
    <row r="810">
      <c r="A810" s="137"/>
      <c r="B810" s="88"/>
      <c r="C810" s="89"/>
      <c r="D810" s="55"/>
      <c r="E810" s="137"/>
      <c r="F810" s="88"/>
      <c r="G810" s="180"/>
      <c r="H810" s="181"/>
      <c r="I810" s="137"/>
      <c r="J810" s="88"/>
      <c r="K810" s="89"/>
      <c r="L810" s="55"/>
      <c r="M810" s="137"/>
      <c r="N810" s="182"/>
      <c r="O810" s="89"/>
      <c r="P810" s="55"/>
      <c r="Q810" s="183"/>
      <c r="R810" s="184"/>
      <c r="S810" s="185"/>
      <c r="T810" s="172"/>
      <c r="U810" s="183"/>
      <c r="V810" s="184"/>
      <c r="W810" s="185"/>
      <c r="X810" s="172"/>
      <c r="Y810" s="137"/>
      <c r="Z810" s="186"/>
      <c r="AA810" s="187"/>
      <c r="AB810" s="188"/>
      <c r="AC810" s="137"/>
      <c r="AD810" s="184"/>
      <c r="AE810" s="189"/>
      <c r="AF810" s="190"/>
      <c r="AG810" s="143"/>
      <c r="AH810" s="143"/>
      <c r="AI810" s="143"/>
      <c r="AJ810" s="143"/>
      <c r="AK810" s="172"/>
      <c r="AL810" s="172"/>
    </row>
    <row r="811">
      <c r="A811" s="137"/>
      <c r="B811" s="88"/>
      <c r="C811" s="89"/>
      <c r="D811" s="55"/>
      <c r="E811" s="137"/>
      <c r="F811" s="88"/>
      <c r="G811" s="180"/>
      <c r="H811" s="181"/>
      <c r="I811" s="137"/>
      <c r="J811" s="88"/>
      <c r="K811" s="89"/>
      <c r="L811" s="55"/>
      <c r="M811" s="137"/>
      <c r="N811" s="182"/>
      <c r="O811" s="89"/>
      <c r="P811" s="55"/>
      <c r="Q811" s="183"/>
      <c r="R811" s="184"/>
      <c r="S811" s="185"/>
      <c r="T811" s="172"/>
      <c r="U811" s="183"/>
      <c r="V811" s="184"/>
      <c r="W811" s="185"/>
      <c r="X811" s="172"/>
      <c r="Y811" s="137"/>
      <c r="Z811" s="186"/>
      <c r="AA811" s="187"/>
      <c r="AB811" s="188"/>
      <c r="AC811" s="137"/>
      <c r="AD811" s="184"/>
      <c r="AE811" s="189"/>
      <c r="AF811" s="190"/>
      <c r="AG811" s="143"/>
      <c r="AH811" s="143"/>
      <c r="AI811" s="143"/>
      <c r="AJ811" s="143"/>
      <c r="AK811" s="172"/>
      <c r="AL811" s="172"/>
    </row>
    <row r="812">
      <c r="A812" s="137"/>
      <c r="B812" s="88"/>
      <c r="C812" s="89"/>
      <c r="D812" s="55"/>
      <c r="E812" s="137"/>
      <c r="F812" s="88"/>
      <c r="G812" s="180"/>
      <c r="H812" s="181"/>
      <c r="I812" s="137"/>
      <c r="J812" s="88"/>
      <c r="K812" s="89"/>
      <c r="L812" s="55"/>
      <c r="M812" s="137"/>
      <c r="N812" s="182"/>
      <c r="O812" s="89"/>
      <c r="P812" s="55"/>
      <c r="Q812" s="183"/>
      <c r="R812" s="184"/>
      <c r="S812" s="185"/>
      <c r="T812" s="172"/>
      <c r="U812" s="183"/>
      <c r="V812" s="184"/>
      <c r="W812" s="185"/>
      <c r="X812" s="172"/>
      <c r="Y812" s="137"/>
      <c r="Z812" s="186"/>
      <c r="AA812" s="187"/>
      <c r="AB812" s="188"/>
      <c r="AC812" s="137"/>
      <c r="AD812" s="184"/>
      <c r="AE812" s="189"/>
      <c r="AF812" s="190"/>
      <c r="AG812" s="143"/>
      <c r="AH812" s="143"/>
      <c r="AI812" s="143"/>
      <c r="AJ812" s="143"/>
      <c r="AK812" s="172"/>
      <c r="AL812" s="172"/>
    </row>
    <row r="813">
      <c r="A813" s="137"/>
      <c r="B813" s="88"/>
      <c r="C813" s="89"/>
      <c r="D813" s="55"/>
      <c r="E813" s="137"/>
      <c r="F813" s="88"/>
      <c r="G813" s="180"/>
      <c r="H813" s="181"/>
      <c r="I813" s="137"/>
      <c r="J813" s="88"/>
      <c r="K813" s="89"/>
      <c r="L813" s="55"/>
      <c r="M813" s="137"/>
      <c r="N813" s="182"/>
      <c r="O813" s="89"/>
      <c r="P813" s="55"/>
      <c r="Q813" s="183"/>
      <c r="R813" s="184"/>
      <c r="S813" s="185"/>
      <c r="T813" s="172"/>
      <c r="U813" s="183"/>
      <c r="V813" s="184"/>
      <c r="W813" s="185"/>
      <c r="X813" s="172"/>
      <c r="Y813" s="137"/>
      <c r="Z813" s="186"/>
      <c r="AA813" s="187"/>
      <c r="AB813" s="188"/>
      <c r="AC813" s="137"/>
      <c r="AD813" s="184"/>
      <c r="AE813" s="189"/>
      <c r="AF813" s="190"/>
      <c r="AG813" s="143"/>
      <c r="AH813" s="143"/>
      <c r="AI813" s="143"/>
      <c r="AJ813" s="143"/>
      <c r="AK813" s="172"/>
      <c r="AL813" s="172"/>
    </row>
    <row r="814">
      <c r="A814" s="137"/>
      <c r="B814" s="88"/>
      <c r="C814" s="89"/>
      <c r="D814" s="55"/>
      <c r="E814" s="137"/>
      <c r="F814" s="88"/>
      <c r="G814" s="180"/>
      <c r="H814" s="181"/>
      <c r="I814" s="137"/>
      <c r="J814" s="88"/>
      <c r="K814" s="89"/>
      <c r="L814" s="55"/>
      <c r="M814" s="137"/>
      <c r="N814" s="182"/>
      <c r="O814" s="89"/>
      <c r="P814" s="55"/>
      <c r="Q814" s="183"/>
      <c r="R814" s="184"/>
      <c r="S814" s="185"/>
      <c r="T814" s="172"/>
      <c r="U814" s="183"/>
      <c r="V814" s="184"/>
      <c r="W814" s="185"/>
      <c r="X814" s="172"/>
      <c r="Y814" s="137"/>
      <c r="Z814" s="186"/>
      <c r="AA814" s="187"/>
      <c r="AB814" s="188"/>
      <c r="AC814" s="137"/>
      <c r="AD814" s="184"/>
      <c r="AE814" s="189"/>
      <c r="AF814" s="190"/>
      <c r="AG814" s="143"/>
      <c r="AH814" s="143"/>
      <c r="AI814" s="143"/>
      <c r="AJ814" s="143"/>
      <c r="AK814" s="172"/>
      <c r="AL814" s="172"/>
    </row>
    <row r="815">
      <c r="A815" s="137"/>
      <c r="B815" s="88"/>
      <c r="C815" s="89"/>
      <c r="D815" s="55"/>
      <c r="E815" s="137"/>
      <c r="F815" s="88"/>
      <c r="G815" s="180"/>
      <c r="H815" s="181"/>
      <c r="I815" s="137"/>
      <c r="J815" s="88"/>
      <c r="K815" s="89"/>
      <c r="L815" s="55"/>
      <c r="M815" s="137"/>
      <c r="N815" s="182"/>
      <c r="O815" s="89"/>
      <c r="P815" s="55"/>
      <c r="Q815" s="183"/>
      <c r="R815" s="184"/>
      <c r="S815" s="185"/>
      <c r="T815" s="172"/>
      <c r="U815" s="183"/>
      <c r="V815" s="184"/>
      <c r="W815" s="185"/>
      <c r="X815" s="172"/>
      <c r="Y815" s="137"/>
      <c r="Z815" s="186"/>
      <c r="AA815" s="187"/>
      <c r="AB815" s="188"/>
      <c r="AC815" s="137"/>
      <c r="AD815" s="184"/>
      <c r="AE815" s="189"/>
      <c r="AF815" s="190"/>
      <c r="AG815" s="143"/>
      <c r="AH815" s="143"/>
      <c r="AI815" s="143"/>
      <c r="AJ815" s="143"/>
      <c r="AK815" s="172"/>
      <c r="AL815" s="172"/>
    </row>
    <row r="816">
      <c r="A816" s="137"/>
      <c r="B816" s="88"/>
      <c r="C816" s="89"/>
      <c r="D816" s="55"/>
      <c r="E816" s="137"/>
      <c r="F816" s="88"/>
      <c r="G816" s="180"/>
      <c r="H816" s="181"/>
      <c r="I816" s="137"/>
      <c r="J816" s="88"/>
      <c r="K816" s="89"/>
      <c r="L816" s="55"/>
      <c r="M816" s="137"/>
      <c r="N816" s="182"/>
      <c r="O816" s="89"/>
      <c r="P816" s="55"/>
      <c r="Q816" s="183"/>
      <c r="R816" s="184"/>
      <c r="S816" s="185"/>
      <c r="T816" s="172"/>
      <c r="U816" s="183"/>
      <c r="V816" s="184"/>
      <c r="W816" s="185"/>
      <c r="X816" s="172"/>
      <c r="Y816" s="137"/>
      <c r="Z816" s="186"/>
      <c r="AA816" s="187"/>
      <c r="AB816" s="188"/>
      <c r="AC816" s="137"/>
      <c r="AD816" s="184"/>
      <c r="AE816" s="189"/>
      <c r="AF816" s="190"/>
      <c r="AG816" s="143"/>
      <c r="AH816" s="143"/>
      <c r="AI816" s="143"/>
      <c r="AJ816" s="143"/>
      <c r="AK816" s="172"/>
      <c r="AL816" s="172"/>
    </row>
    <row r="817">
      <c r="A817" s="137"/>
      <c r="B817" s="88"/>
      <c r="C817" s="89"/>
      <c r="D817" s="55"/>
      <c r="E817" s="137"/>
      <c r="F817" s="88"/>
      <c r="G817" s="180"/>
      <c r="H817" s="181"/>
      <c r="I817" s="137"/>
      <c r="J817" s="88"/>
      <c r="K817" s="89"/>
      <c r="L817" s="55"/>
      <c r="M817" s="137"/>
      <c r="N817" s="182"/>
      <c r="O817" s="89"/>
      <c r="P817" s="55"/>
      <c r="Q817" s="183"/>
      <c r="R817" s="184"/>
      <c r="S817" s="185"/>
      <c r="T817" s="172"/>
      <c r="U817" s="183"/>
      <c r="V817" s="184"/>
      <c r="W817" s="185"/>
      <c r="X817" s="172"/>
      <c r="Y817" s="137"/>
      <c r="Z817" s="186"/>
      <c r="AA817" s="187"/>
      <c r="AB817" s="188"/>
      <c r="AC817" s="137"/>
      <c r="AD817" s="184"/>
      <c r="AE817" s="189"/>
      <c r="AF817" s="190"/>
      <c r="AG817" s="143"/>
      <c r="AH817" s="143"/>
      <c r="AI817" s="143"/>
      <c r="AJ817" s="143"/>
      <c r="AK817" s="172"/>
      <c r="AL817" s="172"/>
    </row>
    <row r="818">
      <c r="A818" s="137"/>
      <c r="B818" s="88"/>
      <c r="C818" s="89"/>
      <c r="D818" s="55"/>
      <c r="E818" s="137"/>
      <c r="F818" s="88"/>
      <c r="G818" s="180"/>
      <c r="H818" s="181"/>
      <c r="I818" s="137"/>
      <c r="J818" s="88"/>
      <c r="K818" s="89"/>
      <c r="L818" s="55"/>
      <c r="M818" s="137"/>
      <c r="N818" s="182"/>
      <c r="O818" s="89"/>
      <c r="P818" s="55"/>
      <c r="Q818" s="183"/>
      <c r="R818" s="184"/>
      <c r="S818" s="185"/>
      <c r="T818" s="172"/>
      <c r="U818" s="183"/>
      <c r="V818" s="184"/>
      <c r="W818" s="185"/>
      <c r="X818" s="172"/>
      <c r="Y818" s="137"/>
      <c r="Z818" s="186"/>
      <c r="AA818" s="187"/>
      <c r="AB818" s="188"/>
      <c r="AC818" s="137"/>
      <c r="AD818" s="184"/>
      <c r="AE818" s="189"/>
      <c r="AF818" s="190"/>
      <c r="AG818" s="143"/>
      <c r="AH818" s="143"/>
      <c r="AI818" s="143"/>
      <c r="AJ818" s="143"/>
      <c r="AK818" s="172"/>
      <c r="AL818" s="172"/>
    </row>
    <row r="819">
      <c r="A819" s="137"/>
      <c r="B819" s="88"/>
      <c r="C819" s="89"/>
      <c r="D819" s="55"/>
      <c r="E819" s="137"/>
      <c r="F819" s="88"/>
      <c r="G819" s="180"/>
      <c r="H819" s="181"/>
      <c r="I819" s="137"/>
      <c r="J819" s="88"/>
      <c r="K819" s="89"/>
      <c r="L819" s="55"/>
      <c r="M819" s="137"/>
      <c r="N819" s="182"/>
      <c r="O819" s="89"/>
      <c r="P819" s="55"/>
      <c r="Q819" s="183"/>
      <c r="R819" s="184"/>
      <c r="S819" s="185"/>
      <c r="T819" s="172"/>
      <c r="U819" s="183"/>
      <c r="V819" s="184"/>
      <c r="W819" s="185"/>
      <c r="X819" s="172"/>
      <c r="Y819" s="137"/>
      <c r="Z819" s="186"/>
      <c r="AA819" s="187"/>
      <c r="AB819" s="188"/>
      <c r="AC819" s="137"/>
      <c r="AD819" s="184"/>
      <c r="AE819" s="189"/>
      <c r="AF819" s="190"/>
      <c r="AG819" s="143"/>
      <c r="AH819" s="143"/>
      <c r="AI819" s="143"/>
      <c r="AJ819" s="143"/>
      <c r="AK819" s="172"/>
      <c r="AL819" s="172"/>
    </row>
    <row r="820">
      <c r="A820" s="137"/>
      <c r="B820" s="88"/>
      <c r="C820" s="89"/>
      <c r="D820" s="55"/>
      <c r="E820" s="137"/>
      <c r="F820" s="88"/>
      <c r="G820" s="180"/>
      <c r="H820" s="181"/>
      <c r="I820" s="137"/>
      <c r="J820" s="88"/>
      <c r="K820" s="89"/>
      <c r="L820" s="55"/>
      <c r="M820" s="137"/>
      <c r="N820" s="182"/>
      <c r="O820" s="89"/>
      <c r="P820" s="55"/>
      <c r="Q820" s="183"/>
      <c r="R820" s="184"/>
      <c r="S820" s="185"/>
      <c r="T820" s="172"/>
      <c r="U820" s="183"/>
      <c r="V820" s="184"/>
      <c r="W820" s="185"/>
      <c r="X820" s="172"/>
      <c r="Y820" s="137"/>
      <c r="Z820" s="186"/>
      <c r="AA820" s="187"/>
      <c r="AB820" s="188"/>
      <c r="AC820" s="137"/>
      <c r="AD820" s="184"/>
      <c r="AE820" s="189"/>
      <c r="AF820" s="190"/>
      <c r="AG820" s="143"/>
      <c r="AH820" s="143"/>
      <c r="AI820" s="143"/>
      <c r="AJ820" s="143"/>
      <c r="AK820" s="172"/>
      <c r="AL820" s="172"/>
    </row>
    <row r="821">
      <c r="A821" s="137"/>
      <c r="B821" s="88"/>
      <c r="C821" s="89"/>
      <c r="D821" s="55"/>
      <c r="E821" s="137"/>
      <c r="F821" s="88"/>
      <c r="G821" s="180"/>
      <c r="H821" s="181"/>
      <c r="I821" s="137"/>
      <c r="J821" s="88"/>
      <c r="K821" s="89"/>
      <c r="L821" s="55"/>
      <c r="M821" s="137"/>
      <c r="N821" s="182"/>
      <c r="O821" s="89"/>
      <c r="P821" s="55"/>
      <c r="Q821" s="183"/>
      <c r="R821" s="184"/>
      <c r="S821" s="185"/>
      <c r="T821" s="172"/>
      <c r="U821" s="183"/>
      <c r="V821" s="184"/>
      <c r="W821" s="185"/>
      <c r="X821" s="172"/>
      <c r="Y821" s="137"/>
      <c r="Z821" s="186"/>
      <c r="AA821" s="187"/>
      <c r="AB821" s="188"/>
      <c r="AC821" s="137"/>
      <c r="AD821" s="184"/>
      <c r="AE821" s="189"/>
      <c r="AF821" s="190"/>
      <c r="AG821" s="143"/>
      <c r="AH821" s="143"/>
      <c r="AI821" s="143"/>
      <c r="AJ821" s="143"/>
      <c r="AK821" s="172"/>
      <c r="AL821" s="172"/>
    </row>
    <row r="822">
      <c r="A822" s="137"/>
      <c r="B822" s="88"/>
      <c r="C822" s="89"/>
      <c r="D822" s="55"/>
      <c r="E822" s="137"/>
      <c r="F822" s="88"/>
      <c r="G822" s="180"/>
      <c r="H822" s="181"/>
      <c r="I822" s="137"/>
      <c r="J822" s="88"/>
      <c r="K822" s="89"/>
      <c r="L822" s="55"/>
      <c r="M822" s="137"/>
      <c r="N822" s="182"/>
      <c r="O822" s="89"/>
      <c r="P822" s="55"/>
      <c r="Q822" s="183"/>
      <c r="R822" s="184"/>
      <c r="S822" s="185"/>
      <c r="T822" s="172"/>
      <c r="U822" s="183"/>
      <c r="V822" s="184"/>
      <c r="W822" s="185"/>
      <c r="X822" s="172"/>
      <c r="Y822" s="137"/>
      <c r="Z822" s="186"/>
      <c r="AA822" s="187"/>
      <c r="AB822" s="188"/>
      <c r="AC822" s="137"/>
      <c r="AD822" s="184"/>
      <c r="AE822" s="189"/>
      <c r="AF822" s="190"/>
      <c r="AG822" s="143"/>
      <c r="AH822" s="143"/>
      <c r="AI822" s="143"/>
      <c r="AJ822" s="143"/>
      <c r="AK822" s="172"/>
      <c r="AL822" s="172"/>
    </row>
    <row r="823">
      <c r="A823" s="137"/>
      <c r="B823" s="88"/>
      <c r="C823" s="89"/>
      <c r="D823" s="55"/>
      <c r="E823" s="137"/>
      <c r="F823" s="88"/>
      <c r="G823" s="180"/>
      <c r="H823" s="181"/>
      <c r="I823" s="137"/>
      <c r="J823" s="88"/>
      <c r="K823" s="89"/>
      <c r="L823" s="55"/>
      <c r="M823" s="137"/>
      <c r="N823" s="182"/>
      <c r="O823" s="89"/>
      <c r="P823" s="55"/>
      <c r="Q823" s="183"/>
      <c r="R823" s="184"/>
      <c r="S823" s="185"/>
      <c r="T823" s="172"/>
      <c r="U823" s="183"/>
      <c r="V823" s="184"/>
      <c r="W823" s="185"/>
      <c r="X823" s="172"/>
      <c r="Y823" s="137"/>
      <c r="Z823" s="186"/>
      <c r="AA823" s="187"/>
      <c r="AB823" s="188"/>
      <c r="AC823" s="137"/>
      <c r="AD823" s="184"/>
      <c r="AE823" s="189"/>
      <c r="AF823" s="190"/>
      <c r="AG823" s="143"/>
      <c r="AH823" s="143"/>
      <c r="AI823" s="143"/>
      <c r="AJ823" s="143"/>
      <c r="AK823" s="172"/>
      <c r="AL823" s="172"/>
    </row>
    <row r="824">
      <c r="A824" s="137"/>
      <c r="B824" s="88"/>
      <c r="C824" s="89"/>
      <c r="D824" s="55"/>
      <c r="E824" s="137"/>
      <c r="F824" s="88"/>
      <c r="G824" s="180"/>
      <c r="H824" s="181"/>
      <c r="I824" s="137"/>
      <c r="J824" s="88"/>
      <c r="K824" s="89"/>
      <c r="L824" s="55"/>
      <c r="M824" s="137"/>
      <c r="N824" s="182"/>
      <c r="O824" s="89"/>
      <c r="P824" s="55"/>
      <c r="Q824" s="183"/>
      <c r="R824" s="184"/>
      <c r="S824" s="185"/>
      <c r="T824" s="172"/>
      <c r="U824" s="183"/>
      <c r="V824" s="184"/>
      <c r="W824" s="185"/>
      <c r="X824" s="172"/>
      <c r="Y824" s="137"/>
      <c r="Z824" s="186"/>
      <c r="AA824" s="187"/>
      <c r="AB824" s="188"/>
      <c r="AC824" s="137"/>
      <c r="AD824" s="184"/>
      <c r="AE824" s="189"/>
      <c r="AF824" s="190"/>
      <c r="AG824" s="143"/>
      <c r="AH824" s="143"/>
      <c r="AI824" s="143"/>
      <c r="AJ824" s="143"/>
      <c r="AK824" s="172"/>
      <c r="AL824" s="172"/>
    </row>
    <row r="825">
      <c r="A825" s="137"/>
      <c r="B825" s="88"/>
      <c r="C825" s="89"/>
      <c r="D825" s="55"/>
      <c r="E825" s="137"/>
      <c r="F825" s="88"/>
      <c r="G825" s="180"/>
      <c r="H825" s="181"/>
      <c r="I825" s="137"/>
      <c r="J825" s="88"/>
      <c r="K825" s="89"/>
      <c r="L825" s="55"/>
      <c r="M825" s="137"/>
      <c r="N825" s="182"/>
      <c r="O825" s="89"/>
      <c r="P825" s="55"/>
      <c r="Q825" s="183"/>
      <c r="R825" s="184"/>
      <c r="S825" s="185"/>
      <c r="T825" s="172"/>
      <c r="U825" s="183"/>
      <c r="V825" s="184"/>
      <c r="W825" s="185"/>
      <c r="X825" s="172"/>
      <c r="Y825" s="137"/>
      <c r="Z825" s="186"/>
      <c r="AA825" s="187"/>
      <c r="AB825" s="188"/>
      <c r="AC825" s="137"/>
      <c r="AD825" s="184"/>
      <c r="AE825" s="189"/>
      <c r="AF825" s="190"/>
      <c r="AG825" s="143"/>
      <c r="AH825" s="143"/>
      <c r="AI825" s="143"/>
      <c r="AJ825" s="143"/>
      <c r="AK825" s="172"/>
      <c r="AL825" s="172"/>
    </row>
    <row r="826">
      <c r="A826" s="137"/>
      <c r="B826" s="88"/>
      <c r="C826" s="89"/>
      <c r="D826" s="55"/>
      <c r="E826" s="137"/>
      <c r="F826" s="88"/>
      <c r="G826" s="180"/>
      <c r="H826" s="181"/>
      <c r="I826" s="137"/>
      <c r="J826" s="88"/>
      <c r="K826" s="89"/>
      <c r="L826" s="55"/>
      <c r="M826" s="137"/>
      <c r="N826" s="182"/>
      <c r="O826" s="89"/>
      <c r="P826" s="55"/>
      <c r="Q826" s="183"/>
      <c r="R826" s="184"/>
      <c r="S826" s="185"/>
      <c r="T826" s="172"/>
      <c r="U826" s="183"/>
      <c r="V826" s="184"/>
      <c r="W826" s="185"/>
      <c r="X826" s="172"/>
      <c r="Y826" s="137"/>
      <c r="Z826" s="186"/>
      <c r="AA826" s="187"/>
      <c r="AB826" s="188"/>
      <c r="AC826" s="137"/>
      <c r="AD826" s="184"/>
      <c r="AE826" s="189"/>
      <c r="AF826" s="190"/>
      <c r="AG826" s="143"/>
      <c r="AH826" s="143"/>
      <c r="AI826" s="143"/>
      <c r="AJ826" s="143"/>
      <c r="AK826" s="172"/>
      <c r="AL826" s="172"/>
    </row>
    <row r="827">
      <c r="A827" s="137"/>
      <c r="B827" s="88"/>
      <c r="C827" s="89"/>
      <c r="D827" s="55"/>
      <c r="E827" s="137"/>
      <c r="F827" s="88"/>
      <c r="G827" s="180"/>
      <c r="H827" s="181"/>
      <c r="I827" s="137"/>
      <c r="J827" s="88"/>
      <c r="K827" s="89"/>
      <c r="L827" s="55"/>
      <c r="M827" s="137"/>
      <c r="N827" s="182"/>
      <c r="O827" s="89"/>
      <c r="P827" s="55"/>
      <c r="Q827" s="183"/>
      <c r="R827" s="184"/>
      <c r="S827" s="185"/>
      <c r="T827" s="172"/>
      <c r="U827" s="183"/>
      <c r="V827" s="184"/>
      <c r="W827" s="185"/>
      <c r="X827" s="172"/>
      <c r="Y827" s="137"/>
      <c r="Z827" s="186"/>
      <c r="AA827" s="187"/>
      <c r="AB827" s="188"/>
      <c r="AC827" s="137"/>
      <c r="AD827" s="184"/>
      <c r="AE827" s="189"/>
      <c r="AF827" s="190"/>
      <c r="AG827" s="143"/>
      <c r="AH827" s="143"/>
      <c r="AI827" s="143"/>
      <c r="AJ827" s="143"/>
      <c r="AK827" s="172"/>
      <c r="AL827" s="172"/>
    </row>
    <row r="828">
      <c r="A828" s="137"/>
      <c r="B828" s="88"/>
      <c r="C828" s="89"/>
      <c r="D828" s="55"/>
      <c r="E828" s="137"/>
      <c r="F828" s="88"/>
      <c r="G828" s="180"/>
      <c r="H828" s="181"/>
      <c r="I828" s="137"/>
      <c r="J828" s="88"/>
      <c r="K828" s="89"/>
      <c r="L828" s="55"/>
      <c r="M828" s="137"/>
      <c r="N828" s="182"/>
      <c r="O828" s="89"/>
      <c r="P828" s="55"/>
      <c r="Q828" s="183"/>
      <c r="R828" s="184"/>
      <c r="S828" s="185"/>
      <c r="T828" s="172"/>
      <c r="U828" s="183"/>
      <c r="V828" s="184"/>
      <c r="W828" s="185"/>
      <c r="X828" s="172"/>
      <c r="Y828" s="137"/>
      <c r="Z828" s="186"/>
      <c r="AA828" s="187"/>
      <c r="AB828" s="188"/>
      <c r="AC828" s="137"/>
      <c r="AD828" s="184"/>
      <c r="AE828" s="189"/>
      <c r="AF828" s="190"/>
      <c r="AG828" s="143"/>
      <c r="AH828" s="143"/>
      <c r="AI828" s="143"/>
      <c r="AJ828" s="143"/>
      <c r="AK828" s="172"/>
      <c r="AL828" s="172"/>
    </row>
    <row r="829">
      <c r="A829" s="137"/>
      <c r="B829" s="88"/>
      <c r="C829" s="89"/>
      <c r="D829" s="55"/>
      <c r="E829" s="137"/>
      <c r="F829" s="88"/>
      <c r="G829" s="180"/>
      <c r="H829" s="181"/>
      <c r="I829" s="137"/>
      <c r="J829" s="88"/>
      <c r="K829" s="89"/>
      <c r="L829" s="55"/>
      <c r="M829" s="137"/>
      <c r="N829" s="182"/>
      <c r="O829" s="89"/>
      <c r="P829" s="55"/>
      <c r="Q829" s="183"/>
      <c r="R829" s="184"/>
      <c r="S829" s="185"/>
      <c r="T829" s="172"/>
      <c r="U829" s="183"/>
      <c r="V829" s="184"/>
      <c r="W829" s="185"/>
      <c r="X829" s="172"/>
      <c r="Y829" s="137"/>
      <c r="Z829" s="186"/>
      <c r="AA829" s="187"/>
      <c r="AB829" s="188"/>
      <c r="AC829" s="137"/>
      <c r="AD829" s="184"/>
      <c r="AE829" s="189"/>
      <c r="AF829" s="190"/>
      <c r="AG829" s="143"/>
      <c r="AH829" s="143"/>
      <c r="AI829" s="143"/>
      <c r="AJ829" s="143"/>
      <c r="AK829" s="172"/>
      <c r="AL829" s="172"/>
    </row>
    <row r="830">
      <c r="A830" s="137"/>
      <c r="B830" s="88"/>
      <c r="C830" s="89"/>
      <c r="D830" s="55"/>
      <c r="E830" s="137"/>
      <c r="F830" s="88"/>
      <c r="G830" s="180"/>
      <c r="H830" s="181"/>
      <c r="I830" s="137"/>
      <c r="J830" s="88"/>
      <c r="K830" s="89"/>
      <c r="L830" s="55"/>
      <c r="M830" s="137"/>
      <c r="N830" s="182"/>
      <c r="O830" s="89"/>
      <c r="P830" s="55"/>
      <c r="Q830" s="183"/>
      <c r="R830" s="184"/>
      <c r="S830" s="185"/>
      <c r="T830" s="172"/>
      <c r="U830" s="183"/>
      <c r="V830" s="184"/>
      <c r="W830" s="185"/>
      <c r="X830" s="172"/>
      <c r="Y830" s="137"/>
      <c r="Z830" s="186"/>
      <c r="AA830" s="187"/>
      <c r="AB830" s="188"/>
      <c r="AC830" s="137"/>
      <c r="AD830" s="184"/>
      <c r="AE830" s="189"/>
      <c r="AF830" s="190"/>
      <c r="AG830" s="143"/>
      <c r="AH830" s="143"/>
      <c r="AI830" s="143"/>
      <c r="AJ830" s="143"/>
      <c r="AK830" s="172"/>
      <c r="AL830" s="172"/>
    </row>
    <row r="831">
      <c r="A831" s="137"/>
      <c r="B831" s="88"/>
      <c r="C831" s="89"/>
      <c r="D831" s="55"/>
      <c r="E831" s="137"/>
      <c r="F831" s="88"/>
      <c r="G831" s="180"/>
      <c r="H831" s="181"/>
      <c r="I831" s="137"/>
      <c r="J831" s="88"/>
      <c r="K831" s="89"/>
      <c r="L831" s="55"/>
      <c r="M831" s="137"/>
      <c r="N831" s="182"/>
      <c r="O831" s="89"/>
      <c r="P831" s="55"/>
      <c r="Q831" s="183"/>
      <c r="R831" s="184"/>
      <c r="S831" s="185"/>
      <c r="T831" s="172"/>
      <c r="U831" s="183"/>
      <c r="V831" s="184"/>
      <c r="W831" s="185"/>
      <c r="X831" s="172"/>
      <c r="Y831" s="137"/>
      <c r="Z831" s="186"/>
      <c r="AA831" s="187"/>
      <c r="AB831" s="188"/>
      <c r="AC831" s="137"/>
      <c r="AD831" s="184"/>
      <c r="AE831" s="189"/>
      <c r="AF831" s="190"/>
      <c r="AG831" s="143"/>
      <c r="AH831" s="143"/>
      <c r="AI831" s="143"/>
      <c r="AJ831" s="143"/>
      <c r="AK831" s="172"/>
      <c r="AL831" s="172"/>
    </row>
    <row r="832">
      <c r="A832" s="137"/>
      <c r="B832" s="88"/>
      <c r="C832" s="89"/>
      <c r="D832" s="55"/>
      <c r="E832" s="137"/>
      <c r="F832" s="88"/>
      <c r="G832" s="180"/>
      <c r="H832" s="181"/>
      <c r="I832" s="137"/>
      <c r="J832" s="88"/>
      <c r="K832" s="89"/>
      <c r="L832" s="55"/>
      <c r="M832" s="137"/>
      <c r="N832" s="182"/>
      <c r="O832" s="89"/>
      <c r="P832" s="55"/>
      <c r="Q832" s="183"/>
      <c r="R832" s="184"/>
      <c r="S832" s="185"/>
      <c r="T832" s="172"/>
      <c r="U832" s="183"/>
      <c r="V832" s="184"/>
      <c r="W832" s="185"/>
      <c r="X832" s="172"/>
      <c r="Y832" s="137"/>
      <c r="Z832" s="186"/>
      <c r="AA832" s="187"/>
      <c r="AB832" s="188"/>
      <c r="AC832" s="137"/>
      <c r="AD832" s="184"/>
      <c r="AE832" s="189"/>
      <c r="AF832" s="190"/>
      <c r="AG832" s="143"/>
      <c r="AH832" s="143"/>
      <c r="AI832" s="143"/>
      <c r="AJ832" s="143"/>
      <c r="AK832" s="172"/>
      <c r="AL832" s="172"/>
    </row>
    <row r="833">
      <c r="A833" s="137"/>
      <c r="B833" s="88"/>
      <c r="C833" s="89"/>
      <c r="D833" s="55"/>
      <c r="E833" s="137"/>
      <c r="F833" s="88"/>
      <c r="G833" s="180"/>
      <c r="H833" s="181"/>
      <c r="I833" s="137"/>
      <c r="J833" s="88"/>
      <c r="K833" s="89"/>
      <c r="L833" s="55"/>
      <c r="M833" s="137"/>
      <c r="N833" s="182"/>
      <c r="O833" s="89"/>
      <c r="P833" s="55"/>
      <c r="Q833" s="183"/>
      <c r="R833" s="184"/>
      <c r="S833" s="185"/>
      <c r="T833" s="172"/>
      <c r="U833" s="183"/>
      <c r="V833" s="184"/>
      <c r="W833" s="185"/>
      <c r="X833" s="172"/>
      <c r="Y833" s="137"/>
      <c r="Z833" s="186"/>
      <c r="AA833" s="187"/>
      <c r="AB833" s="188"/>
      <c r="AC833" s="137"/>
      <c r="AD833" s="184"/>
      <c r="AE833" s="189"/>
      <c r="AF833" s="190"/>
      <c r="AG833" s="143"/>
      <c r="AH833" s="143"/>
      <c r="AI833" s="143"/>
      <c r="AJ833" s="143"/>
      <c r="AK833" s="172"/>
      <c r="AL833" s="172"/>
    </row>
    <row r="834">
      <c r="A834" s="137"/>
      <c r="B834" s="88"/>
      <c r="C834" s="89"/>
      <c r="D834" s="55"/>
      <c r="E834" s="137"/>
      <c r="F834" s="88"/>
      <c r="G834" s="180"/>
      <c r="H834" s="181"/>
      <c r="I834" s="137"/>
      <c r="J834" s="88"/>
      <c r="K834" s="89"/>
      <c r="L834" s="55"/>
      <c r="M834" s="137"/>
      <c r="N834" s="182"/>
      <c r="O834" s="89"/>
      <c r="P834" s="55"/>
      <c r="Q834" s="183"/>
      <c r="R834" s="184"/>
      <c r="S834" s="185"/>
      <c r="T834" s="172"/>
      <c r="U834" s="183"/>
      <c r="V834" s="184"/>
      <c r="W834" s="185"/>
      <c r="X834" s="172"/>
      <c r="Y834" s="137"/>
      <c r="Z834" s="186"/>
      <c r="AA834" s="187"/>
      <c r="AB834" s="188"/>
      <c r="AC834" s="137"/>
      <c r="AD834" s="184"/>
      <c r="AE834" s="189"/>
      <c r="AF834" s="190"/>
      <c r="AG834" s="143"/>
      <c r="AH834" s="143"/>
      <c r="AI834" s="143"/>
      <c r="AJ834" s="143"/>
      <c r="AK834" s="172"/>
      <c r="AL834" s="172"/>
    </row>
    <row r="835">
      <c r="A835" s="137"/>
      <c r="B835" s="88"/>
      <c r="C835" s="89"/>
      <c r="D835" s="55"/>
      <c r="E835" s="137"/>
      <c r="F835" s="88"/>
      <c r="G835" s="180"/>
      <c r="H835" s="181"/>
      <c r="I835" s="137"/>
      <c r="J835" s="88"/>
      <c r="K835" s="89"/>
      <c r="L835" s="55"/>
      <c r="M835" s="137"/>
      <c r="N835" s="182"/>
      <c r="O835" s="89"/>
      <c r="P835" s="55"/>
      <c r="Q835" s="183"/>
      <c r="R835" s="184"/>
      <c r="S835" s="185"/>
      <c r="T835" s="172"/>
      <c r="U835" s="183"/>
      <c r="V835" s="184"/>
      <c r="W835" s="185"/>
      <c r="X835" s="172"/>
      <c r="Y835" s="137"/>
      <c r="Z835" s="186"/>
      <c r="AA835" s="187"/>
      <c r="AB835" s="188"/>
      <c r="AC835" s="137"/>
      <c r="AD835" s="184"/>
      <c r="AE835" s="189"/>
      <c r="AF835" s="190"/>
      <c r="AG835" s="143"/>
      <c r="AH835" s="143"/>
      <c r="AI835" s="143"/>
      <c r="AJ835" s="143"/>
      <c r="AK835" s="172"/>
      <c r="AL835" s="172"/>
    </row>
    <row r="836">
      <c r="A836" s="137"/>
      <c r="B836" s="88"/>
      <c r="C836" s="89"/>
      <c r="D836" s="55"/>
      <c r="E836" s="137"/>
      <c r="F836" s="88"/>
      <c r="G836" s="180"/>
      <c r="H836" s="181"/>
      <c r="I836" s="137"/>
      <c r="J836" s="88"/>
      <c r="K836" s="89"/>
      <c r="L836" s="55"/>
      <c r="M836" s="137"/>
      <c r="N836" s="182"/>
      <c r="O836" s="89"/>
      <c r="P836" s="55"/>
      <c r="Q836" s="183"/>
      <c r="R836" s="184"/>
      <c r="S836" s="185"/>
      <c r="T836" s="172"/>
      <c r="U836" s="183"/>
      <c r="V836" s="184"/>
      <c r="W836" s="185"/>
      <c r="X836" s="172"/>
      <c r="Y836" s="137"/>
      <c r="Z836" s="186"/>
      <c r="AA836" s="187"/>
      <c r="AB836" s="188"/>
      <c r="AC836" s="137"/>
      <c r="AD836" s="184"/>
      <c r="AE836" s="189"/>
      <c r="AF836" s="190"/>
      <c r="AG836" s="143"/>
      <c r="AH836" s="143"/>
      <c r="AI836" s="143"/>
      <c r="AJ836" s="143"/>
      <c r="AK836" s="172"/>
      <c r="AL836" s="172"/>
    </row>
    <row r="837">
      <c r="A837" s="137"/>
      <c r="B837" s="88"/>
      <c r="C837" s="89"/>
      <c r="D837" s="55"/>
      <c r="E837" s="137"/>
      <c r="F837" s="88"/>
      <c r="G837" s="180"/>
      <c r="H837" s="181"/>
      <c r="I837" s="137"/>
      <c r="J837" s="88"/>
      <c r="K837" s="89"/>
      <c r="L837" s="55"/>
      <c r="M837" s="137"/>
      <c r="N837" s="182"/>
      <c r="O837" s="89"/>
      <c r="P837" s="55"/>
      <c r="Q837" s="183"/>
      <c r="R837" s="184"/>
      <c r="S837" s="185"/>
      <c r="T837" s="172"/>
      <c r="U837" s="183"/>
      <c r="V837" s="184"/>
      <c r="W837" s="185"/>
      <c r="X837" s="172"/>
      <c r="Y837" s="137"/>
      <c r="Z837" s="186"/>
      <c r="AA837" s="187"/>
      <c r="AB837" s="188"/>
      <c r="AC837" s="137"/>
      <c r="AD837" s="184"/>
      <c r="AE837" s="189"/>
      <c r="AF837" s="190"/>
      <c r="AG837" s="143"/>
      <c r="AH837" s="143"/>
      <c r="AI837" s="143"/>
      <c r="AJ837" s="143"/>
      <c r="AK837" s="172"/>
      <c r="AL837" s="172"/>
    </row>
    <row r="838">
      <c r="A838" s="137"/>
      <c r="B838" s="88"/>
      <c r="C838" s="89"/>
      <c r="D838" s="55"/>
      <c r="E838" s="137"/>
      <c r="F838" s="88"/>
      <c r="G838" s="180"/>
      <c r="H838" s="181"/>
      <c r="I838" s="137"/>
      <c r="J838" s="88"/>
      <c r="K838" s="89"/>
      <c r="L838" s="55"/>
      <c r="M838" s="137"/>
      <c r="N838" s="182"/>
      <c r="O838" s="89"/>
      <c r="P838" s="55"/>
      <c r="Q838" s="183"/>
      <c r="R838" s="184"/>
      <c r="S838" s="185"/>
      <c r="T838" s="172"/>
      <c r="U838" s="183"/>
      <c r="V838" s="184"/>
      <c r="W838" s="185"/>
      <c r="X838" s="172"/>
      <c r="Y838" s="137"/>
      <c r="Z838" s="186"/>
      <c r="AA838" s="187"/>
      <c r="AB838" s="188"/>
      <c r="AC838" s="137"/>
      <c r="AD838" s="184"/>
      <c r="AE838" s="189"/>
      <c r="AF838" s="190"/>
      <c r="AG838" s="143"/>
      <c r="AH838" s="143"/>
      <c r="AI838" s="143"/>
      <c r="AJ838" s="143"/>
      <c r="AK838" s="172"/>
      <c r="AL838" s="172"/>
    </row>
    <row r="839">
      <c r="A839" s="137"/>
      <c r="B839" s="88"/>
      <c r="C839" s="89"/>
      <c r="D839" s="55"/>
      <c r="E839" s="137"/>
      <c r="F839" s="88"/>
      <c r="G839" s="180"/>
      <c r="H839" s="181"/>
      <c r="I839" s="137"/>
      <c r="J839" s="88"/>
      <c r="K839" s="89"/>
      <c r="L839" s="55"/>
      <c r="M839" s="137"/>
      <c r="N839" s="182"/>
      <c r="O839" s="89"/>
      <c r="P839" s="55"/>
      <c r="Q839" s="183"/>
      <c r="R839" s="184"/>
      <c r="S839" s="185"/>
      <c r="T839" s="172"/>
      <c r="U839" s="183"/>
      <c r="V839" s="184"/>
      <c r="W839" s="185"/>
      <c r="X839" s="172"/>
      <c r="Y839" s="137"/>
      <c r="Z839" s="186"/>
      <c r="AA839" s="187"/>
      <c r="AB839" s="188"/>
      <c r="AC839" s="137"/>
      <c r="AD839" s="184"/>
      <c r="AE839" s="189"/>
      <c r="AF839" s="190"/>
      <c r="AG839" s="143"/>
      <c r="AH839" s="143"/>
      <c r="AI839" s="143"/>
      <c r="AJ839" s="143"/>
      <c r="AK839" s="172"/>
      <c r="AL839" s="172"/>
    </row>
    <row r="840">
      <c r="A840" s="137"/>
      <c r="B840" s="88"/>
      <c r="C840" s="89"/>
      <c r="D840" s="55"/>
      <c r="E840" s="137"/>
      <c r="F840" s="88"/>
      <c r="G840" s="180"/>
      <c r="H840" s="181"/>
      <c r="I840" s="137"/>
      <c r="J840" s="88"/>
      <c r="K840" s="89"/>
      <c r="L840" s="55"/>
      <c r="M840" s="137"/>
      <c r="N840" s="182"/>
      <c r="O840" s="89"/>
      <c r="P840" s="55"/>
      <c r="Q840" s="183"/>
      <c r="R840" s="184"/>
      <c r="S840" s="185"/>
      <c r="T840" s="172"/>
      <c r="U840" s="183"/>
      <c r="V840" s="184"/>
      <c r="W840" s="185"/>
      <c r="X840" s="172"/>
      <c r="Y840" s="137"/>
      <c r="Z840" s="186"/>
      <c r="AA840" s="187"/>
      <c r="AB840" s="188"/>
      <c r="AC840" s="137"/>
      <c r="AD840" s="184"/>
      <c r="AE840" s="189"/>
      <c r="AF840" s="190"/>
      <c r="AG840" s="143"/>
      <c r="AH840" s="143"/>
      <c r="AI840" s="143"/>
      <c r="AJ840" s="143"/>
      <c r="AK840" s="172"/>
      <c r="AL840" s="172"/>
    </row>
    <row r="841">
      <c r="A841" s="137"/>
      <c r="B841" s="88"/>
      <c r="C841" s="89"/>
      <c r="D841" s="55"/>
      <c r="E841" s="137"/>
      <c r="F841" s="88"/>
      <c r="G841" s="180"/>
      <c r="H841" s="181"/>
      <c r="I841" s="137"/>
      <c r="J841" s="88"/>
      <c r="K841" s="89"/>
      <c r="L841" s="55"/>
      <c r="M841" s="137"/>
      <c r="N841" s="182"/>
      <c r="O841" s="89"/>
      <c r="P841" s="55"/>
      <c r="Q841" s="183"/>
      <c r="R841" s="184"/>
      <c r="S841" s="185"/>
      <c r="T841" s="172"/>
      <c r="U841" s="183"/>
      <c r="V841" s="184"/>
      <c r="W841" s="185"/>
      <c r="X841" s="172"/>
      <c r="Y841" s="137"/>
      <c r="Z841" s="186"/>
      <c r="AA841" s="187"/>
      <c r="AB841" s="188"/>
      <c r="AC841" s="137"/>
      <c r="AD841" s="184"/>
      <c r="AE841" s="189"/>
      <c r="AF841" s="190"/>
      <c r="AG841" s="143"/>
      <c r="AH841" s="143"/>
      <c r="AI841" s="143"/>
      <c r="AJ841" s="143"/>
      <c r="AK841" s="172"/>
      <c r="AL841" s="172"/>
    </row>
    <row r="842">
      <c r="A842" s="137"/>
      <c r="B842" s="88"/>
      <c r="C842" s="89"/>
      <c r="D842" s="55"/>
      <c r="E842" s="137"/>
      <c r="F842" s="88"/>
      <c r="G842" s="180"/>
      <c r="H842" s="181"/>
      <c r="I842" s="137"/>
      <c r="J842" s="88"/>
      <c r="K842" s="89"/>
      <c r="L842" s="55"/>
      <c r="M842" s="137"/>
      <c r="N842" s="182"/>
      <c r="O842" s="89"/>
      <c r="P842" s="55"/>
      <c r="Q842" s="183"/>
      <c r="R842" s="184"/>
      <c r="S842" s="185"/>
      <c r="T842" s="172"/>
      <c r="U842" s="183"/>
      <c r="V842" s="184"/>
      <c r="W842" s="185"/>
      <c r="X842" s="172"/>
      <c r="Y842" s="137"/>
      <c r="Z842" s="186"/>
      <c r="AA842" s="187"/>
      <c r="AB842" s="188"/>
      <c r="AC842" s="137"/>
      <c r="AD842" s="184"/>
      <c r="AE842" s="189"/>
      <c r="AF842" s="190"/>
      <c r="AG842" s="143"/>
      <c r="AH842" s="143"/>
      <c r="AI842" s="143"/>
      <c r="AJ842" s="143"/>
      <c r="AK842" s="172"/>
      <c r="AL842" s="172"/>
    </row>
    <row r="843">
      <c r="A843" s="137"/>
      <c r="B843" s="88"/>
      <c r="C843" s="89"/>
      <c r="D843" s="55"/>
      <c r="E843" s="137"/>
      <c r="F843" s="88"/>
      <c r="G843" s="180"/>
      <c r="H843" s="181"/>
      <c r="I843" s="137"/>
      <c r="J843" s="88"/>
      <c r="K843" s="89"/>
      <c r="L843" s="55"/>
      <c r="M843" s="137"/>
      <c r="N843" s="182"/>
      <c r="O843" s="89"/>
      <c r="P843" s="55"/>
      <c r="Q843" s="183"/>
      <c r="R843" s="184"/>
      <c r="S843" s="185"/>
      <c r="T843" s="172"/>
      <c r="U843" s="183"/>
      <c r="V843" s="184"/>
      <c r="W843" s="185"/>
      <c r="X843" s="172"/>
      <c r="Y843" s="137"/>
      <c r="Z843" s="186"/>
      <c r="AA843" s="187"/>
      <c r="AB843" s="188"/>
      <c r="AC843" s="137"/>
      <c r="AD843" s="184"/>
      <c r="AE843" s="189"/>
      <c r="AF843" s="190"/>
      <c r="AG843" s="143"/>
      <c r="AH843" s="143"/>
      <c r="AI843" s="143"/>
      <c r="AJ843" s="143"/>
      <c r="AK843" s="172"/>
      <c r="AL843" s="172"/>
    </row>
    <row r="844">
      <c r="A844" s="137"/>
      <c r="B844" s="88"/>
      <c r="C844" s="89"/>
      <c r="D844" s="55"/>
      <c r="E844" s="137"/>
      <c r="F844" s="88"/>
      <c r="G844" s="180"/>
      <c r="H844" s="181"/>
      <c r="I844" s="137"/>
      <c r="J844" s="88"/>
      <c r="K844" s="89"/>
      <c r="L844" s="55"/>
      <c r="M844" s="137"/>
      <c r="N844" s="182"/>
      <c r="O844" s="89"/>
      <c r="P844" s="55"/>
      <c r="Q844" s="183"/>
      <c r="R844" s="184"/>
      <c r="S844" s="185"/>
      <c r="T844" s="172"/>
      <c r="U844" s="183"/>
      <c r="V844" s="184"/>
      <c r="W844" s="185"/>
      <c r="X844" s="172"/>
      <c r="Y844" s="137"/>
      <c r="Z844" s="186"/>
      <c r="AA844" s="187"/>
      <c r="AB844" s="188"/>
      <c r="AC844" s="137"/>
      <c r="AD844" s="184"/>
      <c r="AE844" s="189"/>
      <c r="AF844" s="190"/>
      <c r="AG844" s="143"/>
      <c r="AH844" s="143"/>
      <c r="AI844" s="143"/>
      <c r="AJ844" s="143"/>
      <c r="AK844" s="172"/>
      <c r="AL844" s="172"/>
    </row>
    <row r="845">
      <c r="A845" s="137"/>
      <c r="B845" s="88"/>
      <c r="C845" s="89"/>
      <c r="D845" s="55"/>
      <c r="E845" s="137"/>
      <c r="F845" s="88"/>
      <c r="G845" s="180"/>
      <c r="H845" s="181"/>
      <c r="I845" s="137"/>
      <c r="J845" s="88"/>
      <c r="K845" s="89"/>
      <c r="L845" s="55"/>
      <c r="M845" s="137"/>
      <c r="N845" s="182"/>
      <c r="O845" s="89"/>
      <c r="P845" s="55"/>
      <c r="Q845" s="183"/>
      <c r="R845" s="184"/>
      <c r="S845" s="185"/>
      <c r="T845" s="172"/>
      <c r="U845" s="183"/>
      <c r="V845" s="184"/>
      <c r="W845" s="185"/>
      <c r="X845" s="172"/>
      <c r="Y845" s="137"/>
      <c r="Z845" s="186"/>
      <c r="AA845" s="187"/>
      <c r="AB845" s="188"/>
      <c r="AC845" s="137"/>
      <c r="AD845" s="184"/>
      <c r="AE845" s="189"/>
      <c r="AF845" s="190"/>
      <c r="AG845" s="143"/>
      <c r="AH845" s="143"/>
      <c r="AI845" s="143"/>
      <c r="AJ845" s="143"/>
      <c r="AK845" s="172"/>
      <c r="AL845" s="172"/>
    </row>
    <row r="846">
      <c r="A846" s="137"/>
      <c r="B846" s="88"/>
      <c r="C846" s="89"/>
      <c r="D846" s="55"/>
      <c r="E846" s="137"/>
      <c r="F846" s="88"/>
      <c r="G846" s="180"/>
      <c r="H846" s="181"/>
      <c r="I846" s="137"/>
      <c r="J846" s="88"/>
      <c r="K846" s="89"/>
      <c r="L846" s="55"/>
      <c r="M846" s="137"/>
      <c r="N846" s="182"/>
      <c r="O846" s="89"/>
      <c r="P846" s="55"/>
      <c r="Q846" s="183"/>
      <c r="R846" s="184"/>
      <c r="S846" s="185"/>
      <c r="T846" s="172"/>
      <c r="U846" s="183"/>
      <c r="V846" s="184"/>
      <c r="W846" s="185"/>
      <c r="X846" s="172"/>
      <c r="Y846" s="137"/>
      <c r="Z846" s="186"/>
      <c r="AA846" s="187"/>
      <c r="AB846" s="188"/>
      <c r="AC846" s="137"/>
      <c r="AD846" s="184"/>
      <c r="AE846" s="189"/>
      <c r="AF846" s="190"/>
      <c r="AG846" s="143"/>
      <c r="AH846" s="143"/>
      <c r="AI846" s="143"/>
      <c r="AJ846" s="143"/>
      <c r="AK846" s="172"/>
      <c r="AL846" s="172"/>
    </row>
    <row r="847">
      <c r="A847" s="137"/>
      <c r="B847" s="88"/>
      <c r="C847" s="89"/>
      <c r="D847" s="55"/>
      <c r="E847" s="137"/>
      <c r="F847" s="88"/>
      <c r="G847" s="180"/>
      <c r="H847" s="181"/>
      <c r="I847" s="137"/>
      <c r="J847" s="88"/>
      <c r="K847" s="89"/>
      <c r="L847" s="55"/>
      <c r="M847" s="137"/>
      <c r="N847" s="182"/>
      <c r="O847" s="89"/>
      <c r="P847" s="55"/>
      <c r="Q847" s="183"/>
      <c r="R847" s="184"/>
      <c r="S847" s="185"/>
      <c r="T847" s="172"/>
      <c r="U847" s="183"/>
      <c r="V847" s="184"/>
      <c r="W847" s="185"/>
      <c r="X847" s="172"/>
      <c r="Y847" s="137"/>
      <c r="Z847" s="186"/>
      <c r="AA847" s="187"/>
      <c r="AB847" s="188"/>
      <c r="AC847" s="137"/>
      <c r="AD847" s="184"/>
      <c r="AE847" s="189"/>
      <c r="AF847" s="190"/>
      <c r="AG847" s="143"/>
      <c r="AH847" s="143"/>
      <c r="AI847" s="143"/>
      <c r="AJ847" s="143"/>
      <c r="AK847" s="172"/>
      <c r="AL847" s="172"/>
    </row>
    <row r="848">
      <c r="A848" s="137"/>
      <c r="B848" s="88"/>
      <c r="C848" s="89"/>
      <c r="D848" s="55"/>
      <c r="E848" s="137"/>
      <c r="F848" s="88"/>
      <c r="G848" s="180"/>
      <c r="H848" s="181"/>
      <c r="I848" s="137"/>
      <c r="J848" s="88"/>
      <c r="K848" s="89"/>
      <c r="L848" s="55"/>
      <c r="M848" s="137"/>
      <c r="N848" s="182"/>
      <c r="O848" s="89"/>
      <c r="P848" s="55"/>
      <c r="Q848" s="183"/>
      <c r="R848" s="184"/>
      <c r="S848" s="185"/>
      <c r="T848" s="172"/>
      <c r="U848" s="183"/>
      <c r="V848" s="184"/>
      <c r="W848" s="185"/>
      <c r="X848" s="172"/>
      <c r="Y848" s="137"/>
      <c r="Z848" s="186"/>
      <c r="AA848" s="187"/>
      <c r="AB848" s="188"/>
      <c r="AC848" s="137"/>
      <c r="AD848" s="184"/>
      <c r="AE848" s="189"/>
      <c r="AF848" s="190"/>
      <c r="AG848" s="143"/>
      <c r="AH848" s="143"/>
      <c r="AI848" s="143"/>
      <c r="AJ848" s="143"/>
      <c r="AK848" s="172"/>
      <c r="AL848" s="172"/>
    </row>
    <row r="849">
      <c r="A849" s="137"/>
      <c r="B849" s="88"/>
      <c r="C849" s="89"/>
      <c r="D849" s="55"/>
      <c r="E849" s="137"/>
      <c r="F849" s="88"/>
      <c r="G849" s="180"/>
      <c r="H849" s="181"/>
      <c r="I849" s="137"/>
      <c r="J849" s="88"/>
      <c r="K849" s="89"/>
      <c r="L849" s="55"/>
      <c r="M849" s="137"/>
      <c r="N849" s="182"/>
      <c r="O849" s="89"/>
      <c r="P849" s="55"/>
      <c r="Q849" s="183"/>
      <c r="R849" s="184"/>
      <c r="S849" s="185"/>
      <c r="T849" s="172"/>
      <c r="U849" s="183"/>
      <c r="V849" s="184"/>
      <c r="W849" s="185"/>
      <c r="X849" s="172"/>
      <c r="Y849" s="137"/>
      <c r="Z849" s="186"/>
      <c r="AA849" s="187"/>
      <c r="AB849" s="188"/>
      <c r="AC849" s="137"/>
      <c r="AD849" s="184"/>
      <c r="AE849" s="189"/>
      <c r="AF849" s="190"/>
      <c r="AG849" s="143"/>
      <c r="AH849" s="143"/>
      <c r="AI849" s="143"/>
      <c r="AJ849" s="143"/>
      <c r="AK849" s="172"/>
      <c r="AL849" s="172"/>
    </row>
    <row r="850">
      <c r="A850" s="137"/>
      <c r="B850" s="88"/>
      <c r="C850" s="89"/>
      <c r="D850" s="55"/>
      <c r="E850" s="137"/>
      <c r="F850" s="88"/>
      <c r="G850" s="180"/>
      <c r="H850" s="181"/>
      <c r="I850" s="137"/>
      <c r="J850" s="88"/>
      <c r="K850" s="89"/>
      <c r="L850" s="55"/>
      <c r="M850" s="137"/>
      <c r="N850" s="182"/>
      <c r="O850" s="89"/>
      <c r="P850" s="55"/>
      <c r="Q850" s="183"/>
      <c r="R850" s="184"/>
      <c r="S850" s="185"/>
      <c r="T850" s="172"/>
      <c r="U850" s="183"/>
      <c r="V850" s="184"/>
      <c r="W850" s="185"/>
      <c r="X850" s="172"/>
      <c r="Y850" s="137"/>
      <c r="Z850" s="186"/>
      <c r="AA850" s="187"/>
      <c r="AB850" s="188"/>
      <c r="AC850" s="137"/>
      <c r="AD850" s="184"/>
      <c r="AE850" s="189"/>
      <c r="AF850" s="190"/>
      <c r="AG850" s="143"/>
      <c r="AH850" s="143"/>
      <c r="AI850" s="143"/>
      <c r="AJ850" s="143"/>
      <c r="AK850" s="172"/>
      <c r="AL850" s="172"/>
    </row>
    <row r="851">
      <c r="A851" s="137"/>
      <c r="B851" s="88"/>
      <c r="C851" s="89"/>
      <c r="D851" s="55"/>
      <c r="E851" s="137"/>
      <c r="F851" s="88"/>
      <c r="G851" s="180"/>
      <c r="H851" s="181"/>
      <c r="I851" s="137"/>
      <c r="J851" s="88"/>
      <c r="K851" s="89"/>
      <c r="L851" s="55"/>
      <c r="M851" s="137"/>
      <c r="N851" s="182"/>
      <c r="O851" s="89"/>
      <c r="P851" s="55"/>
      <c r="Q851" s="183"/>
      <c r="R851" s="184"/>
      <c r="S851" s="185"/>
      <c r="T851" s="172"/>
      <c r="U851" s="183"/>
      <c r="V851" s="184"/>
      <c r="W851" s="185"/>
      <c r="X851" s="172"/>
      <c r="Y851" s="137"/>
      <c r="Z851" s="186"/>
      <c r="AA851" s="187"/>
      <c r="AB851" s="188"/>
      <c r="AC851" s="137"/>
      <c r="AD851" s="184"/>
      <c r="AE851" s="189"/>
      <c r="AF851" s="190"/>
      <c r="AG851" s="143"/>
      <c r="AH851" s="143"/>
      <c r="AI851" s="143"/>
      <c r="AJ851" s="143"/>
      <c r="AK851" s="172"/>
      <c r="AL851" s="172"/>
    </row>
    <row r="852">
      <c r="A852" s="137"/>
      <c r="B852" s="88"/>
      <c r="C852" s="89"/>
      <c r="D852" s="55"/>
      <c r="E852" s="137"/>
      <c r="F852" s="88"/>
      <c r="G852" s="180"/>
      <c r="H852" s="181"/>
      <c r="I852" s="137"/>
      <c r="J852" s="88"/>
      <c r="K852" s="89"/>
      <c r="L852" s="55"/>
      <c r="M852" s="137"/>
      <c r="N852" s="182"/>
      <c r="O852" s="89"/>
      <c r="P852" s="55"/>
      <c r="Q852" s="183"/>
      <c r="R852" s="184"/>
      <c r="S852" s="185"/>
      <c r="T852" s="172"/>
      <c r="U852" s="183"/>
      <c r="V852" s="184"/>
      <c r="W852" s="185"/>
      <c r="X852" s="172"/>
      <c r="Y852" s="137"/>
      <c r="Z852" s="186"/>
      <c r="AA852" s="187"/>
      <c r="AB852" s="188"/>
      <c r="AC852" s="137"/>
      <c r="AD852" s="184"/>
      <c r="AE852" s="189"/>
      <c r="AF852" s="190"/>
      <c r="AG852" s="143"/>
      <c r="AH852" s="143"/>
      <c r="AI852" s="143"/>
      <c r="AJ852" s="143"/>
      <c r="AK852" s="172"/>
      <c r="AL852" s="172"/>
    </row>
    <row r="853">
      <c r="A853" s="137"/>
      <c r="B853" s="88"/>
      <c r="C853" s="89"/>
      <c r="D853" s="55"/>
      <c r="E853" s="137"/>
      <c r="F853" s="88"/>
      <c r="G853" s="180"/>
      <c r="H853" s="181"/>
      <c r="I853" s="137"/>
      <c r="J853" s="88"/>
      <c r="K853" s="89"/>
      <c r="L853" s="55"/>
      <c r="M853" s="137"/>
      <c r="N853" s="182"/>
      <c r="O853" s="89"/>
      <c r="P853" s="55"/>
      <c r="Q853" s="183"/>
      <c r="R853" s="184"/>
      <c r="S853" s="185"/>
      <c r="T853" s="172"/>
      <c r="U853" s="183"/>
      <c r="V853" s="184"/>
      <c r="W853" s="185"/>
      <c r="X853" s="172"/>
      <c r="Y853" s="137"/>
      <c r="Z853" s="186"/>
      <c r="AA853" s="187"/>
      <c r="AB853" s="188"/>
      <c r="AC853" s="137"/>
      <c r="AD853" s="184"/>
      <c r="AE853" s="189"/>
      <c r="AF853" s="190"/>
      <c r="AG853" s="143"/>
      <c r="AH853" s="143"/>
      <c r="AI853" s="143"/>
      <c r="AJ853" s="143"/>
      <c r="AK853" s="172"/>
      <c r="AL853" s="172"/>
    </row>
    <row r="854">
      <c r="A854" s="137"/>
      <c r="B854" s="88"/>
      <c r="C854" s="89"/>
      <c r="D854" s="55"/>
      <c r="E854" s="137"/>
      <c r="F854" s="88"/>
      <c r="G854" s="180"/>
      <c r="H854" s="181"/>
      <c r="I854" s="137"/>
      <c r="J854" s="88"/>
      <c r="K854" s="89"/>
      <c r="L854" s="55"/>
      <c r="M854" s="137"/>
      <c r="N854" s="182"/>
      <c r="O854" s="89"/>
      <c r="P854" s="55"/>
      <c r="Q854" s="183"/>
      <c r="R854" s="184"/>
      <c r="S854" s="185"/>
      <c r="T854" s="172"/>
      <c r="U854" s="183"/>
      <c r="V854" s="184"/>
      <c r="W854" s="185"/>
      <c r="X854" s="172"/>
      <c r="Y854" s="137"/>
      <c r="Z854" s="186"/>
      <c r="AA854" s="187"/>
      <c r="AB854" s="188"/>
      <c r="AC854" s="137"/>
      <c r="AD854" s="184"/>
      <c r="AE854" s="189"/>
      <c r="AF854" s="190"/>
      <c r="AG854" s="143"/>
      <c r="AH854" s="143"/>
      <c r="AI854" s="143"/>
      <c r="AJ854" s="143"/>
      <c r="AK854" s="172"/>
      <c r="AL854" s="172"/>
    </row>
    <row r="855">
      <c r="A855" s="137"/>
      <c r="B855" s="88"/>
      <c r="C855" s="89"/>
      <c r="D855" s="55"/>
      <c r="E855" s="137"/>
      <c r="F855" s="88"/>
      <c r="G855" s="180"/>
      <c r="H855" s="181"/>
      <c r="I855" s="137"/>
      <c r="J855" s="88"/>
      <c r="K855" s="89"/>
      <c r="L855" s="55"/>
      <c r="M855" s="137"/>
      <c r="N855" s="182"/>
      <c r="O855" s="89"/>
      <c r="P855" s="55"/>
      <c r="Q855" s="183"/>
      <c r="R855" s="184"/>
      <c r="S855" s="185"/>
      <c r="T855" s="172"/>
      <c r="U855" s="183"/>
      <c r="V855" s="184"/>
      <c r="W855" s="185"/>
      <c r="X855" s="172"/>
      <c r="Y855" s="137"/>
      <c r="Z855" s="186"/>
      <c r="AA855" s="187"/>
      <c r="AB855" s="188"/>
      <c r="AC855" s="137"/>
      <c r="AD855" s="184"/>
      <c r="AE855" s="189"/>
      <c r="AF855" s="190"/>
      <c r="AG855" s="143"/>
      <c r="AH855" s="143"/>
      <c r="AI855" s="143"/>
      <c r="AJ855" s="143"/>
      <c r="AK855" s="172"/>
      <c r="AL855" s="172"/>
    </row>
    <row r="856">
      <c r="A856" s="137"/>
      <c r="B856" s="88"/>
      <c r="C856" s="89"/>
      <c r="D856" s="55"/>
      <c r="E856" s="137"/>
      <c r="F856" s="88"/>
      <c r="G856" s="180"/>
      <c r="H856" s="181"/>
      <c r="I856" s="137"/>
      <c r="J856" s="88"/>
      <c r="K856" s="89"/>
      <c r="L856" s="55"/>
      <c r="M856" s="137"/>
      <c r="N856" s="182"/>
      <c r="O856" s="89"/>
      <c r="P856" s="55"/>
      <c r="Q856" s="183"/>
      <c r="R856" s="184"/>
      <c r="S856" s="185"/>
      <c r="T856" s="172"/>
      <c r="U856" s="183"/>
      <c r="V856" s="184"/>
      <c r="W856" s="185"/>
      <c r="X856" s="172"/>
      <c r="Y856" s="137"/>
      <c r="Z856" s="186"/>
      <c r="AA856" s="187"/>
      <c r="AB856" s="188"/>
      <c r="AC856" s="137"/>
      <c r="AD856" s="184"/>
      <c r="AE856" s="189"/>
      <c r="AF856" s="190"/>
      <c r="AG856" s="143"/>
      <c r="AH856" s="143"/>
      <c r="AI856" s="143"/>
      <c r="AJ856" s="143"/>
      <c r="AK856" s="172"/>
      <c r="AL856" s="172"/>
    </row>
    <row r="857">
      <c r="A857" s="137"/>
      <c r="B857" s="88"/>
      <c r="C857" s="89"/>
      <c r="D857" s="55"/>
      <c r="E857" s="137"/>
      <c r="F857" s="88"/>
      <c r="G857" s="180"/>
      <c r="H857" s="181"/>
      <c r="I857" s="137"/>
      <c r="J857" s="88"/>
      <c r="K857" s="89"/>
      <c r="L857" s="55"/>
      <c r="M857" s="137"/>
      <c r="N857" s="182"/>
      <c r="O857" s="89"/>
      <c r="P857" s="55"/>
      <c r="Q857" s="183"/>
      <c r="R857" s="184"/>
      <c r="S857" s="185"/>
      <c r="T857" s="172"/>
      <c r="U857" s="183"/>
      <c r="V857" s="184"/>
      <c r="W857" s="185"/>
      <c r="X857" s="172"/>
      <c r="Y857" s="137"/>
      <c r="Z857" s="186"/>
      <c r="AA857" s="187"/>
      <c r="AB857" s="188"/>
      <c r="AC857" s="137"/>
      <c r="AD857" s="184"/>
      <c r="AE857" s="189"/>
      <c r="AF857" s="190"/>
      <c r="AG857" s="143"/>
      <c r="AH857" s="143"/>
      <c r="AI857" s="143"/>
      <c r="AJ857" s="143"/>
      <c r="AK857" s="172"/>
      <c r="AL857" s="172"/>
    </row>
    <row r="858">
      <c r="A858" s="137"/>
      <c r="B858" s="88"/>
      <c r="C858" s="89"/>
      <c r="D858" s="55"/>
      <c r="E858" s="137"/>
      <c r="F858" s="88"/>
      <c r="G858" s="180"/>
      <c r="H858" s="181"/>
      <c r="I858" s="137"/>
      <c r="J858" s="88"/>
      <c r="K858" s="89"/>
      <c r="L858" s="55"/>
      <c r="M858" s="137"/>
      <c r="N858" s="182"/>
      <c r="O858" s="89"/>
      <c r="P858" s="55"/>
      <c r="Q858" s="183"/>
      <c r="R858" s="184"/>
      <c r="S858" s="185"/>
      <c r="T858" s="172"/>
      <c r="U858" s="183"/>
      <c r="V858" s="184"/>
      <c r="W858" s="185"/>
      <c r="X858" s="172"/>
      <c r="Y858" s="137"/>
      <c r="Z858" s="186"/>
      <c r="AA858" s="187"/>
      <c r="AB858" s="188"/>
      <c r="AC858" s="137"/>
      <c r="AD858" s="184"/>
      <c r="AE858" s="189"/>
      <c r="AF858" s="190"/>
      <c r="AG858" s="143"/>
      <c r="AH858" s="143"/>
      <c r="AI858" s="143"/>
      <c r="AJ858" s="143"/>
      <c r="AK858" s="172"/>
      <c r="AL858" s="172"/>
    </row>
    <row r="859">
      <c r="A859" s="137"/>
      <c r="B859" s="88"/>
      <c r="C859" s="89"/>
      <c r="D859" s="55"/>
      <c r="E859" s="137"/>
      <c r="F859" s="88"/>
      <c r="G859" s="180"/>
      <c r="H859" s="181"/>
      <c r="I859" s="137"/>
      <c r="J859" s="88"/>
      <c r="K859" s="89"/>
      <c r="L859" s="55"/>
      <c r="M859" s="137"/>
      <c r="N859" s="182"/>
      <c r="O859" s="89"/>
      <c r="P859" s="55"/>
      <c r="Q859" s="183"/>
      <c r="R859" s="184"/>
      <c r="S859" s="185"/>
      <c r="T859" s="172"/>
      <c r="U859" s="183"/>
      <c r="V859" s="184"/>
      <c r="W859" s="185"/>
      <c r="X859" s="172"/>
      <c r="Y859" s="137"/>
      <c r="Z859" s="186"/>
      <c r="AA859" s="187"/>
      <c r="AB859" s="188"/>
      <c r="AC859" s="137"/>
      <c r="AD859" s="184"/>
      <c r="AE859" s="189"/>
      <c r="AF859" s="190"/>
      <c r="AG859" s="143"/>
      <c r="AH859" s="143"/>
      <c r="AI859" s="143"/>
      <c r="AJ859" s="143"/>
      <c r="AK859" s="172"/>
      <c r="AL859" s="172"/>
    </row>
    <row r="860">
      <c r="A860" s="137"/>
      <c r="B860" s="88"/>
      <c r="C860" s="89"/>
      <c r="D860" s="55"/>
      <c r="E860" s="137"/>
      <c r="F860" s="88"/>
      <c r="G860" s="180"/>
      <c r="H860" s="181"/>
      <c r="I860" s="137"/>
      <c r="J860" s="88"/>
      <c r="K860" s="89"/>
      <c r="L860" s="55"/>
      <c r="M860" s="137"/>
      <c r="N860" s="182"/>
      <c r="O860" s="89"/>
      <c r="P860" s="55"/>
      <c r="Q860" s="183"/>
      <c r="R860" s="184"/>
      <c r="S860" s="185"/>
      <c r="T860" s="172"/>
      <c r="U860" s="183"/>
      <c r="V860" s="184"/>
      <c r="W860" s="185"/>
      <c r="X860" s="172"/>
      <c r="Y860" s="137"/>
      <c r="Z860" s="186"/>
      <c r="AA860" s="187"/>
      <c r="AB860" s="188"/>
      <c r="AC860" s="137"/>
      <c r="AD860" s="184"/>
      <c r="AE860" s="189"/>
      <c r="AF860" s="190"/>
      <c r="AG860" s="143"/>
      <c r="AH860" s="143"/>
      <c r="AI860" s="143"/>
      <c r="AJ860" s="143"/>
      <c r="AK860" s="172"/>
      <c r="AL860" s="172"/>
    </row>
    <row r="861">
      <c r="A861" s="137"/>
      <c r="B861" s="88"/>
      <c r="C861" s="89"/>
      <c r="D861" s="55"/>
      <c r="E861" s="137"/>
      <c r="F861" s="88"/>
      <c r="G861" s="180"/>
      <c r="H861" s="181"/>
      <c r="I861" s="137"/>
      <c r="J861" s="88"/>
      <c r="K861" s="89"/>
      <c r="L861" s="55"/>
      <c r="M861" s="137"/>
      <c r="N861" s="182"/>
      <c r="O861" s="89"/>
      <c r="P861" s="55"/>
      <c r="Q861" s="183"/>
      <c r="R861" s="184"/>
      <c r="S861" s="185"/>
      <c r="T861" s="172"/>
      <c r="U861" s="183"/>
      <c r="V861" s="184"/>
      <c r="W861" s="185"/>
      <c r="X861" s="172"/>
      <c r="Y861" s="137"/>
      <c r="Z861" s="186"/>
      <c r="AA861" s="187"/>
      <c r="AB861" s="188"/>
      <c r="AC861" s="137"/>
      <c r="AD861" s="184"/>
      <c r="AE861" s="189"/>
      <c r="AF861" s="190"/>
      <c r="AG861" s="143"/>
      <c r="AH861" s="143"/>
      <c r="AI861" s="143"/>
      <c r="AJ861" s="143"/>
      <c r="AK861" s="172"/>
      <c r="AL861" s="172"/>
    </row>
    <row r="862">
      <c r="A862" s="137"/>
      <c r="B862" s="88"/>
      <c r="C862" s="89"/>
      <c r="D862" s="55"/>
      <c r="E862" s="137"/>
      <c r="F862" s="88"/>
      <c r="G862" s="180"/>
      <c r="H862" s="181"/>
      <c r="I862" s="137"/>
      <c r="J862" s="88"/>
      <c r="K862" s="89"/>
      <c r="L862" s="55"/>
      <c r="M862" s="137"/>
      <c r="N862" s="182"/>
      <c r="O862" s="89"/>
      <c r="P862" s="55"/>
      <c r="Q862" s="183"/>
      <c r="R862" s="184"/>
      <c r="S862" s="185"/>
      <c r="T862" s="172"/>
      <c r="U862" s="183"/>
      <c r="V862" s="184"/>
      <c r="W862" s="185"/>
      <c r="X862" s="172"/>
      <c r="Y862" s="137"/>
      <c r="Z862" s="186"/>
      <c r="AA862" s="187"/>
      <c r="AB862" s="188"/>
      <c r="AC862" s="137"/>
      <c r="AD862" s="184"/>
      <c r="AE862" s="189"/>
      <c r="AF862" s="190"/>
      <c r="AG862" s="143"/>
      <c r="AH862" s="143"/>
      <c r="AI862" s="143"/>
      <c r="AJ862" s="143"/>
      <c r="AK862" s="172"/>
      <c r="AL862" s="172"/>
    </row>
    <row r="863">
      <c r="A863" s="137"/>
      <c r="B863" s="88"/>
      <c r="C863" s="89"/>
      <c r="D863" s="55"/>
      <c r="E863" s="137"/>
      <c r="F863" s="88"/>
      <c r="G863" s="180"/>
      <c r="H863" s="181"/>
      <c r="I863" s="137"/>
      <c r="J863" s="88"/>
      <c r="K863" s="89"/>
      <c r="L863" s="55"/>
      <c r="M863" s="137"/>
      <c r="N863" s="182"/>
      <c r="O863" s="89"/>
      <c r="P863" s="55"/>
      <c r="Q863" s="183"/>
      <c r="R863" s="184"/>
      <c r="S863" s="185"/>
      <c r="T863" s="172"/>
      <c r="U863" s="183"/>
      <c r="V863" s="184"/>
      <c r="W863" s="185"/>
      <c r="X863" s="172"/>
      <c r="Y863" s="137"/>
      <c r="Z863" s="186"/>
      <c r="AA863" s="187"/>
      <c r="AB863" s="188"/>
      <c r="AC863" s="137"/>
      <c r="AD863" s="184"/>
      <c r="AE863" s="189"/>
      <c r="AF863" s="190"/>
      <c r="AG863" s="143"/>
      <c r="AH863" s="143"/>
      <c r="AI863" s="143"/>
      <c r="AJ863" s="143"/>
      <c r="AK863" s="172"/>
      <c r="AL863" s="172"/>
    </row>
    <row r="864">
      <c r="A864" s="137"/>
      <c r="B864" s="88"/>
      <c r="C864" s="89"/>
      <c r="D864" s="55"/>
      <c r="E864" s="137"/>
      <c r="F864" s="88"/>
      <c r="G864" s="180"/>
      <c r="H864" s="181"/>
      <c r="I864" s="137"/>
      <c r="J864" s="88"/>
      <c r="K864" s="89"/>
      <c r="L864" s="55"/>
      <c r="M864" s="137"/>
      <c r="N864" s="182"/>
      <c r="O864" s="89"/>
      <c r="P864" s="55"/>
      <c r="Q864" s="183"/>
      <c r="R864" s="184"/>
      <c r="S864" s="185"/>
      <c r="T864" s="172"/>
      <c r="U864" s="183"/>
      <c r="V864" s="184"/>
      <c r="W864" s="185"/>
      <c r="X864" s="172"/>
      <c r="Y864" s="137"/>
      <c r="Z864" s="186"/>
      <c r="AA864" s="187"/>
      <c r="AB864" s="188"/>
      <c r="AC864" s="137"/>
      <c r="AD864" s="184"/>
      <c r="AE864" s="189"/>
      <c r="AF864" s="190"/>
      <c r="AG864" s="143"/>
      <c r="AH864" s="143"/>
      <c r="AI864" s="143"/>
      <c r="AJ864" s="143"/>
      <c r="AK864" s="172"/>
      <c r="AL864" s="172"/>
    </row>
    <row r="865">
      <c r="A865" s="137"/>
      <c r="B865" s="88"/>
      <c r="C865" s="89"/>
      <c r="D865" s="55"/>
      <c r="E865" s="137"/>
      <c r="F865" s="88"/>
      <c r="G865" s="180"/>
      <c r="H865" s="181"/>
      <c r="I865" s="137"/>
      <c r="J865" s="88"/>
      <c r="K865" s="89"/>
      <c r="L865" s="55"/>
      <c r="M865" s="137"/>
      <c r="N865" s="182"/>
      <c r="O865" s="89"/>
      <c r="P865" s="55"/>
      <c r="Q865" s="183"/>
      <c r="R865" s="184"/>
      <c r="S865" s="185"/>
      <c r="T865" s="172"/>
      <c r="U865" s="183"/>
      <c r="V865" s="184"/>
      <c r="W865" s="185"/>
      <c r="X865" s="172"/>
      <c r="Y865" s="137"/>
      <c r="Z865" s="186"/>
      <c r="AA865" s="187"/>
      <c r="AB865" s="188"/>
      <c r="AC865" s="137"/>
      <c r="AD865" s="184"/>
      <c r="AE865" s="189"/>
      <c r="AF865" s="190"/>
      <c r="AG865" s="143"/>
      <c r="AH865" s="143"/>
      <c r="AI865" s="143"/>
      <c r="AJ865" s="143"/>
      <c r="AK865" s="172"/>
      <c r="AL865" s="172"/>
    </row>
    <row r="866">
      <c r="A866" s="137"/>
      <c r="B866" s="88"/>
      <c r="C866" s="89"/>
      <c r="D866" s="55"/>
      <c r="E866" s="137"/>
      <c r="F866" s="88"/>
      <c r="G866" s="180"/>
      <c r="H866" s="181"/>
      <c r="I866" s="137"/>
      <c r="J866" s="88"/>
      <c r="K866" s="89"/>
      <c r="L866" s="55"/>
      <c r="M866" s="137"/>
      <c r="N866" s="182"/>
      <c r="O866" s="89"/>
      <c r="P866" s="55"/>
      <c r="Q866" s="183"/>
      <c r="R866" s="184"/>
      <c r="S866" s="185"/>
      <c r="T866" s="172"/>
      <c r="U866" s="183"/>
      <c r="V866" s="184"/>
      <c r="W866" s="185"/>
      <c r="X866" s="172"/>
      <c r="Y866" s="137"/>
      <c r="Z866" s="186"/>
      <c r="AA866" s="187"/>
      <c r="AB866" s="188"/>
      <c r="AC866" s="137"/>
      <c r="AD866" s="184"/>
      <c r="AE866" s="189"/>
      <c r="AF866" s="190"/>
      <c r="AG866" s="143"/>
      <c r="AH866" s="143"/>
      <c r="AI866" s="143"/>
      <c r="AJ866" s="143"/>
      <c r="AK866" s="172"/>
      <c r="AL866" s="172"/>
    </row>
    <row r="867">
      <c r="A867" s="137"/>
      <c r="B867" s="88"/>
      <c r="C867" s="89"/>
      <c r="D867" s="55"/>
      <c r="E867" s="137"/>
      <c r="F867" s="88"/>
      <c r="G867" s="180"/>
      <c r="H867" s="181"/>
      <c r="I867" s="137"/>
      <c r="J867" s="88"/>
      <c r="K867" s="89"/>
      <c r="L867" s="55"/>
      <c r="M867" s="137"/>
      <c r="N867" s="182"/>
      <c r="O867" s="89"/>
      <c r="P867" s="55"/>
      <c r="Q867" s="183"/>
      <c r="R867" s="184"/>
      <c r="S867" s="185"/>
      <c r="T867" s="172"/>
      <c r="U867" s="183"/>
      <c r="V867" s="184"/>
      <c r="W867" s="185"/>
      <c r="X867" s="172"/>
      <c r="Y867" s="137"/>
      <c r="Z867" s="186"/>
      <c r="AA867" s="187"/>
      <c r="AB867" s="188"/>
      <c r="AC867" s="137"/>
      <c r="AD867" s="184"/>
      <c r="AE867" s="189"/>
      <c r="AF867" s="190"/>
      <c r="AG867" s="143"/>
      <c r="AH867" s="143"/>
      <c r="AI867" s="143"/>
      <c r="AJ867" s="143"/>
      <c r="AK867" s="172"/>
      <c r="AL867" s="172"/>
    </row>
    <row r="868">
      <c r="A868" s="137"/>
      <c r="B868" s="88"/>
      <c r="C868" s="89"/>
      <c r="D868" s="55"/>
      <c r="E868" s="137"/>
      <c r="F868" s="88"/>
      <c r="G868" s="180"/>
      <c r="H868" s="181"/>
      <c r="I868" s="137"/>
      <c r="J868" s="88"/>
      <c r="K868" s="89"/>
      <c r="L868" s="55"/>
      <c r="M868" s="137"/>
      <c r="N868" s="182"/>
      <c r="O868" s="89"/>
      <c r="P868" s="55"/>
      <c r="Q868" s="183"/>
      <c r="R868" s="184"/>
      <c r="S868" s="185"/>
      <c r="T868" s="172"/>
      <c r="U868" s="183"/>
      <c r="V868" s="184"/>
      <c r="W868" s="185"/>
      <c r="X868" s="172"/>
      <c r="Y868" s="137"/>
      <c r="Z868" s="186"/>
      <c r="AA868" s="187"/>
      <c r="AB868" s="188"/>
      <c r="AC868" s="137"/>
      <c r="AD868" s="184"/>
      <c r="AE868" s="189"/>
      <c r="AF868" s="190"/>
      <c r="AG868" s="143"/>
      <c r="AH868" s="143"/>
      <c r="AI868" s="143"/>
      <c r="AJ868" s="143"/>
      <c r="AK868" s="172"/>
      <c r="AL868" s="172"/>
    </row>
    <row r="869">
      <c r="A869" s="137"/>
      <c r="B869" s="88"/>
      <c r="C869" s="89"/>
      <c r="D869" s="55"/>
      <c r="E869" s="137"/>
      <c r="F869" s="88"/>
      <c r="G869" s="180"/>
      <c r="H869" s="181"/>
      <c r="I869" s="137"/>
      <c r="J869" s="88"/>
      <c r="K869" s="89"/>
      <c r="L869" s="55"/>
      <c r="M869" s="137"/>
      <c r="N869" s="182"/>
      <c r="O869" s="89"/>
      <c r="P869" s="55"/>
      <c r="Q869" s="183"/>
      <c r="R869" s="184"/>
      <c r="S869" s="185"/>
      <c r="T869" s="172"/>
      <c r="U869" s="183"/>
      <c r="V869" s="184"/>
      <c r="W869" s="185"/>
      <c r="X869" s="172"/>
      <c r="Y869" s="137"/>
      <c r="Z869" s="186"/>
      <c r="AA869" s="187"/>
      <c r="AB869" s="188"/>
      <c r="AC869" s="137"/>
      <c r="AD869" s="184"/>
      <c r="AE869" s="189"/>
      <c r="AF869" s="190"/>
      <c r="AG869" s="143"/>
      <c r="AH869" s="143"/>
      <c r="AI869" s="143"/>
      <c r="AJ869" s="143"/>
      <c r="AK869" s="172"/>
      <c r="AL869" s="172"/>
    </row>
    <row r="870">
      <c r="A870" s="137"/>
      <c r="B870" s="88"/>
      <c r="C870" s="89"/>
      <c r="D870" s="55"/>
      <c r="E870" s="137"/>
      <c r="F870" s="88"/>
      <c r="G870" s="180"/>
      <c r="H870" s="181"/>
      <c r="I870" s="137"/>
      <c r="J870" s="88"/>
      <c r="K870" s="89"/>
      <c r="L870" s="55"/>
      <c r="M870" s="137"/>
      <c r="N870" s="182"/>
      <c r="O870" s="89"/>
      <c r="P870" s="55"/>
      <c r="Q870" s="183"/>
      <c r="R870" s="184"/>
      <c r="S870" s="185"/>
      <c r="T870" s="172"/>
      <c r="U870" s="183"/>
      <c r="V870" s="184"/>
      <c r="W870" s="185"/>
      <c r="X870" s="172"/>
      <c r="Y870" s="137"/>
      <c r="Z870" s="186"/>
      <c r="AA870" s="187"/>
      <c r="AB870" s="188"/>
      <c r="AC870" s="137"/>
      <c r="AD870" s="184"/>
      <c r="AE870" s="189"/>
      <c r="AF870" s="190"/>
      <c r="AG870" s="143"/>
      <c r="AH870" s="143"/>
      <c r="AI870" s="143"/>
      <c r="AJ870" s="143"/>
      <c r="AK870" s="172"/>
      <c r="AL870" s="172"/>
    </row>
    <row r="871">
      <c r="A871" s="137"/>
      <c r="B871" s="88"/>
      <c r="C871" s="89"/>
      <c r="D871" s="55"/>
      <c r="E871" s="137"/>
      <c r="F871" s="88"/>
      <c r="G871" s="180"/>
      <c r="H871" s="181"/>
      <c r="I871" s="137"/>
      <c r="J871" s="88"/>
      <c r="K871" s="89"/>
      <c r="L871" s="55"/>
      <c r="M871" s="137"/>
      <c r="N871" s="182"/>
      <c r="O871" s="89"/>
      <c r="P871" s="55"/>
      <c r="Q871" s="183"/>
      <c r="R871" s="184"/>
      <c r="S871" s="185"/>
      <c r="T871" s="172"/>
      <c r="U871" s="183"/>
      <c r="V871" s="184"/>
      <c r="W871" s="185"/>
      <c r="X871" s="172"/>
      <c r="Y871" s="137"/>
      <c r="Z871" s="186"/>
      <c r="AA871" s="187"/>
      <c r="AB871" s="188"/>
      <c r="AC871" s="137"/>
      <c r="AD871" s="184"/>
      <c r="AE871" s="189"/>
      <c r="AF871" s="190"/>
      <c r="AG871" s="143"/>
      <c r="AH871" s="143"/>
      <c r="AI871" s="143"/>
      <c r="AJ871" s="143"/>
      <c r="AK871" s="172"/>
      <c r="AL871" s="172"/>
    </row>
    <row r="872">
      <c r="A872" s="137"/>
      <c r="B872" s="88"/>
      <c r="C872" s="89"/>
      <c r="D872" s="55"/>
      <c r="E872" s="137"/>
      <c r="F872" s="88"/>
      <c r="G872" s="180"/>
      <c r="H872" s="181"/>
      <c r="I872" s="137"/>
      <c r="J872" s="88"/>
      <c r="K872" s="89"/>
      <c r="L872" s="55"/>
      <c r="M872" s="137"/>
      <c r="N872" s="182"/>
      <c r="O872" s="89"/>
      <c r="P872" s="55"/>
      <c r="Q872" s="183"/>
      <c r="R872" s="184"/>
      <c r="S872" s="185"/>
      <c r="T872" s="172"/>
      <c r="U872" s="183"/>
      <c r="V872" s="184"/>
      <c r="W872" s="185"/>
      <c r="X872" s="172"/>
      <c r="Y872" s="137"/>
      <c r="Z872" s="186"/>
      <c r="AA872" s="187"/>
      <c r="AB872" s="188"/>
      <c r="AC872" s="137"/>
      <c r="AD872" s="184"/>
      <c r="AE872" s="189"/>
      <c r="AF872" s="190"/>
      <c r="AG872" s="143"/>
      <c r="AH872" s="143"/>
      <c r="AI872" s="143"/>
      <c r="AJ872" s="143"/>
      <c r="AK872" s="172"/>
      <c r="AL872" s="172"/>
    </row>
    <row r="873">
      <c r="A873" s="137"/>
      <c r="B873" s="88"/>
      <c r="C873" s="89"/>
      <c r="D873" s="55"/>
      <c r="E873" s="137"/>
      <c r="F873" s="88"/>
      <c r="G873" s="180"/>
      <c r="H873" s="181"/>
      <c r="I873" s="137"/>
      <c r="J873" s="88"/>
      <c r="K873" s="89"/>
      <c r="L873" s="55"/>
      <c r="M873" s="137"/>
      <c r="N873" s="182"/>
      <c r="O873" s="89"/>
      <c r="P873" s="55"/>
      <c r="Q873" s="183"/>
      <c r="R873" s="184"/>
      <c r="S873" s="185"/>
      <c r="T873" s="172"/>
      <c r="U873" s="183"/>
      <c r="V873" s="184"/>
      <c r="W873" s="185"/>
      <c r="X873" s="172"/>
      <c r="Y873" s="137"/>
      <c r="Z873" s="186"/>
      <c r="AA873" s="187"/>
      <c r="AB873" s="188"/>
      <c r="AC873" s="137"/>
      <c r="AD873" s="184"/>
      <c r="AE873" s="189"/>
      <c r="AF873" s="190"/>
      <c r="AG873" s="143"/>
      <c r="AH873" s="143"/>
      <c r="AI873" s="143"/>
      <c r="AJ873" s="143"/>
      <c r="AK873" s="172"/>
      <c r="AL873" s="172"/>
    </row>
    <row r="874">
      <c r="A874" s="137"/>
      <c r="B874" s="88"/>
      <c r="C874" s="89"/>
      <c r="D874" s="55"/>
      <c r="E874" s="137"/>
      <c r="F874" s="88"/>
      <c r="G874" s="180"/>
      <c r="H874" s="181"/>
      <c r="I874" s="137"/>
      <c r="J874" s="88"/>
      <c r="K874" s="89"/>
      <c r="L874" s="55"/>
      <c r="M874" s="137"/>
      <c r="N874" s="182"/>
      <c r="O874" s="89"/>
      <c r="P874" s="55"/>
      <c r="Q874" s="183"/>
      <c r="R874" s="184"/>
      <c r="S874" s="185"/>
      <c r="T874" s="172"/>
      <c r="U874" s="183"/>
      <c r="V874" s="184"/>
      <c r="W874" s="185"/>
      <c r="X874" s="172"/>
      <c r="Y874" s="137"/>
      <c r="Z874" s="186"/>
      <c r="AA874" s="187"/>
      <c r="AB874" s="188"/>
      <c r="AC874" s="137"/>
      <c r="AD874" s="184"/>
      <c r="AE874" s="189"/>
      <c r="AF874" s="190"/>
      <c r="AG874" s="143"/>
      <c r="AH874" s="143"/>
      <c r="AI874" s="143"/>
      <c r="AJ874" s="143"/>
      <c r="AK874" s="172"/>
      <c r="AL874" s="172"/>
    </row>
    <row r="875">
      <c r="A875" s="137"/>
      <c r="B875" s="88"/>
      <c r="C875" s="89"/>
      <c r="D875" s="55"/>
      <c r="E875" s="137"/>
      <c r="F875" s="88"/>
      <c r="G875" s="180"/>
      <c r="H875" s="181"/>
      <c r="I875" s="137"/>
      <c r="J875" s="88"/>
      <c r="K875" s="89"/>
      <c r="L875" s="55"/>
      <c r="M875" s="137"/>
      <c r="N875" s="182"/>
      <c r="O875" s="89"/>
      <c r="P875" s="55"/>
      <c r="Q875" s="183"/>
      <c r="R875" s="184"/>
      <c r="S875" s="185"/>
      <c r="T875" s="172"/>
      <c r="U875" s="183"/>
      <c r="V875" s="184"/>
      <c r="W875" s="185"/>
      <c r="X875" s="172"/>
      <c r="Y875" s="137"/>
      <c r="Z875" s="186"/>
      <c r="AA875" s="187"/>
      <c r="AB875" s="188"/>
      <c r="AC875" s="137"/>
      <c r="AD875" s="184"/>
      <c r="AE875" s="189"/>
      <c r="AF875" s="190"/>
      <c r="AG875" s="143"/>
      <c r="AH875" s="143"/>
      <c r="AI875" s="143"/>
      <c r="AJ875" s="143"/>
      <c r="AK875" s="172"/>
      <c r="AL875" s="172"/>
    </row>
    <row r="876">
      <c r="A876" s="137"/>
      <c r="B876" s="88"/>
      <c r="C876" s="89"/>
      <c r="D876" s="55"/>
      <c r="E876" s="137"/>
      <c r="F876" s="88"/>
      <c r="G876" s="180"/>
      <c r="H876" s="181"/>
      <c r="I876" s="137"/>
      <c r="J876" s="88"/>
      <c r="K876" s="89"/>
      <c r="L876" s="55"/>
      <c r="M876" s="137"/>
      <c r="N876" s="182"/>
      <c r="O876" s="89"/>
      <c r="P876" s="55"/>
      <c r="Q876" s="183"/>
      <c r="R876" s="184"/>
      <c r="S876" s="185"/>
      <c r="T876" s="172"/>
      <c r="U876" s="183"/>
      <c r="V876" s="184"/>
      <c r="W876" s="185"/>
      <c r="X876" s="172"/>
      <c r="Y876" s="137"/>
      <c r="Z876" s="186"/>
      <c r="AA876" s="187"/>
      <c r="AB876" s="188"/>
      <c r="AC876" s="137"/>
      <c r="AD876" s="184"/>
      <c r="AE876" s="189"/>
      <c r="AF876" s="190"/>
      <c r="AG876" s="143"/>
      <c r="AH876" s="143"/>
      <c r="AI876" s="143"/>
      <c r="AJ876" s="143"/>
      <c r="AK876" s="172"/>
      <c r="AL876" s="172"/>
    </row>
    <row r="877">
      <c r="A877" s="137"/>
      <c r="B877" s="88"/>
      <c r="C877" s="89"/>
      <c r="D877" s="55"/>
      <c r="E877" s="137"/>
      <c r="F877" s="88"/>
      <c r="G877" s="180"/>
      <c r="H877" s="181"/>
      <c r="I877" s="137"/>
      <c r="J877" s="88"/>
      <c r="K877" s="89"/>
      <c r="L877" s="55"/>
      <c r="M877" s="137"/>
      <c r="N877" s="182"/>
      <c r="O877" s="89"/>
      <c r="P877" s="55"/>
      <c r="Q877" s="183"/>
      <c r="R877" s="184"/>
      <c r="S877" s="185"/>
      <c r="T877" s="172"/>
      <c r="U877" s="183"/>
      <c r="V877" s="184"/>
      <c r="W877" s="185"/>
      <c r="X877" s="172"/>
      <c r="Y877" s="137"/>
      <c r="Z877" s="186"/>
      <c r="AA877" s="187"/>
      <c r="AB877" s="188"/>
      <c r="AC877" s="137"/>
      <c r="AD877" s="184"/>
      <c r="AE877" s="189"/>
      <c r="AF877" s="190"/>
      <c r="AG877" s="143"/>
      <c r="AH877" s="143"/>
      <c r="AI877" s="143"/>
      <c r="AJ877" s="143"/>
      <c r="AK877" s="172"/>
      <c r="AL877" s="172"/>
    </row>
    <row r="878">
      <c r="A878" s="137"/>
      <c r="B878" s="88"/>
      <c r="C878" s="89"/>
      <c r="D878" s="55"/>
      <c r="E878" s="137"/>
      <c r="F878" s="88"/>
      <c r="G878" s="180"/>
      <c r="H878" s="181"/>
      <c r="I878" s="137"/>
      <c r="J878" s="88"/>
      <c r="K878" s="89"/>
      <c r="L878" s="55"/>
      <c r="M878" s="137"/>
      <c r="N878" s="182"/>
      <c r="O878" s="89"/>
      <c r="P878" s="55"/>
      <c r="Q878" s="183"/>
      <c r="R878" s="184"/>
      <c r="S878" s="185"/>
      <c r="T878" s="172"/>
      <c r="U878" s="183"/>
      <c r="V878" s="184"/>
      <c r="W878" s="185"/>
      <c r="X878" s="172"/>
      <c r="Y878" s="137"/>
      <c r="Z878" s="186"/>
      <c r="AA878" s="187"/>
      <c r="AB878" s="188"/>
      <c r="AC878" s="137"/>
      <c r="AD878" s="184"/>
      <c r="AE878" s="189"/>
      <c r="AF878" s="190"/>
      <c r="AG878" s="143"/>
      <c r="AH878" s="143"/>
      <c r="AI878" s="143"/>
      <c r="AJ878" s="143"/>
      <c r="AK878" s="172"/>
      <c r="AL878" s="172"/>
    </row>
    <row r="879">
      <c r="A879" s="137"/>
      <c r="B879" s="88"/>
      <c r="C879" s="89"/>
      <c r="D879" s="55"/>
      <c r="E879" s="137"/>
      <c r="F879" s="88"/>
      <c r="G879" s="180"/>
      <c r="H879" s="181"/>
      <c r="I879" s="137"/>
      <c r="J879" s="88"/>
      <c r="K879" s="89"/>
      <c r="L879" s="55"/>
      <c r="M879" s="137"/>
      <c r="N879" s="182"/>
      <c r="O879" s="89"/>
      <c r="P879" s="55"/>
      <c r="Q879" s="183"/>
      <c r="R879" s="184"/>
      <c r="S879" s="185"/>
      <c r="T879" s="172"/>
      <c r="U879" s="183"/>
      <c r="V879" s="184"/>
      <c r="W879" s="185"/>
      <c r="X879" s="172"/>
      <c r="Y879" s="137"/>
      <c r="Z879" s="186"/>
      <c r="AA879" s="187"/>
      <c r="AB879" s="188"/>
      <c r="AC879" s="137"/>
      <c r="AD879" s="184"/>
      <c r="AE879" s="189"/>
      <c r="AF879" s="190"/>
      <c r="AG879" s="143"/>
      <c r="AH879" s="143"/>
      <c r="AI879" s="143"/>
      <c r="AJ879" s="143"/>
      <c r="AK879" s="172"/>
      <c r="AL879" s="172"/>
    </row>
    <row r="880">
      <c r="A880" s="137"/>
      <c r="B880" s="88"/>
      <c r="C880" s="89"/>
      <c r="D880" s="55"/>
      <c r="E880" s="137"/>
      <c r="F880" s="88"/>
      <c r="G880" s="180"/>
      <c r="H880" s="181"/>
      <c r="I880" s="137"/>
      <c r="J880" s="88"/>
      <c r="K880" s="89"/>
      <c r="L880" s="55"/>
      <c r="M880" s="137"/>
      <c r="N880" s="182"/>
      <c r="O880" s="89"/>
      <c r="P880" s="55"/>
      <c r="Q880" s="183"/>
      <c r="R880" s="184"/>
      <c r="S880" s="185"/>
      <c r="T880" s="172"/>
      <c r="U880" s="183"/>
      <c r="V880" s="184"/>
      <c r="W880" s="185"/>
      <c r="X880" s="172"/>
      <c r="Y880" s="137"/>
      <c r="Z880" s="186"/>
      <c r="AA880" s="187"/>
      <c r="AB880" s="188"/>
      <c r="AC880" s="137"/>
      <c r="AD880" s="184"/>
      <c r="AE880" s="189"/>
      <c r="AF880" s="190"/>
      <c r="AG880" s="143"/>
      <c r="AH880" s="143"/>
      <c r="AI880" s="143"/>
      <c r="AJ880" s="143"/>
      <c r="AK880" s="172"/>
      <c r="AL880" s="172"/>
    </row>
    <row r="881">
      <c r="A881" s="137"/>
      <c r="B881" s="88"/>
      <c r="C881" s="89"/>
      <c r="D881" s="55"/>
      <c r="E881" s="137"/>
      <c r="F881" s="88"/>
      <c r="G881" s="180"/>
      <c r="H881" s="181"/>
      <c r="I881" s="137"/>
      <c r="J881" s="88"/>
      <c r="K881" s="89"/>
      <c r="L881" s="55"/>
      <c r="M881" s="137"/>
      <c r="N881" s="182"/>
      <c r="O881" s="89"/>
      <c r="P881" s="55"/>
      <c r="Q881" s="183"/>
      <c r="R881" s="184"/>
      <c r="S881" s="185"/>
      <c r="T881" s="172"/>
      <c r="U881" s="183"/>
      <c r="V881" s="184"/>
      <c r="W881" s="185"/>
      <c r="X881" s="172"/>
      <c r="Y881" s="137"/>
      <c r="Z881" s="186"/>
      <c r="AA881" s="187"/>
      <c r="AB881" s="188"/>
      <c r="AC881" s="137"/>
      <c r="AD881" s="184"/>
      <c r="AE881" s="189"/>
      <c r="AF881" s="190"/>
      <c r="AG881" s="143"/>
      <c r="AH881" s="143"/>
      <c r="AI881" s="143"/>
      <c r="AJ881" s="143"/>
      <c r="AK881" s="172"/>
      <c r="AL881" s="172"/>
    </row>
    <row r="882">
      <c r="A882" s="137"/>
      <c r="B882" s="88"/>
      <c r="C882" s="89"/>
      <c r="D882" s="55"/>
      <c r="E882" s="137"/>
      <c r="F882" s="88"/>
      <c r="G882" s="180"/>
      <c r="H882" s="181"/>
      <c r="I882" s="137"/>
      <c r="J882" s="88"/>
      <c r="K882" s="89"/>
      <c r="L882" s="55"/>
      <c r="M882" s="137"/>
      <c r="N882" s="182"/>
      <c r="O882" s="89"/>
      <c r="P882" s="55"/>
      <c r="Q882" s="183"/>
      <c r="R882" s="184"/>
      <c r="S882" s="185"/>
      <c r="T882" s="172"/>
      <c r="U882" s="183"/>
      <c r="V882" s="184"/>
      <c r="W882" s="185"/>
      <c r="X882" s="172"/>
      <c r="Y882" s="137"/>
      <c r="Z882" s="186"/>
      <c r="AA882" s="187"/>
      <c r="AB882" s="188"/>
      <c r="AC882" s="137"/>
      <c r="AD882" s="184"/>
      <c r="AE882" s="189"/>
      <c r="AF882" s="190"/>
      <c r="AG882" s="143"/>
      <c r="AH882" s="143"/>
      <c r="AI882" s="143"/>
      <c r="AJ882" s="143"/>
      <c r="AK882" s="172"/>
      <c r="AL882" s="172"/>
    </row>
    <row r="883">
      <c r="A883" s="137"/>
      <c r="B883" s="88"/>
      <c r="C883" s="89"/>
      <c r="D883" s="55"/>
      <c r="E883" s="137"/>
      <c r="F883" s="88"/>
      <c r="G883" s="180"/>
      <c r="H883" s="181"/>
      <c r="I883" s="137"/>
      <c r="J883" s="88"/>
      <c r="K883" s="89"/>
      <c r="L883" s="55"/>
      <c r="M883" s="137"/>
      <c r="N883" s="182"/>
      <c r="O883" s="89"/>
      <c r="P883" s="55"/>
      <c r="Q883" s="183"/>
      <c r="R883" s="184"/>
      <c r="S883" s="185"/>
      <c r="T883" s="172"/>
      <c r="U883" s="183"/>
      <c r="V883" s="184"/>
      <c r="W883" s="185"/>
      <c r="X883" s="172"/>
      <c r="Y883" s="137"/>
      <c r="Z883" s="186"/>
      <c r="AA883" s="187"/>
      <c r="AB883" s="188"/>
      <c r="AC883" s="137"/>
      <c r="AD883" s="184"/>
      <c r="AE883" s="189"/>
      <c r="AF883" s="190"/>
      <c r="AG883" s="143"/>
      <c r="AH883" s="143"/>
      <c r="AI883" s="143"/>
      <c r="AJ883" s="143"/>
      <c r="AK883" s="172"/>
      <c r="AL883" s="172"/>
    </row>
    <row r="884">
      <c r="A884" s="137"/>
      <c r="B884" s="88"/>
      <c r="C884" s="89"/>
      <c r="D884" s="55"/>
      <c r="E884" s="137"/>
      <c r="F884" s="88"/>
      <c r="G884" s="180"/>
      <c r="H884" s="181"/>
      <c r="I884" s="137"/>
      <c r="J884" s="88"/>
      <c r="K884" s="89"/>
      <c r="L884" s="55"/>
      <c r="M884" s="137"/>
      <c r="N884" s="182"/>
      <c r="O884" s="89"/>
      <c r="P884" s="55"/>
      <c r="Q884" s="183"/>
      <c r="R884" s="184"/>
      <c r="S884" s="185"/>
      <c r="T884" s="172"/>
      <c r="U884" s="183"/>
      <c r="V884" s="184"/>
      <c r="W884" s="185"/>
      <c r="X884" s="172"/>
      <c r="Y884" s="137"/>
      <c r="Z884" s="186"/>
      <c r="AA884" s="187"/>
      <c r="AB884" s="188"/>
      <c r="AC884" s="137"/>
      <c r="AD884" s="184"/>
      <c r="AE884" s="189"/>
      <c r="AF884" s="190"/>
      <c r="AG884" s="143"/>
      <c r="AH884" s="143"/>
      <c r="AI884" s="143"/>
      <c r="AJ884" s="143"/>
      <c r="AK884" s="172"/>
      <c r="AL884" s="172"/>
    </row>
    <row r="885">
      <c r="A885" s="137"/>
      <c r="B885" s="88"/>
      <c r="C885" s="89"/>
      <c r="D885" s="55"/>
      <c r="E885" s="137"/>
      <c r="F885" s="88"/>
      <c r="G885" s="180"/>
      <c r="H885" s="181"/>
      <c r="I885" s="137"/>
      <c r="J885" s="88"/>
      <c r="K885" s="89"/>
      <c r="L885" s="55"/>
      <c r="M885" s="137"/>
      <c r="N885" s="182"/>
      <c r="O885" s="89"/>
      <c r="P885" s="55"/>
      <c r="Q885" s="183"/>
      <c r="R885" s="184"/>
      <c r="S885" s="185"/>
      <c r="T885" s="172"/>
      <c r="U885" s="183"/>
      <c r="V885" s="184"/>
      <c r="W885" s="185"/>
      <c r="X885" s="172"/>
      <c r="Y885" s="137"/>
      <c r="Z885" s="186"/>
      <c r="AA885" s="187"/>
      <c r="AB885" s="188"/>
      <c r="AC885" s="137"/>
      <c r="AD885" s="184"/>
      <c r="AE885" s="189"/>
      <c r="AF885" s="190"/>
      <c r="AG885" s="143"/>
      <c r="AH885" s="143"/>
      <c r="AI885" s="143"/>
      <c r="AJ885" s="143"/>
      <c r="AK885" s="172"/>
      <c r="AL885" s="172"/>
    </row>
    <row r="886">
      <c r="A886" s="137"/>
      <c r="B886" s="88"/>
      <c r="C886" s="89"/>
      <c r="D886" s="55"/>
      <c r="E886" s="137"/>
      <c r="F886" s="88"/>
      <c r="G886" s="180"/>
      <c r="H886" s="181"/>
      <c r="I886" s="137"/>
      <c r="J886" s="88"/>
      <c r="K886" s="89"/>
      <c r="L886" s="55"/>
      <c r="M886" s="137"/>
      <c r="N886" s="182"/>
      <c r="O886" s="89"/>
      <c r="P886" s="55"/>
      <c r="Q886" s="183"/>
      <c r="R886" s="184"/>
      <c r="S886" s="185"/>
      <c r="T886" s="172"/>
      <c r="U886" s="183"/>
      <c r="V886" s="184"/>
      <c r="W886" s="185"/>
      <c r="X886" s="172"/>
      <c r="Y886" s="137"/>
      <c r="Z886" s="186"/>
      <c r="AA886" s="187"/>
      <c r="AB886" s="188"/>
      <c r="AC886" s="137"/>
      <c r="AD886" s="184"/>
      <c r="AE886" s="189"/>
      <c r="AF886" s="190"/>
      <c r="AG886" s="143"/>
      <c r="AH886" s="143"/>
      <c r="AI886" s="143"/>
      <c r="AJ886" s="143"/>
      <c r="AK886" s="172"/>
      <c r="AL886" s="172"/>
    </row>
    <row r="887">
      <c r="A887" s="137"/>
      <c r="B887" s="88"/>
      <c r="C887" s="89"/>
      <c r="D887" s="55"/>
      <c r="E887" s="137"/>
      <c r="F887" s="88"/>
      <c r="G887" s="180"/>
      <c r="H887" s="181"/>
      <c r="I887" s="137"/>
      <c r="J887" s="88"/>
      <c r="K887" s="89"/>
      <c r="L887" s="55"/>
      <c r="M887" s="137"/>
      <c r="N887" s="182"/>
      <c r="O887" s="89"/>
      <c r="P887" s="55"/>
      <c r="Q887" s="183"/>
      <c r="R887" s="184"/>
      <c r="S887" s="185"/>
      <c r="T887" s="172"/>
      <c r="U887" s="183"/>
      <c r="V887" s="184"/>
      <c r="W887" s="185"/>
      <c r="X887" s="172"/>
      <c r="Y887" s="137"/>
      <c r="Z887" s="186"/>
      <c r="AA887" s="187"/>
      <c r="AB887" s="188"/>
      <c r="AC887" s="137"/>
      <c r="AD887" s="184"/>
      <c r="AE887" s="189"/>
      <c r="AF887" s="190"/>
      <c r="AG887" s="143"/>
      <c r="AH887" s="143"/>
      <c r="AI887" s="143"/>
      <c r="AJ887" s="143"/>
      <c r="AK887" s="172"/>
      <c r="AL887" s="172"/>
    </row>
    <row r="888">
      <c r="A888" s="137"/>
      <c r="B888" s="88"/>
      <c r="C888" s="89"/>
      <c r="D888" s="55"/>
      <c r="E888" s="137"/>
      <c r="F888" s="88"/>
      <c r="G888" s="180"/>
      <c r="H888" s="181"/>
      <c r="I888" s="137"/>
      <c r="J888" s="88"/>
      <c r="K888" s="89"/>
      <c r="L888" s="55"/>
      <c r="M888" s="137"/>
      <c r="N888" s="182"/>
      <c r="O888" s="89"/>
      <c r="P888" s="55"/>
      <c r="Q888" s="183"/>
      <c r="R888" s="184"/>
      <c r="S888" s="185"/>
      <c r="T888" s="172"/>
      <c r="U888" s="183"/>
      <c r="V888" s="184"/>
      <c r="W888" s="185"/>
      <c r="X888" s="172"/>
      <c r="Y888" s="137"/>
      <c r="Z888" s="186"/>
      <c r="AA888" s="187"/>
      <c r="AB888" s="188"/>
      <c r="AC888" s="137"/>
      <c r="AD888" s="184"/>
      <c r="AE888" s="189"/>
      <c r="AF888" s="190"/>
      <c r="AG888" s="143"/>
      <c r="AH888" s="143"/>
      <c r="AI888" s="143"/>
      <c r="AJ888" s="143"/>
      <c r="AK888" s="172"/>
      <c r="AL888" s="172"/>
    </row>
    <row r="889">
      <c r="A889" s="137"/>
      <c r="B889" s="88"/>
      <c r="C889" s="89"/>
      <c r="D889" s="55"/>
      <c r="E889" s="137"/>
      <c r="F889" s="88"/>
      <c r="G889" s="180"/>
      <c r="H889" s="181"/>
      <c r="I889" s="137"/>
      <c r="J889" s="88"/>
      <c r="K889" s="89"/>
      <c r="L889" s="55"/>
      <c r="M889" s="137"/>
      <c r="N889" s="182"/>
      <c r="O889" s="89"/>
      <c r="P889" s="55"/>
      <c r="Q889" s="183"/>
      <c r="R889" s="184"/>
      <c r="S889" s="185"/>
      <c r="T889" s="172"/>
      <c r="U889" s="183"/>
      <c r="V889" s="184"/>
      <c r="W889" s="185"/>
      <c r="X889" s="172"/>
      <c r="Y889" s="137"/>
      <c r="Z889" s="186"/>
      <c r="AA889" s="187"/>
      <c r="AB889" s="188"/>
      <c r="AC889" s="137"/>
      <c r="AD889" s="184"/>
      <c r="AE889" s="189"/>
      <c r="AF889" s="190"/>
      <c r="AG889" s="143"/>
      <c r="AH889" s="143"/>
      <c r="AI889" s="143"/>
      <c r="AJ889" s="143"/>
      <c r="AK889" s="172"/>
      <c r="AL889" s="172"/>
    </row>
    <row r="890">
      <c r="A890" s="137"/>
      <c r="B890" s="88"/>
      <c r="C890" s="89"/>
      <c r="D890" s="55"/>
      <c r="E890" s="137"/>
      <c r="F890" s="88"/>
      <c r="G890" s="180"/>
      <c r="H890" s="181"/>
      <c r="I890" s="137"/>
      <c r="J890" s="88"/>
      <c r="K890" s="89"/>
      <c r="L890" s="55"/>
      <c r="M890" s="137"/>
      <c r="N890" s="182"/>
      <c r="O890" s="89"/>
      <c r="P890" s="55"/>
      <c r="Q890" s="183"/>
      <c r="R890" s="184"/>
      <c r="S890" s="185"/>
      <c r="T890" s="172"/>
      <c r="U890" s="183"/>
      <c r="V890" s="184"/>
      <c r="W890" s="185"/>
      <c r="X890" s="172"/>
      <c r="Y890" s="137"/>
      <c r="Z890" s="186"/>
      <c r="AA890" s="187"/>
      <c r="AB890" s="188"/>
      <c r="AC890" s="137"/>
      <c r="AD890" s="184"/>
      <c r="AE890" s="189"/>
      <c r="AF890" s="190"/>
      <c r="AG890" s="143"/>
      <c r="AH890" s="143"/>
      <c r="AI890" s="143"/>
      <c r="AJ890" s="143"/>
      <c r="AK890" s="172"/>
      <c r="AL890" s="172"/>
    </row>
    <row r="891">
      <c r="A891" s="137"/>
      <c r="B891" s="88"/>
      <c r="C891" s="89"/>
      <c r="D891" s="55"/>
      <c r="E891" s="137"/>
      <c r="F891" s="88"/>
      <c r="G891" s="180"/>
      <c r="H891" s="181"/>
      <c r="I891" s="137"/>
      <c r="J891" s="88"/>
      <c r="K891" s="89"/>
      <c r="L891" s="55"/>
      <c r="M891" s="137"/>
      <c r="N891" s="182"/>
      <c r="O891" s="89"/>
      <c r="P891" s="55"/>
      <c r="Q891" s="183"/>
      <c r="R891" s="184"/>
      <c r="S891" s="185"/>
      <c r="T891" s="172"/>
      <c r="U891" s="183"/>
      <c r="V891" s="184"/>
      <c r="W891" s="185"/>
      <c r="X891" s="172"/>
      <c r="Y891" s="137"/>
      <c r="Z891" s="186"/>
      <c r="AA891" s="187"/>
      <c r="AB891" s="188"/>
      <c r="AC891" s="137"/>
      <c r="AD891" s="184"/>
      <c r="AE891" s="189"/>
      <c r="AF891" s="190"/>
      <c r="AG891" s="143"/>
      <c r="AH891" s="143"/>
      <c r="AI891" s="143"/>
      <c r="AJ891" s="143"/>
      <c r="AK891" s="172"/>
      <c r="AL891" s="172"/>
    </row>
    <row r="892">
      <c r="A892" s="137"/>
      <c r="B892" s="88"/>
      <c r="C892" s="89"/>
      <c r="D892" s="55"/>
      <c r="E892" s="137"/>
      <c r="F892" s="88"/>
      <c r="G892" s="180"/>
      <c r="H892" s="181"/>
      <c r="I892" s="137"/>
      <c r="J892" s="88"/>
      <c r="K892" s="89"/>
      <c r="L892" s="55"/>
      <c r="M892" s="137"/>
      <c r="N892" s="182"/>
      <c r="O892" s="89"/>
      <c r="P892" s="55"/>
      <c r="Q892" s="183"/>
      <c r="R892" s="184"/>
      <c r="S892" s="185"/>
      <c r="T892" s="172"/>
      <c r="U892" s="183"/>
      <c r="V892" s="184"/>
      <c r="W892" s="185"/>
      <c r="X892" s="172"/>
      <c r="Y892" s="137"/>
      <c r="Z892" s="186"/>
      <c r="AA892" s="187"/>
      <c r="AB892" s="188"/>
      <c r="AC892" s="137"/>
      <c r="AD892" s="184"/>
      <c r="AE892" s="189"/>
      <c r="AF892" s="190"/>
      <c r="AG892" s="143"/>
      <c r="AH892" s="143"/>
      <c r="AI892" s="143"/>
      <c r="AJ892" s="143"/>
      <c r="AK892" s="172"/>
      <c r="AL892" s="172"/>
    </row>
    <row r="893">
      <c r="A893" s="137"/>
      <c r="B893" s="88"/>
      <c r="C893" s="89"/>
      <c r="D893" s="55"/>
      <c r="E893" s="137"/>
      <c r="F893" s="88"/>
      <c r="G893" s="180"/>
      <c r="H893" s="181"/>
      <c r="I893" s="137"/>
      <c r="J893" s="88"/>
      <c r="K893" s="89"/>
      <c r="L893" s="55"/>
      <c r="M893" s="137"/>
      <c r="N893" s="182"/>
      <c r="O893" s="89"/>
      <c r="P893" s="55"/>
      <c r="Q893" s="183"/>
      <c r="R893" s="184"/>
      <c r="S893" s="185"/>
      <c r="T893" s="172"/>
      <c r="U893" s="183"/>
      <c r="V893" s="184"/>
      <c r="W893" s="185"/>
      <c r="X893" s="172"/>
      <c r="Y893" s="137"/>
      <c r="Z893" s="186"/>
      <c r="AA893" s="187"/>
      <c r="AB893" s="188"/>
      <c r="AC893" s="137"/>
      <c r="AD893" s="184"/>
      <c r="AE893" s="189"/>
      <c r="AF893" s="190"/>
      <c r="AG893" s="143"/>
      <c r="AH893" s="143"/>
      <c r="AI893" s="143"/>
      <c r="AJ893" s="143"/>
      <c r="AK893" s="172"/>
      <c r="AL893" s="172"/>
    </row>
    <row r="894">
      <c r="A894" s="137"/>
      <c r="B894" s="88"/>
      <c r="C894" s="89"/>
      <c r="D894" s="55"/>
      <c r="E894" s="137"/>
      <c r="F894" s="88"/>
      <c r="G894" s="180"/>
      <c r="H894" s="181"/>
      <c r="I894" s="137"/>
      <c r="J894" s="88"/>
      <c r="K894" s="89"/>
      <c r="L894" s="55"/>
      <c r="M894" s="137"/>
      <c r="N894" s="182"/>
      <c r="O894" s="89"/>
      <c r="P894" s="55"/>
      <c r="Q894" s="183"/>
      <c r="R894" s="184"/>
      <c r="S894" s="185"/>
      <c r="T894" s="172"/>
      <c r="U894" s="183"/>
      <c r="V894" s="184"/>
      <c r="W894" s="185"/>
      <c r="X894" s="172"/>
      <c r="Y894" s="137"/>
      <c r="Z894" s="186"/>
      <c r="AA894" s="187"/>
      <c r="AB894" s="188"/>
      <c r="AC894" s="137"/>
      <c r="AD894" s="184"/>
      <c r="AE894" s="189"/>
      <c r="AF894" s="190"/>
      <c r="AG894" s="143"/>
      <c r="AH894" s="143"/>
      <c r="AI894" s="143"/>
      <c r="AJ894" s="143"/>
      <c r="AK894" s="172"/>
      <c r="AL894" s="172"/>
    </row>
    <row r="895">
      <c r="A895" s="137"/>
      <c r="B895" s="88"/>
      <c r="C895" s="89"/>
      <c r="D895" s="55"/>
      <c r="E895" s="137"/>
      <c r="F895" s="88"/>
      <c r="G895" s="180"/>
      <c r="H895" s="181"/>
      <c r="I895" s="137"/>
      <c r="J895" s="88"/>
      <c r="K895" s="89"/>
      <c r="L895" s="55"/>
      <c r="M895" s="137"/>
      <c r="N895" s="182"/>
      <c r="O895" s="89"/>
      <c r="P895" s="55"/>
      <c r="Q895" s="183"/>
      <c r="R895" s="184"/>
      <c r="S895" s="185"/>
      <c r="T895" s="172"/>
      <c r="U895" s="183"/>
      <c r="V895" s="184"/>
      <c r="W895" s="185"/>
      <c r="X895" s="172"/>
      <c r="Y895" s="137"/>
      <c r="Z895" s="186"/>
      <c r="AA895" s="187"/>
      <c r="AB895" s="188"/>
      <c r="AC895" s="137"/>
      <c r="AD895" s="184"/>
      <c r="AE895" s="189"/>
      <c r="AF895" s="190"/>
      <c r="AG895" s="143"/>
      <c r="AH895" s="143"/>
      <c r="AI895" s="143"/>
      <c r="AJ895" s="143"/>
      <c r="AK895" s="172"/>
      <c r="AL895" s="172"/>
    </row>
    <row r="896">
      <c r="A896" s="137"/>
      <c r="B896" s="88"/>
      <c r="C896" s="89"/>
      <c r="D896" s="55"/>
      <c r="E896" s="137"/>
      <c r="F896" s="88"/>
      <c r="G896" s="180"/>
      <c r="H896" s="181"/>
      <c r="I896" s="137"/>
      <c r="J896" s="88"/>
      <c r="K896" s="89"/>
      <c r="L896" s="55"/>
      <c r="M896" s="137"/>
      <c r="N896" s="182"/>
      <c r="O896" s="89"/>
      <c r="P896" s="55"/>
      <c r="Q896" s="183"/>
      <c r="R896" s="184"/>
      <c r="S896" s="185"/>
      <c r="T896" s="172"/>
      <c r="U896" s="183"/>
      <c r="V896" s="184"/>
      <c r="W896" s="185"/>
      <c r="X896" s="172"/>
      <c r="Y896" s="137"/>
      <c r="Z896" s="186"/>
      <c r="AA896" s="187"/>
      <c r="AB896" s="188"/>
      <c r="AC896" s="137"/>
      <c r="AD896" s="184"/>
      <c r="AE896" s="189"/>
      <c r="AF896" s="190"/>
      <c r="AG896" s="143"/>
      <c r="AH896" s="143"/>
      <c r="AI896" s="143"/>
      <c r="AJ896" s="143"/>
      <c r="AK896" s="172"/>
      <c r="AL896" s="172"/>
    </row>
    <row r="897">
      <c r="A897" s="137"/>
      <c r="B897" s="88"/>
      <c r="C897" s="89"/>
      <c r="D897" s="55"/>
      <c r="E897" s="137"/>
      <c r="F897" s="88"/>
      <c r="G897" s="180"/>
      <c r="H897" s="181"/>
      <c r="I897" s="137"/>
      <c r="J897" s="88"/>
      <c r="K897" s="89"/>
      <c r="L897" s="55"/>
      <c r="M897" s="137"/>
      <c r="N897" s="182"/>
      <c r="O897" s="89"/>
      <c r="P897" s="55"/>
      <c r="Q897" s="183"/>
      <c r="R897" s="184"/>
      <c r="S897" s="185"/>
      <c r="T897" s="172"/>
      <c r="U897" s="183"/>
      <c r="V897" s="184"/>
      <c r="W897" s="185"/>
      <c r="X897" s="172"/>
      <c r="Y897" s="137"/>
      <c r="Z897" s="186"/>
      <c r="AA897" s="187"/>
      <c r="AB897" s="188"/>
      <c r="AC897" s="137"/>
      <c r="AD897" s="184"/>
      <c r="AE897" s="189"/>
      <c r="AF897" s="190"/>
      <c r="AG897" s="143"/>
      <c r="AH897" s="143"/>
      <c r="AI897" s="143"/>
      <c r="AJ897" s="143"/>
      <c r="AK897" s="172"/>
      <c r="AL897" s="172"/>
    </row>
    <row r="898">
      <c r="A898" s="137"/>
      <c r="B898" s="88"/>
      <c r="C898" s="89"/>
      <c r="D898" s="55"/>
      <c r="E898" s="137"/>
      <c r="F898" s="88"/>
      <c r="G898" s="180"/>
      <c r="H898" s="181"/>
      <c r="I898" s="137"/>
      <c r="J898" s="88"/>
      <c r="K898" s="89"/>
      <c r="L898" s="55"/>
      <c r="M898" s="137"/>
      <c r="N898" s="182"/>
      <c r="O898" s="89"/>
      <c r="P898" s="55"/>
      <c r="Q898" s="183"/>
      <c r="R898" s="184"/>
      <c r="S898" s="185"/>
      <c r="T898" s="172"/>
      <c r="U898" s="183"/>
      <c r="V898" s="184"/>
      <c r="W898" s="185"/>
      <c r="X898" s="172"/>
      <c r="Y898" s="137"/>
      <c r="Z898" s="186"/>
      <c r="AA898" s="187"/>
      <c r="AB898" s="188"/>
      <c r="AC898" s="137"/>
      <c r="AD898" s="184"/>
      <c r="AE898" s="189"/>
      <c r="AF898" s="190"/>
      <c r="AG898" s="143"/>
      <c r="AH898" s="143"/>
      <c r="AI898" s="143"/>
      <c r="AJ898" s="143"/>
      <c r="AK898" s="172"/>
      <c r="AL898" s="172"/>
    </row>
    <row r="899">
      <c r="A899" s="137"/>
      <c r="B899" s="88"/>
      <c r="C899" s="89"/>
      <c r="D899" s="55"/>
      <c r="E899" s="137"/>
      <c r="F899" s="88"/>
      <c r="G899" s="180"/>
      <c r="H899" s="181"/>
      <c r="I899" s="137"/>
      <c r="J899" s="88"/>
      <c r="K899" s="89"/>
      <c r="L899" s="55"/>
      <c r="M899" s="137"/>
      <c r="N899" s="182"/>
      <c r="O899" s="89"/>
      <c r="P899" s="55"/>
      <c r="Q899" s="183"/>
      <c r="R899" s="184"/>
      <c r="S899" s="185"/>
      <c r="T899" s="172"/>
      <c r="U899" s="183"/>
      <c r="V899" s="184"/>
      <c r="W899" s="185"/>
      <c r="X899" s="172"/>
      <c r="Y899" s="137"/>
      <c r="Z899" s="186"/>
      <c r="AA899" s="187"/>
      <c r="AB899" s="188"/>
      <c r="AC899" s="137"/>
      <c r="AD899" s="184"/>
      <c r="AE899" s="189"/>
      <c r="AF899" s="190"/>
      <c r="AG899" s="143"/>
      <c r="AH899" s="143"/>
      <c r="AI899" s="143"/>
      <c r="AJ899" s="143"/>
      <c r="AK899" s="172"/>
      <c r="AL899" s="172"/>
    </row>
    <row r="900">
      <c r="A900" s="137"/>
      <c r="B900" s="88"/>
      <c r="C900" s="89"/>
      <c r="D900" s="55"/>
      <c r="E900" s="137"/>
      <c r="F900" s="88"/>
      <c r="G900" s="180"/>
      <c r="H900" s="181"/>
      <c r="I900" s="137"/>
      <c r="J900" s="88"/>
      <c r="K900" s="89"/>
      <c r="L900" s="55"/>
      <c r="M900" s="137"/>
      <c r="N900" s="182"/>
      <c r="O900" s="89"/>
      <c r="P900" s="55"/>
      <c r="Q900" s="183"/>
      <c r="R900" s="184"/>
      <c r="S900" s="185"/>
      <c r="T900" s="172"/>
      <c r="U900" s="183"/>
      <c r="V900" s="184"/>
      <c r="W900" s="185"/>
      <c r="X900" s="172"/>
      <c r="Y900" s="137"/>
      <c r="Z900" s="186"/>
      <c r="AA900" s="187"/>
      <c r="AB900" s="188"/>
      <c r="AC900" s="137"/>
      <c r="AD900" s="184"/>
      <c r="AE900" s="189"/>
      <c r="AF900" s="190"/>
      <c r="AG900" s="143"/>
      <c r="AH900" s="143"/>
      <c r="AI900" s="143"/>
      <c r="AJ900" s="143"/>
      <c r="AK900" s="172"/>
      <c r="AL900" s="172"/>
    </row>
    <row r="901">
      <c r="A901" s="137"/>
      <c r="B901" s="88"/>
      <c r="C901" s="89"/>
      <c r="D901" s="55"/>
      <c r="E901" s="137"/>
      <c r="F901" s="88"/>
      <c r="G901" s="180"/>
      <c r="H901" s="181"/>
      <c r="I901" s="137"/>
      <c r="J901" s="88"/>
      <c r="K901" s="89"/>
      <c r="L901" s="55"/>
      <c r="M901" s="137"/>
      <c r="N901" s="182"/>
      <c r="O901" s="89"/>
      <c r="P901" s="55"/>
      <c r="Q901" s="183"/>
      <c r="R901" s="184"/>
      <c r="S901" s="185"/>
      <c r="T901" s="172"/>
      <c r="U901" s="183"/>
      <c r="V901" s="184"/>
      <c r="W901" s="185"/>
      <c r="X901" s="172"/>
      <c r="Y901" s="137"/>
      <c r="Z901" s="186"/>
      <c r="AA901" s="187"/>
      <c r="AB901" s="188"/>
      <c r="AC901" s="137"/>
      <c r="AD901" s="184"/>
      <c r="AE901" s="189"/>
      <c r="AF901" s="190"/>
      <c r="AG901" s="143"/>
      <c r="AH901" s="143"/>
      <c r="AI901" s="143"/>
      <c r="AJ901" s="143"/>
      <c r="AK901" s="172"/>
      <c r="AL901" s="172"/>
    </row>
    <row r="902">
      <c r="A902" s="137"/>
      <c r="B902" s="88"/>
      <c r="C902" s="89"/>
      <c r="D902" s="55"/>
      <c r="E902" s="137"/>
      <c r="F902" s="88"/>
      <c r="G902" s="180"/>
      <c r="H902" s="181"/>
      <c r="I902" s="137"/>
      <c r="J902" s="88"/>
      <c r="K902" s="89"/>
      <c r="L902" s="55"/>
      <c r="M902" s="137"/>
      <c r="N902" s="182"/>
      <c r="O902" s="89"/>
      <c r="P902" s="55"/>
      <c r="Q902" s="183"/>
      <c r="R902" s="184"/>
      <c r="S902" s="185"/>
      <c r="T902" s="172"/>
      <c r="U902" s="183"/>
      <c r="V902" s="184"/>
      <c r="W902" s="185"/>
      <c r="X902" s="172"/>
      <c r="Y902" s="137"/>
      <c r="Z902" s="186"/>
      <c r="AA902" s="187"/>
      <c r="AB902" s="188"/>
      <c r="AC902" s="137"/>
      <c r="AD902" s="184"/>
      <c r="AE902" s="189"/>
      <c r="AF902" s="190"/>
      <c r="AG902" s="143"/>
      <c r="AH902" s="143"/>
      <c r="AI902" s="143"/>
      <c r="AJ902" s="143"/>
      <c r="AK902" s="172"/>
      <c r="AL902" s="172"/>
    </row>
    <row r="903">
      <c r="A903" s="137"/>
      <c r="B903" s="88"/>
      <c r="C903" s="89"/>
      <c r="D903" s="55"/>
      <c r="E903" s="137"/>
      <c r="F903" s="88"/>
      <c r="G903" s="180"/>
      <c r="H903" s="181"/>
      <c r="I903" s="137"/>
      <c r="J903" s="88"/>
      <c r="K903" s="89"/>
      <c r="L903" s="55"/>
      <c r="M903" s="137"/>
      <c r="N903" s="182"/>
      <c r="O903" s="89"/>
      <c r="P903" s="55"/>
      <c r="Q903" s="183"/>
      <c r="R903" s="184"/>
      <c r="S903" s="185"/>
      <c r="T903" s="172"/>
      <c r="U903" s="183"/>
      <c r="V903" s="184"/>
      <c r="W903" s="185"/>
      <c r="X903" s="172"/>
      <c r="Y903" s="137"/>
      <c r="Z903" s="186"/>
      <c r="AA903" s="187"/>
      <c r="AB903" s="188"/>
      <c r="AC903" s="137"/>
      <c r="AD903" s="184"/>
      <c r="AE903" s="189"/>
      <c r="AF903" s="190"/>
      <c r="AG903" s="143"/>
      <c r="AH903" s="143"/>
      <c r="AI903" s="143"/>
      <c r="AJ903" s="143"/>
      <c r="AK903" s="172"/>
      <c r="AL903" s="172"/>
    </row>
    <row r="904">
      <c r="A904" s="137"/>
      <c r="B904" s="88"/>
      <c r="C904" s="89"/>
      <c r="D904" s="55"/>
      <c r="E904" s="137"/>
      <c r="F904" s="88"/>
      <c r="G904" s="180"/>
      <c r="H904" s="181"/>
      <c r="I904" s="137"/>
      <c r="J904" s="88"/>
      <c r="K904" s="89"/>
      <c r="L904" s="55"/>
      <c r="M904" s="137"/>
      <c r="N904" s="182"/>
      <c r="O904" s="89"/>
      <c r="P904" s="55"/>
      <c r="Q904" s="183"/>
      <c r="R904" s="184"/>
      <c r="S904" s="185"/>
      <c r="T904" s="172"/>
      <c r="U904" s="183"/>
      <c r="V904" s="184"/>
      <c r="W904" s="185"/>
      <c r="X904" s="172"/>
      <c r="Y904" s="137"/>
      <c r="Z904" s="186"/>
      <c r="AA904" s="187"/>
      <c r="AB904" s="188"/>
      <c r="AC904" s="137"/>
      <c r="AD904" s="184"/>
      <c r="AE904" s="189"/>
      <c r="AF904" s="190"/>
      <c r="AG904" s="143"/>
      <c r="AH904" s="143"/>
      <c r="AI904" s="143"/>
      <c r="AJ904" s="143"/>
      <c r="AK904" s="172"/>
      <c r="AL904" s="172"/>
    </row>
    <row r="905">
      <c r="A905" s="137"/>
      <c r="B905" s="88"/>
      <c r="C905" s="89"/>
      <c r="D905" s="55"/>
      <c r="E905" s="137"/>
      <c r="F905" s="88"/>
      <c r="G905" s="180"/>
      <c r="H905" s="181"/>
      <c r="I905" s="137"/>
      <c r="J905" s="88"/>
      <c r="K905" s="89"/>
      <c r="L905" s="55"/>
      <c r="M905" s="137"/>
      <c r="N905" s="182"/>
      <c r="O905" s="89"/>
      <c r="P905" s="55"/>
      <c r="Q905" s="183"/>
      <c r="R905" s="184"/>
      <c r="S905" s="185"/>
      <c r="T905" s="172"/>
      <c r="U905" s="183"/>
      <c r="V905" s="184"/>
      <c r="W905" s="185"/>
      <c r="X905" s="172"/>
      <c r="Y905" s="137"/>
      <c r="Z905" s="186"/>
      <c r="AA905" s="187"/>
      <c r="AB905" s="188"/>
      <c r="AC905" s="137"/>
      <c r="AD905" s="184"/>
      <c r="AE905" s="189"/>
      <c r="AF905" s="190"/>
      <c r="AG905" s="143"/>
      <c r="AH905" s="143"/>
      <c r="AI905" s="143"/>
      <c r="AJ905" s="143"/>
      <c r="AK905" s="172"/>
      <c r="AL905" s="172"/>
    </row>
    <row r="906">
      <c r="A906" s="137"/>
      <c r="B906" s="88"/>
      <c r="C906" s="89"/>
      <c r="D906" s="55"/>
      <c r="E906" s="137"/>
      <c r="F906" s="88"/>
      <c r="G906" s="180"/>
      <c r="H906" s="181"/>
      <c r="I906" s="137"/>
      <c r="J906" s="88"/>
      <c r="K906" s="89"/>
      <c r="L906" s="55"/>
      <c r="M906" s="137"/>
      <c r="N906" s="182"/>
      <c r="O906" s="89"/>
      <c r="P906" s="55"/>
      <c r="Q906" s="183"/>
      <c r="R906" s="184"/>
      <c r="S906" s="185"/>
      <c r="T906" s="172"/>
      <c r="U906" s="183"/>
      <c r="V906" s="184"/>
      <c r="W906" s="185"/>
      <c r="X906" s="172"/>
      <c r="Y906" s="137"/>
      <c r="Z906" s="186"/>
      <c r="AA906" s="187"/>
      <c r="AB906" s="188"/>
      <c r="AC906" s="137"/>
      <c r="AD906" s="184"/>
      <c r="AE906" s="189"/>
      <c r="AF906" s="190"/>
      <c r="AG906" s="143"/>
      <c r="AH906" s="143"/>
      <c r="AI906" s="143"/>
      <c r="AJ906" s="143"/>
      <c r="AK906" s="172"/>
      <c r="AL906" s="172"/>
    </row>
    <row r="907">
      <c r="A907" s="137"/>
      <c r="B907" s="88"/>
      <c r="C907" s="89"/>
      <c r="D907" s="55"/>
      <c r="E907" s="137"/>
      <c r="F907" s="88"/>
      <c r="G907" s="180"/>
      <c r="H907" s="181"/>
      <c r="I907" s="137"/>
      <c r="J907" s="88"/>
      <c r="K907" s="89"/>
      <c r="L907" s="55"/>
      <c r="M907" s="137"/>
      <c r="N907" s="182"/>
      <c r="O907" s="89"/>
      <c r="P907" s="55"/>
      <c r="Q907" s="183"/>
      <c r="R907" s="184"/>
      <c r="S907" s="185"/>
      <c r="T907" s="172"/>
      <c r="U907" s="183"/>
      <c r="V907" s="184"/>
      <c r="W907" s="185"/>
      <c r="X907" s="172"/>
      <c r="Y907" s="137"/>
      <c r="Z907" s="186"/>
      <c r="AA907" s="187"/>
      <c r="AB907" s="188"/>
      <c r="AC907" s="137"/>
      <c r="AD907" s="184"/>
      <c r="AE907" s="189"/>
      <c r="AF907" s="190"/>
      <c r="AG907" s="143"/>
      <c r="AH907" s="143"/>
      <c r="AI907" s="143"/>
      <c r="AJ907" s="143"/>
      <c r="AK907" s="172"/>
      <c r="AL907" s="172"/>
    </row>
    <row r="908">
      <c r="A908" s="137"/>
      <c r="B908" s="88"/>
      <c r="C908" s="89"/>
      <c r="D908" s="55"/>
      <c r="E908" s="137"/>
      <c r="F908" s="88"/>
      <c r="G908" s="180"/>
      <c r="H908" s="181"/>
      <c r="I908" s="137"/>
      <c r="J908" s="88"/>
      <c r="K908" s="89"/>
      <c r="L908" s="55"/>
      <c r="M908" s="137"/>
      <c r="N908" s="182"/>
      <c r="O908" s="89"/>
      <c r="P908" s="55"/>
      <c r="Q908" s="183"/>
      <c r="R908" s="184"/>
      <c r="S908" s="185"/>
      <c r="T908" s="172"/>
      <c r="U908" s="183"/>
      <c r="V908" s="184"/>
      <c r="W908" s="185"/>
      <c r="X908" s="172"/>
      <c r="Y908" s="137"/>
      <c r="Z908" s="186"/>
      <c r="AA908" s="187"/>
      <c r="AB908" s="188"/>
      <c r="AC908" s="137"/>
      <c r="AD908" s="184"/>
      <c r="AE908" s="189"/>
      <c r="AF908" s="190"/>
      <c r="AG908" s="143"/>
      <c r="AH908" s="143"/>
      <c r="AI908" s="143"/>
      <c r="AJ908" s="143"/>
      <c r="AK908" s="172"/>
      <c r="AL908" s="172"/>
    </row>
    <row r="909">
      <c r="A909" s="137"/>
      <c r="B909" s="88"/>
      <c r="C909" s="89"/>
      <c r="D909" s="55"/>
      <c r="E909" s="137"/>
      <c r="F909" s="88"/>
      <c r="G909" s="180"/>
      <c r="H909" s="181"/>
      <c r="I909" s="137"/>
      <c r="J909" s="88"/>
      <c r="K909" s="89"/>
      <c r="L909" s="55"/>
      <c r="M909" s="137"/>
      <c r="N909" s="182"/>
      <c r="O909" s="89"/>
      <c r="P909" s="55"/>
      <c r="Q909" s="183"/>
      <c r="R909" s="184"/>
      <c r="S909" s="185"/>
      <c r="T909" s="172"/>
      <c r="U909" s="183"/>
      <c r="V909" s="184"/>
      <c r="W909" s="185"/>
      <c r="X909" s="172"/>
      <c r="Y909" s="137"/>
      <c r="Z909" s="186"/>
      <c r="AA909" s="187"/>
      <c r="AB909" s="188"/>
      <c r="AC909" s="137"/>
      <c r="AD909" s="184"/>
      <c r="AE909" s="189"/>
      <c r="AF909" s="190"/>
      <c r="AG909" s="143"/>
      <c r="AH909" s="143"/>
      <c r="AI909" s="143"/>
      <c r="AJ909" s="143"/>
      <c r="AK909" s="172"/>
      <c r="AL909" s="172"/>
    </row>
    <row r="910">
      <c r="A910" s="137"/>
      <c r="B910" s="88"/>
      <c r="C910" s="89"/>
      <c r="D910" s="55"/>
      <c r="E910" s="137"/>
      <c r="F910" s="88"/>
      <c r="G910" s="180"/>
      <c r="H910" s="181"/>
      <c r="I910" s="137"/>
      <c r="J910" s="88"/>
      <c r="K910" s="89"/>
      <c r="L910" s="55"/>
      <c r="M910" s="137"/>
      <c r="N910" s="182"/>
      <c r="O910" s="89"/>
      <c r="P910" s="55"/>
      <c r="Q910" s="183"/>
      <c r="R910" s="184"/>
      <c r="S910" s="185"/>
      <c r="T910" s="172"/>
      <c r="U910" s="183"/>
      <c r="V910" s="184"/>
      <c r="W910" s="185"/>
      <c r="X910" s="172"/>
      <c r="Y910" s="137"/>
      <c r="Z910" s="186"/>
      <c r="AA910" s="187"/>
      <c r="AB910" s="188"/>
      <c r="AC910" s="137"/>
      <c r="AD910" s="184"/>
      <c r="AE910" s="189"/>
      <c r="AF910" s="190"/>
      <c r="AG910" s="143"/>
      <c r="AH910" s="143"/>
      <c r="AI910" s="143"/>
      <c r="AJ910" s="143"/>
      <c r="AK910" s="172"/>
      <c r="AL910" s="172"/>
    </row>
    <row r="911">
      <c r="A911" s="137"/>
      <c r="B911" s="88"/>
      <c r="C911" s="89"/>
      <c r="D911" s="55"/>
      <c r="E911" s="137"/>
      <c r="F911" s="88"/>
      <c r="G911" s="180"/>
      <c r="H911" s="181"/>
      <c r="I911" s="137"/>
      <c r="J911" s="88"/>
      <c r="K911" s="89"/>
      <c r="L911" s="55"/>
      <c r="M911" s="137"/>
      <c r="N911" s="182"/>
      <c r="O911" s="89"/>
      <c r="P911" s="55"/>
      <c r="Q911" s="183"/>
      <c r="R911" s="184"/>
      <c r="S911" s="185"/>
      <c r="T911" s="172"/>
      <c r="U911" s="183"/>
      <c r="V911" s="184"/>
      <c r="W911" s="185"/>
      <c r="X911" s="172"/>
      <c r="Y911" s="137"/>
      <c r="Z911" s="186"/>
      <c r="AA911" s="187"/>
      <c r="AB911" s="188"/>
      <c r="AC911" s="137"/>
      <c r="AD911" s="184"/>
      <c r="AE911" s="189"/>
      <c r="AF911" s="190"/>
      <c r="AG911" s="143"/>
      <c r="AH911" s="143"/>
      <c r="AI911" s="143"/>
      <c r="AJ911" s="143"/>
      <c r="AK911" s="172"/>
      <c r="AL911" s="172"/>
    </row>
    <row r="912">
      <c r="A912" s="137"/>
      <c r="B912" s="88"/>
      <c r="C912" s="89"/>
      <c r="D912" s="55"/>
      <c r="E912" s="137"/>
      <c r="F912" s="88"/>
      <c r="G912" s="180"/>
      <c r="H912" s="181"/>
      <c r="I912" s="137"/>
      <c r="J912" s="88"/>
      <c r="K912" s="89"/>
      <c r="L912" s="55"/>
      <c r="M912" s="137"/>
      <c r="N912" s="182"/>
      <c r="O912" s="89"/>
      <c r="P912" s="55"/>
      <c r="Q912" s="183"/>
      <c r="R912" s="184"/>
      <c r="S912" s="185"/>
      <c r="T912" s="172"/>
      <c r="U912" s="183"/>
      <c r="V912" s="184"/>
      <c r="W912" s="185"/>
      <c r="X912" s="172"/>
      <c r="Y912" s="137"/>
      <c r="Z912" s="186"/>
      <c r="AA912" s="187"/>
      <c r="AB912" s="188"/>
      <c r="AC912" s="137"/>
      <c r="AD912" s="184"/>
      <c r="AE912" s="189"/>
      <c r="AF912" s="190"/>
      <c r="AG912" s="143"/>
      <c r="AH912" s="143"/>
      <c r="AI912" s="143"/>
      <c r="AJ912" s="143"/>
      <c r="AK912" s="172"/>
      <c r="AL912" s="172"/>
    </row>
    <row r="913">
      <c r="A913" s="137"/>
      <c r="B913" s="88"/>
      <c r="C913" s="89"/>
      <c r="D913" s="55"/>
      <c r="E913" s="137"/>
      <c r="F913" s="88"/>
      <c r="G913" s="180"/>
      <c r="H913" s="181"/>
      <c r="I913" s="137"/>
      <c r="J913" s="88"/>
      <c r="K913" s="89"/>
      <c r="L913" s="55"/>
      <c r="M913" s="137"/>
      <c r="N913" s="182"/>
      <c r="O913" s="89"/>
      <c r="P913" s="55"/>
      <c r="Q913" s="183"/>
      <c r="R913" s="184"/>
      <c r="S913" s="185"/>
      <c r="T913" s="172"/>
      <c r="U913" s="183"/>
      <c r="V913" s="184"/>
      <c r="W913" s="185"/>
      <c r="X913" s="172"/>
      <c r="Y913" s="137"/>
      <c r="Z913" s="186"/>
      <c r="AA913" s="187"/>
      <c r="AB913" s="188"/>
      <c r="AC913" s="137"/>
      <c r="AD913" s="184"/>
      <c r="AE913" s="189"/>
      <c r="AF913" s="190"/>
      <c r="AG913" s="143"/>
      <c r="AH913" s="143"/>
      <c r="AI913" s="143"/>
      <c r="AJ913" s="143"/>
      <c r="AK913" s="172"/>
      <c r="AL913" s="172"/>
    </row>
    <row r="914">
      <c r="A914" s="137"/>
      <c r="B914" s="88"/>
      <c r="C914" s="89"/>
      <c r="D914" s="55"/>
      <c r="E914" s="137"/>
      <c r="F914" s="88"/>
      <c r="G914" s="180"/>
      <c r="H914" s="181"/>
      <c r="I914" s="137"/>
      <c r="J914" s="88"/>
      <c r="K914" s="89"/>
      <c r="L914" s="55"/>
      <c r="M914" s="137"/>
      <c r="N914" s="182"/>
      <c r="O914" s="89"/>
      <c r="P914" s="55"/>
      <c r="Q914" s="183"/>
      <c r="R914" s="184"/>
      <c r="S914" s="185"/>
      <c r="T914" s="172"/>
      <c r="U914" s="183"/>
      <c r="V914" s="184"/>
      <c r="W914" s="185"/>
      <c r="X914" s="172"/>
      <c r="Y914" s="137"/>
      <c r="Z914" s="186"/>
      <c r="AA914" s="187"/>
      <c r="AB914" s="188"/>
      <c r="AC914" s="137"/>
      <c r="AD914" s="184"/>
      <c r="AE914" s="189"/>
      <c r="AF914" s="190"/>
      <c r="AG914" s="143"/>
      <c r="AH914" s="143"/>
      <c r="AI914" s="143"/>
      <c r="AJ914" s="143"/>
      <c r="AK914" s="172"/>
      <c r="AL914" s="172"/>
    </row>
    <row r="915">
      <c r="A915" s="137"/>
      <c r="B915" s="88"/>
      <c r="C915" s="89"/>
      <c r="D915" s="55"/>
      <c r="E915" s="137"/>
      <c r="F915" s="88"/>
      <c r="G915" s="180"/>
      <c r="H915" s="181"/>
      <c r="I915" s="137"/>
      <c r="J915" s="88"/>
      <c r="K915" s="89"/>
      <c r="L915" s="55"/>
      <c r="M915" s="137"/>
      <c r="N915" s="182"/>
      <c r="O915" s="89"/>
      <c r="P915" s="55"/>
      <c r="Q915" s="183"/>
      <c r="R915" s="184"/>
      <c r="S915" s="185"/>
      <c r="T915" s="172"/>
      <c r="U915" s="183"/>
      <c r="V915" s="184"/>
      <c r="W915" s="185"/>
      <c r="X915" s="172"/>
      <c r="Y915" s="137"/>
      <c r="Z915" s="186"/>
      <c r="AA915" s="187"/>
      <c r="AB915" s="188"/>
      <c r="AC915" s="137"/>
      <c r="AD915" s="184"/>
      <c r="AE915" s="189"/>
      <c r="AF915" s="190"/>
      <c r="AG915" s="143"/>
      <c r="AH915" s="143"/>
      <c r="AI915" s="143"/>
      <c r="AJ915" s="143"/>
      <c r="AK915" s="172"/>
      <c r="AL915" s="172"/>
    </row>
    <row r="916">
      <c r="A916" s="137"/>
      <c r="B916" s="88"/>
      <c r="C916" s="89"/>
      <c r="D916" s="55"/>
      <c r="E916" s="137"/>
      <c r="F916" s="88"/>
      <c r="G916" s="180"/>
      <c r="H916" s="181"/>
      <c r="I916" s="137"/>
      <c r="J916" s="88"/>
      <c r="K916" s="89"/>
      <c r="L916" s="55"/>
      <c r="M916" s="137"/>
      <c r="N916" s="182"/>
      <c r="O916" s="89"/>
      <c r="P916" s="55"/>
      <c r="Q916" s="183"/>
      <c r="R916" s="184"/>
      <c r="S916" s="185"/>
      <c r="T916" s="172"/>
      <c r="U916" s="183"/>
      <c r="V916" s="184"/>
      <c r="W916" s="185"/>
      <c r="X916" s="172"/>
      <c r="Y916" s="137"/>
      <c r="Z916" s="186"/>
      <c r="AA916" s="187"/>
      <c r="AB916" s="188"/>
      <c r="AC916" s="137"/>
      <c r="AD916" s="184"/>
      <c r="AE916" s="189"/>
      <c r="AF916" s="190"/>
      <c r="AG916" s="143"/>
      <c r="AH916" s="143"/>
      <c r="AI916" s="143"/>
      <c r="AJ916" s="143"/>
      <c r="AK916" s="172"/>
      <c r="AL916" s="172"/>
    </row>
    <row r="917">
      <c r="A917" s="137"/>
      <c r="B917" s="88"/>
      <c r="C917" s="89"/>
      <c r="D917" s="55"/>
      <c r="E917" s="137"/>
      <c r="F917" s="88"/>
      <c r="G917" s="180"/>
      <c r="H917" s="181"/>
      <c r="I917" s="137"/>
      <c r="J917" s="88"/>
      <c r="K917" s="89"/>
      <c r="L917" s="55"/>
      <c r="M917" s="137"/>
      <c r="N917" s="182"/>
      <c r="O917" s="89"/>
      <c r="P917" s="55"/>
      <c r="Q917" s="183"/>
      <c r="R917" s="184"/>
      <c r="S917" s="185"/>
      <c r="T917" s="172"/>
      <c r="U917" s="183"/>
      <c r="V917" s="184"/>
      <c r="W917" s="185"/>
      <c r="X917" s="172"/>
      <c r="Y917" s="137"/>
      <c r="Z917" s="186"/>
      <c r="AA917" s="187"/>
      <c r="AB917" s="188"/>
      <c r="AC917" s="137"/>
      <c r="AD917" s="184"/>
      <c r="AE917" s="189"/>
      <c r="AF917" s="190"/>
      <c r="AG917" s="143"/>
      <c r="AH917" s="143"/>
      <c r="AI917" s="143"/>
      <c r="AJ917" s="143"/>
      <c r="AK917" s="172"/>
      <c r="AL917" s="172"/>
    </row>
    <row r="918">
      <c r="A918" s="137"/>
      <c r="B918" s="88"/>
      <c r="C918" s="89"/>
      <c r="D918" s="55"/>
      <c r="E918" s="137"/>
      <c r="F918" s="88"/>
      <c r="G918" s="180"/>
      <c r="H918" s="181"/>
      <c r="I918" s="137"/>
      <c r="J918" s="88"/>
      <c r="K918" s="89"/>
      <c r="L918" s="55"/>
      <c r="M918" s="137"/>
      <c r="N918" s="182"/>
      <c r="O918" s="89"/>
      <c r="P918" s="55"/>
      <c r="Q918" s="183"/>
      <c r="R918" s="184"/>
      <c r="S918" s="185"/>
      <c r="T918" s="172"/>
      <c r="U918" s="183"/>
      <c r="V918" s="184"/>
      <c r="W918" s="185"/>
      <c r="X918" s="172"/>
      <c r="Y918" s="137"/>
      <c r="Z918" s="186"/>
      <c r="AA918" s="187"/>
      <c r="AB918" s="188"/>
      <c r="AC918" s="137"/>
      <c r="AD918" s="184"/>
      <c r="AE918" s="189"/>
      <c r="AF918" s="190"/>
      <c r="AG918" s="143"/>
      <c r="AH918" s="143"/>
      <c r="AI918" s="143"/>
      <c r="AJ918" s="143"/>
      <c r="AK918" s="172"/>
      <c r="AL918" s="172"/>
    </row>
    <row r="919">
      <c r="A919" s="137"/>
      <c r="B919" s="88"/>
      <c r="C919" s="89"/>
      <c r="D919" s="55"/>
      <c r="E919" s="137"/>
      <c r="F919" s="88"/>
      <c r="G919" s="180"/>
      <c r="H919" s="181"/>
      <c r="I919" s="137"/>
      <c r="J919" s="88"/>
      <c r="K919" s="89"/>
      <c r="L919" s="55"/>
      <c r="M919" s="137"/>
      <c r="N919" s="182"/>
      <c r="O919" s="89"/>
      <c r="P919" s="55"/>
      <c r="Q919" s="183"/>
      <c r="R919" s="184"/>
      <c r="S919" s="185"/>
      <c r="T919" s="172"/>
      <c r="U919" s="183"/>
      <c r="V919" s="184"/>
      <c r="W919" s="185"/>
      <c r="X919" s="172"/>
      <c r="Y919" s="137"/>
      <c r="Z919" s="186"/>
      <c r="AA919" s="187"/>
      <c r="AB919" s="188"/>
      <c r="AC919" s="137"/>
      <c r="AD919" s="184"/>
      <c r="AE919" s="189"/>
      <c r="AF919" s="190"/>
      <c r="AG919" s="143"/>
      <c r="AH919" s="143"/>
      <c r="AI919" s="143"/>
      <c r="AJ919" s="143"/>
      <c r="AK919" s="172"/>
      <c r="AL919" s="172"/>
    </row>
    <row r="920">
      <c r="A920" s="137"/>
      <c r="B920" s="88"/>
      <c r="C920" s="89"/>
      <c r="D920" s="55"/>
      <c r="E920" s="137"/>
      <c r="F920" s="88"/>
      <c r="G920" s="180"/>
      <c r="H920" s="181"/>
      <c r="I920" s="137"/>
      <c r="J920" s="88"/>
      <c r="K920" s="89"/>
      <c r="L920" s="55"/>
      <c r="M920" s="137"/>
      <c r="N920" s="182"/>
      <c r="O920" s="89"/>
      <c r="P920" s="55"/>
      <c r="Q920" s="183"/>
      <c r="R920" s="184"/>
      <c r="S920" s="185"/>
      <c r="T920" s="172"/>
      <c r="U920" s="183"/>
      <c r="V920" s="184"/>
      <c r="W920" s="185"/>
      <c r="X920" s="172"/>
      <c r="Y920" s="137"/>
      <c r="Z920" s="186"/>
      <c r="AA920" s="187"/>
      <c r="AB920" s="188"/>
      <c r="AC920" s="137"/>
      <c r="AD920" s="184"/>
      <c r="AE920" s="189"/>
      <c r="AF920" s="190"/>
      <c r="AG920" s="143"/>
      <c r="AH920" s="143"/>
      <c r="AI920" s="143"/>
      <c r="AJ920" s="143"/>
      <c r="AK920" s="172"/>
      <c r="AL920" s="172"/>
    </row>
    <row r="921">
      <c r="A921" s="137"/>
      <c r="B921" s="88"/>
      <c r="C921" s="89"/>
      <c r="D921" s="55"/>
      <c r="E921" s="137"/>
      <c r="F921" s="88"/>
      <c r="G921" s="180"/>
      <c r="H921" s="181"/>
      <c r="I921" s="137"/>
      <c r="J921" s="88"/>
      <c r="K921" s="89"/>
      <c r="L921" s="55"/>
      <c r="M921" s="137"/>
      <c r="N921" s="182"/>
      <c r="O921" s="89"/>
      <c r="P921" s="55"/>
      <c r="Q921" s="183"/>
      <c r="R921" s="184"/>
      <c r="S921" s="185"/>
      <c r="T921" s="172"/>
      <c r="U921" s="183"/>
      <c r="V921" s="184"/>
      <c r="W921" s="185"/>
      <c r="X921" s="172"/>
      <c r="Y921" s="137"/>
      <c r="Z921" s="186"/>
      <c r="AA921" s="187"/>
      <c r="AB921" s="188"/>
      <c r="AC921" s="137"/>
      <c r="AD921" s="184"/>
      <c r="AE921" s="189"/>
      <c r="AF921" s="190"/>
      <c r="AG921" s="143"/>
      <c r="AH921" s="143"/>
      <c r="AI921" s="143"/>
      <c r="AJ921" s="143"/>
      <c r="AK921" s="172"/>
      <c r="AL921" s="172"/>
    </row>
    <row r="922">
      <c r="A922" s="137"/>
      <c r="B922" s="88"/>
      <c r="C922" s="89"/>
      <c r="D922" s="55"/>
      <c r="E922" s="137"/>
      <c r="F922" s="88"/>
      <c r="G922" s="180"/>
      <c r="H922" s="181"/>
      <c r="I922" s="137"/>
      <c r="J922" s="88"/>
      <c r="K922" s="89"/>
      <c r="L922" s="55"/>
      <c r="M922" s="137"/>
      <c r="N922" s="182"/>
      <c r="O922" s="89"/>
      <c r="P922" s="55"/>
      <c r="Q922" s="183"/>
      <c r="R922" s="184"/>
      <c r="S922" s="185"/>
      <c r="T922" s="172"/>
      <c r="U922" s="183"/>
      <c r="V922" s="184"/>
      <c r="W922" s="185"/>
      <c r="X922" s="172"/>
      <c r="Y922" s="137"/>
      <c r="Z922" s="186"/>
      <c r="AA922" s="187"/>
      <c r="AB922" s="188"/>
      <c r="AC922" s="137"/>
      <c r="AD922" s="184"/>
      <c r="AE922" s="189"/>
      <c r="AF922" s="190"/>
      <c r="AG922" s="143"/>
      <c r="AH922" s="143"/>
      <c r="AI922" s="143"/>
      <c r="AJ922" s="143"/>
      <c r="AK922" s="172"/>
      <c r="AL922" s="172"/>
    </row>
    <row r="923">
      <c r="A923" s="137"/>
      <c r="B923" s="88"/>
      <c r="C923" s="89"/>
      <c r="D923" s="55"/>
      <c r="E923" s="137"/>
      <c r="F923" s="88"/>
      <c r="G923" s="180"/>
      <c r="H923" s="181"/>
      <c r="I923" s="137"/>
      <c r="J923" s="88"/>
      <c r="K923" s="89"/>
      <c r="L923" s="55"/>
      <c r="M923" s="137"/>
      <c r="N923" s="182"/>
      <c r="O923" s="89"/>
      <c r="P923" s="55"/>
      <c r="Q923" s="183"/>
      <c r="R923" s="184"/>
      <c r="S923" s="185"/>
      <c r="T923" s="172"/>
      <c r="U923" s="183"/>
      <c r="V923" s="184"/>
      <c r="W923" s="185"/>
      <c r="X923" s="172"/>
      <c r="Y923" s="137"/>
      <c r="Z923" s="186"/>
      <c r="AA923" s="187"/>
      <c r="AB923" s="188"/>
      <c r="AC923" s="137"/>
      <c r="AD923" s="184"/>
      <c r="AE923" s="189"/>
      <c r="AF923" s="190"/>
      <c r="AG923" s="143"/>
      <c r="AH923" s="143"/>
      <c r="AI923" s="143"/>
      <c r="AJ923" s="143"/>
      <c r="AK923" s="172"/>
      <c r="AL923" s="172"/>
    </row>
    <row r="924">
      <c r="A924" s="137"/>
      <c r="B924" s="88"/>
      <c r="C924" s="89"/>
      <c r="D924" s="55"/>
      <c r="E924" s="137"/>
      <c r="F924" s="88"/>
      <c r="G924" s="180"/>
      <c r="H924" s="181"/>
      <c r="I924" s="137"/>
      <c r="J924" s="88"/>
      <c r="K924" s="89"/>
      <c r="L924" s="55"/>
      <c r="M924" s="137"/>
      <c r="N924" s="182"/>
      <c r="O924" s="89"/>
      <c r="P924" s="55"/>
      <c r="Q924" s="183"/>
      <c r="R924" s="184"/>
      <c r="S924" s="185"/>
      <c r="T924" s="172"/>
      <c r="U924" s="183"/>
      <c r="V924" s="184"/>
      <c r="W924" s="185"/>
      <c r="X924" s="172"/>
      <c r="Y924" s="137"/>
      <c r="Z924" s="186"/>
      <c r="AA924" s="187"/>
      <c r="AB924" s="188"/>
      <c r="AC924" s="137"/>
      <c r="AD924" s="184"/>
      <c r="AE924" s="189"/>
      <c r="AF924" s="190"/>
      <c r="AG924" s="143"/>
      <c r="AH924" s="143"/>
      <c r="AI924" s="143"/>
      <c r="AJ924" s="143"/>
      <c r="AK924" s="172"/>
      <c r="AL924" s="172"/>
    </row>
    <row r="925">
      <c r="A925" s="137"/>
      <c r="B925" s="88"/>
      <c r="C925" s="89"/>
      <c r="D925" s="55"/>
      <c r="E925" s="137"/>
      <c r="F925" s="88"/>
      <c r="G925" s="180"/>
      <c r="H925" s="181"/>
      <c r="I925" s="137"/>
      <c r="J925" s="88"/>
      <c r="K925" s="89"/>
      <c r="L925" s="55"/>
      <c r="M925" s="137"/>
      <c r="N925" s="182"/>
      <c r="O925" s="89"/>
      <c r="P925" s="55"/>
      <c r="Q925" s="183"/>
      <c r="R925" s="184"/>
      <c r="S925" s="185"/>
      <c r="T925" s="172"/>
      <c r="U925" s="183"/>
      <c r="V925" s="184"/>
      <c r="W925" s="185"/>
      <c r="X925" s="172"/>
      <c r="Y925" s="137"/>
      <c r="Z925" s="186"/>
      <c r="AA925" s="187"/>
      <c r="AB925" s="188"/>
      <c r="AC925" s="137"/>
      <c r="AD925" s="184"/>
      <c r="AE925" s="189"/>
      <c r="AF925" s="190"/>
      <c r="AG925" s="143"/>
      <c r="AH925" s="143"/>
      <c r="AI925" s="143"/>
      <c r="AJ925" s="143"/>
      <c r="AK925" s="172"/>
      <c r="AL925" s="172"/>
    </row>
    <row r="926">
      <c r="A926" s="137"/>
      <c r="B926" s="88"/>
      <c r="C926" s="89"/>
      <c r="D926" s="55"/>
      <c r="E926" s="137"/>
      <c r="F926" s="88"/>
      <c r="G926" s="180"/>
      <c r="H926" s="181"/>
      <c r="I926" s="137"/>
      <c r="J926" s="88"/>
      <c r="K926" s="89"/>
      <c r="L926" s="55"/>
      <c r="M926" s="137"/>
      <c r="N926" s="182"/>
      <c r="O926" s="89"/>
      <c r="P926" s="55"/>
      <c r="Q926" s="183"/>
      <c r="R926" s="184"/>
      <c r="S926" s="185"/>
      <c r="T926" s="172"/>
      <c r="U926" s="183"/>
      <c r="V926" s="184"/>
      <c r="W926" s="185"/>
      <c r="X926" s="172"/>
      <c r="Y926" s="137"/>
      <c r="Z926" s="186"/>
      <c r="AA926" s="187"/>
      <c r="AB926" s="188"/>
      <c r="AC926" s="137"/>
      <c r="AD926" s="184"/>
      <c r="AE926" s="189"/>
      <c r="AF926" s="190"/>
      <c r="AG926" s="143"/>
      <c r="AH926" s="143"/>
      <c r="AI926" s="143"/>
      <c r="AJ926" s="143"/>
      <c r="AK926" s="172"/>
      <c r="AL926" s="172"/>
    </row>
    <row r="927">
      <c r="A927" s="137"/>
      <c r="B927" s="88"/>
      <c r="C927" s="89"/>
      <c r="D927" s="55"/>
      <c r="E927" s="137"/>
      <c r="F927" s="88"/>
      <c r="G927" s="180"/>
      <c r="H927" s="181"/>
      <c r="I927" s="137"/>
      <c r="J927" s="88"/>
      <c r="K927" s="89"/>
      <c r="L927" s="55"/>
      <c r="M927" s="137"/>
      <c r="N927" s="182"/>
      <c r="O927" s="89"/>
      <c r="P927" s="55"/>
      <c r="Q927" s="183"/>
      <c r="R927" s="184"/>
      <c r="S927" s="185"/>
      <c r="T927" s="172"/>
      <c r="U927" s="183"/>
      <c r="V927" s="184"/>
      <c r="W927" s="185"/>
      <c r="X927" s="172"/>
      <c r="Y927" s="137"/>
      <c r="Z927" s="186"/>
      <c r="AA927" s="187"/>
      <c r="AB927" s="188"/>
      <c r="AC927" s="137"/>
      <c r="AD927" s="184"/>
      <c r="AE927" s="189"/>
      <c r="AF927" s="190"/>
      <c r="AG927" s="143"/>
      <c r="AH927" s="143"/>
      <c r="AI927" s="143"/>
      <c r="AJ927" s="143"/>
      <c r="AK927" s="172"/>
      <c r="AL927" s="172"/>
    </row>
    <row r="928">
      <c r="A928" s="137"/>
      <c r="B928" s="88"/>
      <c r="C928" s="89"/>
      <c r="D928" s="55"/>
      <c r="E928" s="137"/>
      <c r="F928" s="88"/>
      <c r="G928" s="180"/>
      <c r="H928" s="181"/>
      <c r="I928" s="137"/>
      <c r="J928" s="88"/>
      <c r="K928" s="89"/>
      <c r="L928" s="55"/>
      <c r="M928" s="137"/>
      <c r="N928" s="182"/>
      <c r="O928" s="89"/>
      <c r="P928" s="55"/>
      <c r="Q928" s="183"/>
      <c r="R928" s="184"/>
      <c r="S928" s="185"/>
      <c r="T928" s="172"/>
      <c r="U928" s="183"/>
      <c r="V928" s="184"/>
      <c r="W928" s="185"/>
      <c r="X928" s="172"/>
      <c r="Y928" s="137"/>
      <c r="Z928" s="186"/>
      <c r="AA928" s="187"/>
      <c r="AB928" s="188"/>
      <c r="AC928" s="137"/>
      <c r="AD928" s="184"/>
      <c r="AE928" s="189"/>
      <c r="AF928" s="190"/>
      <c r="AG928" s="143"/>
      <c r="AH928" s="143"/>
      <c r="AI928" s="143"/>
      <c r="AJ928" s="143"/>
      <c r="AK928" s="172"/>
      <c r="AL928" s="172"/>
    </row>
    <row r="929">
      <c r="A929" s="137"/>
      <c r="B929" s="88"/>
      <c r="C929" s="89"/>
      <c r="D929" s="55"/>
      <c r="E929" s="137"/>
      <c r="F929" s="88"/>
      <c r="G929" s="180"/>
      <c r="H929" s="181"/>
      <c r="I929" s="137"/>
      <c r="J929" s="88"/>
      <c r="K929" s="89"/>
      <c r="L929" s="55"/>
      <c r="M929" s="137"/>
      <c r="N929" s="182"/>
      <c r="O929" s="89"/>
      <c r="P929" s="55"/>
      <c r="Q929" s="183"/>
      <c r="R929" s="184"/>
      <c r="S929" s="185"/>
      <c r="T929" s="172"/>
      <c r="U929" s="183"/>
      <c r="V929" s="184"/>
      <c r="W929" s="185"/>
      <c r="X929" s="172"/>
      <c r="Y929" s="137"/>
      <c r="Z929" s="186"/>
      <c r="AA929" s="187"/>
      <c r="AB929" s="188"/>
      <c r="AC929" s="137"/>
      <c r="AD929" s="184"/>
      <c r="AE929" s="189"/>
      <c r="AF929" s="190"/>
      <c r="AG929" s="143"/>
      <c r="AH929" s="143"/>
      <c r="AI929" s="143"/>
      <c r="AJ929" s="143"/>
      <c r="AK929" s="172"/>
      <c r="AL929" s="172"/>
    </row>
    <row r="930">
      <c r="A930" s="137"/>
      <c r="B930" s="88"/>
      <c r="C930" s="89"/>
      <c r="D930" s="55"/>
      <c r="E930" s="137"/>
      <c r="F930" s="88"/>
      <c r="G930" s="180"/>
      <c r="H930" s="181"/>
      <c r="I930" s="137"/>
      <c r="J930" s="88"/>
      <c r="K930" s="89"/>
      <c r="L930" s="55"/>
      <c r="M930" s="137"/>
      <c r="N930" s="182"/>
      <c r="O930" s="89"/>
      <c r="P930" s="55"/>
      <c r="Q930" s="183"/>
      <c r="R930" s="184"/>
      <c r="S930" s="185"/>
      <c r="T930" s="172"/>
      <c r="U930" s="183"/>
      <c r="V930" s="184"/>
      <c r="W930" s="185"/>
      <c r="X930" s="172"/>
      <c r="Y930" s="137"/>
      <c r="Z930" s="186"/>
      <c r="AA930" s="187"/>
      <c r="AB930" s="188"/>
      <c r="AC930" s="137"/>
      <c r="AD930" s="184"/>
      <c r="AE930" s="189"/>
      <c r="AF930" s="190"/>
      <c r="AG930" s="143"/>
      <c r="AH930" s="143"/>
      <c r="AI930" s="143"/>
      <c r="AJ930" s="143"/>
      <c r="AK930" s="172"/>
      <c r="AL930" s="172"/>
    </row>
    <row r="931">
      <c r="A931" s="137"/>
      <c r="B931" s="88"/>
      <c r="C931" s="89"/>
      <c r="D931" s="55"/>
      <c r="E931" s="137"/>
      <c r="F931" s="88"/>
      <c r="G931" s="180"/>
      <c r="H931" s="181"/>
      <c r="I931" s="137"/>
      <c r="J931" s="88"/>
      <c r="K931" s="89"/>
      <c r="L931" s="55"/>
      <c r="M931" s="137"/>
      <c r="N931" s="182"/>
      <c r="O931" s="89"/>
      <c r="P931" s="55"/>
      <c r="Q931" s="183"/>
      <c r="R931" s="184"/>
      <c r="S931" s="185"/>
      <c r="T931" s="172"/>
      <c r="U931" s="183"/>
      <c r="V931" s="184"/>
      <c r="W931" s="185"/>
      <c r="X931" s="172"/>
      <c r="Y931" s="137"/>
      <c r="Z931" s="186"/>
      <c r="AA931" s="187"/>
      <c r="AB931" s="188"/>
      <c r="AC931" s="137"/>
      <c r="AD931" s="184"/>
      <c r="AE931" s="189"/>
      <c r="AF931" s="190"/>
      <c r="AG931" s="143"/>
      <c r="AH931" s="143"/>
      <c r="AI931" s="143"/>
      <c r="AJ931" s="143"/>
      <c r="AK931" s="172"/>
      <c r="AL931" s="172"/>
    </row>
    <row r="932">
      <c r="A932" s="137"/>
      <c r="B932" s="88"/>
      <c r="C932" s="89"/>
      <c r="D932" s="55"/>
      <c r="E932" s="137"/>
      <c r="F932" s="88"/>
      <c r="G932" s="180"/>
      <c r="H932" s="181"/>
      <c r="I932" s="137"/>
      <c r="J932" s="88"/>
      <c r="K932" s="89"/>
      <c r="L932" s="55"/>
      <c r="M932" s="137"/>
      <c r="N932" s="182"/>
      <c r="O932" s="89"/>
      <c r="P932" s="55"/>
      <c r="Q932" s="183"/>
      <c r="R932" s="184"/>
      <c r="S932" s="185"/>
      <c r="T932" s="172"/>
      <c r="U932" s="183"/>
      <c r="V932" s="184"/>
      <c r="W932" s="185"/>
      <c r="X932" s="172"/>
      <c r="Y932" s="137"/>
      <c r="Z932" s="186"/>
      <c r="AA932" s="187"/>
      <c r="AB932" s="188"/>
      <c r="AC932" s="137"/>
      <c r="AD932" s="184"/>
      <c r="AE932" s="189"/>
      <c r="AF932" s="190"/>
      <c r="AG932" s="143"/>
      <c r="AH932" s="143"/>
      <c r="AI932" s="143"/>
      <c r="AJ932" s="143"/>
      <c r="AK932" s="172"/>
      <c r="AL932" s="172"/>
    </row>
    <row r="933">
      <c r="A933" s="137"/>
      <c r="B933" s="88"/>
      <c r="C933" s="89"/>
      <c r="D933" s="55"/>
      <c r="E933" s="137"/>
      <c r="F933" s="88"/>
      <c r="G933" s="180"/>
      <c r="H933" s="181"/>
      <c r="I933" s="137"/>
      <c r="J933" s="88"/>
      <c r="K933" s="89"/>
      <c r="L933" s="55"/>
      <c r="M933" s="137"/>
      <c r="N933" s="182"/>
      <c r="O933" s="89"/>
      <c r="P933" s="55"/>
      <c r="Q933" s="183"/>
      <c r="R933" s="184"/>
      <c r="S933" s="185"/>
      <c r="T933" s="172"/>
      <c r="U933" s="183"/>
      <c r="V933" s="184"/>
      <c r="W933" s="185"/>
      <c r="X933" s="172"/>
      <c r="Y933" s="137"/>
      <c r="Z933" s="186"/>
      <c r="AA933" s="187"/>
      <c r="AB933" s="188"/>
      <c r="AC933" s="137"/>
      <c r="AD933" s="184"/>
      <c r="AE933" s="189"/>
      <c r="AF933" s="190"/>
      <c r="AG933" s="143"/>
      <c r="AH933" s="143"/>
      <c r="AI933" s="143"/>
      <c r="AJ933" s="143"/>
      <c r="AK933" s="172"/>
      <c r="AL933" s="172"/>
    </row>
    <row r="934">
      <c r="A934" s="137"/>
      <c r="B934" s="88"/>
      <c r="C934" s="89"/>
      <c r="D934" s="55"/>
      <c r="E934" s="137"/>
      <c r="F934" s="88"/>
      <c r="G934" s="180"/>
      <c r="H934" s="181"/>
      <c r="I934" s="137"/>
      <c r="J934" s="88"/>
      <c r="K934" s="89"/>
      <c r="L934" s="55"/>
      <c r="M934" s="137"/>
      <c r="N934" s="182"/>
      <c r="O934" s="89"/>
      <c r="P934" s="55"/>
      <c r="Q934" s="183"/>
      <c r="R934" s="184"/>
      <c r="S934" s="185"/>
      <c r="T934" s="172"/>
      <c r="U934" s="183"/>
      <c r="V934" s="184"/>
      <c r="W934" s="185"/>
      <c r="X934" s="172"/>
      <c r="Y934" s="137"/>
      <c r="Z934" s="186"/>
      <c r="AA934" s="187"/>
      <c r="AB934" s="188"/>
      <c r="AC934" s="137"/>
      <c r="AD934" s="184"/>
      <c r="AE934" s="189"/>
      <c r="AF934" s="190"/>
      <c r="AG934" s="143"/>
      <c r="AH934" s="143"/>
      <c r="AI934" s="143"/>
      <c r="AJ934" s="143"/>
      <c r="AK934" s="172"/>
      <c r="AL934" s="172"/>
    </row>
    <row r="935">
      <c r="A935" s="137"/>
      <c r="B935" s="88"/>
      <c r="C935" s="89"/>
      <c r="D935" s="55"/>
      <c r="E935" s="137"/>
      <c r="F935" s="88"/>
      <c r="G935" s="180"/>
      <c r="H935" s="181"/>
      <c r="I935" s="137"/>
      <c r="J935" s="88"/>
      <c r="K935" s="89"/>
      <c r="L935" s="55"/>
      <c r="M935" s="137"/>
      <c r="N935" s="182"/>
      <c r="O935" s="89"/>
      <c r="P935" s="55"/>
      <c r="Q935" s="183"/>
      <c r="R935" s="184"/>
      <c r="S935" s="185"/>
      <c r="T935" s="172"/>
      <c r="U935" s="183"/>
      <c r="V935" s="184"/>
      <c r="W935" s="185"/>
      <c r="X935" s="172"/>
      <c r="Y935" s="137"/>
      <c r="Z935" s="186"/>
      <c r="AA935" s="187"/>
      <c r="AB935" s="188"/>
      <c r="AC935" s="137"/>
      <c r="AD935" s="184"/>
      <c r="AE935" s="189"/>
      <c r="AF935" s="190"/>
      <c r="AG935" s="143"/>
      <c r="AH935" s="143"/>
      <c r="AI935" s="143"/>
      <c r="AJ935" s="143"/>
      <c r="AK935" s="172"/>
      <c r="AL935" s="172"/>
    </row>
    <row r="936">
      <c r="A936" s="137"/>
      <c r="B936" s="88"/>
      <c r="C936" s="89"/>
      <c r="D936" s="55"/>
      <c r="E936" s="137"/>
      <c r="F936" s="88"/>
      <c r="G936" s="180"/>
      <c r="H936" s="181"/>
      <c r="I936" s="137"/>
      <c r="J936" s="88"/>
      <c r="K936" s="89"/>
      <c r="L936" s="55"/>
      <c r="M936" s="137"/>
      <c r="N936" s="182"/>
      <c r="O936" s="89"/>
      <c r="P936" s="55"/>
      <c r="Q936" s="183"/>
      <c r="R936" s="184"/>
      <c r="S936" s="185"/>
      <c r="T936" s="172"/>
      <c r="U936" s="183"/>
      <c r="V936" s="184"/>
      <c r="W936" s="185"/>
      <c r="X936" s="172"/>
      <c r="Y936" s="137"/>
      <c r="Z936" s="186"/>
      <c r="AA936" s="187"/>
      <c r="AB936" s="188"/>
      <c r="AC936" s="137"/>
      <c r="AD936" s="184"/>
      <c r="AE936" s="189"/>
      <c r="AF936" s="190"/>
      <c r="AG936" s="143"/>
      <c r="AH936" s="143"/>
      <c r="AI936" s="143"/>
      <c r="AJ936" s="143"/>
      <c r="AK936" s="172"/>
      <c r="AL936" s="172"/>
    </row>
    <row r="937">
      <c r="A937" s="137"/>
      <c r="B937" s="88"/>
      <c r="C937" s="89"/>
      <c r="D937" s="55"/>
      <c r="E937" s="137"/>
      <c r="F937" s="88"/>
      <c r="G937" s="180"/>
      <c r="H937" s="181"/>
      <c r="I937" s="137"/>
      <c r="J937" s="88"/>
      <c r="K937" s="89"/>
      <c r="L937" s="55"/>
      <c r="M937" s="137"/>
      <c r="N937" s="182"/>
      <c r="O937" s="89"/>
      <c r="P937" s="55"/>
      <c r="Q937" s="183"/>
      <c r="R937" s="184"/>
      <c r="S937" s="185"/>
      <c r="T937" s="172"/>
      <c r="U937" s="183"/>
      <c r="V937" s="184"/>
      <c r="W937" s="185"/>
      <c r="X937" s="172"/>
      <c r="Y937" s="137"/>
      <c r="Z937" s="186"/>
      <c r="AA937" s="187"/>
      <c r="AB937" s="188"/>
      <c r="AC937" s="137"/>
      <c r="AD937" s="184"/>
      <c r="AE937" s="189"/>
      <c r="AF937" s="190"/>
      <c r="AG937" s="143"/>
      <c r="AH937" s="143"/>
      <c r="AI937" s="143"/>
      <c r="AJ937" s="143"/>
      <c r="AK937" s="172"/>
      <c r="AL937" s="172"/>
    </row>
    <row r="938">
      <c r="A938" s="137"/>
      <c r="B938" s="88"/>
      <c r="C938" s="89"/>
      <c r="D938" s="55"/>
      <c r="E938" s="137"/>
      <c r="F938" s="88"/>
      <c r="G938" s="180"/>
      <c r="H938" s="181"/>
      <c r="I938" s="137"/>
      <c r="J938" s="88"/>
      <c r="K938" s="89"/>
      <c r="L938" s="55"/>
      <c r="M938" s="137"/>
      <c r="N938" s="182"/>
      <c r="O938" s="89"/>
      <c r="P938" s="55"/>
      <c r="Q938" s="183"/>
      <c r="R938" s="184"/>
      <c r="S938" s="185"/>
      <c r="T938" s="172"/>
      <c r="U938" s="183"/>
      <c r="V938" s="184"/>
      <c r="W938" s="185"/>
      <c r="X938" s="172"/>
      <c r="Y938" s="137"/>
      <c r="Z938" s="186"/>
      <c r="AA938" s="187"/>
      <c r="AB938" s="188"/>
      <c r="AC938" s="137"/>
      <c r="AD938" s="184"/>
      <c r="AE938" s="189"/>
      <c r="AF938" s="190"/>
      <c r="AG938" s="143"/>
      <c r="AH938" s="143"/>
      <c r="AI938" s="143"/>
      <c r="AJ938" s="143"/>
      <c r="AK938" s="172"/>
      <c r="AL938" s="172"/>
    </row>
    <row r="939">
      <c r="A939" s="137"/>
      <c r="B939" s="88"/>
      <c r="C939" s="89"/>
      <c r="D939" s="55"/>
      <c r="E939" s="137"/>
      <c r="F939" s="88"/>
      <c r="G939" s="180"/>
      <c r="H939" s="181"/>
      <c r="I939" s="137"/>
      <c r="J939" s="88"/>
      <c r="K939" s="89"/>
      <c r="L939" s="55"/>
      <c r="M939" s="137"/>
      <c r="N939" s="182"/>
      <c r="O939" s="89"/>
      <c r="P939" s="55"/>
      <c r="Q939" s="183"/>
      <c r="R939" s="184"/>
      <c r="S939" s="185"/>
      <c r="T939" s="172"/>
      <c r="U939" s="183"/>
      <c r="V939" s="184"/>
      <c r="W939" s="185"/>
      <c r="X939" s="172"/>
      <c r="Y939" s="137"/>
      <c r="Z939" s="186"/>
      <c r="AA939" s="187"/>
      <c r="AB939" s="188"/>
      <c r="AC939" s="137"/>
      <c r="AD939" s="184"/>
      <c r="AE939" s="189"/>
      <c r="AF939" s="190"/>
      <c r="AG939" s="143"/>
      <c r="AH939" s="143"/>
      <c r="AI939" s="143"/>
      <c r="AJ939" s="143"/>
      <c r="AK939" s="172"/>
      <c r="AL939" s="172"/>
    </row>
    <row r="940">
      <c r="A940" s="137"/>
      <c r="B940" s="88"/>
      <c r="C940" s="89"/>
      <c r="D940" s="55"/>
      <c r="E940" s="137"/>
      <c r="F940" s="88"/>
      <c r="G940" s="180"/>
      <c r="H940" s="181"/>
      <c r="I940" s="137"/>
      <c r="J940" s="88"/>
      <c r="K940" s="89"/>
      <c r="L940" s="55"/>
      <c r="M940" s="137"/>
      <c r="N940" s="182"/>
      <c r="O940" s="89"/>
      <c r="P940" s="55"/>
      <c r="Q940" s="183"/>
      <c r="R940" s="184"/>
      <c r="S940" s="185"/>
      <c r="T940" s="172"/>
      <c r="U940" s="183"/>
      <c r="V940" s="184"/>
      <c r="W940" s="185"/>
      <c r="X940" s="172"/>
      <c r="Y940" s="137"/>
      <c r="Z940" s="186"/>
      <c r="AA940" s="187"/>
      <c r="AB940" s="188"/>
      <c r="AC940" s="137"/>
      <c r="AD940" s="184"/>
      <c r="AE940" s="189"/>
      <c r="AF940" s="190"/>
      <c r="AG940" s="143"/>
      <c r="AH940" s="143"/>
      <c r="AI940" s="143"/>
      <c r="AJ940" s="143"/>
      <c r="AK940" s="172"/>
      <c r="AL940" s="172"/>
    </row>
    <row r="941">
      <c r="A941" s="137"/>
      <c r="B941" s="88"/>
      <c r="C941" s="89"/>
      <c r="D941" s="55"/>
      <c r="E941" s="137"/>
      <c r="F941" s="88"/>
      <c r="G941" s="180"/>
      <c r="H941" s="181"/>
      <c r="I941" s="137"/>
      <c r="J941" s="88"/>
      <c r="K941" s="89"/>
      <c r="L941" s="55"/>
      <c r="M941" s="137"/>
      <c r="N941" s="182"/>
      <c r="O941" s="89"/>
      <c r="P941" s="55"/>
      <c r="Q941" s="183"/>
      <c r="R941" s="184"/>
      <c r="S941" s="185"/>
      <c r="T941" s="172"/>
      <c r="U941" s="183"/>
      <c r="V941" s="184"/>
      <c r="W941" s="185"/>
      <c r="X941" s="172"/>
      <c r="Y941" s="137"/>
      <c r="Z941" s="186"/>
      <c r="AA941" s="187"/>
      <c r="AB941" s="188"/>
      <c r="AC941" s="137"/>
      <c r="AD941" s="184"/>
      <c r="AE941" s="189"/>
      <c r="AF941" s="190"/>
      <c r="AG941" s="143"/>
      <c r="AH941" s="143"/>
      <c r="AI941" s="143"/>
      <c r="AJ941" s="143"/>
      <c r="AK941" s="172"/>
      <c r="AL941" s="172"/>
    </row>
    <row r="942">
      <c r="A942" s="137"/>
      <c r="B942" s="88"/>
      <c r="C942" s="89"/>
      <c r="D942" s="55"/>
      <c r="E942" s="137"/>
      <c r="F942" s="88"/>
      <c r="G942" s="180"/>
      <c r="H942" s="181"/>
      <c r="I942" s="137"/>
      <c r="J942" s="88"/>
      <c r="K942" s="89"/>
      <c r="L942" s="55"/>
      <c r="M942" s="137"/>
      <c r="N942" s="182"/>
      <c r="O942" s="89"/>
      <c r="P942" s="55"/>
      <c r="Q942" s="183"/>
      <c r="R942" s="184"/>
      <c r="S942" s="185"/>
      <c r="T942" s="172"/>
      <c r="U942" s="183"/>
      <c r="V942" s="184"/>
      <c r="W942" s="185"/>
      <c r="X942" s="172"/>
      <c r="Y942" s="137"/>
      <c r="Z942" s="186"/>
      <c r="AA942" s="187"/>
      <c r="AB942" s="188"/>
      <c r="AC942" s="137"/>
      <c r="AD942" s="184"/>
      <c r="AE942" s="189"/>
      <c r="AF942" s="190"/>
      <c r="AG942" s="143"/>
      <c r="AH942" s="143"/>
      <c r="AI942" s="143"/>
      <c r="AJ942" s="143"/>
      <c r="AK942" s="172"/>
      <c r="AL942" s="172"/>
    </row>
    <row r="943">
      <c r="A943" s="137"/>
      <c r="B943" s="88"/>
      <c r="C943" s="89"/>
      <c r="D943" s="55"/>
      <c r="E943" s="137"/>
      <c r="F943" s="88"/>
      <c r="G943" s="180"/>
      <c r="H943" s="181"/>
      <c r="I943" s="137"/>
      <c r="J943" s="88"/>
      <c r="K943" s="89"/>
      <c r="L943" s="55"/>
      <c r="M943" s="137"/>
      <c r="N943" s="182"/>
      <c r="O943" s="89"/>
      <c r="P943" s="55"/>
      <c r="Q943" s="183"/>
      <c r="R943" s="184"/>
      <c r="S943" s="185"/>
      <c r="T943" s="172"/>
      <c r="U943" s="183"/>
      <c r="V943" s="184"/>
      <c r="W943" s="185"/>
      <c r="X943" s="172"/>
      <c r="Y943" s="137"/>
      <c r="Z943" s="186"/>
      <c r="AA943" s="187"/>
      <c r="AB943" s="188"/>
      <c r="AC943" s="137"/>
      <c r="AD943" s="184"/>
      <c r="AE943" s="189"/>
      <c r="AF943" s="190"/>
      <c r="AG943" s="143"/>
      <c r="AH943" s="143"/>
      <c r="AI943" s="143"/>
      <c r="AJ943" s="143"/>
      <c r="AK943" s="172"/>
      <c r="AL943" s="172"/>
    </row>
    <row r="944">
      <c r="A944" s="137"/>
      <c r="B944" s="88"/>
      <c r="C944" s="89"/>
      <c r="D944" s="55"/>
      <c r="E944" s="137"/>
      <c r="F944" s="88"/>
      <c r="G944" s="180"/>
      <c r="H944" s="181"/>
      <c r="I944" s="137"/>
      <c r="J944" s="88"/>
      <c r="K944" s="89"/>
      <c r="L944" s="55"/>
      <c r="M944" s="137"/>
      <c r="N944" s="182"/>
      <c r="O944" s="89"/>
      <c r="P944" s="55"/>
      <c r="Q944" s="183"/>
      <c r="R944" s="184"/>
      <c r="S944" s="185"/>
      <c r="T944" s="172"/>
      <c r="U944" s="183"/>
      <c r="V944" s="184"/>
      <c r="W944" s="185"/>
      <c r="X944" s="172"/>
      <c r="Y944" s="137"/>
      <c r="Z944" s="186"/>
      <c r="AA944" s="187"/>
      <c r="AB944" s="188"/>
      <c r="AC944" s="137"/>
      <c r="AD944" s="184"/>
      <c r="AE944" s="189"/>
      <c r="AF944" s="190"/>
      <c r="AG944" s="143"/>
      <c r="AH944" s="143"/>
      <c r="AI944" s="143"/>
      <c r="AJ944" s="143"/>
      <c r="AK944" s="172"/>
      <c r="AL944" s="172"/>
    </row>
    <row r="945">
      <c r="A945" s="137"/>
      <c r="B945" s="88"/>
      <c r="C945" s="89"/>
      <c r="D945" s="55"/>
      <c r="E945" s="137"/>
      <c r="F945" s="88"/>
      <c r="G945" s="180"/>
      <c r="H945" s="181"/>
      <c r="I945" s="137"/>
      <c r="J945" s="88"/>
      <c r="K945" s="89"/>
      <c r="L945" s="55"/>
      <c r="M945" s="137"/>
      <c r="N945" s="182"/>
      <c r="O945" s="89"/>
      <c r="P945" s="55"/>
      <c r="Q945" s="183"/>
      <c r="R945" s="184"/>
      <c r="S945" s="185"/>
      <c r="T945" s="172"/>
      <c r="U945" s="183"/>
      <c r="V945" s="184"/>
      <c r="W945" s="185"/>
      <c r="X945" s="172"/>
      <c r="Y945" s="137"/>
      <c r="Z945" s="186"/>
      <c r="AA945" s="187"/>
      <c r="AB945" s="188"/>
      <c r="AC945" s="137"/>
      <c r="AD945" s="184"/>
      <c r="AE945" s="189"/>
      <c r="AF945" s="190"/>
      <c r="AG945" s="143"/>
      <c r="AH945" s="143"/>
      <c r="AI945" s="143"/>
      <c r="AJ945" s="143"/>
      <c r="AK945" s="172"/>
      <c r="AL945" s="172"/>
    </row>
    <row r="946">
      <c r="A946" s="137"/>
      <c r="B946" s="88"/>
      <c r="C946" s="89"/>
      <c r="D946" s="55"/>
      <c r="E946" s="137"/>
      <c r="F946" s="88"/>
      <c r="G946" s="180"/>
      <c r="H946" s="181"/>
      <c r="I946" s="137"/>
      <c r="J946" s="88"/>
      <c r="K946" s="89"/>
      <c r="L946" s="55"/>
      <c r="M946" s="137"/>
      <c r="N946" s="182"/>
      <c r="O946" s="89"/>
      <c r="P946" s="55"/>
      <c r="Q946" s="183"/>
      <c r="R946" s="184"/>
      <c r="S946" s="185"/>
      <c r="T946" s="172"/>
      <c r="U946" s="183"/>
      <c r="V946" s="184"/>
      <c r="W946" s="185"/>
      <c r="X946" s="172"/>
      <c r="Y946" s="137"/>
      <c r="Z946" s="186"/>
      <c r="AA946" s="187"/>
      <c r="AB946" s="188"/>
      <c r="AC946" s="137"/>
      <c r="AD946" s="184"/>
      <c r="AE946" s="189"/>
      <c r="AF946" s="190"/>
      <c r="AG946" s="143"/>
      <c r="AH946" s="143"/>
      <c r="AI946" s="143"/>
      <c r="AJ946" s="143"/>
      <c r="AK946" s="172"/>
      <c r="AL946" s="172"/>
    </row>
    <row r="947">
      <c r="A947" s="137"/>
      <c r="B947" s="88"/>
      <c r="C947" s="89"/>
      <c r="D947" s="55"/>
      <c r="E947" s="137"/>
      <c r="F947" s="88"/>
      <c r="G947" s="180"/>
      <c r="H947" s="181"/>
      <c r="I947" s="137"/>
      <c r="J947" s="88"/>
      <c r="K947" s="89"/>
      <c r="L947" s="55"/>
      <c r="M947" s="137"/>
      <c r="N947" s="182"/>
      <c r="O947" s="89"/>
      <c r="P947" s="55"/>
      <c r="Q947" s="183"/>
      <c r="R947" s="184"/>
      <c r="S947" s="185"/>
      <c r="T947" s="172"/>
      <c r="U947" s="183"/>
      <c r="V947" s="184"/>
      <c r="W947" s="185"/>
      <c r="X947" s="172"/>
      <c r="Y947" s="137"/>
      <c r="Z947" s="186"/>
      <c r="AA947" s="187"/>
      <c r="AB947" s="188"/>
      <c r="AC947" s="137"/>
      <c r="AD947" s="184"/>
      <c r="AE947" s="189"/>
      <c r="AF947" s="190"/>
      <c r="AG947" s="143"/>
      <c r="AH947" s="143"/>
      <c r="AI947" s="143"/>
      <c r="AJ947" s="143"/>
      <c r="AK947" s="172"/>
      <c r="AL947" s="172"/>
    </row>
    <row r="948">
      <c r="A948" s="137"/>
      <c r="B948" s="88"/>
      <c r="C948" s="89"/>
      <c r="D948" s="55"/>
      <c r="E948" s="137"/>
      <c r="F948" s="88"/>
      <c r="G948" s="180"/>
      <c r="H948" s="181"/>
      <c r="I948" s="137"/>
      <c r="J948" s="88"/>
      <c r="K948" s="89"/>
      <c r="L948" s="55"/>
      <c r="M948" s="137"/>
      <c r="N948" s="182"/>
      <c r="O948" s="89"/>
      <c r="P948" s="55"/>
      <c r="Q948" s="183"/>
      <c r="R948" s="184"/>
      <c r="S948" s="185"/>
      <c r="T948" s="172"/>
      <c r="U948" s="183"/>
      <c r="V948" s="184"/>
      <c r="W948" s="185"/>
      <c r="X948" s="172"/>
      <c r="Y948" s="137"/>
      <c r="Z948" s="186"/>
      <c r="AA948" s="187"/>
      <c r="AB948" s="188"/>
      <c r="AC948" s="137"/>
      <c r="AD948" s="184"/>
      <c r="AE948" s="189"/>
      <c r="AF948" s="190"/>
      <c r="AG948" s="143"/>
      <c r="AH948" s="143"/>
      <c r="AI948" s="143"/>
      <c r="AJ948" s="143"/>
      <c r="AK948" s="172"/>
      <c r="AL948" s="172"/>
    </row>
    <row r="949">
      <c r="A949" s="137"/>
      <c r="B949" s="88"/>
      <c r="C949" s="89"/>
      <c r="D949" s="55"/>
      <c r="E949" s="137"/>
      <c r="F949" s="88"/>
      <c r="G949" s="180"/>
      <c r="H949" s="181"/>
      <c r="I949" s="137"/>
      <c r="J949" s="88"/>
      <c r="K949" s="89"/>
      <c r="L949" s="55"/>
      <c r="M949" s="137"/>
      <c r="N949" s="182"/>
      <c r="O949" s="89"/>
      <c r="P949" s="55"/>
      <c r="Q949" s="183"/>
      <c r="R949" s="184"/>
      <c r="S949" s="185"/>
      <c r="T949" s="172"/>
      <c r="U949" s="183"/>
      <c r="V949" s="184"/>
      <c r="W949" s="185"/>
      <c r="X949" s="172"/>
      <c r="Y949" s="137"/>
      <c r="Z949" s="186"/>
      <c r="AA949" s="187"/>
      <c r="AB949" s="188"/>
      <c r="AC949" s="137"/>
      <c r="AD949" s="184"/>
      <c r="AE949" s="189"/>
      <c r="AF949" s="190"/>
      <c r="AG949" s="143"/>
      <c r="AH949" s="143"/>
      <c r="AI949" s="143"/>
      <c r="AJ949" s="143"/>
      <c r="AK949" s="172"/>
      <c r="AL949" s="172"/>
    </row>
    <row r="950">
      <c r="A950" s="137"/>
      <c r="B950" s="88"/>
      <c r="C950" s="89"/>
      <c r="D950" s="55"/>
      <c r="E950" s="137"/>
      <c r="F950" s="88"/>
      <c r="G950" s="180"/>
      <c r="H950" s="181"/>
      <c r="I950" s="137"/>
      <c r="J950" s="88"/>
      <c r="K950" s="89"/>
      <c r="L950" s="55"/>
      <c r="M950" s="137"/>
      <c r="N950" s="182"/>
      <c r="O950" s="89"/>
      <c r="P950" s="55"/>
      <c r="Q950" s="183"/>
      <c r="R950" s="184"/>
      <c r="S950" s="185"/>
      <c r="T950" s="172"/>
      <c r="U950" s="183"/>
      <c r="V950" s="184"/>
      <c r="W950" s="185"/>
      <c r="X950" s="172"/>
      <c r="Y950" s="137"/>
      <c r="Z950" s="186"/>
      <c r="AA950" s="187"/>
      <c r="AB950" s="188"/>
      <c r="AC950" s="137"/>
      <c r="AD950" s="184"/>
      <c r="AE950" s="189"/>
      <c r="AF950" s="190"/>
      <c r="AG950" s="143"/>
      <c r="AH950" s="143"/>
      <c r="AI950" s="143"/>
      <c r="AJ950" s="143"/>
      <c r="AK950" s="172"/>
      <c r="AL950" s="172"/>
    </row>
    <row r="951">
      <c r="A951" s="137"/>
      <c r="B951" s="88"/>
      <c r="C951" s="89"/>
      <c r="D951" s="55"/>
      <c r="E951" s="137"/>
      <c r="F951" s="88"/>
      <c r="G951" s="180"/>
      <c r="H951" s="181"/>
      <c r="I951" s="137"/>
      <c r="J951" s="88"/>
      <c r="K951" s="89"/>
      <c r="L951" s="55"/>
      <c r="M951" s="137"/>
      <c r="N951" s="182"/>
      <c r="O951" s="89"/>
      <c r="P951" s="55"/>
      <c r="Q951" s="183"/>
      <c r="R951" s="184"/>
      <c r="S951" s="185"/>
      <c r="T951" s="172"/>
      <c r="U951" s="183"/>
      <c r="V951" s="184"/>
      <c r="W951" s="185"/>
      <c r="X951" s="172"/>
      <c r="Y951" s="137"/>
      <c r="Z951" s="186"/>
      <c r="AA951" s="187"/>
      <c r="AB951" s="188"/>
      <c r="AC951" s="137"/>
      <c r="AD951" s="184"/>
      <c r="AE951" s="189"/>
      <c r="AF951" s="190"/>
      <c r="AG951" s="143"/>
      <c r="AH951" s="143"/>
      <c r="AI951" s="143"/>
      <c r="AJ951" s="143"/>
      <c r="AK951" s="172"/>
      <c r="AL951" s="172"/>
    </row>
    <row r="952">
      <c r="A952" s="137"/>
      <c r="B952" s="88"/>
      <c r="C952" s="89"/>
      <c r="D952" s="55"/>
      <c r="E952" s="137"/>
      <c r="F952" s="88"/>
      <c r="G952" s="180"/>
      <c r="H952" s="181"/>
      <c r="I952" s="137"/>
      <c r="J952" s="88"/>
      <c r="K952" s="89"/>
      <c r="L952" s="55"/>
      <c r="M952" s="137"/>
      <c r="N952" s="182"/>
      <c r="O952" s="89"/>
      <c r="P952" s="55"/>
      <c r="Q952" s="183"/>
      <c r="R952" s="184"/>
      <c r="S952" s="185"/>
      <c r="T952" s="172"/>
      <c r="U952" s="183"/>
      <c r="V952" s="184"/>
      <c r="W952" s="185"/>
      <c r="X952" s="172"/>
      <c r="Y952" s="137"/>
      <c r="Z952" s="186"/>
      <c r="AA952" s="187"/>
      <c r="AB952" s="188"/>
      <c r="AC952" s="137"/>
      <c r="AD952" s="184"/>
      <c r="AE952" s="189"/>
      <c r="AF952" s="190"/>
      <c r="AG952" s="143"/>
      <c r="AH952" s="143"/>
      <c r="AI952" s="143"/>
      <c r="AJ952" s="143"/>
      <c r="AK952" s="172"/>
      <c r="AL952" s="172"/>
    </row>
    <row r="953">
      <c r="A953" s="137"/>
      <c r="B953" s="88"/>
      <c r="C953" s="89"/>
      <c r="D953" s="55"/>
      <c r="E953" s="137"/>
      <c r="F953" s="88"/>
      <c r="G953" s="180"/>
      <c r="H953" s="181"/>
      <c r="I953" s="137"/>
      <c r="J953" s="88"/>
      <c r="K953" s="89"/>
      <c r="L953" s="55"/>
      <c r="M953" s="137"/>
      <c r="N953" s="182"/>
      <c r="O953" s="89"/>
      <c r="P953" s="55"/>
      <c r="Q953" s="183"/>
      <c r="R953" s="184"/>
      <c r="S953" s="185"/>
      <c r="T953" s="172"/>
      <c r="U953" s="183"/>
      <c r="V953" s="184"/>
      <c r="W953" s="185"/>
      <c r="X953" s="172"/>
      <c r="Y953" s="137"/>
      <c r="Z953" s="186"/>
      <c r="AA953" s="187"/>
      <c r="AB953" s="188"/>
      <c r="AC953" s="137"/>
      <c r="AD953" s="184"/>
      <c r="AE953" s="189"/>
      <c r="AF953" s="190"/>
      <c r="AG953" s="143"/>
      <c r="AH953" s="143"/>
      <c r="AI953" s="143"/>
      <c r="AJ953" s="143"/>
      <c r="AK953" s="172"/>
      <c r="AL953" s="172"/>
    </row>
    <row r="954">
      <c r="A954" s="137"/>
      <c r="B954" s="88"/>
      <c r="C954" s="89"/>
      <c r="D954" s="55"/>
      <c r="E954" s="137"/>
      <c r="F954" s="88"/>
      <c r="G954" s="180"/>
      <c r="H954" s="181"/>
      <c r="I954" s="137"/>
      <c r="J954" s="88"/>
      <c r="K954" s="89"/>
      <c r="L954" s="55"/>
      <c r="M954" s="137"/>
      <c r="N954" s="182"/>
      <c r="O954" s="89"/>
      <c r="P954" s="55"/>
      <c r="Q954" s="183"/>
      <c r="R954" s="184"/>
      <c r="S954" s="185"/>
      <c r="T954" s="172"/>
      <c r="U954" s="183"/>
      <c r="V954" s="184"/>
      <c r="W954" s="185"/>
      <c r="X954" s="172"/>
      <c r="Y954" s="137"/>
      <c r="Z954" s="186"/>
      <c r="AA954" s="187"/>
      <c r="AB954" s="188"/>
      <c r="AC954" s="137"/>
      <c r="AD954" s="184"/>
      <c r="AE954" s="189"/>
      <c r="AF954" s="190"/>
      <c r="AG954" s="143"/>
      <c r="AH954" s="143"/>
      <c r="AI954" s="143"/>
      <c r="AJ954" s="143"/>
      <c r="AK954" s="172"/>
      <c r="AL954" s="172"/>
    </row>
    <row r="955">
      <c r="A955" s="137"/>
      <c r="B955" s="88"/>
      <c r="C955" s="89"/>
      <c r="D955" s="55"/>
      <c r="E955" s="137"/>
      <c r="F955" s="88"/>
      <c r="G955" s="180"/>
      <c r="H955" s="181"/>
      <c r="I955" s="137"/>
      <c r="J955" s="88"/>
      <c r="K955" s="89"/>
      <c r="L955" s="55"/>
      <c r="M955" s="137"/>
      <c r="N955" s="182"/>
      <c r="O955" s="89"/>
      <c r="P955" s="55"/>
      <c r="Q955" s="183"/>
      <c r="R955" s="184"/>
      <c r="S955" s="185"/>
      <c r="T955" s="172"/>
      <c r="U955" s="183"/>
      <c r="V955" s="184"/>
      <c r="W955" s="185"/>
      <c r="X955" s="172"/>
      <c r="Y955" s="137"/>
      <c r="Z955" s="186"/>
      <c r="AA955" s="187"/>
      <c r="AB955" s="188"/>
      <c r="AC955" s="137"/>
      <c r="AD955" s="184"/>
      <c r="AE955" s="189"/>
      <c r="AF955" s="190"/>
      <c r="AG955" s="143"/>
      <c r="AH955" s="143"/>
      <c r="AI955" s="143"/>
      <c r="AJ955" s="143"/>
      <c r="AK955" s="172"/>
      <c r="AL955" s="172"/>
    </row>
    <row r="956">
      <c r="A956" s="137"/>
      <c r="B956" s="88"/>
      <c r="C956" s="89"/>
      <c r="D956" s="55"/>
      <c r="E956" s="137"/>
      <c r="F956" s="88"/>
      <c r="G956" s="180"/>
      <c r="H956" s="181"/>
      <c r="I956" s="137"/>
      <c r="J956" s="88"/>
      <c r="K956" s="89"/>
      <c r="L956" s="55"/>
      <c r="M956" s="137"/>
      <c r="N956" s="182"/>
      <c r="O956" s="89"/>
      <c r="P956" s="55"/>
      <c r="Q956" s="183"/>
      <c r="R956" s="184"/>
      <c r="S956" s="185"/>
      <c r="T956" s="172"/>
      <c r="U956" s="183"/>
      <c r="V956" s="184"/>
      <c r="W956" s="185"/>
      <c r="X956" s="172"/>
      <c r="Y956" s="137"/>
      <c r="Z956" s="186"/>
      <c r="AA956" s="187"/>
      <c r="AB956" s="188"/>
      <c r="AC956" s="137"/>
      <c r="AD956" s="184"/>
      <c r="AE956" s="189"/>
      <c r="AF956" s="190"/>
      <c r="AG956" s="143"/>
      <c r="AH956" s="143"/>
      <c r="AI956" s="143"/>
      <c r="AJ956" s="143"/>
      <c r="AK956" s="172"/>
      <c r="AL956" s="172"/>
    </row>
    <row r="957">
      <c r="A957" s="137"/>
      <c r="B957" s="88"/>
      <c r="C957" s="89"/>
      <c r="D957" s="55"/>
      <c r="E957" s="137"/>
      <c r="F957" s="88"/>
      <c r="G957" s="180"/>
      <c r="H957" s="181"/>
      <c r="I957" s="137"/>
      <c r="J957" s="88"/>
      <c r="K957" s="89"/>
      <c r="L957" s="55"/>
      <c r="M957" s="137"/>
      <c r="N957" s="182"/>
      <c r="O957" s="89"/>
      <c r="P957" s="55"/>
      <c r="Q957" s="183"/>
      <c r="R957" s="184"/>
      <c r="S957" s="185"/>
      <c r="T957" s="172"/>
      <c r="U957" s="183"/>
      <c r="V957" s="184"/>
      <c r="W957" s="185"/>
      <c r="X957" s="172"/>
      <c r="Y957" s="137"/>
      <c r="Z957" s="186"/>
      <c r="AA957" s="187"/>
      <c r="AB957" s="188"/>
      <c r="AC957" s="137"/>
      <c r="AD957" s="184"/>
      <c r="AE957" s="189"/>
      <c r="AF957" s="190"/>
      <c r="AG957" s="143"/>
      <c r="AH957" s="143"/>
      <c r="AI957" s="143"/>
      <c r="AJ957" s="143"/>
      <c r="AK957" s="172"/>
      <c r="AL957" s="172"/>
    </row>
    <row r="958">
      <c r="A958" s="137"/>
      <c r="B958" s="88"/>
      <c r="C958" s="89"/>
      <c r="D958" s="55"/>
      <c r="E958" s="137"/>
      <c r="F958" s="88"/>
      <c r="G958" s="180"/>
      <c r="H958" s="181"/>
      <c r="I958" s="137"/>
      <c r="J958" s="88"/>
      <c r="K958" s="89"/>
      <c r="L958" s="55"/>
      <c r="M958" s="137"/>
      <c r="N958" s="182"/>
      <c r="O958" s="89"/>
      <c r="P958" s="55"/>
      <c r="Q958" s="183"/>
      <c r="R958" s="184"/>
      <c r="S958" s="185"/>
      <c r="T958" s="172"/>
      <c r="U958" s="183"/>
      <c r="V958" s="184"/>
      <c r="W958" s="185"/>
      <c r="X958" s="172"/>
      <c r="Y958" s="137"/>
      <c r="Z958" s="186"/>
      <c r="AA958" s="187"/>
      <c r="AB958" s="188"/>
      <c r="AC958" s="137"/>
      <c r="AD958" s="184"/>
      <c r="AE958" s="189"/>
      <c r="AF958" s="190"/>
      <c r="AG958" s="143"/>
      <c r="AH958" s="143"/>
      <c r="AI958" s="143"/>
      <c r="AJ958" s="143"/>
      <c r="AK958" s="172"/>
      <c r="AL958" s="172"/>
    </row>
    <row r="959">
      <c r="A959" s="137"/>
      <c r="B959" s="88"/>
      <c r="C959" s="89"/>
      <c r="D959" s="55"/>
      <c r="E959" s="137"/>
      <c r="F959" s="88"/>
      <c r="G959" s="180"/>
      <c r="H959" s="181"/>
      <c r="I959" s="137"/>
      <c r="J959" s="88"/>
      <c r="K959" s="89"/>
      <c r="L959" s="55"/>
      <c r="M959" s="137"/>
      <c r="N959" s="182"/>
      <c r="O959" s="89"/>
      <c r="P959" s="55"/>
      <c r="Q959" s="183"/>
      <c r="R959" s="184"/>
      <c r="S959" s="185"/>
      <c r="T959" s="172"/>
      <c r="U959" s="183"/>
      <c r="V959" s="184"/>
      <c r="W959" s="185"/>
      <c r="X959" s="172"/>
      <c r="Y959" s="137"/>
      <c r="Z959" s="186"/>
      <c r="AA959" s="187"/>
      <c r="AB959" s="188"/>
      <c r="AC959" s="137"/>
      <c r="AD959" s="184"/>
      <c r="AE959" s="189"/>
      <c r="AF959" s="190"/>
      <c r="AG959" s="143"/>
      <c r="AH959" s="143"/>
      <c r="AI959" s="143"/>
      <c r="AJ959" s="143"/>
      <c r="AK959" s="172"/>
      <c r="AL959" s="172"/>
    </row>
    <row r="960">
      <c r="A960" s="137"/>
      <c r="B960" s="88"/>
      <c r="C960" s="89"/>
      <c r="D960" s="55"/>
      <c r="E960" s="137"/>
      <c r="F960" s="88"/>
      <c r="G960" s="180"/>
      <c r="H960" s="181"/>
      <c r="I960" s="137"/>
      <c r="J960" s="88"/>
      <c r="K960" s="89"/>
      <c r="L960" s="55"/>
      <c r="M960" s="137"/>
      <c r="N960" s="182"/>
      <c r="O960" s="89"/>
      <c r="P960" s="55"/>
      <c r="Q960" s="183"/>
      <c r="R960" s="184"/>
      <c r="S960" s="185"/>
      <c r="T960" s="172"/>
      <c r="U960" s="183"/>
      <c r="V960" s="184"/>
      <c r="W960" s="185"/>
      <c r="X960" s="172"/>
      <c r="Y960" s="137"/>
      <c r="Z960" s="186"/>
      <c r="AA960" s="187"/>
      <c r="AB960" s="188"/>
      <c r="AC960" s="137"/>
      <c r="AD960" s="184"/>
      <c r="AE960" s="189"/>
      <c r="AF960" s="190"/>
      <c r="AG960" s="143"/>
      <c r="AH960" s="143"/>
      <c r="AI960" s="143"/>
      <c r="AJ960" s="143"/>
      <c r="AK960" s="172"/>
      <c r="AL960" s="172"/>
    </row>
    <row r="961">
      <c r="A961" s="137"/>
      <c r="B961" s="88"/>
      <c r="C961" s="89"/>
      <c r="D961" s="55"/>
      <c r="E961" s="137"/>
      <c r="F961" s="88"/>
      <c r="G961" s="180"/>
      <c r="H961" s="181"/>
      <c r="I961" s="137"/>
      <c r="J961" s="88"/>
      <c r="K961" s="89"/>
      <c r="L961" s="55"/>
      <c r="M961" s="137"/>
      <c r="N961" s="182"/>
      <c r="O961" s="89"/>
      <c r="P961" s="55"/>
      <c r="Q961" s="183"/>
      <c r="R961" s="184"/>
      <c r="S961" s="185"/>
      <c r="T961" s="172"/>
      <c r="U961" s="183"/>
      <c r="V961" s="184"/>
      <c r="W961" s="185"/>
      <c r="X961" s="172"/>
      <c r="Y961" s="137"/>
      <c r="Z961" s="186"/>
      <c r="AA961" s="187"/>
      <c r="AB961" s="188"/>
      <c r="AC961" s="137"/>
      <c r="AD961" s="184"/>
      <c r="AE961" s="189"/>
      <c r="AF961" s="190"/>
      <c r="AG961" s="143"/>
      <c r="AH961" s="143"/>
      <c r="AI961" s="143"/>
      <c r="AJ961" s="143"/>
      <c r="AK961" s="172"/>
      <c r="AL961" s="172"/>
    </row>
    <row r="962">
      <c r="A962" s="137"/>
      <c r="B962" s="88"/>
      <c r="C962" s="89"/>
      <c r="D962" s="55"/>
      <c r="E962" s="137"/>
      <c r="F962" s="88"/>
      <c r="G962" s="180"/>
      <c r="H962" s="181"/>
      <c r="I962" s="137"/>
      <c r="J962" s="88"/>
      <c r="K962" s="89"/>
      <c r="L962" s="55"/>
      <c r="M962" s="137"/>
      <c r="N962" s="182"/>
      <c r="O962" s="89"/>
      <c r="P962" s="55"/>
      <c r="Q962" s="183"/>
      <c r="R962" s="184"/>
      <c r="S962" s="185"/>
      <c r="T962" s="172"/>
      <c r="U962" s="183"/>
      <c r="V962" s="184"/>
      <c r="W962" s="185"/>
      <c r="X962" s="172"/>
      <c r="Y962" s="137"/>
      <c r="Z962" s="150"/>
      <c r="AA962" s="194"/>
      <c r="AB962" s="195"/>
      <c r="AC962" s="137"/>
      <c r="AD962" s="17"/>
      <c r="AE962" s="152"/>
      <c r="AF962" s="152"/>
      <c r="AG962" s="143"/>
      <c r="AH962" s="143"/>
      <c r="AI962" s="143"/>
      <c r="AJ962" s="143"/>
      <c r="AK962" s="46"/>
      <c r="AL962" s="46"/>
    </row>
    <row r="963">
      <c r="A963" s="137"/>
      <c r="B963" s="88"/>
      <c r="C963" s="89"/>
      <c r="D963" s="55"/>
      <c r="E963" s="137"/>
      <c r="F963" s="88"/>
      <c r="G963" s="180"/>
      <c r="H963" s="181"/>
      <c r="I963" s="137"/>
      <c r="J963" s="88"/>
      <c r="K963" s="89"/>
      <c r="L963" s="55"/>
      <c r="M963" s="137"/>
      <c r="N963" s="182"/>
      <c r="O963" s="89"/>
      <c r="P963" s="55"/>
      <c r="Q963" s="183"/>
      <c r="R963" s="184"/>
      <c r="S963" s="185"/>
      <c r="T963" s="172"/>
      <c r="U963" s="183"/>
      <c r="V963" s="184"/>
      <c r="W963" s="185"/>
      <c r="X963" s="172"/>
      <c r="Y963" s="137"/>
      <c r="Z963" s="150"/>
      <c r="AA963" s="194"/>
      <c r="AB963" s="195"/>
      <c r="AC963" s="137"/>
      <c r="AD963" s="17"/>
      <c r="AE963" s="152"/>
      <c r="AF963" s="152"/>
      <c r="AG963" s="143"/>
      <c r="AH963" s="143"/>
      <c r="AI963" s="143"/>
      <c r="AJ963" s="143"/>
      <c r="AK963" s="46"/>
      <c r="AL963" s="46"/>
    </row>
    <row r="964">
      <c r="A964" s="137"/>
      <c r="B964" s="88"/>
      <c r="C964" s="89"/>
      <c r="D964" s="55"/>
      <c r="E964" s="137"/>
      <c r="F964" s="88"/>
      <c r="G964" s="180"/>
      <c r="H964" s="181"/>
      <c r="I964" s="137"/>
      <c r="J964" s="88"/>
      <c r="K964" s="89"/>
      <c r="L964" s="55"/>
      <c r="M964" s="137"/>
      <c r="N964" s="182"/>
      <c r="O964" s="89"/>
      <c r="P964" s="55"/>
      <c r="Q964" s="183"/>
      <c r="R964" s="184"/>
      <c r="S964" s="185"/>
      <c r="T964" s="172"/>
      <c r="U964" s="183"/>
      <c r="V964" s="184"/>
      <c r="W964" s="185"/>
      <c r="X964" s="172"/>
      <c r="Y964" s="137"/>
      <c r="Z964" s="150"/>
      <c r="AA964" s="194"/>
      <c r="AB964" s="195"/>
      <c r="AC964" s="137"/>
      <c r="AD964" s="17"/>
      <c r="AE964" s="152"/>
      <c r="AF964" s="152"/>
      <c r="AG964" s="143"/>
      <c r="AH964" s="143"/>
      <c r="AI964" s="143"/>
      <c r="AJ964" s="143"/>
      <c r="AK964" s="46"/>
      <c r="AL964" s="46"/>
    </row>
    <row r="965">
      <c r="A965" s="137"/>
      <c r="B965" s="88"/>
      <c r="C965" s="89"/>
      <c r="D965" s="55"/>
      <c r="E965" s="137"/>
      <c r="F965" s="88"/>
      <c r="G965" s="180"/>
      <c r="H965" s="181"/>
      <c r="I965" s="137"/>
      <c r="J965" s="88"/>
      <c r="K965" s="89"/>
      <c r="L965" s="55"/>
      <c r="M965" s="137"/>
      <c r="N965" s="182"/>
      <c r="O965" s="89"/>
      <c r="P965" s="55"/>
      <c r="Q965" s="183"/>
      <c r="R965" s="184"/>
      <c r="S965" s="185"/>
      <c r="T965" s="172"/>
      <c r="U965" s="183"/>
      <c r="V965" s="184"/>
      <c r="W965" s="185"/>
      <c r="X965" s="172"/>
      <c r="Y965" s="137"/>
      <c r="Z965" s="150"/>
      <c r="AA965" s="194"/>
      <c r="AB965" s="195"/>
      <c r="AC965" s="137"/>
      <c r="AD965" s="17"/>
      <c r="AE965" s="152"/>
      <c r="AF965" s="152"/>
      <c r="AG965" s="143"/>
      <c r="AH965" s="143"/>
      <c r="AI965" s="143"/>
      <c r="AJ965" s="143"/>
      <c r="AK965" s="46"/>
      <c r="AL965" s="46"/>
    </row>
    <row r="966">
      <c r="A966" s="137"/>
      <c r="B966" s="88"/>
      <c r="C966" s="89"/>
      <c r="D966" s="55"/>
      <c r="E966" s="137"/>
      <c r="F966" s="88"/>
      <c r="G966" s="180"/>
      <c r="H966" s="181"/>
      <c r="I966" s="137"/>
      <c r="J966" s="88"/>
      <c r="K966" s="89"/>
      <c r="L966" s="55"/>
      <c r="M966" s="137"/>
      <c r="N966" s="182"/>
      <c r="O966" s="89"/>
      <c r="P966" s="55"/>
      <c r="Q966" s="183"/>
      <c r="R966" s="184"/>
      <c r="S966" s="185"/>
      <c r="T966" s="172"/>
      <c r="U966" s="183"/>
      <c r="V966" s="184"/>
      <c r="W966" s="185"/>
      <c r="X966" s="172"/>
      <c r="Y966" s="17"/>
      <c r="Z966" s="17"/>
      <c r="AA966" s="152"/>
      <c r="AB966" s="196"/>
      <c r="AC966" s="17"/>
      <c r="AD966" s="17"/>
      <c r="AE966" s="152"/>
      <c r="AF966" s="197"/>
      <c r="AG966" s="143"/>
      <c r="AH966" s="143"/>
      <c r="AI966" s="143"/>
      <c r="AJ966" s="143"/>
      <c r="AK966" s="17"/>
      <c r="AL966" s="17"/>
    </row>
    <row r="967">
      <c r="A967" s="137"/>
      <c r="B967" s="88"/>
      <c r="C967" s="89"/>
      <c r="D967" s="55"/>
      <c r="E967" s="137"/>
      <c r="F967" s="88"/>
      <c r="G967" s="180"/>
      <c r="H967" s="181"/>
      <c r="I967" s="137"/>
      <c r="J967" s="88"/>
      <c r="K967" s="89"/>
      <c r="L967" s="55"/>
      <c r="M967" s="137"/>
      <c r="N967" s="182"/>
      <c r="O967" s="89"/>
      <c r="P967" s="55"/>
      <c r="Q967" s="183"/>
      <c r="R967" s="184"/>
      <c r="S967" s="185"/>
      <c r="T967" s="172"/>
      <c r="U967" s="183"/>
      <c r="V967" s="184"/>
      <c r="W967" s="185"/>
      <c r="X967" s="172"/>
      <c r="Y967" s="17"/>
      <c r="Z967" s="17"/>
      <c r="AA967" s="152"/>
      <c r="AB967" s="196"/>
      <c r="AC967" s="17"/>
      <c r="AD967" s="17"/>
      <c r="AE967" s="152"/>
      <c r="AF967" s="197"/>
      <c r="AG967" s="143"/>
      <c r="AH967" s="143"/>
      <c r="AI967" s="143"/>
      <c r="AJ967" s="143"/>
      <c r="AK967" s="17"/>
      <c r="AL967" s="17"/>
    </row>
    <row r="968">
      <c r="A968" s="137"/>
      <c r="B968" s="88"/>
      <c r="C968" s="89"/>
      <c r="D968" s="55"/>
      <c r="E968" s="137"/>
      <c r="F968" s="88"/>
      <c r="G968" s="180"/>
      <c r="H968" s="181"/>
      <c r="I968" s="137"/>
      <c r="J968" s="88"/>
      <c r="K968" s="89"/>
      <c r="L968" s="55"/>
      <c r="M968" s="137"/>
      <c r="N968" s="182"/>
      <c r="O968" s="89"/>
      <c r="P968" s="55"/>
      <c r="Q968" s="183"/>
      <c r="R968" s="184"/>
      <c r="S968" s="185"/>
      <c r="T968" s="172"/>
      <c r="U968" s="183"/>
      <c r="V968" s="184"/>
      <c r="W968" s="185"/>
      <c r="X968" s="172"/>
      <c r="Y968" s="17"/>
      <c r="Z968" s="17"/>
      <c r="AA968" s="152"/>
      <c r="AB968" s="196"/>
      <c r="AC968" s="17"/>
      <c r="AD968" s="17"/>
      <c r="AE968" s="152"/>
      <c r="AF968" s="197"/>
      <c r="AG968" s="143"/>
      <c r="AH968" s="143"/>
      <c r="AI968" s="143"/>
      <c r="AJ968" s="143"/>
      <c r="AK968" s="17"/>
      <c r="AL968" s="17"/>
    </row>
    <row r="969">
      <c r="A969" s="137"/>
      <c r="B969" s="88"/>
      <c r="C969" s="89"/>
      <c r="D969" s="55"/>
      <c r="E969" s="137"/>
      <c r="F969" s="88"/>
      <c r="G969" s="180"/>
      <c r="H969" s="181"/>
      <c r="I969" s="137"/>
      <c r="J969" s="88"/>
      <c r="K969" s="89"/>
      <c r="L969" s="55"/>
      <c r="M969" s="137"/>
      <c r="N969" s="182"/>
      <c r="O969" s="89"/>
      <c r="P969" s="55"/>
      <c r="Q969" s="183"/>
      <c r="R969" s="184"/>
      <c r="S969" s="185"/>
      <c r="T969" s="172"/>
      <c r="U969" s="183"/>
      <c r="V969" s="184"/>
      <c r="W969" s="185"/>
      <c r="X969" s="172"/>
      <c r="Y969" s="17"/>
      <c r="Z969" s="17"/>
      <c r="AA969" s="152"/>
      <c r="AB969" s="196"/>
      <c r="AC969" s="17"/>
      <c r="AD969" s="17"/>
      <c r="AE969" s="152"/>
      <c r="AF969" s="197"/>
      <c r="AG969" s="143"/>
      <c r="AH969" s="143"/>
      <c r="AI969" s="143"/>
      <c r="AJ969" s="143"/>
      <c r="AK969" s="17"/>
      <c r="AL969" s="17"/>
    </row>
    <row r="970">
      <c r="A970" s="137"/>
      <c r="B970" s="88"/>
      <c r="C970" s="89"/>
      <c r="D970" s="55"/>
      <c r="E970" s="137"/>
      <c r="F970" s="88"/>
      <c r="G970" s="180"/>
      <c r="H970" s="181"/>
      <c r="I970" s="137"/>
      <c r="J970" s="88"/>
      <c r="K970" s="89"/>
      <c r="L970" s="55"/>
      <c r="M970" s="137"/>
      <c r="N970" s="182"/>
      <c r="O970" s="89"/>
      <c r="P970" s="55"/>
      <c r="Q970" s="183"/>
      <c r="R970" s="184"/>
      <c r="S970" s="185"/>
      <c r="T970" s="172"/>
      <c r="U970" s="183"/>
      <c r="V970" s="184"/>
      <c r="W970" s="185"/>
      <c r="X970" s="172"/>
      <c r="Y970" s="17"/>
      <c r="Z970" s="17"/>
      <c r="AA970" s="152"/>
      <c r="AB970" s="196"/>
      <c r="AC970" s="17"/>
      <c r="AD970" s="17"/>
      <c r="AE970" s="152"/>
      <c r="AF970" s="197"/>
      <c r="AG970" s="143"/>
      <c r="AH970" s="143"/>
      <c r="AI970" s="143"/>
      <c r="AJ970" s="143"/>
      <c r="AK970" s="17"/>
      <c r="AL970" s="17"/>
    </row>
    <row r="971">
      <c r="A971" s="137"/>
      <c r="B971" s="88"/>
      <c r="C971" s="89"/>
      <c r="D971" s="55"/>
      <c r="E971" s="137"/>
      <c r="F971" s="88"/>
      <c r="G971" s="180"/>
      <c r="H971" s="181"/>
      <c r="I971" s="137"/>
      <c r="J971" s="88"/>
      <c r="K971" s="89"/>
      <c r="L971" s="55"/>
      <c r="M971" s="137"/>
      <c r="N971" s="182"/>
      <c r="O971" s="89"/>
      <c r="P971" s="55"/>
      <c r="Q971" s="183"/>
      <c r="R971" s="184"/>
      <c r="S971" s="185"/>
      <c r="T971" s="172"/>
      <c r="U971" s="183"/>
      <c r="V971" s="184"/>
      <c r="W971" s="185"/>
      <c r="X971" s="172"/>
      <c r="Y971" s="17"/>
      <c r="Z971" s="17"/>
      <c r="AA971" s="152"/>
      <c r="AB971" s="196"/>
      <c r="AC971" s="17"/>
      <c r="AD971" s="17"/>
      <c r="AE971" s="152"/>
      <c r="AF971" s="197"/>
      <c r="AG971" s="143"/>
      <c r="AH971" s="143"/>
      <c r="AI971" s="143"/>
      <c r="AJ971" s="143"/>
      <c r="AK971" s="17"/>
      <c r="AL971" s="17"/>
    </row>
    <row r="972">
      <c r="A972" s="137"/>
      <c r="B972" s="88"/>
      <c r="C972" s="89"/>
      <c r="D972" s="55"/>
      <c r="E972" s="137"/>
      <c r="F972" s="88"/>
      <c r="G972" s="180"/>
      <c r="H972" s="181"/>
      <c r="I972" s="137"/>
      <c r="J972" s="88"/>
      <c r="K972" s="89"/>
      <c r="L972" s="55"/>
      <c r="M972" s="137"/>
      <c r="N972" s="182"/>
      <c r="O972" s="89"/>
      <c r="P972" s="55"/>
      <c r="Q972" s="183"/>
      <c r="R972" s="184"/>
      <c r="S972" s="185"/>
      <c r="T972" s="172"/>
      <c r="U972" s="183"/>
      <c r="V972" s="184"/>
      <c r="W972" s="185"/>
      <c r="X972" s="172"/>
      <c r="Y972" s="17"/>
      <c r="Z972" s="17"/>
      <c r="AA972" s="152"/>
      <c r="AB972" s="196"/>
      <c r="AC972" s="17"/>
      <c r="AD972" s="17"/>
      <c r="AE972" s="152"/>
      <c r="AF972" s="197"/>
      <c r="AG972" s="143"/>
      <c r="AH972" s="143"/>
      <c r="AI972" s="143"/>
      <c r="AJ972" s="143"/>
      <c r="AK972" s="17"/>
      <c r="AL972" s="17"/>
    </row>
    <row r="973">
      <c r="A973" s="137"/>
      <c r="B973" s="88"/>
      <c r="C973" s="89"/>
      <c r="D973" s="55"/>
      <c r="E973" s="137"/>
      <c r="F973" s="88"/>
      <c r="G973" s="180"/>
      <c r="H973" s="181"/>
      <c r="I973" s="137"/>
      <c r="J973" s="88"/>
      <c r="K973" s="89"/>
      <c r="L973" s="55"/>
      <c r="M973" s="137"/>
      <c r="N973" s="182"/>
      <c r="O973" s="89"/>
      <c r="P973" s="55"/>
      <c r="Q973" s="183"/>
      <c r="R973" s="184"/>
      <c r="S973" s="185"/>
      <c r="T973" s="172"/>
      <c r="U973" s="183"/>
      <c r="V973" s="184"/>
      <c r="W973" s="185"/>
      <c r="X973" s="172"/>
      <c r="Y973" s="17"/>
      <c r="Z973" s="17"/>
      <c r="AA973" s="152"/>
      <c r="AB973" s="196"/>
      <c r="AC973" s="17"/>
      <c r="AD973" s="17"/>
      <c r="AE973" s="152"/>
      <c r="AF973" s="197"/>
      <c r="AG973" s="143"/>
      <c r="AH973" s="143"/>
      <c r="AI973" s="143"/>
      <c r="AJ973" s="143"/>
      <c r="AK973" s="17"/>
      <c r="AL973" s="17"/>
    </row>
    <row r="974">
      <c r="A974" s="137"/>
      <c r="B974" s="88"/>
      <c r="C974" s="89"/>
      <c r="D974" s="55"/>
      <c r="E974" s="137"/>
      <c r="F974" s="88"/>
      <c r="G974" s="180"/>
      <c r="H974" s="181"/>
      <c r="I974" s="137"/>
      <c r="J974" s="88"/>
      <c r="K974" s="89"/>
      <c r="L974" s="55"/>
      <c r="M974" s="137"/>
      <c r="N974" s="182"/>
      <c r="O974" s="89"/>
      <c r="P974" s="55"/>
      <c r="Q974" s="183"/>
      <c r="R974" s="184"/>
      <c r="S974" s="185"/>
      <c r="T974" s="172"/>
      <c r="U974" s="183"/>
      <c r="V974" s="184"/>
      <c r="W974" s="185"/>
      <c r="X974" s="172"/>
      <c r="Y974" s="17"/>
      <c r="Z974" s="17"/>
      <c r="AA974" s="152"/>
      <c r="AB974" s="196"/>
      <c r="AC974" s="17"/>
      <c r="AD974" s="17"/>
      <c r="AE974" s="152"/>
      <c r="AF974" s="197"/>
      <c r="AG974" s="143"/>
      <c r="AH974" s="143"/>
      <c r="AI974" s="143"/>
      <c r="AJ974" s="143"/>
      <c r="AK974" s="17"/>
      <c r="AL974" s="17"/>
    </row>
    <row r="975">
      <c r="A975" s="137"/>
      <c r="B975" s="88"/>
      <c r="C975" s="89"/>
      <c r="D975" s="55"/>
      <c r="E975" s="137"/>
      <c r="F975" s="88"/>
      <c r="G975" s="180"/>
      <c r="H975" s="181"/>
      <c r="I975" s="137"/>
      <c r="J975" s="88"/>
      <c r="K975" s="89"/>
      <c r="L975" s="55"/>
      <c r="M975" s="137"/>
      <c r="N975" s="182"/>
      <c r="O975" s="89"/>
      <c r="P975" s="55"/>
      <c r="Q975" s="183"/>
      <c r="R975" s="184"/>
      <c r="S975" s="185"/>
      <c r="T975" s="172"/>
      <c r="U975" s="183"/>
      <c r="V975" s="184"/>
      <c r="W975" s="185"/>
      <c r="X975" s="172"/>
      <c r="Y975" s="17"/>
      <c r="Z975" s="17"/>
      <c r="AA975" s="152"/>
      <c r="AB975" s="196"/>
      <c r="AC975" s="17"/>
      <c r="AD975" s="17"/>
      <c r="AE975" s="152"/>
      <c r="AF975" s="197"/>
      <c r="AG975" s="143"/>
      <c r="AH975" s="143"/>
      <c r="AI975" s="143"/>
      <c r="AJ975" s="143"/>
      <c r="AK975" s="17"/>
      <c r="AL975" s="17"/>
    </row>
    <row r="976">
      <c r="A976" s="137"/>
      <c r="B976" s="88"/>
      <c r="C976" s="89"/>
      <c r="D976" s="55"/>
      <c r="E976" s="137"/>
      <c r="F976" s="88"/>
      <c r="G976" s="180"/>
      <c r="H976" s="181"/>
      <c r="I976" s="137"/>
      <c r="J976" s="88"/>
      <c r="K976" s="89"/>
      <c r="L976" s="55"/>
      <c r="M976" s="137"/>
      <c r="N976" s="182"/>
      <c r="O976" s="89"/>
      <c r="P976" s="55"/>
      <c r="Q976" s="183"/>
      <c r="R976" s="184"/>
      <c r="S976" s="185"/>
      <c r="T976" s="172"/>
      <c r="U976" s="183"/>
      <c r="V976" s="184"/>
      <c r="W976" s="185"/>
      <c r="X976" s="172"/>
      <c r="Y976" s="17"/>
      <c r="Z976" s="17"/>
      <c r="AA976" s="152"/>
      <c r="AB976" s="196"/>
      <c r="AC976" s="17"/>
      <c r="AD976" s="17"/>
      <c r="AE976" s="152"/>
      <c r="AF976" s="197"/>
      <c r="AG976" s="143"/>
      <c r="AH976" s="143"/>
      <c r="AI976" s="143"/>
      <c r="AJ976" s="143"/>
      <c r="AK976" s="17"/>
      <c r="AL976" s="17"/>
    </row>
    <row r="977">
      <c r="A977" s="137"/>
      <c r="B977" s="88"/>
      <c r="C977" s="89"/>
      <c r="D977" s="55"/>
      <c r="E977" s="137"/>
      <c r="F977" s="88"/>
      <c r="G977" s="180"/>
      <c r="H977" s="181"/>
      <c r="I977" s="137"/>
      <c r="J977" s="88"/>
      <c r="K977" s="89"/>
      <c r="L977" s="55"/>
      <c r="M977" s="137"/>
      <c r="N977" s="182"/>
      <c r="O977" s="89"/>
      <c r="P977" s="55"/>
      <c r="Q977" s="183"/>
      <c r="R977" s="184"/>
      <c r="S977" s="185"/>
      <c r="T977" s="172"/>
      <c r="U977" s="183"/>
      <c r="V977" s="184"/>
      <c r="W977" s="185"/>
      <c r="X977" s="172"/>
      <c r="Y977" s="17"/>
      <c r="Z977" s="17"/>
      <c r="AA977" s="152"/>
      <c r="AB977" s="196"/>
      <c r="AC977" s="17"/>
      <c r="AD977" s="17"/>
      <c r="AE977" s="152"/>
      <c r="AF977" s="197"/>
      <c r="AG977" s="143"/>
      <c r="AH977" s="143"/>
      <c r="AI977" s="143"/>
      <c r="AJ977" s="143"/>
      <c r="AK977" s="17"/>
      <c r="AL977" s="17"/>
    </row>
    <row r="978">
      <c r="A978" s="137"/>
      <c r="B978" s="88"/>
      <c r="C978" s="89"/>
      <c r="D978" s="55"/>
      <c r="E978" s="137"/>
      <c r="F978" s="88"/>
      <c r="G978" s="180"/>
      <c r="H978" s="181"/>
      <c r="I978" s="137"/>
      <c r="J978" s="88"/>
      <c r="K978" s="89"/>
      <c r="L978" s="55"/>
      <c r="M978" s="137"/>
      <c r="N978" s="182"/>
      <c r="O978" s="89"/>
      <c r="P978" s="55"/>
      <c r="Q978" s="183"/>
      <c r="R978" s="184"/>
      <c r="S978" s="185"/>
      <c r="T978" s="172"/>
      <c r="U978" s="183"/>
      <c r="V978" s="184"/>
      <c r="W978" s="185"/>
      <c r="X978" s="172"/>
      <c r="Y978" s="17"/>
      <c r="Z978" s="17"/>
      <c r="AA978" s="152"/>
      <c r="AB978" s="196"/>
      <c r="AC978" s="17"/>
      <c r="AD978" s="17"/>
      <c r="AE978" s="152"/>
      <c r="AF978" s="197"/>
      <c r="AG978" s="143"/>
      <c r="AH978" s="143"/>
      <c r="AI978" s="143"/>
      <c r="AJ978" s="143"/>
      <c r="AK978" s="17"/>
      <c r="AL978" s="17"/>
    </row>
    <row r="979">
      <c r="A979" s="137"/>
      <c r="B979" s="88"/>
      <c r="C979" s="89"/>
      <c r="D979" s="55"/>
      <c r="E979" s="137"/>
      <c r="F979" s="88"/>
      <c r="G979" s="180"/>
      <c r="H979" s="181"/>
      <c r="I979" s="137"/>
      <c r="J979" s="88"/>
      <c r="K979" s="89"/>
      <c r="L979" s="55"/>
      <c r="M979" s="137"/>
      <c r="N979" s="182"/>
      <c r="O979" s="89"/>
      <c r="P979" s="55"/>
      <c r="Q979" s="183"/>
      <c r="R979" s="184"/>
      <c r="S979" s="185"/>
      <c r="T979" s="172"/>
      <c r="U979" s="183"/>
      <c r="V979" s="184"/>
      <c r="W979" s="185"/>
      <c r="X979" s="172"/>
      <c r="Y979" s="17"/>
      <c r="Z979" s="17"/>
      <c r="AA979" s="152"/>
      <c r="AB979" s="196"/>
      <c r="AC979" s="17"/>
      <c r="AD979" s="17"/>
      <c r="AE979" s="152"/>
      <c r="AF979" s="197"/>
      <c r="AG979" s="143"/>
      <c r="AH979" s="143"/>
      <c r="AI979" s="143"/>
      <c r="AJ979" s="143"/>
      <c r="AK979" s="17"/>
      <c r="AL979" s="17"/>
    </row>
    <row r="980">
      <c r="A980" s="137"/>
      <c r="B980" s="88"/>
      <c r="C980" s="89"/>
      <c r="D980" s="55"/>
      <c r="E980" s="137"/>
      <c r="F980" s="88"/>
      <c r="G980" s="180"/>
      <c r="H980" s="181"/>
      <c r="I980" s="137"/>
      <c r="J980" s="88"/>
      <c r="K980" s="89"/>
      <c r="L980" s="55"/>
      <c r="M980" s="137"/>
      <c r="N980" s="182"/>
      <c r="O980" s="89"/>
      <c r="P980" s="55"/>
      <c r="Q980" s="183"/>
      <c r="R980" s="184"/>
      <c r="S980" s="185"/>
      <c r="T980" s="172"/>
      <c r="U980" s="183"/>
      <c r="V980" s="184"/>
      <c r="W980" s="185"/>
      <c r="X980" s="172"/>
      <c r="Y980" s="17"/>
      <c r="Z980" s="17"/>
      <c r="AA980" s="152"/>
      <c r="AB980" s="196"/>
      <c r="AC980" s="17"/>
      <c r="AD980" s="17"/>
      <c r="AE980" s="152"/>
      <c r="AF980" s="197"/>
      <c r="AG980" s="143"/>
      <c r="AH980" s="143"/>
      <c r="AI980" s="143"/>
      <c r="AJ980" s="143"/>
      <c r="AK980" s="17"/>
      <c r="AL980" s="17"/>
    </row>
    <row r="981">
      <c r="A981" s="137"/>
      <c r="B981" s="88"/>
      <c r="C981" s="89"/>
      <c r="D981" s="55"/>
      <c r="E981" s="137"/>
      <c r="F981" s="88"/>
      <c r="G981" s="180"/>
      <c r="H981" s="181"/>
      <c r="I981" s="137"/>
      <c r="J981" s="88"/>
      <c r="K981" s="89"/>
      <c r="L981" s="55"/>
      <c r="M981" s="137"/>
      <c r="N981" s="182"/>
      <c r="O981" s="89"/>
      <c r="P981" s="55"/>
      <c r="Q981" s="183"/>
      <c r="R981" s="184"/>
      <c r="S981" s="185"/>
      <c r="T981" s="172"/>
      <c r="U981" s="183"/>
      <c r="V981" s="184"/>
      <c r="W981" s="185"/>
      <c r="X981" s="172"/>
      <c r="Y981" s="17"/>
      <c r="Z981" s="17"/>
      <c r="AA981" s="152"/>
      <c r="AB981" s="196"/>
      <c r="AC981" s="17"/>
      <c r="AD981" s="17"/>
      <c r="AE981" s="152"/>
      <c r="AF981" s="197"/>
      <c r="AG981" s="143"/>
      <c r="AH981" s="143"/>
      <c r="AI981" s="143"/>
      <c r="AJ981" s="143"/>
      <c r="AK981" s="17"/>
      <c r="AL981" s="17"/>
    </row>
    <row r="982">
      <c r="A982" s="137"/>
      <c r="B982" s="88"/>
      <c r="C982" s="89"/>
      <c r="D982" s="55"/>
      <c r="E982" s="137"/>
      <c r="F982" s="88"/>
      <c r="G982" s="180"/>
      <c r="H982" s="181"/>
      <c r="I982" s="137"/>
      <c r="J982" s="88"/>
      <c r="K982" s="89"/>
      <c r="L982" s="55"/>
      <c r="M982" s="137"/>
      <c r="N982" s="182"/>
      <c r="O982" s="89"/>
      <c r="P982" s="55"/>
      <c r="Q982" s="183"/>
      <c r="R982" s="184"/>
      <c r="S982" s="185"/>
      <c r="T982" s="172"/>
      <c r="U982" s="183"/>
      <c r="V982" s="184"/>
      <c r="W982" s="185"/>
      <c r="X982" s="172"/>
      <c r="Y982" s="17"/>
      <c r="Z982" s="17"/>
      <c r="AA982" s="152"/>
      <c r="AB982" s="196"/>
      <c r="AC982" s="17"/>
      <c r="AD982" s="17"/>
      <c r="AE982" s="152"/>
      <c r="AF982" s="197"/>
      <c r="AG982" s="143"/>
      <c r="AH982" s="143"/>
      <c r="AI982" s="143"/>
      <c r="AJ982" s="143"/>
      <c r="AK982" s="17"/>
      <c r="AL982" s="17"/>
    </row>
    <row r="983">
      <c r="A983" s="137"/>
      <c r="B983" s="88"/>
      <c r="C983" s="89"/>
      <c r="D983" s="55"/>
      <c r="E983" s="137"/>
      <c r="F983" s="88"/>
      <c r="G983" s="180"/>
      <c r="H983" s="181"/>
      <c r="I983" s="137"/>
      <c r="J983" s="88"/>
      <c r="K983" s="89"/>
      <c r="L983" s="55"/>
      <c r="M983" s="137"/>
      <c r="N983" s="182"/>
      <c r="O983" s="89"/>
      <c r="P983" s="55"/>
      <c r="Q983" s="183"/>
      <c r="R983" s="184"/>
      <c r="S983" s="185"/>
      <c r="T983" s="172"/>
      <c r="U983" s="183"/>
      <c r="V983" s="184"/>
      <c r="W983" s="185"/>
      <c r="X983" s="172"/>
      <c r="Y983" s="17"/>
      <c r="Z983" s="17"/>
      <c r="AA983" s="152"/>
      <c r="AB983" s="196"/>
      <c r="AC983" s="17"/>
      <c r="AD983" s="17"/>
      <c r="AE983" s="152"/>
      <c r="AF983" s="197"/>
      <c r="AG983" s="143"/>
      <c r="AH983" s="143"/>
      <c r="AI983" s="143"/>
      <c r="AJ983" s="143"/>
      <c r="AK983" s="17"/>
      <c r="AL983" s="17"/>
    </row>
    <row r="984">
      <c r="A984" s="137"/>
      <c r="B984" s="88"/>
      <c r="C984" s="89"/>
      <c r="D984" s="55"/>
      <c r="E984" s="137"/>
      <c r="F984" s="88"/>
      <c r="G984" s="180"/>
      <c r="H984" s="181"/>
      <c r="I984" s="137"/>
      <c r="J984" s="88"/>
      <c r="K984" s="89"/>
      <c r="L984" s="55"/>
      <c r="M984" s="137"/>
      <c r="N984" s="182"/>
      <c r="O984" s="89"/>
      <c r="P984" s="55"/>
      <c r="Q984" s="183"/>
      <c r="R984" s="184"/>
      <c r="S984" s="185"/>
      <c r="T984" s="172"/>
      <c r="U984" s="183"/>
      <c r="V984" s="184"/>
      <c r="W984" s="185"/>
      <c r="X984" s="172"/>
      <c r="Y984" s="17"/>
      <c r="Z984" s="17"/>
      <c r="AA984" s="152"/>
      <c r="AB984" s="196"/>
      <c r="AC984" s="17"/>
      <c r="AD984" s="17"/>
      <c r="AE984" s="152"/>
      <c r="AF984" s="197"/>
      <c r="AG984" s="143"/>
      <c r="AH984" s="143"/>
      <c r="AI984" s="143"/>
      <c r="AJ984" s="143"/>
      <c r="AK984" s="17"/>
      <c r="AL984" s="17"/>
    </row>
    <row r="985">
      <c r="A985" s="137"/>
      <c r="B985" s="88"/>
      <c r="C985" s="89"/>
      <c r="D985" s="55"/>
      <c r="E985" s="137"/>
      <c r="F985" s="88"/>
      <c r="G985" s="180"/>
      <c r="H985" s="181"/>
      <c r="I985" s="137"/>
      <c r="J985" s="88"/>
      <c r="K985" s="89"/>
      <c r="L985" s="55"/>
      <c r="M985" s="137"/>
      <c r="N985" s="182"/>
      <c r="O985" s="89"/>
      <c r="P985" s="55"/>
      <c r="Q985" s="183"/>
      <c r="R985" s="184"/>
      <c r="S985" s="185"/>
      <c r="T985" s="172"/>
      <c r="U985" s="183"/>
      <c r="V985" s="184"/>
      <c r="W985" s="185"/>
      <c r="X985" s="172"/>
      <c r="Y985" s="17"/>
      <c r="Z985" s="17"/>
      <c r="AA985" s="152"/>
      <c r="AB985" s="196"/>
      <c r="AC985" s="17"/>
      <c r="AD985" s="17"/>
      <c r="AE985" s="152"/>
      <c r="AF985" s="197"/>
      <c r="AG985" s="143"/>
      <c r="AH985" s="143"/>
      <c r="AI985" s="143"/>
      <c r="AJ985" s="143"/>
      <c r="AK985" s="17"/>
      <c r="AL985" s="17"/>
    </row>
    <row r="986">
      <c r="A986" s="137"/>
      <c r="B986" s="88"/>
      <c r="C986" s="89"/>
      <c r="D986" s="55"/>
      <c r="E986" s="137"/>
      <c r="F986" s="88"/>
      <c r="G986" s="180"/>
      <c r="H986" s="181"/>
      <c r="I986" s="137"/>
      <c r="J986" s="88"/>
      <c r="K986" s="89"/>
      <c r="L986" s="55"/>
      <c r="M986" s="137"/>
      <c r="N986" s="182"/>
      <c r="O986" s="89"/>
      <c r="P986" s="55"/>
      <c r="Q986" s="183"/>
      <c r="R986" s="184"/>
      <c r="S986" s="185"/>
      <c r="T986" s="172"/>
      <c r="U986" s="183"/>
      <c r="V986" s="184"/>
      <c r="W986" s="185"/>
      <c r="X986" s="172"/>
      <c r="Y986" s="17"/>
      <c r="Z986" s="17"/>
      <c r="AA986" s="152"/>
      <c r="AB986" s="196"/>
      <c r="AC986" s="17"/>
      <c r="AD986" s="17"/>
      <c r="AE986" s="152"/>
      <c r="AF986" s="197"/>
      <c r="AG986" s="143"/>
      <c r="AH986" s="143"/>
      <c r="AI986" s="143"/>
      <c r="AJ986" s="143"/>
      <c r="AK986" s="17"/>
      <c r="AL986" s="17"/>
    </row>
    <row r="987">
      <c r="A987" s="137"/>
      <c r="B987" s="88"/>
      <c r="C987" s="89"/>
      <c r="D987" s="55"/>
      <c r="E987" s="137"/>
      <c r="F987" s="88"/>
      <c r="G987" s="180"/>
      <c r="H987" s="181"/>
      <c r="I987" s="137"/>
      <c r="J987" s="88"/>
      <c r="K987" s="89"/>
      <c r="L987" s="55"/>
      <c r="M987" s="137"/>
      <c r="N987" s="182"/>
      <c r="O987" s="89"/>
      <c r="P987" s="55"/>
      <c r="Q987" s="183"/>
      <c r="R987" s="184"/>
      <c r="S987" s="185"/>
      <c r="T987" s="172"/>
      <c r="U987" s="183"/>
      <c r="V987" s="184"/>
      <c r="W987" s="185"/>
      <c r="X987" s="172"/>
      <c r="Y987" s="17"/>
      <c r="Z987" s="17"/>
      <c r="AA987" s="152"/>
      <c r="AB987" s="196"/>
      <c r="AC987" s="17"/>
      <c r="AD987" s="17"/>
      <c r="AE987" s="152"/>
      <c r="AF987" s="197"/>
      <c r="AG987" s="143"/>
      <c r="AH987" s="143"/>
      <c r="AI987" s="143"/>
      <c r="AJ987" s="143"/>
      <c r="AK987" s="17"/>
      <c r="AL987" s="17"/>
    </row>
    <row r="988">
      <c r="A988" s="137"/>
      <c r="B988" s="88"/>
      <c r="C988" s="89"/>
      <c r="D988" s="55"/>
      <c r="E988" s="137"/>
      <c r="F988" s="88"/>
      <c r="G988" s="180"/>
      <c r="H988" s="181"/>
      <c r="I988" s="137"/>
      <c r="J988" s="88"/>
      <c r="K988" s="89"/>
      <c r="L988" s="55"/>
      <c r="M988" s="137"/>
      <c r="N988" s="182"/>
      <c r="O988" s="89"/>
      <c r="P988" s="55"/>
      <c r="Q988" s="183"/>
      <c r="R988" s="184"/>
      <c r="S988" s="185"/>
      <c r="T988" s="172"/>
      <c r="U988" s="183"/>
      <c r="V988" s="184"/>
      <c r="W988" s="185"/>
      <c r="X988" s="172"/>
      <c r="Y988" s="17"/>
      <c r="Z988" s="17"/>
      <c r="AA988" s="152"/>
      <c r="AB988" s="196"/>
      <c r="AC988" s="17"/>
      <c r="AD988" s="17"/>
      <c r="AE988" s="152"/>
      <c r="AF988" s="197"/>
      <c r="AG988" s="143"/>
      <c r="AH988" s="143"/>
      <c r="AI988" s="143"/>
      <c r="AJ988" s="143"/>
      <c r="AK988" s="17"/>
      <c r="AL988" s="17"/>
    </row>
    <row r="989">
      <c r="A989" s="137"/>
      <c r="B989" s="88"/>
      <c r="C989" s="89"/>
      <c r="D989" s="55"/>
      <c r="E989" s="137"/>
      <c r="F989" s="88"/>
      <c r="G989" s="180"/>
      <c r="H989" s="181"/>
      <c r="I989" s="137"/>
      <c r="J989" s="88"/>
      <c r="K989" s="89"/>
      <c r="L989" s="55"/>
      <c r="M989" s="137"/>
      <c r="N989" s="182"/>
      <c r="O989" s="89"/>
      <c r="P989" s="55"/>
      <c r="Q989" s="183"/>
      <c r="R989" s="184"/>
      <c r="S989" s="185"/>
      <c r="T989" s="172"/>
      <c r="U989" s="183"/>
      <c r="V989" s="184"/>
      <c r="W989" s="185"/>
      <c r="X989" s="172"/>
      <c r="Y989" s="17"/>
      <c r="Z989" s="17"/>
      <c r="AA989" s="152"/>
      <c r="AB989" s="196"/>
      <c r="AC989" s="17"/>
      <c r="AD989" s="17"/>
      <c r="AE989" s="152"/>
      <c r="AF989" s="197"/>
      <c r="AG989" s="143"/>
      <c r="AH989" s="143"/>
      <c r="AI989" s="143"/>
      <c r="AJ989" s="143"/>
      <c r="AK989" s="17"/>
      <c r="AL989" s="17"/>
    </row>
    <row r="990">
      <c r="A990" s="137"/>
      <c r="B990" s="88"/>
      <c r="C990" s="89"/>
      <c r="D990" s="55"/>
      <c r="E990" s="137"/>
      <c r="F990" s="88"/>
      <c r="G990" s="180"/>
      <c r="H990" s="181"/>
      <c r="I990" s="137"/>
      <c r="J990" s="88"/>
      <c r="K990" s="89"/>
      <c r="L990" s="55"/>
      <c r="M990" s="137"/>
      <c r="N990" s="182"/>
      <c r="O990" s="89"/>
      <c r="P990" s="55"/>
      <c r="Q990" s="183"/>
      <c r="R990" s="184"/>
      <c r="S990" s="185"/>
      <c r="T990" s="172"/>
      <c r="U990" s="183"/>
      <c r="V990" s="184"/>
      <c r="W990" s="185"/>
      <c r="X990" s="172"/>
      <c r="Y990" s="17"/>
      <c r="Z990" s="17"/>
      <c r="AA990" s="152"/>
      <c r="AB990" s="196"/>
      <c r="AC990" s="17"/>
      <c r="AD990" s="17"/>
      <c r="AE990" s="152"/>
      <c r="AF990" s="197"/>
      <c r="AG990" s="143"/>
      <c r="AH990" s="143"/>
      <c r="AI990" s="143"/>
      <c r="AJ990" s="143"/>
      <c r="AK990" s="17"/>
      <c r="AL990" s="17"/>
    </row>
    <row r="991">
      <c r="A991" s="137"/>
      <c r="B991" s="88"/>
      <c r="C991" s="89"/>
      <c r="D991" s="55"/>
      <c r="E991" s="137"/>
      <c r="F991" s="88"/>
      <c r="G991" s="180"/>
      <c r="H991" s="181"/>
      <c r="I991" s="137"/>
      <c r="J991" s="88"/>
      <c r="K991" s="89"/>
      <c r="L991" s="55"/>
      <c r="M991" s="137"/>
      <c r="N991" s="182"/>
      <c r="O991" s="89"/>
      <c r="P991" s="55"/>
      <c r="Q991" s="183"/>
      <c r="R991" s="184"/>
      <c r="S991" s="185"/>
      <c r="T991" s="172"/>
      <c r="U991" s="183"/>
      <c r="V991" s="184"/>
      <c r="W991" s="185"/>
      <c r="X991" s="172"/>
      <c r="Y991" s="17"/>
      <c r="Z991" s="17"/>
      <c r="AA991" s="152"/>
      <c r="AB991" s="196"/>
      <c r="AC991" s="17"/>
      <c r="AD991" s="17"/>
      <c r="AE991" s="152"/>
      <c r="AF991" s="197"/>
      <c r="AG991" s="143"/>
      <c r="AH991" s="143"/>
      <c r="AI991" s="143"/>
      <c r="AJ991" s="143"/>
      <c r="AK991" s="17"/>
      <c r="AL991" s="17"/>
    </row>
    <row r="992">
      <c r="A992" s="137"/>
      <c r="B992" s="88"/>
      <c r="C992" s="89"/>
      <c r="D992" s="55"/>
      <c r="E992" s="137"/>
      <c r="F992" s="88"/>
      <c r="G992" s="180"/>
      <c r="H992" s="181"/>
      <c r="I992" s="137"/>
      <c r="J992" s="88"/>
      <c r="K992" s="89"/>
      <c r="L992" s="55"/>
      <c r="M992" s="137"/>
      <c r="N992" s="182"/>
      <c r="O992" s="89"/>
      <c r="P992" s="55"/>
      <c r="Q992" s="183"/>
      <c r="R992" s="184"/>
      <c r="S992" s="185"/>
      <c r="T992" s="172"/>
      <c r="U992" s="183"/>
      <c r="V992" s="184"/>
      <c r="W992" s="185"/>
      <c r="X992" s="172"/>
      <c r="Y992" s="17"/>
      <c r="Z992" s="17"/>
      <c r="AA992" s="152"/>
      <c r="AB992" s="196"/>
      <c r="AC992" s="17"/>
      <c r="AD992" s="17"/>
      <c r="AE992" s="152"/>
      <c r="AF992" s="197"/>
      <c r="AG992" s="143"/>
      <c r="AH992" s="143"/>
      <c r="AI992" s="143"/>
      <c r="AJ992" s="143"/>
      <c r="AK992" s="17"/>
      <c r="AL992" s="17"/>
    </row>
    <row r="993">
      <c r="A993" s="137"/>
      <c r="B993" s="88"/>
      <c r="C993" s="89"/>
      <c r="D993" s="55"/>
      <c r="E993" s="137"/>
      <c r="F993" s="88"/>
      <c r="G993" s="180"/>
      <c r="H993" s="181"/>
      <c r="I993" s="137"/>
      <c r="J993" s="88"/>
      <c r="K993" s="89"/>
      <c r="L993" s="55"/>
      <c r="M993" s="137"/>
      <c r="N993" s="182"/>
      <c r="O993" s="89"/>
      <c r="P993" s="55"/>
      <c r="Q993" s="183"/>
      <c r="R993" s="184"/>
      <c r="S993" s="185"/>
      <c r="T993" s="172"/>
      <c r="U993" s="183"/>
      <c r="V993" s="184"/>
      <c r="W993" s="185"/>
      <c r="X993" s="172"/>
      <c r="Y993" s="17"/>
      <c r="Z993" s="17"/>
      <c r="AA993" s="152"/>
      <c r="AB993" s="196"/>
      <c r="AC993" s="17"/>
      <c r="AD993" s="17"/>
      <c r="AE993" s="152"/>
      <c r="AF993" s="197"/>
      <c r="AG993" s="143"/>
      <c r="AH993" s="143"/>
      <c r="AI993" s="143"/>
      <c r="AJ993" s="143"/>
      <c r="AK993" s="17"/>
      <c r="AL993" s="17"/>
    </row>
    <row r="994">
      <c r="A994" s="137"/>
      <c r="B994" s="88"/>
      <c r="C994" s="89"/>
      <c r="D994" s="55"/>
      <c r="E994" s="137"/>
      <c r="F994" s="88"/>
      <c r="G994" s="180"/>
      <c r="H994" s="181"/>
      <c r="I994" s="137"/>
      <c r="J994" s="88"/>
      <c r="K994" s="89"/>
      <c r="L994" s="55"/>
      <c r="M994" s="137"/>
      <c r="N994" s="182"/>
      <c r="O994" s="89"/>
      <c r="P994" s="55"/>
      <c r="Q994" s="183"/>
      <c r="R994" s="184"/>
      <c r="S994" s="185"/>
      <c r="T994" s="172"/>
      <c r="U994" s="183"/>
      <c r="V994" s="184"/>
      <c r="W994" s="185"/>
      <c r="X994" s="172"/>
      <c r="Y994" s="17"/>
      <c r="Z994" s="17"/>
      <c r="AA994" s="152"/>
      <c r="AB994" s="196"/>
      <c r="AC994" s="17"/>
      <c r="AD994" s="17"/>
      <c r="AE994" s="152"/>
      <c r="AF994" s="197"/>
      <c r="AG994" s="143"/>
      <c r="AH994" s="143"/>
      <c r="AI994" s="143"/>
      <c r="AJ994" s="143"/>
      <c r="AK994" s="17"/>
      <c r="AL994" s="17"/>
    </row>
    <row r="995">
      <c r="A995" s="137"/>
      <c r="B995" s="88"/>
      <c r="C995" s="89"/>
      <c r="D995" s="55"/>
      <c r="E995" s="137"/>
      <c r="F995" s="88"/>
      <c r="G995" s="180"/>
      <c r="H995" s="181"/>
      <c r="I995" s="137"/>
      <c r="J995" s="88"/>
      <c r="K995" s="89"/>
      <c r="L995" s="55"/>
      <c r="M995" s="137"/>
      <c r="N995" s="182"/>
      <c r="O995" s="89"/>
      <c r="P995" s="55"/>
      <c r="Q995" s="183"/>
      <c r="R995" s="184"/>
      <c r="S995" s="185"/>
      <c r="T995" s="172"/>
      <c r="U995" s="183"/>
      <c r="V995" s="184"/>
      <c r="W995" s="185"/>
      <c r="X995" s="172"/>
      <c r="Y995" s="17"/>
      <c r="Z995" s="17"/>
      <c r="AA995" s="152"/>
      <c r="AB995" s="196"/>
      <c r="AC995" s="17"/>
      <c r="AD995" s="17"/>
      <c r="AE995" s="152"/>
      <c r="AF995" s="197"/>
      <c r="AG995" s="143"/>
      <c r="AH995" s="143"/>
      <c r="AI995" s="143"/>
      <c r="AJ995" s="143"/>
      <c r="AK995" s="17"/>
      <c r="AL995" s="17"/>
    </row>
    <row r="996">
      <c r="A996" s="137"/>
      <c r="B996" s="88"/>
      <c r="C996" s="89"/>
      <c r="D996" s="55"/>
      <c r="E996" s="137"/>
      <c r="F996" s="88"/>
      <c r="G996" s="180"/>
      <c r="H996" s="181"/>
      <c r="I996" s="137"/>
      <c r="J996" s="88"/>
      <c r="K996" s="89"/>
      <c r="L996" s="55"/>
      <c r="M996" s="137"/>
      <c r="N996" s="182"/>
      <c r="O996" s="89"/>
      <c r="P996" s="55"/>
      <c r="Q996" s="183"/>
      <c r="R996" s="184"/>
      <c r="S996" s="185"/>
      <c r="T996" s="172"/>
      <c r="U996" s="183"/>
      <c r="V996" s="184"/>
      <c r="W996" s="185"/>
      <c r="X996" s="172"/>
      <c r="Y996" s="17"/>
      <c r="Z996" s="17"/>
      <c r="AA996" s="152"/>
      <c r="AB996" s="196"/>
      <c r="AC996" s="17"/>
      <c r="AD996" s="17"/>
      <c r="AE996" s="152"/>
      <c r="AF996" s="197"/>
      <c r="AG996" s="143"/>
      <c r="AH996" s="143"/>
      <c r="AI996" s="143"/>
      <c r="AJ996" s="143"/>
      <c r="AK996" s="17"/>
      <c r="AL996" s="17"/>
    </row>
    <row r="997">
      <c r="A997" s="137"/>
      <c r="B997" s="88"/>
      <c r="C997" s="89"/>
      <c r="D997" s="55"/>
      <c r="E997" s="137"/>
      <c r="F997" s="88"/>
      <c r="G997" s="180"/>
      <c r="H997" s="181"/>
      <c r="I997" s="137"/>
      <c r="J997" s="88"/>
      <c r="K997" s="89"/>
      <c r="L997" s="55"/>
      <c r="M997" s="137"/>
      <c r="N997" s="182"/>
      <c r="O997" s="89"/>
      <c r="P997" s="55"/>
      <c r="Q997" s="183"/>
      <c r="R997" s="184"/>
      <c r="S997" s="185"/>
      <c r="T997" s="172"/>
      <c r="U997" s="183"/>
      <c r="V997" s="184"/>
      <c r="W997" s="185"/>
      <c r="X997" s="172"/>
      <c r="Y997" s="17"/>
      <c r="Z997" s="17"/>
      <c r="AA997" s="152"/>
      <c r="AB997" s="196"/>
      <c r="AC997" s="17"/>
      <c r="AD997" s="17"/>
      <c r="AE997" s="152"/>
      <c r="AF997" s="197"/>
      <c r="AG997" s="143"/>
      <c r="AH997" s="143"/>
      <c r="AI997" s="143"/>
      <c r="AJ997" s="143"/>
      <c r="AK997" s="17"/>
      <c r="AL997" s="17"/>
    </row>
    <row r="998">
      <c r="A998" s="137"/>
      <c r="B998" s="88"/>
      <c r="C998" s="89"/>
      <c r="D998" s="55"/>
      <c r="E998" s="137"/>
      <c r="F998" s="88"/>
      <c r="G998" s="180"/>
      <c r="H998" s="181"/>
      <c r="I998" s="137"/>
      <c r="J998" s="88"/>
      <c r="K998" s="89"/>
      <c r="L998" s="55"/>
      <c r="M998" s="137"/>
      <c r="N998" s="182"/>
      <c r="O998" s="89"/>
      <c r="P998" s="55"/>
      <c r="Q998" s="183"/>
      <c r="R998" s="184"/>
      <c r="S998" s="185"/>
      <c r="T998" s="172"/>
      <c r="U998" s="183"/>
      <c r="V998" s="184"/>
      <c r="W998" s="185"/>
      <c r="X998" s="172"/>
      <c r="Y998" s="17"/>
      <c r="Z998" s="17"/>
      <c r="AA998" s="152"/>
      <c r="AB998" s="196"/>
      <c r="AC998" s="17"/>
      <c r="AD998" s="17"/>
      <c r="AE998" s="152"/>
      <c r="AF998" s="197"/>
      <c r="AG998" s="143"/>
      <c r="AH998" s="143"/>
      <c r="AI998" s="143"/>
      <c r="AJ998" s="143"/>
      <c r="AK998" s="17"/>
      <c r="AL998" s="17"/>
    </row>
    <row r="999">
      <c r="A999" s="137"/>
      <c r="B999" s="88"/>
      <c r="C999" s="89"/>
      <c r="D999" s="55"/>
      <c r="E999" s="137"/>
      <c r="F999" s="88"/>
      <c r="G999" s="180"/>
      <c r="H999" s="181"/>
      <c r="I999" s="137"/>
      <c r="J999" s="88"/>
      <c r="K999" s="89"/>
      <c r="L999" s="55"/>
      <c r="M999" s="137"/>
      <c r="N999" s="182"/>
      <c r="O999" s="89"/>
      <c r="P999" s="55"/>
      <c r="Q999" s="17"/>
      <c r="R999" s="17"/>
      <c r="S999" s="46"/>
      <c r="T999" s="46"/>
      <c r="U999" s="17"/>
      <c r="V999" s="17"/>
      <c r="W999" s="46"/>
      <c r="X999" s="46"/>
      <c r="Y999" s="17"/>
      <c r="Z999" s="17"/>
      <c r="AA999" s="152"/>
      <c r="AB999" s="196"/>
      <c r="AC999" s="17"/>
      <c r="AD999" s="17"/>
      <c r="AE999" s="152"/>
      <c r="AF999" s="197"/>
      <c r="AG999" s="143"/>
      <c r="AH999" s="143"/>
      <c r="AI999" s="143"/>
      <c r="AJ999" s="143"/>
      <c r="AK999" s="17"/>
      <c r="AL999" s="17"/>
    </row>
    <row r="1000">
      <c r="A1000" s="137"/>
      <c r="B1000" s="88"/>
      <c r="C1000" s="89"/>
      <c r="D1000" s="55"/>
      <c r="E1000" s="137"/>
      <c r="F1000" s="88"/>
      <c r="G1000" s="180"/>
      <c r="H1000" s="181"/>
      <c r="I1000" s="137"/>
      <c r="J1000" s="88"/>
      <c r="K1000" s="89"/>
      <c r="L1000" s="55"/>
      <c r="M1000" s="137"/>
      <c r="N1000" s="182"/>
      <c r="O1000" s="89"/>
      <c r="P1000" s="55"/>
      <c r="Q1000" s="17"/>
      <c r="R1000" s="17"/>
      <c r="S1000" s="46"/>
      <c r="T1000" s="46"/>
      <c r="U1000" s="17"/>
      <c r="V1000" s="17"/>
      <c r="W1000" s="46"/>
      <c r="X1000" s="46"/>
      <c r="Y1000" s="17"/>
      <c r="Z1000" s="17"/>
      <c r="AA1000" s="152"/>
      <c r="AB1000" s="196"/>
      <c r="AC1000" s="17"/>
      <c r="AD1000" s="17"/>
      <c r="AE1000" s="152"/>
      <c r="AF1000" s="197"/>
      <c r="AG1000" s="143"/>
      <c r="AH1000" s="143"/>
      <c r="AI1000" s="143"/>
      <c r="AJ1000" s="143"/>
      <c r="AK1000" s="17"/>
      <c r="AL1000" s="17"/>
    </row>
    <row r="1001">
      <c r="A1001" s="137"/>
      <c r="B1001" s="88"/>
      <c r="C1001" s="89"/>
      <c r="D1001" s="55"/>
      <c r="E1001" s="137"/>
      <c r="F1001" s="88"/>
      <c r="G1001" s="180"/>
      <c r="H1001" s="181"/>
      <c r="I1001" s="137"/>
      <c r="J1001" s="88"/>
      <c r="K1001" s="89"/>
      <c r="L1001" s="55"/>
      <c r="M1001" s="137"/>
      <c r="N1001" s="182"/>
      <c r="O1001" s="89"/>
      <c r="P1001" s="55"/>
      <c r="Q1001" s="17"/>
      <c r="R1001" s="17"/>
      <c r="S1001" s="46"/>
      <c r="T1001" s="46"/>
      <c r="U1001" s="17"/>
      <c r="V1001" s="17"/>
      <c r="W1001" s="46"/>
      <c r="X1001" s="46"/>
      <c r="Y1001" s="17"/>
      <c r="Z1001" s="17"/>
      <c r="AA1001" s="152"/>
      <c r="AB1001" s="196"/>
      <c r="AC1001" s="17"/>
      <c r="AD1001" s="17"/>
      <c r="AE1001" s="152"/>
      <c r="AF1001" s="197"/>
      <c r="AG1001" s="143"/>
      <c r="AH1001" s="143"/>
      <c r="AI1001" s="143"/>
      <c r="AJ1001" s="143"/>
      <c r="AK1001" s="17"/>
      <c r="AL1001" s="17"/>
    </row>
    <row r="1002">
      <c r="A1002" s="137"/>
      <c r="B1002" s="88"/>
      <c r="C1002" s="89"/>
      <c r="D1002" s="55"/>
      <c r="E1002" s="137"/>
      <c r="F1002" s="88"/>
      <c r="G1002" s="180"/>
      <c r="H1002" s="181"/>
      <c r="I1002" s="137"/>
      <c r="J1002" s="88"/>
      <c r="K1002" s="89"/>
      <c r="L1002" s="55"/>
      <c r="M1002" s="137"/>
      <c r="N1002" s="182"/>
      <c r="O1002" s="89"/>
      <c r="P1002" s="55"/>
      <c r="Q1002" s="17"/>
      <c r="R1002" s="17"/>
      <c r="S1002" s="46"/>
      <c r="T1002" s="46"/>
      <c r="U1002" s="17"/>
      <c r="V1002" s="17"/>
      <c r="W1002" s="46"/>
      <c r="X1002" s="46"/>
      <c r="Y1002" s="17"/>
      <c r="Z1002" s="17"/>
      <c r="AA1002" s="152"/>
      <c r="AB1002" s="196"/>
      <c r="AC1002" s="17"/>
      <c r="AD1002" s="17"/>
      <c r="AE1002" s="152"/>
      <c r="AF1002" s="197"/>
      <c r="AG1002" s="137"/>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8" t="s">
        <v>212</v>
      </c>
      <c r="B1" s="199"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無断転載は禁止です。")</f>
        <v>公式ゲーム「Countercurrent Tea Party - 痩せた妹とのシンプルな生活」を応援してください。
攻略まとめ：公式Discord - RORO、協力者 - MIO、Luo Ran、翻訳者 - 눈_눈、Ruika、zNagato、Libeti、Gabriel B、maltesey、AndyJango、IntenseLag、Nian Sprout
無断転載は禁止です。</v>
      </c>
      <c r="C1" s="200" t="s">
        <v>213</v>
      </c>
      <c r="D1" s="199"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E1" s="201"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 maltesey, Andy"&amp;"Jango,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 maltesey, AndyJango, IntenseLag, Nian Sprout
Prohibida la reproducción no autorizada.</v>
      </c>
      <c r="F1" s="20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v>
      </c>
      <c r="G1" s="20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Intense"&amp;"Lag,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IntenseLag, Nian Sprout.
Несанкционированное воспроизведение запрещено.</v>
      </c>
      <c r="H1" s="202"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Unerlaubte Vervielfältigung verboten.</v>
      </c>
      <c r="I1" s="110" t="s">
        <v>215</v>
      </c>
      <c r="J1" s="203"/>
      <c r="K1" s="203"/>
      <c r="L1" s="203"/>
      <c r="M1" s="203"/>
      <c r="N1" s="203"/>
      <c r="O1" s="203"/>
      <c r="P1" s="203"/>
      <c r="Q1" s="203"/>
      <c r="R1" s="203"/>
      <c r="S1" s="203"/>
      <c r="T1" s="203"/>
      <c r="U1" s="203"/>
      <c r="V1" s="203"/>
      <c r="W1" s="203"/>
    </row>
    <row r="2" ht="67.5" customHeight="1">
      <c r="J2" s="203"/>
      <c r="K2" s="203"/>
      <c r="L2" s="203"/>
      <c r="M2" s="203"/>
      <c r="N2" s="203"/>
      <c r="O2" s="203"/>
      <c r="P2" s="203"/>
      <c r="Q2" s="203"/>
      <c r="R2" s="203"/>
      <c r="S2" s="203"/>
      <c r="T2" s="203"/>
      <c r="U2" s="203"/>
      <c r="V2" s="203"/>
      <c r="W2" s="203"/>
    </row>
    <row r="3">
      <c r="A3" s="52" t="s">
        <v>3056</v>
      </c>
      <c r="B3" s="204"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3057</v>
      </c>
      <c r="D3" s="204" t="s">
        <v>3058</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5"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4" t="s">
        <v>3059</v>
      </c>
      <c r="I3" s="142" t="s">
        <v>3060</v>
      </c>
      <c r="J3" s="46"/>
      <c r="K3" s="46"/>
      <c r="L3" s="46"/>
      <c r="M3" s="46"/>
      <c r="N3" s="46"/>
      <c r="O3" s="46"/>
      <c r="P3" s="46"/>
      <c r="Q3" s="46"/>
      <c r="R3" s="46"/>
      <c r="S3" s="46"/>
      <c r="T3" s="46"/>
      <c r="U3" s="46"/>
      <c r="V3" s="46"/>
      <c r="W3" s="46"/>
    </row>
    <row r="4">
      <c r="A4" s="52" t="s">
        <v>3061</v>
      </c>
      <c r="B4" s="204" t="str">
        <f>IFERROR(__xludf.DUMMYFUNCTION("GOOGLETRANSLATE(A4,""zh-tw"",""ja"")"),"ALTはアニメーションのパフォーマンスを高速化します")</f>
        <v>ALTはアニメーションのパフォーマンスを高速化します</v>
      </c>
      <c r="C4" s="52" t="s">
        <v>3062</v>
      </c>
      <c r="D4" s="204"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5"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6" t="s">
        <v>3063</v>
      </c>
      <c r="I4" s="142" t="s">
        <v>3064</v>
      </c>
      <c r="J4" s="46"/>
      <c r="K4" s="46"/>
      <c r="L4" s="46"/>
      <c r="M4" s="46"/>
      <c r="N4" s="46"/>
      <c r="O4" s="46"/>
      <c r="P4" s="46"/>
      <c r="Q4" s="46"/>
      <c r="R4" s="46"/>
      <c r="S4" s="46"/>
      <c r="T4" s="46"/>
      <c r="U4" s="46"/>
      <c r="V4" s="46"/>
      <c r="W4" s="46"/>
    </row>
    <row r="5">
      <c r="A5" s="52" t="s">
        <v>3065</v>
      </c>
      <c r="B5" s="204" t="str">
        <f>IFERROR(__xludf.DUMMYFUNCTION("GOOGLETRANSLATE(A5,""zh-tw"",""ja"")"),"CTRLキーで会話をスピードアップ")</f>
        <v>CTRLキーで会話をスピードアップ</v>
      </c>
      <c r="C5" s="52" t="s">
        <v>3066</v>
      </c>
      <c r="D5" s="204" t="str">
        <f>IFERROR(__xludf.DUMMYFUNCTION("GOOGLETRANSLATE(A5,""zh-tw"",""zh"")"),"CTRL可加速对话")</f>
        <v>CTRL可加速对话</v>
      </c>
      <c r="E5" s="55" t="str">
        <f>IFERROR(__xludf.DUMMYFUNCTION("GOOGLETRANSLATE(A5,""zh-tw"",""es-MX"")"),"CTRL puede acelerar la conversación")</f>
        <v>CTRL puede acelerar la conversación</v>
      </c>
      <c r="F5" s="205"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4" t="s">
        <v>3067</v>
      </c>
      <c r="I5" s="142" t="s">
        <v>3068</v>
      </c>
      <c r="J5" s="46"/>
      <c r="K5" s="46"/>
      <c r="L5" s="46"/>
      <c r="M5" s="46"/>
      <c r="N5" s="46"/>
      <c r="O5" s="46"/>
      <c r="P5" s="46"/>
      <c r="Q5" s="46"/>
      <c r="R5" s="46"/>
      <c r="S5" s="46"/>
      <c r="T5" s="46"/>
      <c r="U5" s="46"/>
      <c r="V5" s="46"/>
      <c r="W5" s="46"/>
    </row>
    <row r="6">
      <c r="A6" s="52" t="s">
        <v>3069</v>
      </c>
      <c r="B6" s="204" t="str">
        <f>IFERROR(__xludf.DUMMYFUNCTION("GOOGLETRANSLATE(A6,""zh-tw"",""ja"")"),"Zキーで会話を進める")</f>
        <v>Zキーで会話を進める</v>
      </c>
      <c r="C6" s="52" t="s">
        <v>3070</v>
      </c>
      <c r="D6" s="204" t="str">
        <f>IFERROR(__xludf.DUMMYFUNCTION("GOOGLETRANSLATE(A6,""zh-tw"",""zh"")"),"Z键可以推进对话")</f>
        <v>Z键可以推进对话</v>
      </c>
      <c r="E6" s="55" t="str">
        <f>IFERROR(__xludf.DUMMYFUNCTION("GOOGLETRANSLATE(A6,""zh-tw"",""es-MX"")"),"La tecla Z avanza la conversación")</f>
        <v>La tecla Z avanza la conversación</v>
      </c>
      <c r="F6" s="205"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4" t="s">
        <v>3071</v>
      </c>
      <c r="I6" s="142" t="s">
        <v>3072</v>
      </c>
      <c r="J6" s="46"/>
      <c r="K6" s="46"/>
      <c r="L6" s="46"/>
      <c r="M6" s="46"/>
      <c r="N6" s="46"/>
      <c r="O6" s="46"/>
      <c r="P6" s="46"/>
      <c r="Q6" s="46"/>
      <c r="R6" s="46"/>
      <c r="S6" s="46"/>
      <c r="T6" s="46"/>
      <c r="U6" s="46"/>
      <c r="V6" s="46"/>
      <c r="W6" s="46"/>
    </row>
    <row r="7">
      <c r="A7" s="52" t="s">
        <v>3073</v>
      </c>
      <c r="B7" s="204" t="str">
        <f>IFERROR(__xludf.DUMMYFUNCTION("GOOGLETRANSLATE(A7,""zh-tw"",""ja"")"),"カメラを起動したら、F7でスクリーンショットを素早く撮ることができます")</f>
        <v>カメラを起動したら、F7でスクリーンショットを素早く撮ることができます</v>
      </c>
      <c r="C7" s="52" t="s">
        <v>3074</v>
      </c>
      <c r="D7" s="204"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5"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4" t="s">
        <v>3075</v>
      </c>
      <c r="I7" s="142" t="s">
        <v>3076</v>
      </c>
      <c r="J7" s="46"/>
      <c r="K7" s="46"/>
      <c r="L7" s="46"/>
      <c r="M7" s="46"/>
      <c r="N7" s="46"/>
      <c r="O7" s="46"/>
      <c r="P7" s="46"/>
      <c r="Q7" s="46"/>
      <c r="R7" s="46"/>
      <c r="S7" s="46"/>
      <c r="T7" s="46"/>
      <c r="U7" s="46"/>
      <c r="V7" s="46"/>
      <c r="W7" s="46"/>
    </row>
    <row r="8">
      <c r="A8" s="52" t="s">
        <v>3077</v>
      </c>
      <c r="B8" s="204" t="str">
        <f>IFERROR(__xludf.DUMMYFUNCTION("GOOGLETRANSLATE(A8,""zh-tw"",""ja"")"),"F12 コンソールを表示する")</f>
        <v>F12 コンソールを表示する</v>
      </c>
      <c r="C8" s="52" t="s">
        <v>3078</v>
      </c>
      <c r="D8" s="204" t="str">
        <f>IFERROR(__xludf.DUMMYFUNCTION("GOOGLETRANSLATE(A8,""zh-tw"",""zh"")"),"F12可显示控制台")</f>
        <v>F12可显示控制台</v>
      </c>
      <c r="E8" s="55" t="str">
        <f>IFERROR(__xludf.DUMMYFUNCTION("GOOGLETRANSLATE(A8,""zh-tw"",""es-MX"")"),"F12 muestra la consola")</f>
        <v>F12 muestra la consola</v>
      </c>
      <c r="F8" s="205" t="str">
        <f>IFERROR(__xludf.DUMMYFUNCTION("GOOGLETRANSLATE(A8,""zh-tw"",""KO"")"),"F12는 콘솔을 표시합니다")</f>
        <v>F12는 콘솔을 표시합니다</v>
      </c>
      <c r="G8" s="55" t="str">
        <f>IFERROR(__xludf.DUMMYFUNCTION("GOOGLETRANSLATE(A8,""zh-tw"",""ru"")"),"F12 отображает консоль")</f>
        <v>F12 отображает консоль</v>
      </c>
      <c r="H8" s="204" t="s">
        <v>3079</v>
      </c>
      <c r="I8" s="142" t="s">
        <v>3080</v>
      </c>
      <c r="J8" s="46"/>
      <c r="K8" s="46"/>
      <c r="L8" s="46"/>
      <c r="M8" s="46"/>
      <c r="N8" s="46"/>
      <c r="O8" s="46"/>
      <c r="P8" s="46"/>
      <c r="Q8" s="46"/>
      <c r="R8" s="46"/>
      <c r="S8" s="46"/>
      <c r="T8" s="46"/>
      <c r="U8" s="46"/>
      <c r="V8" s="46"/>
      <c r="W8" s="46"/>
    </row>
    <row r="9">
      <c r="A9" s="52" t="s">
        <v>3081</v>
      </c>
      <c r="B9" s="204"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3082</v>
      </c>
      <c r="D9" s="204"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5"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 ❤️는 받을 수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시간이 길어지고 깨우기가 더 어려"&amp;"워집니다.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 ❤️는 받을 수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시간이 길어지고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4" t="s">
        <v>3083</v>
      </c>
      <c r="I9" s="142" t="s">
        <v>3084</v>
      </c>
      <c r="J9" s="46"/>
      <c r="K9" s="46"/>
      <c r="L9" s="46"/>
      <c r="M9" s="46"/>
      <c r="N9" s="46"/>
      <c r="O9" s="46"/>
      <c r="P9" s="46"/>
      <c r="Q9" s="46"/>
      <c r="R9" s="46"/>
      <c r="S9" s="46"/>
      <c r="T9" s="46"/>
      <c r="U9" s="46"/>
      <c r="V9" s="46"/>
      <c r="W9" s="46"/>
    </row>
    <row r="10">
      <c r="A10" s="52" t="s">
        <v>3085</v>
      </c>
      <c r="B10" s="204"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3086</v>
      </c>
      <c r="D10" s="204"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5"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4" t="s">
        <v>3087</v>
      </c>
      <c r="I10" s="142" t="s">
        <v>3088</v>
      </c>
      <c r="J10" s="46"/>
      <c r="K10" s="46"/>
      <c r="L10" s="46"/>
      <c r="M10" s="46"/>
      <c r="N10" s="46"/>
      <c r="O10" s="46"/>
      <c r="P10" s="46"/>
      <c r="Q10" s="46"/>
      <c r="R10" s="46"/>
      <c r="S10" s="46"/>
      <c r="T10" s="46"/>
      <c r="U10" s="46"/>
      <c r="V10" s="46"/>
      <c r="W10" s="46"/>
    </row>
    <row r="11">
      <c r="A11" s="52" t="s">
        <v>3089</v>
      </c>
      <c r="B11" s="204" t="s">
        <v>3090</v>
      </c>
      <c r="C11" s="52" t="s">
        <v>3091</v>
      </c>
      <c r="D11" s="204"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5"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4" t="s">
        <v>3092</v>
      </c>
      <c r="I11" s="142" t="s">
        <v>3093</v>
      </c>
      <c r="J11" s="46"/>
      <c r="K11" s="46"/>
      <c r="L11" s="46"/>
      <c r="M11" s="46"/>
      <c r="N11" s="46"/>
      <c r="O11" s="46"/>
      <c r="P11" s="46"/>
      <c r="Q11" s="46"/>
      <c r="R11" s="46"/>
      <c r="S11" s="46"/>
      <c r="T11" s="46"/>
      <c r="U11" s="46"/>
      <c r="V11" s="46"/>
      <c r="W11" s="46"/>
    </row>
    <row r="12">
      <c r="A12" s="52" t="s">
        <v>3094</v>
      </c>
      <c r="B12" s="204" t="s">
        <v>3095</v>
      </c>
      <c r="C12" s="52" t="s">
        <v>3096</v>
      </c>
      <c r="D12" s="204"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5" t="str">
        <f>IFERROR(__xludf.DUMMYFUNCTION("GOOGLETRANSLATE(A12,""zh-tw"",""KO"")"),"언니랑 같이 목욕하고 싶으세요? 하트 2개 먼저 달성하세요")</f>
        <v>언니랑 같이 목욕하고 싶으세요? 하트 2개 먼저 달성하세요</v>
      </c>
      <c r="G12" s="55" t="str">
        <f>IFERROR(__xludf.DUMMYFUNCTION("GOOGLETRANSLATE(A12,""zh-tw"",""ru"")"),"Хотите искупаться с сестрой? Сначала наберите 2 сердечка.")</f>
        <v>Хотите искупаться с сестрой? Сначала наберите 2 сердечка.</v>
      </c>
      <c r="H12" s="204" t="s">
        <v>3097</v>
      </c>
      <c r="I12" s="142" t="s">
        <v>3098</v>
      </c>
      <c r="J12" s="46"/>
      <c r="K12" s="46"/>
      <c r="L12" s="46"/>
      <c r="M12" s="46"/>
      <c r="N12" s="46"/>
      <c r="O12" s="46"/>
      <c r="P12" s="46"/>
      <c r="Q12" s="46"/>
      <c r="R12" s="46"/>
      <c r="S12" s="46"/>
      <c r="T12" s="46"/>
      <c r="U12" s="46"/>
      <c r="V12" s="46"/>
      <c r="W12" s="46"/>
    </row>
    <row r="13">
      <c r="A13" s="52" t="s">
        <v>3099</v>
      </c>
      <c r="B13" s="204" t="s">
        <v>3100</v>
      </c>
      <c r="C13" s="52" t="s">
        <v>3101</v>
      </c>
      <c r="D13" s="204"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5"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4" t="s">
        <v>3102</v>
      </c>
      <c r="I13" s="142" t="s">
        <v>3103</v>
      </c>
      <c r="J13" s="46"/>
      <c r="K13" s="46"/>
      <c r="L13" s="46"/>
      <c r="M13" s="46"/>
      <c r="N13" s="46"/>
      <c r="O13" s="46"/>
      <c r="P13" s="46"/>
      <c r="Q13" s="46"/>
      <c r="R13" s="46"/>
      <c r="S13" s="46"/>
      <c r="T13" s="46"/>
      <c r="U13" s="46"/>
      <c r="V13" s="46"/>
      <c r="W13" s="46"/>
    </row>
    <row r="14">
      <c r="A14" s="52" t="s">
        <v>3104</v>
      </c>
      <c r="B14" s="204" t="str">
        <f>IFERROR(__xludf.DUMMYFUNCTION("GOOGLETRANSLATE(A14,""zh-tw"",""ja"")"),"ナイトレイドは兄弟の性欲値が一定値を超えた場合にのみ発動します")</f>
        <v>ナイトレイドは兄弟の性欲値が一定値を超えた場合にのみ発動します</v>
      </c>
      <c r="C14" s="52" t="s">
        <v>3105</v>
      </c>
      <c r="D14" s="204"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5"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4" t="s">
        <v>3106</v>
      </c>
      <c r="I14" s="142" t="s">
        <v>3107</v>
      </c>
      <c r="J14" s="46"/>
      <c r="K14" s="46"/>
      <c r="L14" s="46"/>
      <c r="M14" s="46"/>
      <c r="N14" s="46"/>
      <c r="O14" s="46"/>
      <c r="P14" s="46"/>
      <c r="Q14" s="46"/>
      <c r="R14" s="46"/>
      <c r="S14" s="46"/>
      <c r="T14" s="46"/>
      <c r="U14" s="46"/>
      <c r="V14" s="46"/>
      <c r="W14" s="46"/>
    </row>
    <row r="15">
      <c r="A15" s="52" t="s">
        <v>3108</v>
      </c>
      <c r="B15" s="204"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3109</v>
      </c>
      <c r="D15" s="204"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5"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4" t="s">
        <v>3110</v>
      </c>
      <c r="I15" s="142" t="s">
        <v>3111</v>
      </c>
      <c r="J15" s="46"/>
      <c r="K15" s="46"/>
      <c r="L15" s="46"/>
      <c r="M15" s="46"/>
      <c r="N15" s="46"/>
      <c r="O15" s="46"/>
      <c r="P15" s="46"/>
      <c r="Q15" s="46"/>
      <c r="R15" s="46"/>
      <c r="S15" s="46"/>
      <c r="T15" s="46"/>
      <c r="U15" s="46"/>
      <c r="V15" s="46"/>
      <c r="W15" s="46"/>
    </row>
    <row r="16">
      <c r="A16" s="52" t="s">
        <v>3112</v>
      </c>
      <c r="B16" s="204" t="str">
        <f>IFERROR(__xludf.DUMMYFUNCTION("GOOGLETRANSLATE(A16,""zh-tw"",""ja"")"),"ガチャポンの後ろから近づくとジャンプします。")</f>
        <v>ガチャポンの後ろから近づくとジャンプします。</v>
      </c>
      <c r="C16" s="52" t="s">
        <v>3113</v>
      </c>
      <c r="D16" s="204"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5"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4" t="s">
        <v>3114</v>
      </c>
      <c r="I16" s="142" t="s">
        <v>3115</v>
      </c>
      <c r="J16" s="46"/>
      <c r="K16" s="46"/>
      <c r="L16" s="46"/>
      <c r="M16" s="46"/>
      <c r="N16" s="46"/>
      <c r="O16" s="46"/>
      <c r="P16" s="46"/>
      <c r="Q16" s="46"/>
      <c r="R16" s="46"/>
      <c r="S16" s="46"/>
      <c r="T16" s="46"/>
      <c r="U16" s="46"/>
      <c r="V16" s="46"/>
      <c r="W16" s="46"/>
    </row>
    <row r="17">
      <c r="A17" s="52" t="s">
        <v>3116</v>
      </c>
      <c r="B17" s="204" t="s">
        <v>3117</v>
      </c>
      <c r="C17" s="52" t="s">
        <v>3118</v>
      </c>
      <c r="D17" s="204"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5"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4" t="s">
        <v>3119</v>
      </c>
      <c r="I17" s="142" t="s">
        <v>3120</v>
      </c>
      <c r="J17" s="46"/>
      <c r="K17" s="46"/>
      <c r="L17" s="46"/>
      <c r="M17" s="46"/>
      <c r="N17" s="46"/>
      <c r="O17" s="46"/>
      <c r="P17" s="46"/>
      <c r="Q17" s="46"/>
      <c r="R17" s="46"/>
      <c r="S17" s="46"/>
      <c r="T17" s="46"/>
      <c r="U17" s="46"/>
      <c r="V17" s="46"/>
      <c r="W17" s="46"/>
    </row>
    <row r="18">
      <c r="A18" s="52" t="s">
        <v>3121</v>
      </c>
      <c r="B18" s="204" t="s">
        <v>3122</v>
      </c>
      <c r="C18" s="52" t="s">
        <v>3123</v>
      </c>
      <c r="D18" s="204"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5"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4" t="s">
        <v>3124</v>
      </c>
      <c r="I18" s="142" t="s">
        <v>3125</v>
      </c>
      <c r="J18" s="46"/>
      <c r="K18" s="46"/>
      <c r="L18" s="46"/>
      <c r="M18" s="46"/>
      <c r="N18" s="46"/>
      <c r="O18" s="46"/>
      <c r="P18" s="46"/>
      <c r="Q18" s="46"/>
      <c r="R18" s="46"/>
      <c r="S18" s="46"/>
      <c r="T18" s="46"/>
      <c r="U18" s="46"/>
      <c r="V18" s="46"/>
      <c r="W18" s="46"/>
    </row>
    <row r="19">
      <c r="A19" s="52" t="s">
        <v>3126</v>
      </c>
      <c r="B19" s="204" t="s">
        <v>3127</v>
      </c>
      <c r="C19" s="52" t="s">
        <v>3128</v>
      </c>
      <c r="D19" s="204"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5"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4" t="s">
        <v>3129</v>
      </c>
      <c r="I19" s="142" t="s">
        <v>3130</v>
      </c>
      <c r="J19" s="46"/>
      <c r="K19" s="46"/>
      <c r="L19" s="46"/>
      <c r="M19" s="46"/>
      <c r="N19" s="46"/>
      <c r="O19" s="46"/>
      <c r="P19" s="46"/>
      <c r="Q19" s="46"/>
      <c r="R19" s="46"/>
      <c r="S19" s="46"/>
      <c r="T19" s="46"/>
      <c r="U19" s="46"/>
      <c r="V19" s="46"/>
      <c r="W19" s="46"/>
    </row>
    <row r="20">
      <c r="A20" s="52" t="s">
        <v>3131</v>
      </c>
      <c r="B20" s="204" t="s">
        <v>3132</v>
      </c>
      <c r="C20" s="52" t="s">
        <v>3133</v>
      </c>
      <c r="D20" s="204"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5"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4" t="s">
        <v>3134</v>
      </c>
      <c r="I20" s="142" t="s">
        <v>3135</v>
      </c>
      <c r="J20" s="46"/>
      <c r="K20" s="46"/>
      <c r="L20" s="46"/>
      <c r="M20" s="46"/>
      <c r="N20" s="46"/>
      <c r="O20" s="46"/>
      <c r="P20" s="46"/>
      <c r="Q20" s="46"/>
      <c r="R20" s="46"/>
      <c r="S20" s="46"/>
      <c r="T20" s="46"/>
      <c r="U20" s="46"/>
      <c r="V20" s="46"/>
      <c r="W20" s="46"/>
    </row>
    <row r="21">
      <c r="A21" s="52" t="s">
        <v>3136</v>
      </c>
      <c r="B21" s="204" t="s">
        <v>3137</v>
      </c>
      <c r="C21" s="52" t="s">
        <v>3138</v>
      </c>
      <c r="D21" s="204"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5" t="str">
        <f>IFERROR(__xludf.DUMMYFUNCTION("GOOGLETRANSLATE(A21,""zh-tw"",""KO"")"),"소환문의 위치가 좋지 않을 경우 파괴 후 재소환이 가능합니다.")</f>
        <v>소환문의 위치가 좋지 않을 경우 파괴 후 재소환이 가능합니다.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4" t="s">
        <v>3139</v>
      </c>
      <c r="I21" s="142" t="s">
        <v>3140</v>
      </c>
      <c r="J21" s="46"/>
      <c r="K21" s="46"/>
      <c r="L21" s="46"/>
      <c r="M21" s="46"/>
      <c r="N21" s="46"/>
      <c r="O21" s="46"/>
      <c r="P21" s="46"/>
      <c r="Q21" s="46"/>
      <c r="R21" s="46"/>
      <c r="S21" s="46"/>
      <c r="T21" s="46"/>
      <c r="U21" s="46"/>
      <c r="V21" s="46"/>
      <c r="W21" s="46"/>
    </row>
    <row r="22">
      <c r="A22" s="52" t="s">
        <v>3141</v>
      </c>
      <c r="B22" s="204" t="s">
        <v>3142</v>
      </c>
      <c r="C22" s="52" t="s">
        <v>3143</v>
      </c>
      <c r="D22" s="204"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5"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4" t="s">
        <v>3144</v>
      </c>
      <c r="I22" s="142" t="s">
        <v>3145</v>
      </c>
      <c r="J22" s="46"/>
      <c r="K22" s="46"/>
      <c r="L22" s="46"/>
      <c r="M22" s="46"/>
      <c r="N22" s="46"/>
      <c r="O22" s="46"/>
      <c r="P22" s="46"/>
      <c r="Q22" s="46"/>
      <c r="R22" s="46"/>
      <c r="S22" s="46"/>
      <c r="T22" s="46"/>
      <c r="U22" s="46"/>
      <c r="V22" s="46"/>
      <c r="W22" s="46"/>
    </row>
    <row r="23">
      <c r="A23" s="52" t="s">
        <v>3146</v>
      </c>
      <c r="B23" s="204" t="str">
        <f>IFERROR(__xludf.DUMMYFUNCTION("GOOGLETRANSLATE(A23,""zh-tw"",""ja"")"),"メカが消えるとマップ名が変わります")</f>
        <v>メカが消えるとマップ名が変わります</v>
      </c>
      <c r="C23" s="52" t="s">
        <v>3147</v>
      </c>
      <c r="D23" s="204"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5"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4" t="s">
        <v>3148</v>
      </c>
      <c r="I23" s="142" t="s">
        <v>3149</v>
      </c>
      <c r="J23" s="46"/>
      <c r="K23" s="46"/>
      <c r="L23" s="46"/>
      <c r="M23" s="46"/>
      <c r="N23" s="46"/>
      <c r="O23" s="46"/>
      <c r="P23" s="46"/>
      <c r="Q23" s="46"/>
      <c r="R23" s="46"/>
      <c r="S23" s="46"/>
      <c r="T23" s="46"/>
      <c r="U23" s="46"/>
      <c r="V23" s="46"/>
      <c r="W23" s="46"/>
    </row>
    <row r="24">
      <c r="A24" s="52" t="s">
        <v>3150</v>
      </c>
      <c r="B24" s="204" t="s">
        <v>3151</v>
      </c>
      <c r="C24" s="52" t="s">
        <v>3152</v>
      </c>
      <c r="D24" s="204"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5"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4" t="s">
        <v>3153</v>
      </c>
      <c r="I24" s="142" t="s">
        <v>3154</v>
      </c>
      <c r="J24" s="46"/>
      <c r="K24" s="46"/>
      <c r="L24" s="46"/>
      <c r="M24" s="46"/>
      <c r="N24" s="46"/>
      <c r="O24" s="46"/>
      <c r="P24" s="46"/>
      <c r="Q24" s="46"/>
      <c r="R24" s="46"/>
      <c r="S24" s="46"/>
      <c r="T24" s="46"/>
      <c r="U24" s="46"/>
      <c r="V24" s="46"/>
      <c r="W24" s="46"/>
    </row>
    <row r="25">
      <c r="A25" s="52" t="s">
        <v>3155</v>
      </c>
      <c r="B25" s="204" t="s">
        <v>3156</v>
      </c>
      <c r="C25" s="52" t="s">
        <v>3157</v>
      </c>
      <c r="D25" s="204"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5"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4" t="s">
        <v>3158</v>
      </c>
      <c r="I25" s="142" t="s">
        <v>3159</v>
      </c>
      <c r="J25" s="46"/>
      <c r="K25" s="46"/>
      <c r="L25" s="46"/>
      <c r="M25" s="46"/>
      <c r="N25" s="46"/>
      <c r="O25" s="46"/>
      <c r="P25" s="46"/>
      <c r="Q25" s="46"/>
      <c r="R25" s="46"/>
      <c r="S25" s="46"/>
      <c r="T25" s="46"/>
      <c r="U25" s="46"/>
      <c r="V25" s="46"/>
      <c r="W25" s="46"/>
    </row>
    <row r="26">
      <c r="A26" s="52" t="s">
        <v>3160</v>
      </c>
      <c r="B26" s="204" t="s">
        <v>3161</v>
      </c>
      <c r="C26" s="52" t="s">
        <v>3162</v>
      </c>
      <c r="D26" s="204"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5"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4" t="s">
        <v>3163</v>
      </c>
      <c r="I26" s="142" t="s">
        <v>3164</v>
      </c>
      <c r="J26" s="46"/>
      <c r="K26" s="46"/>
      <c r="L26" s="46"/>
      <c r="M26" s="46"/>
      <c r="N26" s="46"/>
      <c r="O26" s="46"/>
      <c r="P26" s="46"/>
      <c r="Q26" s="46"/>
      <c r="R26" s="46"/>
      <c r="S26" s="46"/>
      <c r="T26" s="46"/>
      <c r="U26" s="46"/>
      <c r="V26" s="46"/>
      <c r="W26" s="46"/>
    </row>
    <row r="27">
      <c r="A27" s="52" t="s">
        <v>3165</v>
      </c>
      <c r="B27" s="204" t="s">
        <v>3166</v>
      </c>
      <c r="C27" s="52" t="s">
        <v>3167</v>
      </c>
      <c r="D27" s="204"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5"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4" t="s">
        <v>3168</v>
      </c>
      <c r="I27" s="142" t="s">
        <v>3169</v>
      </c>
      <c r="J27" s="46"/>
      <c r="K27" s="46"/>
      <c r="L27" s="46"/>
      <c r="M27" s="46"/>
      <c r="N27" s="46"/>
      <c r="O27" s="46"/>
      <c r="P27" s="46"/>
      <c r="Q27" s="46"/>
      <c r="R27" s="46"/>
      <c r="S27" s="46"/>
      <c r="T27" s="46"/>
      <c r="U27" s="46"/>
      <c r="V27" s="46"/>
      <c r="W27" s="46"/>
    </row>
    <row r="28">
      <c r="A28" s="52" t="s">
        <v>3170</v>
      </c>
      <c r="B28" s="204" t="str">
        <f>IFERROR(__xludf.DUMMYFUNCTION("GOOGLETRANSLATE(A28,""zh-tw"",""ja"")"),"ナイトはとても良いらしいですね、今後に期待できそうです")</f>
        <v>ナイトはとても良いらしいですね、今後に期待できそうです</v>
      </c>
      <c r="C28" s="52" t="s">
        <v>3171</v>
      </c>
      <c r="D28" s="204" t="s">
        <v>3172</v>
      </c>
      <c r="E28" s="55" t="str">
        <f>IFERROR(__xludf.DUMMYFUNCTION("GOOGLETRANSLATE(A28,""zh-tw"",""es-MX"")"),"Escuché... el Caballero es muy bueno, tal vez podamos mirar hacia el futuro.")</f>
        <v>Escuché... el Caballero es muy bueno, tal vez podamos mirar hacia el futuro.</v>
      </c>
      <c r="F28" s="205"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4" t="s">
        <v>3173</v>
      </c>
      <c r="I28" s="142" t="s">
        <v>3174</v>
      </c>
      <c r="J28" s="46"/>
      <c r="K28" s="46"/>
      <c r="L28" s="46"/>
      <c r="M28" s="46"/>
      <c r="N28" s="46"/>
      <c r="O28" s="46"/>
      <c r="P28" s="46"/>
      <c r="Q28" s="46"/>
      <c r="R28" s="46"/>
      <c r="S28" s="46"/>
      <c r="T28" s="46"/>
      <c r="U28" s="46"/>
      <c r="V28" s="46"/>
      <c r="W28" s="46"/>
    </row>
    <row r="29">
      <c r="A29" s="207" t="s">
        <v>3175</v>
      </c>
      <c r="B29" s="204" t="s">
        <v>3176</v>
      </c>
      <c r="C29" s="52" t="s">
        <v>3177</v>
      </c>
      <c r="D29" s="204" t="s">
        <v>3178</v>
      </c>
      <c r="E29" s="55" t="str">
        <f>IFERROR(__xludf.DUMMYFUNCTION("GOOGLETRANSLATE(A29,""zh-tw"",""es-MX"")"),"¿Cuál es la talla de copa de tu hermana? Oí que es G~H")</f>
        <v>¿Cuál es la talla de copa de tu hermana? Oí que es G~H</v>
      </c>
      <c r="F29" s="205"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4" t="s">
        <v>3179</v>
      </c>
      <c r="I29" s="142" t="s">
        <v>3180</v>
      </c>
      <c r="J29" s="46"/>
      <c r="K29" s="46"/>
      <c r="L29" s="46"/>
      <c r="M29" s="46"/>
      <c r="N29" s="46"/>
      <c r="O29" s="46"/>
      <c r="P29" s="46"/>
      <c r="Q29" s="46"/>
      <c r="R29" s="46"/>
      <c r="S29" s="46"/>
      <c r="T29" s="46"/>
      <c r="U29" s="46"/>
      <c r="V29" s="46"/>
      <c r="W29" s="46"/>
    </row>
    <row r="30">
      <c r="A30" s="52" t="s">
        <v>3181</v>
      </c>
      <c r="B30" s="204" t="s">
        <v>3182</v>
      </c>
      <c r="C30" s="52" t="s">
        <v>3183</v>
      </c>
      <c r="D30" s="204"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5" t="str">
        <f>IFERROR(__xludf.DUMMYFUNCTION("GOOGLETRANSLATE(A30,""zh-tw"",""KO"")"),"성인이 된 형은 백일몽을 꾸고 있었는데...")</f>
        <v>성인이 된 형은 백일몽을 꾸고 있었는데...</v>
      </c>
      <c r="G30" s="55" t="str">
        <f>IFERROR(__xludf.DUMMYFUNCTION("GOOGLETRANSLATE(A30,""zh-tw"",""ru"")"),"Пока старший брат, ставший мудрецом, мечтал...")</f>
        <v>Пока старший брат, ставший мудрецом, мечтал...</v>
      </c>
      <c r="H30" s="204" t="s">
        <v>3184</v>
      </c>
      <c r="I30" s="142" t="s">
        <v>3185</v>
      </c>
      <c r="J30" s="46"/>
      <c r="K30" s="46"/>
      <c r="L30" s="46"/>
      <c r="M30" s="46"/>
      <c r="N30" s="46"/>
      <c r="O30" s="46"/>
      <c r="P30" s="46"/>
      <c r="Q30" s="46"/>
      <c r="R30" s="46"/>
      <c r="S30" s="46"/>
      <c r="T30" s="46"/>
      <c r="U30" s="46"/>
      <c r="V30" s="46"/>
      <c r="W30" s="46"/>
    </row>
    <row r="31">
      <c r="A31" s="52" t="s">
        <v>3186</v>
      </c>
      <c r="B31" s="204" t="s">
        <v>3187</v>
      </c>
      <c r="C31" s="55" t="str">
        <f>IFERROR(__xludf.DUMMYFUNCTION("GOOGLETRANSLATE(A31,""zh-tw"",""en"")"),"When ""Girl's Smile"" is equipped, the side effects of the Sage status will be ignored.")</f>
        <v>When "Girl's Smile" is equipped, the side effects of the Sage status will be ignored.</v>
      </c>
      <c r="D31" s="204"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5"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4" t="s">
        <v>3188</v>
      </c>
      <c r="I31" s="142" t="s">
        <v>3189</v>
      </c>
      <c r="J31" s="46"/>
      <c r="K31" s="46"/>
      <c r="L31" s="46"/>
      <c r="M31" s="46"/>
      <c r="N31" s="46"/>
      <c r="O31" s="46"/>
      <c r="P31" s="46"/>
      <c r="Q31" s="46"/>
      <c r="R31" s="46"/>
      <c r="S31" s="46"/>
      <c r="T31" s="46"/>
      <c r="U31" s="46"/>
      <c r="V31" s="46"/>
      <c r="W31" s="46"/>
    </row>
    <row r="32">
      <c r="A32" s="52" t="s">
        <v>3190</v>
      </c>
      <c r="B32" s="204"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3191</v>
      </c>
      <c r="D32" s="204"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5"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4" t="s">
        <v>3192</v>
      </c>
      <c r="I32" s="142" t="s">
        <v>3193</v>
      </c>
      <c r="J32" s="46"/>
      <c r="K32" s="46"/>
      <c r="L32" s="46"/>
      <c r="M32" s="46"/>
      <c r="N32" s="46"/>
      <c r="O32" s="46"/>
      <c r="P32" s="46"/>
      <c r="Q32" s="46"/>
      <c r="R32" s="46"/>
      <c r="S32" s="46"/>
      <c r="T32" s="46"/>
      <c r="U32" s="46"/>
      <c r="V32" s="46"/>
      <c r="W32" s="46"/>
    </row>
    <row r="33">
      <c r="A33" s="52" t="s">
        <v>3194</v>
      </c>
      <c r="B33" s="204"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3195</v>
      </c>
      <c r="D33" s="204"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5"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4" t="s">
        <v>3196</v>
      </c>
      <c r="I33" s="142" t="s">
        <v>3197</v>
      </c>
      <c r="J33" s="46"/>
      <c r="K33" s="46"/>
      <c r="L33" s="46"/>
      <c r="M33" s="46"/>
      <c r="N33" s="46"/>
      <c r="O33" s="46"/>
      <c r="P33" s="46"/>
      <c r="Q33" s="46"/>
      <c r="R33" s="46"/>
      <c r="S33" s="46"/>
      <c r="T33" s="46"/>
      <c r="U33" s="46"/>
      <c r="V33" s="46"/>
      <c r="W33" s="46"/>
    </row>
    <row r="34">
      <c r="A34" s="52" t="s">
        <v>3198</v>
      </c>
      <c r="B34" s="204" t="s">
        <v>3199</v>
      </c>
      <c r="C34" s="52" t="s">
        <v>3200</v>
      </c>
      <c r="D34" s="204"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5"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4" t="s">
        <v>3201</v>
      </c>
      <c r="I34" s="142" t="s">
        <v>3202</v>
      </c>
      <c r="J34" s="46"/>
      <c r="K34" s="46"/>
      <c r="L34" s="46"/>
      <c r="M34" s="46"/>
      <c r="N34" s="46"/>
      <c r="O34" s="46"/>
      <c r="P34" s="46"/>
      <c r="Q34" s="46"/>
      <c r="R34" s="46"/>
      <c r="S34" s="46"/>
      <c r="T34" s="46"/>
      <c r="U34" s="46"/>
      <c r="V34" s="46"/>
      <c r="W34" s="46"/>
    </row>
    <row r="35">
      <c r="A35" s="52" t="s">
        <v>3203</v>
      </c>
      <c r="B35" s="204" t="s">
        <v>3204</v>
      </c>
      <c r="C35" s="52" t="s">
        <v>3205</v>
      </c>
      <c r="D35" s="204"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5"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4" t="s">
        <v>3206</v>
      </c>
      <c r="I35" s="142" t="s">
        <v>3207</v>
      </c>
      <c r="J35" s="46"/>
      <c r="K35" s="46"/>
      <c r="L35" s="46"/>
      <c r="M35" s="46"/>
      <c r="N35" s="46"/>
      <c r="O35" s="46"/>
      <c r="P35" s="46"/>
      <c r="Q35" s="46"/>
      <c r="R35" s="46"/>
      <c r="S35" s="46"/>
      <c r="T35" s="46"/>
      <c r="U35" s="46"/>
      <c r="V35" s="46"/>
      <c r="W35" s="46"/>
    </row>
    <row r="36">
      <c r="A36" s="52" t="s">
        <v>3208</v>
      </c>
      <c r="B36" s="204" t="str">
        <f>IFERROR(__xludf.DUMMYFUNCTION("GOOGLETRANSLATE(A36,""zh-tw"",""ja"")"),"生き物が可愛いほど、攻撃力が高くなります。")</f>
        <v>生き物が可愛いほど、攻撃力が高くなります。</v>
      </c>
      <c r="C36" s="52" t="s">
        <v>3209</v>
      </c>
      <c r="D36" s="204" t="s">
        <v>3210</v>
      </c>
      <c r="E36" s="55" t="str">
        <f>IFERROR(__xludf.DUMMYFUNCTION("GOOGLETRANSLATE(A36,""zh-tw"",""es-MX"")"),"Cuanto más linda sea la criatura, mayor será su poder de ataque.")</f>
        <v>Cuanto más linda sea la criatura, mayor será su poder de ataque.</v>
      </c>
      <c r="F36" s="205"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4" t="s">
        <v>3211</v>
      </c>
      <c r="I36" s="142" t="s">
        <v>3212</v>
      </c>
      <c r="J36" s="46"/>
      <c r="K36" s="46"/>
      <c r="L36" s="46"/>
      <c r="M36" s="46"/>
      <c r="N36" s="46"/>
      <c r="O36" s="46"/>
      <c r="P36" s="46"/>
      <c r="Q36" s="46"/>
      <c r="R36" s="46"/>
      <c r="S36" s="46"/>
      <c r="T36" s="46"/>
      <c r="U36" s="46"/>
      <c r="V36" s="46"/>
      <c r="W36" s="46"/>
    </row>
    <row r="37">
      <c r="A37" s="52" t="s">
        <v>3213</v>
      </c>
      <c r="B37" s="204"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3214</v>
      </c>
      <c r="D37" s="204"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5"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4" t="s">
        <v>3215</v>
      </c>
      <c r="I37" s="142" t="s">
        <v>3216</v>
      </c>
      <c r="J37" s="46"/>
      <c r="K37" s="46"/>
      <c r="L37" s="46"/>
      <c r="M37" s="46"/>
      <c r="N37" s="46"/>
      <c r="O37" s="46"/>
      <c r="P37" s="46"/>
      <c r="Q37" s="46"/>
      <c r="R37" s="46"/>
      <c r="S37" s="46"/>
      <c r="T37" s="46"/>
      <c r="U37" s="46"/>
      <c r="V37" s="46"/>
      <c r="W37" s="46"/>
    </row>
    <row r="38">
      <c r="A38" s="52" t="s">
        <v>3217</v>
      </c>
      <c r="B38" s="204" t="str">
        <f>IFERROR(__xludf.DUMMYFUNCTION("GOOGLETRANSLATE(A38,""zh-tw"",""ja"")"),"ウォーターモンスタースライム1個は、スライムスライム2個とほぼ同等です。")</f>
        <v>ウォーターモンスタースライム1個は、スライムスライム2個とほぼ同等です。</v>
      </c>
      <c r="C38" s="52" t="s">
        <v>3218</v>
      </c>
      <c r="D38" s="204"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5"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4" t="s">
        <v>3219</v>
      </c>
      <c r="I38" s="142" t="s">
        <v>3220</v>
      </c>
      <c r="J38" s="46"/>
      <c r="K38" s="46"/>
      <c r="L38" s="46"/>
      <c r="M38" s="46"/>
      <c r="N38" s="46"/>
      <c r="O38" s="46"/>
      <c r="P38" s="46"/>
      <c r="Q38" s="46"/>
      <c r="R38" s="46"/>
      <c r="S38" s="46"/>
      <c r="T38" s="46"/>
      <c r="U38" s="46"/>
      <c r="V38" s="46"/>
      <c r="W38" s="46"/>
    </row>
    <row r="39">
      <c r="A39" s="52" t="s">
        <v>3221</v>
      </c>
      <c r="B39" s="204" t="s">
        <v>3222</v>
      </c>
      <c r="C39" s="52" t="s">
        <v>3223</v>
      </c>
      <c r="D39" s="204"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5"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4" t="s">
        <v>3224</v>
      </c>
      <c r="I39" s="142" t="s">
        <v>3225</v>
      </c>
      <c r="J39" s="46"/>
      <c r="K39" s="46"/>
      <c r="L39" s="46"/>
      <c r="M39" s="46"/>
      <c r="N39" s="46"/>
      <c r="O39" s="46"/>
      <c r="P39" s="46"/>
      <c r="Q39" s="46"/>
      <c r="R39" s="46"/>
      <c r="S39" s="46"/>
      <c r="T39" s="46"/>
      <c r="U39" s="46"/>
      <c r="V39" s="46"/>
      <c r="W39" s="46"/>
    </row>
    <row r="40">
      <c r="A40" s="52" t="s">
        <v>3226</v>
      </c>
      <c r="B40" s="204" t="s">
        <v>3227</v>
      </c>
      <c r="C40" s="52" t="s">
        <v>3228</v>
      </c>
      <c r="D40" s="204" t="s">
        <v>3229</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5"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4" t="s">
        <v>3230</v>
      </c>
      <c r="I40" s="142" t="s">
        <v>3231</v>
      </c>
      <c r="J40" s="46"/>
      <c r="K40" s="46"/>
      <c r="L40" s="46"/>
      <c r="M40" s="46"/>
      <c r="N40" s="46"/>
      <c r="O40" s="46"/>
      <c r="P40" s="46"/>
      <c r="Q40" s="46"/>
      <c r="R40" s="46"/>
      <c r="S40" s="46"/>
      <c r="T40" s="46"/>
      <c r="U40" s="46"/>
      <c r="V40" s="46"/>
      <c r="W40" s="46"/>
    </row>
    <row r="41">
      <c r="A41" s="52" t="s">
        <v>3232</v>
      </c>
      <c r="B41" s="204" t="s">
        <v>3233</v>
      </c>
      <c r="C41" s="52" t="s">
        <v>3234</v>
      </c>
      <c r="D41" s="204"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5"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5"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2" t="s">
        <v>3235</v>
      </c>
      <c r="J41" s="46"/>
      <c r="K41" s="46"/>
      <c r="L41" s="46"/>
      <c r="M41" s="46"/>
      <c r="N41" s="46"/>
      <c r="O41" s="46"/>
      <c r="P41" s="46"/>
      <c r="Q41" s="46"/>
      <c r="R41" s="46"/>
      <c r="S41" s="46"/>
      <c r="T41" s="46"/>
      <c r="U41" s="46"/>
      <c r="V41" s="46"/>
      <c r="W41" s="46"/>
    </row>
    <row r="42">
      <c r="A42" s="52" t="s">
        <v>3236</v>
      </c>
      <c r="B42" s="204"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3237</v>
      </c>
      <c r="D42" s="204"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5"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5"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2" t="s">
        <v>3238</v>
      </c>
      <c r="J42" s="46"/>
      <c r="K42" s="46"/>
      <c r="L42" s="46"/>
      <c r="M42" s="46"/>
      <c r="N42" s="46"/>
      <c r="O42" s="46"/>
      <c r="P42" s="46"/>
      <c r="Q42" s="46"/>
      <c r="R42" s="46"/>
      <c r="S42" s="46"/>
      <c r="T42" s="46"/>
      <c r="U42" s="46"/>
      <c r="V42" s="46"/>
      <c r="W42" s="46"/>
    </row>
    <row r="43">
      <c r="A43" s="52" t="s">
        <v>3239</v>
      </c>
      <c r="B43" s="204" t="s">
        <v>3240</v>
      </c>
      <c r="C43" s="52" t="s">
        <v>3241</v>
      </c>
      <c r="D43" s="204"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5"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5"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2" t="s">
        <v>3242</v>
      </c>
      <c r="J43" s="46"/>
      <c r="K43" s="46"/>
      <c r="L43" s="46"/>
      <c r="M43" s="46"/>
      <c r="N43" s="46"/>
      <c r="O43" s="46"/>
      <c r="P43" s="46"/>
      <c r="Q43" s="46"/>
      <c r="R43" s="46"/>
      <c r="S43" s="46"/>
      <c r="T43" s="46"/>
      <c r="U43" s="46"/>
      <c r="V43" s="46"/>
      <c r="W43" s="46"/>
    </row>
    <row r="44">
      <c r="A44" s="52" t="s">
        <v>3243</v>
      </c>
      <c r="B44" s="204" t="s">
        <v>3244</v>
      </c>
      <c r="C44" s="52" t="s">
        <v>3245</v>
      </c>
      <c r="D44" s="204"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5"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5" t="str">
        <f>IFERROR(__xludf.DUMMYFUNCTION("GOOGLETRANSLATE(A44,""zh-tw"",""de"")"),"Mithilfe von Requisiten können Sie nicht nur Positionen mit Monstern, sondern auch mit NPCs tauschen.")</f>
        <v>Mithilfe von Requisiten können Sie nicht nur Positionen mit Monstern, sondern auch mit NPCs tauschen.</v>
      </c>
      <c r="I44" s="142" t="s">
        <v>3246</v>
      </c>
      <c r="J44" s="46"/>
      <c r="K44" s="46"/>
      <c r="L44" s="46"/>
      <c r="M44" s="46"/>
      <c r="N44" s="46"/>
      <c r="O44" s="46"/>
      <c r="P44" s="46"/>
      <c r="Q44" s="46"/>
      <c r="R44" s="46"/>
      <c r="S44" s="46"/>
      <c r="T44" s="46"/>
      <c r="U44" s="46"/>
      <c r="V44" s="46"/>
      <c r="W44" s="46"/>
    </row>
    <row r="45">
      <c r="A45" s="52" t="s">
        <v>3247</v>
      </c>
      <c r="B45" s="204" t="s">
        <v>3248</v>
      </c>
      <c r="C45" s="52" t="s">
        <v>3249</v>
      </c>
      <c r="D45" s="204"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5"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5"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2" t="s">
        <v>3250</v>
      </c>
      <c r="J45" s="46"/>
      <c r="K45" s="46"/>
      <c r="L45" s="46"/>
      <c r="M45" s="46"/>
      <c r="N45" s="46"/>
      <c r="O45" s="46"/>
      <c r="P45" s="46"/>
      <c r="Q45" s="46"/>
      <c r="R45" s="46"/>
      <c r="S45" s="46"/>
      <c r="T45" s="46"/>
      <c r="U45" s="46"/>
      <c r="V45" s="46"/>
      <c r="W45" s="46"/>
    </row>
    <row r="46">
      <c r="A46" s="52" t="s">
        <v>3251</v>
      </c>
      <c r="B46" s="204" t="s">
        <v>3252</v>
      </c>
      <c r="C46" s="52" t="s">
        <v>3253</v>
      </c>
      <c r="D46" s="204"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5"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5"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2" t="s">
        <v>3254</v>
      </c>
      <c r="J46" s="46"/>
      <c r="K46" s="46"/>
      <c r="L46" s="46"/>
      <c r="M46" s="46"/>
      <c r="N46" s="46"/>
      <c r="O46" s="46"/>
      <c r="P46" s="46"/>
      <c r="Q46" s="46"/>
      <c r="R46" s="46"/>
      <c r="S46" s="46"/>
      <c r="T46" s="46"/>
      <c r="U46" s="46"/>
      <c r="V46" s="46"/>
      <c r="W46" s="46"/>
    </row>
    <row r="47">
      <c r="A47" s="52" t="s">
        <v>3255</v>
      </c>
      <c r="B47" s="204" t="s">
        <v>3256</v>
      </c>
      <c r="C47" s="52" t="s">
        <v>3257</v>
      </c>
      <c r="D47" s="204"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5"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5"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2" t="s">
        <v>3258</v>
      </c>
      <c r="J47" s="46"/>
      <c r="K47" s="46"/>
      <c r="L47" s="46"/>
      <c r="M47" s="46"/>
      <c r="N47" s="46"/>
      <c r="O47" s="46"/>
      <c r="P47" s="46"/>
      <c r="Q47" s="46"/>
      <c r="R47" s="46"/>
      <c r="S47" s="46"/>
      <c r="T47" s="46"/>
      <c r="U47" s="46"/>
      <c r="V47" s="46"/>
      <c r="W47" s="46"/>
    </row>
    <row r="48">
      <c r="A48" s="52" t="s">
        <v>3259</v>
      </c>
      <c r="B48" s="204" t="s">
        <v>3260</v>
      </c>
      <c r="C48" s="52" t="s">
        <v>3261</v>
      </c>
      <c r="D48" s="204"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5"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5"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2" t="s">
        <v>3262</v>
      </c>
      <c r="J48" s="46"/>
      <c r="K48" s="46"/>
      <c r="L48" s="46"/>
      <c r="M48" s="46"/>
      <c r="N48" s="46"/>
      <c r="O48" s="46"/>
      <c r="P48" s="46"/>
      <c r="Q48" s="46"/>
      <c r="R48" s="46"/>
      <c r="S48" s="46"/>
      <c r="T48" s="46"/>
      <c r="U48" s="46"/>
      <c r="V48" s="46"/>
      <c r="W48" s="46"/>
    </row>
    <row r="49">
      <c r="A49" s="52" t="s">
        <v>3263</v>
      </c>
      <c r="B49" s="204" t="s">
        <v>3264</v>
      </c>
      <c r="C49" s="52" t="s">
        <v>3265</v>
      </c>
      <c r="D49" s="204"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5"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5" t="str">
        <f>IFERROR(__xludf.DUMMYFUNCTION("GOOGLETRANSLATE(A49,""zh-tw"",""de"")"),"Glück kann Gacha und Item-Drops beeinflussen (implementiert).
Zufällige Ereignisse im Zusammenhang mit deiner Schwester werden ebenfalls durch Glück beeinflusst (noch nicht implementiert).")</f>
        <v>Glück kann Gacha und Item-Drops beeinflussen (implementiert).
Zufällige Ereignisse im Zusammenhang mit deiner Schwester werden ebenfalls durch Glück beeinflusst (noch nicht implementiert).</v>
      </c>
      <c r="I49" s="142" t="s">
        <v>3266</v>
      </c>
      <c r="J49" s="46"/>
      <c r="K49" s="46"/>
      <c r="L49" s="46"/>
      <c r="M49" s="46"/>
      <c r="N49" s="46"/>
      <c r="O49" s="46"/>
      <c r="P49" s="46"/>
      <c r="Q49" s="46"/>
      <c r="R49" s="46"/>
      <c r="S49" s="46"/>
      <c r="T49" s="46"/>
      <c r="U49" s="46"/>
      <c r="V49" s="46"/>
      <c r="W49" s="46"/>
    </row>
    <row r="50">
      <c r="A50" s="52" t="s">
        <v>3267</v>
      </c>
      <c r="B50" s="204" t="s">
        <v>3268</v>
      </c>
      <c r="C50" s="52" t="s">
        <v>3269</v>
      </c>
      <c r="D50" s="204"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5"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5"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2" t="s">
        <v>3270</v>
      </c>
      <c r="J50" s="46"/>
      <c r="K50" s="46"/>
      <c r="L50" s="46"/>
      <c r="M50" s="46"/>
      <c r="N50" s="46"/>
      <c r="O50" s="46"/>
      <c r="P50" s="46"/>
      <c r="Q50" s="46"/>
      <c r="R50" s="46"/>
      <c r="S50" s="46"/>
      <c r="T50" s="46"/>
      <c r="U50" s="46"/>
      <c r="V50" s="46"/>
      <c r="W50" s="46"/>
    </row>
    <row r="51">
      <c r="A51" s="52" t="s">
        <v>3271</v>
      </c>
      <c r="B51" s="204" t="s">
        <v>3272</v>
      </c>
      <c r="C51" s="55" t="s">
        <v>3273</v>
      </c>
      <c r="D51" s="204"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5"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5" t="str">
        <f>IFERROR(__xludf.DUMMYFUNCTION("GOOGLETRANSLATE(A51,""zh-tw"",""de"")"),"Die Ehwaz-Rune tauscht nach dem Wurf die Position mit dem Feind, den sie berührt.")</f>
        <v>Die Ehwaz-Rune tauscht nach dem Wurf die Position mit dem Feind, den sie berührt.</v>
      </c>
      <c r="I51" s="142" t="s">
        <v>3274</v>
      </c>
      <c r="J51" s="46"/>
      <c r="K51" s="46"/>
      <c r="L51" s="46"/>
      <c r="M51" s="46"/>
      <c r="N51" s="46"/>
      <c r="O51" s="46"/>
      <c r="P51" s="46"/>
      <c r="Q51" s="46"/>
      <c r="R51" s="46"/>
      <c r="S51" s="46"/>
      <c r="T51" s="46"/>
      <c r="U51" s="46"/>
      <c r="V51" s="46"/>
      <c r="W51" s="46"/>
    </row>
    <row r="52">
      <c r="A52" s="52" t="s">
        <v>3275</v>
      </c>
      <c r="B52" s="204" t="s">
        <v>3276</v>
      </c>
      <c r="C52" s="52" t="s">
        <v>3277</v>
      </c>
      <c r="D52" s="204" t="s">
        <v>3278</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5"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5"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2" t="s">
        <v>3279</v>
      </c>
      <c r="J52" s="46"/>
      <c r="K52" s="46"/>
      <c r="L52" s="46"/>
      <c r="M52" s="46"/>
      <c r="N52" s="46"/>
      <c r="O52" s="46"/>
      <c r="P52" s="46"/>
      <c r="Q52" s="46"/>
      <c r="R52" s="46"/>
      <c r="S52" s="46"/>
      <c r="T52" s="46"/>
      <c r="U52" s="46"/>
      <c r="V52" s="46"/>
      <c r="W52" s="46"/>
    </row>
    <row r="53">
      <c r="A53" s="52" t="s">
        <v>3280</v>
      </c>
      <c r="B53" s="204"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3281</v>
      </c>
      <c r="D53" s="204"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5"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5"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2" t="s">
        <v>3282</v>
      </c>
      <c r="J53" s="46"/>
      <c r="K53" s="46"/>
      <c r="L53" s="46"/>
      <c r="M53" s="46"/>
      <c r="N53" s="46"/>
      <c r="O53" s="46"/>
      <c r="P53" s="46"/>
      <c r="Q53" s="46"/>
      <c r="R53" s="46"/>
      <c r="S53" s="46"/>
      <c r="T53" s="46"/>
      <c r="U53" s="46"/>
      <c r="V53" s="46"/>
      <c r="W53" s="46"/>
    </row>
    <row r="54">
      <c r="A54" s="52" t="s">
        <v>3283</v>
      </c>
      <c r="B54" s="204"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3284</v>
      </c>
      <c r="D54" s="204"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5"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5"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2" t="s">
        <v>3285</v>
      </c>
      <c r="J54" s="46"/>
      <c r="K54" s="46"/>
      <c r="L54" s="46"/>
      <c r="M54" s="46"/>
      <c r="N54" s="46"/>
      <c r="O54" s="46"/>
      <c r="P54" s="46"/>
      <c r="Q54" s="46"/>
      <c r="R54" s="46"/>
      <c r="S54" s="46"/>
      <c r="T54" s="46"/>
      <c r="U54" s="46"/>
      <c r="V54" s="46"/>
      <c r="W54" s="46"/>
    </row>
    <row r="55">
      <c r="A55" s="52" t="s">
        <v>3286</v>
      </c>
      <c r="B55" s="204" t="s">
        <v>3287</v>
      </c>
      <c r="C55" s="52" t="s">
        <v>3288</v>
      </c>
      <c r="D55" s="204"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5"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5"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2" t="s">
        <v>3289</v>
      </c>
      <c r="J55" s="46"/>
      <c r="K55" s="46"/>
      <c r="L55" s="46"/>
      <c r="M55" s="46"/>
      <c r="N55" s="46"/>
      <c r="O55" s="46"/>
      <c r="P55" s="46"/>
      <c r="Q55" s="46"/>
      <c r="R55" s="46"/>
      <c r="S55" s="46"/>
      <c r="T55" s="46"/>
      <c r="U55" s="46"/>
      <c r="V55" s="46"/>
      <c r="W55" s="46"/>
    </row>
    <row r="56">
      <c r="A56" s="52" t="s">
        <v>3290</v>
      </c>
      <c r="B56" s="204" t="str">
        <f>IFERROR(__xludf.DUMMYFUNCTION("GOOGLETRANSLATE(A56,""zh-tw"",""ja"")"),"ガチャポンが騎士の足元に落ちたら、拾ってくれるよ")</f>
        <v>ガチャポンが騎士の足元に落ちたら、拾ってくれるよ</v>
      </c>
      <c r="C56" s="52" t="s">
        <v>3291</v>
      </c>
      <c r="D56" s="204"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5"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5" t="str">
        <f>IFERROR(__xludf.DUMMYFUNCTION("GOOGLETRANSLATE(A56,""zh-tw"",""de"")"),"Wenn der Gachapon dem Ritter vor die Füße fällt, hilft er dir, ihn aufzuheben")</f>
        <v>Wenn der Gachapon dem Ritter vor die Füße fällt, hilft er dir, ihn aufzuheben</v>
      </c>
      <c r="I56" s="142" t="s">
        <v>3292</v>
      </c>
      <c r="J56" s="46"/>
      <c r="K56" s="46"/>
      <c r="L56" s="46"/>
      <c r="M56" s="46"/>
      <c r="N56" s="46"/>
      <c r="O56" s="46"/>
      <c r="P56" s="46"/>
      <c r="Q56" s="46"/>
      <c r="R56" s="46"/>
      <c r="S56" s="46"/>
      <c r="T56" s="46"/>
      <c r="U56" s="46"/>
      <c r="V56" s="46"/>
      <c r="W56" s="46"/>
    </row>
    <row r="57">
      <c r="A57" s="52" t="s">
        <v>3293</v>
      </c>
      <c r="B57" s="204" t="s">
        <v>3294</v>
      </c>
      <c r="C57" s="52" t="s">
        <v>3295</v>
      </c>
      <c r="D57" s="204" t="s">
        <v>3296</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5"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5" t="str">
        <f>IFERROR(__xludf.DUMMYFUNCTION("GOOGLETRANSLATE(A57,""zh-tw"",""de"")"),"Die Standardhaltbarkeitsgrenze für alle Waffen beträgt 114514, aus &lt;Ein Sommernachtstraum&gt;")</f>
        <v>Die Standardhaltbarkeitsgrenze für alle Waffen beträgt 114514, aus &lt;Ein Sommernachtstraum&gt;</v>
      </c>
      <c r="I57" s="142" t="s">
        <v>3297</v>
      </c>
      <c r="J57" s="46"/>
      <c r="K57" s="46"/>
      <c r="L57" s="46"/>
      <c r="M57" s="46"/>
      <c r="N57" s="46"/>
      <c r="O57" s="46"/>
      <c r="P57" s="46"/>
      <c r="Q57" s="46"/>
      <c r="R57" s="46"/>
      <c r="S57" s="46"/>
      <c r="T57" s="46"/>
      <c r="U57" s="46"/>
      <c r="V57" s="46"/>
      <c r="W57" s="46"/>
    </row>
    <row r="58">
      <c r="A58" s="52" t="s">
        <v>3298</v>
      </c>
      <c r="B58" s="204" t="s">
        <v>3299</v>
      </c>
      <c r="C58" s="52" t="s">
        <v>3300</v>
      </c>
      <c r="D58" s="204"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5"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5"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2" t="s">
        <v>3301</v>
      </c>
      <c r="J58" s="46"/>
      <c r="K58" s="46"/>
      <c r="L58" s="46"/>
      <c r="M58" s="46"/>
      <c r="N58" s="46"/>
      <c r="O58" s="46"/>
      <c r="P58" s="46"/>
      <c r="Q58" s="46"/>
      <c r="R58" s="46"/>
      <c r="S58" s="46"/>
      <c r="T58" s="46"/>
      <c r="U58" s="46"/>
      <c r="V58" s="46"/>
      <c r="W58" s="46"/>
    </row>
    <row r="59">
      <c r="A59" s="52" t="s">
        <v>3302</v>
      </c>
      <c r="B59" s="204" t="s">
        <v>3303</v>
      </c>
      <c r="C59" s="52" t="s">
        <v>3304</v>
      </c>
      <c r="D59" s="204" t="s">
        <v>3305</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5"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5"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2" t="s">
        <v>3306</v>
      </c>
      <c r="J59" s="46"/>
      <c r="K59" s="46"/>
      <c r="L59" s="46"/>
      <c r="M59" s="46"/>
      <c r="N59" s="46"/>
      <c r="O59" s="46"/>
      <c r="P59" s="46"/>
      <c r="Q59" s="46"/>
      <c r="R59" s="46"/>
      <c r="S59" s="46"/>
      <c r="T59" s="46"/>
      <c r="U59" s="46"/>
      <c r="V59" s="46"/>
      <c r="W59" s="46"/>
    </row>
    <row r="60">
      <c r="A60" s="52" t="s">
        <v>3307</v>
      </c>
      <c r="B60" s="204" t="s">
        <v>3308</v>
      </c>
      <c r="C60" s="52" t="s">
        <v>3309</v>
      </c>
      <c r="D60" s="204"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5"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5"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2" t="s">
        <v>3310</v>
      </c>
      <c r="J60" s="46"/>
      <c r="K60" s="46"/>
      <c r="L60" s="46"/>
      <c r="M60" s="46"/>
      <c r="N60" s="46"/>
      <c r="O60" s="46"/>
      <c r="P60" s="46"/>
      <c r="Q60" s="46"/>
      <c r="R60" s="46"/>
      <c r="S60" s="46"/>
      <c r="T60" s="46"/>
      <c r="U60" s="46"/>
      <c r="V60" s="46"/>
      <c r="W60" s="46"/>
    </row>
    <row r="61">
      <c r="A61" s="52" t="s">
        <v>3311</v>
      </c>
      <c r="B61" s="204" t="s">
        <v>3312</v>
      </c>
      <c r="C61" s="52" t="s">
        <v>3313</v>
      </c>
      <c r="D61" s="204" t="s">
        <v>3314</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5"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05"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2" t="s">
        <v>3315</v>
      </c>
      <c r="J61" s="46"/>
      <c r="K61" s="46"/>
      <c r="L61" s="46"/>
      <c r="M61" s="46"/>
      <c r="N61" s="46"/>
      <c r="O61" s="46"/>
      <c r="P61" s="46"/>
      <c r="Q61" s="46"/>
      <c r="R61" s="46"/>
      <c r="S61" s="46"/>
      <c r="T61" s="46"/>
      <c r="U61" s="46"/>
      <c r="V61" s="46"/>
      <c r="W61" s="46"/>
    </row>
    <row r="62">
      <c r="A62" s="52" t="s">
        <v>3316</v>
      </c>
      <c r="B62" s="204" t="s">
        <v>3317</v>
      </c>
      <c r="C62" s="52" t="s">
        <v>3318</v>
      </c>
      <c r="D62" s="204"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5"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5"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2" t="s">
        <v>3319</v>
      </c>
      <c r="J62" s="46"/>
      <c r="K62" s="46"/>
      <c r="L62" s="46"/>
      <c r="M62" s="46"/>
      <c r="N62" s="46"/>
      <c r="O62" s="46"/>
      <c r="P62" s="46"/>
      <c r="Q62" s="46"/>
      <c r="R62" s="46"/>
      <c r="S62" s="46"/>
      <c r="T62" s="46"/>
      <c r="U62" s="46"/>
      <c r="V62" s="46"/>
      <c r="W62" s="46"/>
    </row>
    <row r="63">
      <c r="A63" s="52" t="s">
        <v>3320</v>
      </c>
      <c r="B63" s="204" t="s">
        <v>3321</v>
      </c>
      <c r="C63" s="52" t="s">
        <v>3322</v>
      </c>
      <c r="D63" s="204"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5"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5" t="str">
        <f>IFERROR(__xludf.DUMMYFUNCTION("GOOGLETRANSLATE(A63,""zh-tw"",""de"")"),"Meine Schwester trägt bei unterschiedlichem Wetter Nagellack in verschiedenen Farben.")</f>
        <v>Meine Schwester trägt bei unterschiedlichem Wetter Nagellack in verschiedenen Farben.</v>
      </c>
      <c r="I63" s="142" t="s">
        <v>3323</v>
      </c>
      <c r="J63" s="46"/>
      <c r="K63" s="46"/>
      <c r="L63" s="46"/>
      <c r="M63" s="46"/>
      <c r="N63" s="46"/>
      <c r="O63" s="46"/>
      <c r="P63" s="46"/>
      <c r="Q63" s="46"/>
      <c r="R63" s="46"/>
      <c r="S63" s="46"/>
      <c r="T63" s="46"/>
      <c r="U63" s="46"/>
      <c r="V63" s="46"/>
      <c r="W63" s="46"/>
    </row>
    <row r="64">
      <c r="A64" s="52" t="s">
        <v>3324</v>
      </c>
      <c r="B64" s="204" t="s">
        <v>3325</v>
      </c>
      <c r="C64" s="52" t="s">
        <v>3326</v>
      </c>
      <c r="D64" s="204"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5"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5"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2" t="s">
        <v>3327</v>
      </c>
      <c r="J64" s="46"/>
      <c r="K64" s="46"/>
      <c r="L64" s="46"/>
      <c r="M64" s="46"/>
      <c r="N64" s="46"/>
      <c r="O64" s="46"/>
      <c r="P64" s="46"/>
      <c r="Q64" s="46"/>
      <c r="R64" s="46"/>
      <c r="S64" s="46"/>
      <c r="T64" s="46"/>
      <c r="U64" s="46"/>
      <c r="V64" s="46"/>
      <c r="W64" s="46"/>
    </row>
    <row r="65">
      <c r="A65" s="52" t="s">
        <v>3328</v>
      </c>
      <c r="B65" s="204" t="s">
        <v>3329</v>
      </c>
      <c r="C65" s="52" t="s">
        <v>3330</v>
      </c>
      <c r="D65" s="204"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5"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5" t="str">
        <f>IFERROR(__xludf.DUMMYFUNCTION("GOOGLETRANSLATE(A65,""zh-tw"",""de"")"),"Der Stimmungswert (0~100) ist ausgeblendet und lässt sich an der üblichen Haltung der Schwester ablesen.")</f>
        <v>Der Stimmungswert (0~100) ist ausgeblendet und lässt sich an der üblichen Haltung der Schwester ablesen.</v>
      </c>
      <c r="I65" s="142" t="s">
        <v>3331</v>
      </c>
      <c r="J65" s="46"/>
      <c r="K65" s="46"/>
      <c r="L65" s="46"/>
      <c r="M65" s="46"/>
      <c r="N65" s="46"/>
      <c r="O65" s="46"/>
      <c r="P65" s="46"/>
      <c r="Q65" s="46"/>
      <c r="R65" s="46"/>
      <c r="S65" s="46"/>
      <c r="T65" s="46"/>
      <c r="U65" s="46"/>
      <c r="V65" s="46"/>
      <c r="W65" s="46"/>
    </row>
    <row r="66">
      <c r="A66" s="52" t="s">
        <v>3332</v>
      </c>
      <c r="B66" s="204" t="s">
        <v>3333</v>
      </c>
      <c r="C66" s="52" t="s">
        <v>3334</v>
      </c>
      <c r="D66" s="204"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5"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5"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2" t="s">
        <v>3335</v>
      </c>
      <c r="J66" s="46"/>
      <c r="K66" s="46"/>
      <c r="L66" s="46"/>
      <c r="M66" s="46"/>
      <c r="N66" s="46"/>
      <c r="O66" s="46"/>
      <c r="P66" s="46"/>
      <c r="Q66" s="46"/>
      <c r="R66" s="46"/>
      <c r="S66" s="46"/>
      <c r="T66" s="46"/>
      <c r="U66" s="46"/>
      <c r="V66" s="46"/>
      <c r="W66" s="46"/>
    </row>
    <row r="67">
      <c r="A67" s="52" t="s">
        <v>3336</v>
      </c>
      <c r="B67" s="204" t="s">
        <v>3337</v>
      </c>
      <c r="C67" s="52" t="s">
        <v>3338</v>
      </c>
      <c r="D67" s="204"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5"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5"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2" t="s">
        <v>3339</v>
      </c>
      <c r="J67" s="46"/>
      <c r="K67" s="46"/>
      <c r="L67" s="46"/>
      <c r="M67" s="46"/>
      <c r="N67" s="46"/>
      <c r="O67" s="46"/>
      <c r="P67" s="46"/>
      <c r="Q67" s="46"/>
      <c r="R67" s="46"/>
      <c r="S67" s="46"/>
      <c r="T67" s="46"/>
      <c r="U67" s="46"/>
      <c r="V67" s="46"/>
      <c r="W67" s="46"/>
    </row>
    <row r="68">
      <c r="A68" s="52" t="s">
        <v>3340</v>
      </c>
      <c r="B68" s="204" t="str">
        <f>IFERROR(__xludf.DUMMYFUNCTION("GOOGLETRANSLATE(A68,""zh-tw"",""ja"")"),"Shiftキーで歩行と走行の姿勢を切り替えることができます")</f>
        <v>Shiftキーで歩行と走行の姿勢を切り替えることができます</v>
      </c>
      <c r="C68" s="52" t="s">
        <v>3341</v>
      </c>
      <c r="D68" s="204"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5"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5" t="str">
        <f>IFERROR(__xludf.DUMMYFUNCTION("GOOGLETRANSLATE(A68,""zh-tw"",""de"")"),"Mit der Umschalttaste kann zwischen Geh- und Laufhaltung gewechselt werden")</f>
        <v>Mit der Umschalttaste kann zwischen Geh- und Laufhaltung gewechselt werden</v>
      </c>
      <c r="I68" s="142" t="s">
        <v>3342</v>
      </c>
      <c r="J68" s="46"/>
      <c r="K68" s="46"/>
      <c r="L68" s="46"/>
      <c r="M68" s="46"/>
      <c r="N68" s="46"/>
      <c r="O68" s="46"/>
      <c r="P68" s="46"/>
      <c r="Q68" s="46"/>
      <c r="R68" s="46"/>
      <c r="S68" s="46"/>
      <c r="T68" s="46"/>
      <c r="U68" s="46"/>
      <c r="V68" s="46"/>
      <c r="W68" s="46"/>
    </row>
    <row r="69">
      <c r="A69" s="52" t="s">
        <v>3343</v>
      </c>
      <c r="B69" s="204" t="s">
        <v>3344</v>
      </c>
      <c r="C69" s="52" t="s">
        <v>3345</v>
      </c>
      <c r="D69" s="204"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5"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5"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Stich erhöht.
Die Fähigkeit „Flash Step Katana“ erzwingt nun eine kurze Unsichtbarkeitsphase, und der erste Angriff während der Unsichtbarkeit wird mit einem"&amp;" hinterhältigen Stich überprüft.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Stich erhöht.
Die Fähigkeit „Flash Step Katana“ erzwingt nun eine kurze Unsichtbarkeitsphase, und der erste Angriff während der Unsichtbarkeit wird mit einem hinterhältigen Stich überprüft.
****Dolchartige Waffen sind noch nicht implementiert.</v>
      </c>
      <c r="I69" s="142" t="s">
        <v>3346</v>
      </c>
      <c r="J69" s="46"/>
      <c r="K69" s="46"/>
      <c r="L69" s="46"/>
      <c r="M69" s="46"/>
      <c r="N69" s="46"/>
      <c r="O69" s="46"/>
      <c r="P69" s="46"/>
      <c r="Q69" s="46"/>
      <c r="R69" s="46"/>
      <c r="S69" s="46"/>
      <c r="T69" s="46"/>
      <c r="U69" s="46"/>
      <c r="V69" s="46"/>
      <c r="W69" s="46"/>
    </row>
    <row r="70">
      <c r="A70" s="52" t="s">
        <v>3347</v>
      </c>
      <c r="B70" s="204" t="s">
        <v>3348</v>
      </c>
      <c r="C70" s="52" t="s">
        <v>3349</v>
      </c>
      <c r="D70" s="204"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5"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(В настоящее время очки греха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(В настоящее время очки греха не реализованы.)</v>
      </c>
      <c r="H70" s="205"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2" t="s">
        <v>3350</v>
      </c>
      <c r="J70" s="46"/>
      <c r="K70" s="46"/>
      <c r="L70" s="46"/>
      <c r="M70" s="46"/>
      <c r="N70" s="46"/>
      <c r="O70" s="46"/>
      <c r="P70" s="46"/>
      <c r="Q70" s="46"/>
      <c r="R70" s="46"/>
      <c r="S70" s="46"/>
      <c r="T70" s="46"/>
      <c r="U70" s="46"/>
      <c r="V70" s="46"/>
      <c r="W70" s="46"/>
    </row>
    <row r="71">
      <c r="A71" s="52" t="s">
        <v>3351</v>
      </c>
      <c r="B71" s="204" t="s">
        <v>3352</v>
      </c>
      <c r="C71" s="52" t="s">
        <v>3353</v>
      </c>
      <c r="D71" s="204"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5"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5" t="str">
        <f>IFERROR(__xludf.DUMMYFUNCTION("GOOGLETRANSLATE(A71,""zh-tw"",""de"")"),"Anforderungen an die Backstab-Kompetenz in jeder Phase:
5.27.60.120.256.530.960.1587.2452.3600")</f>
        <v>Anforderungen an die Backstab-Kompetenz in jeder Phase:
5.27.60.120.256.530.960.1587.2452.3600</v>
      </c>
      <c r="I71" s="142" t="s">
        <v>3354</v>
      </c>
      <c r="J71" s="46"/>
      <c r="K71" s="46"/>
      <c r="L71" s="46"/>
      <c r="M71" s="46"/>
      <c r="N71" s="46"/>
      <c r="O71" s="46"/>
      <c r="P71" s="46"/>
      <c r="Q71" s="46"/>
      <c r="R71" s="46"/>
      <c r="S71" s="46"/>
      <c r="T71" s="46"/>
      <c r="U71" s="46"/>
      <c r="V71" s="46"/>
      <c r="W71" s="46"/>
    </row>
    <row r="72">
      <c r="A72" s="52" t="s">
        <v>3355</v>
      </c>
      <c r="B72" s="204" t="s">
        <v>3356</v>
      </c>
      <c r="C72" s="52" t="s">
        <v>3357</v>
      </c>
      <c r="D72" s="204"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5"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5"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2" t="s">
        <v>3358</v>
      </c>
      <c r="J72" s="46"/>
      <c r="K72" s="46"/>
      <c r="L72" s="46"/>
      <c r="M72" s="46"/>
      <c r="N72" s="46"/>
      <c r="O72" s="46"/>
      <c r="P72" s="46"/>
      <c r="Q72" s="46"/>
      <c r="R72" s="46"/>
      <c r="S72" s="46"/>
      <c r="T72" s="46"/>
      <c r="U72" s="46"/>
      <c r="V72" s="46"/>
      <c r="W72" s="46"/>
    </row>
    <row r="73">
      <c r="A73" s="52" t="s">
        <v>3359</v>
      </c>
      <c r="B73" s="204" t="s">
        <v>3360</v>
      </c>
      <c r="C73" s="52" t="s">
        <v>3361</v>
      </c>
      <c r="D73" s="204"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5"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4" t="s">
        <v>3362</v>
      </c>
      <c r="I73" s="142" t="s">
        <v>3363</v>
      </c>
      <c r="J73" s="46"/>
      <c r="K73" s="46"/>
      <c r="L73" s="46"/>
      <c r="M73" s="46"/>
      <c r="N73" s="46"/>
      <c r="O73" s="46"/>
      <c r="P73" s="46"/>
      <c r="Q73" s="46"/>
      <c r="R73" s="46"/>
      <c r="S73" s="46"/>
      <c r="T73" s="46"/>
      <c r="U73" s="46"/>
      <c r="V73" s="46"/>
      <c r="W73" s="46"/>
    </row>
    <row r="74">
      <c r="A74" s="52" t="s">
        <v>3364</v>
      </c>
      <c r="B74" s="204" t="s">
        <v>3365</v>
      </c>
      <c r="C74" s="52" t="s">
        <v>3366</v>
      </c>
      <c r="D74" s="204"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5"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4" t="s">
        <v>3367</v>
      </c>
      <c r="I74" s="142" t="s">
        <v>3368</v>
      </c>
      <c r="J74" s="46"/>
      <c r="K74" s="46"/>
      <c r="L74" s="46"/>
      <c r="M74" s="46"/>
      <c r="N74" s="46"/>
      <c r="O74" s="46"/>
      <c r="P74" s="46"/>
      <c r="Q74" s="46"/>
      <c r="R74" s="46"/>
      <c r="S74" s="46"/>
      <c r="T74" s="46"/>
      <c r="U74" s="46"/>
      <c r="V74" s="46"/>
      <c r="W74" s="46"/>
    </row>
    <row r="75">
      <c r="A75" s="52" t="s">
        <v>3369</v>
      </c>
      <c r="B75" s="204" t="s">
        <v>3370</v>
      </c>
      <c r="C75" s="52" t="s">
        <v>3371</v>
      </c>
      <c r="D75" s="204"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5"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4" t="s">
        <v>3372</v>
      </c>
      <c r="I75" s="142" t="s">
        <v>3373</v>
      </c>
      <c r="J75" s="46"/>
      <c r="K75" s="46"/>
      <c r="L75" s="46"/>
      <c r="M75" s="46"/>
      <c r="N75" s="46"/>
      <c r="O75" s="46"/>
      <c r="P75" s="46"/>
      <c r="Q75" s="46"/>
      <c r="R75" s="46"/>
      <c r="S75" s="46"/>
      <c r="T75" s="46"/>
      <c r="U75" s="46"/>
      <c r="V75" s="46"/>
      <c r="W75" s="46"/>
    </row>
    <row r="76">
      <c r="A76" s="52" t="s">
        <v>3374</v>
      </c>
      <c r="B76" s="204" t="s">
        <v>3375</v>
      </c>
      <c r="C76" s="52" t="s">
        <v>3376</v>
      </c>
      <c r="D76" s="204"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5"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4" t="s">
        <v>3377</v>
      </c>
      <c r="I76" s="142" t="s">
        <v>3378</v>
      </c>
      <c r="J76" s="46"/>
      <c r="K76" s="46"/>
      <c r="L76" s="46"/>
      <c r="M76" s="46"/>
      <c r="N76" s="46"/>
      <c r="O76" s="46"/>
      <c r="P76" s="46"/>
      <c r="Q76" s="46"/>
      <c r="R76" s="46"/>
      <c r="S76" s="46"/>
      <c r="T76" s="46"/>
      <c r="U76" s="46"/>
      <c r="V76" s="46"/>
      <c r="W76" s="46"/>
    </row>
    <row r="77">
      <c r="A77" s="52" t="s">
        <v>3379</v>
      </c>
      <c r="B77" s="204"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3380</v>
      </c>
      <c r="D77" s="204"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5"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4" t="s">
        <v>3381</v>
      </c>
      <c r="I77" s="142" t="s">
        <v>3382</v>
      </c>
      <c r="J77" s="46"/>
      <c r="K77" s="46"/>
      <c r="L77" s="46"/>
      <c r="M77" s="46"/>
      <c r="N77" s="46"/>
      <c r="O77" s="46"/>
      <c r="P77" s="46"/>
      <c r="Q77" s="46"/>
      <c r="R77" s="46"/>
      <c r="S77" s="46"/>
      <c r="T77" s="46"/>
      <c r="U77" s="46"/>
      <c r="V77" s="46"/>
      <c r="W77" s="46"/>
    </row>
    <row r="78">
      <c r="A78" s="52" t="s">
        <v>3383</v>
      </c>
      <c r="B78" s="204" t="str">
        <f>IFERROR(__xludf.DUMMYFUNCTION("GOOGLETRANSLATE(A78,""zh-tw"",""ja"")"),"密着行為（入浴後、服装、気分、デザートの状態に応じて、様々なパフォーマンスが可能です）
対象部位：脱毛部、頭部、胸部、陰部、耳、鎖骨、乳首、腹部
引きずり行為時の注意点：脱毛部、胸部、乳首")</f>
        <v>密着行為（入浴後、服装、気分、デザートの状態に応じて、様々なパフォーマンスが可能です）
対象部位：脱毛部、頭部、胸部、陰部、耳、鎖骨、乳首、腹部
引きずり行為時の注意点：脱毛部、胸部、乳首</v>
      </c>
      <c r="C78" s="52" t="s">
        <v>3384</v>
      </c>
      <c r="D78" s="204"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según la ropa, el estado de ánimo y el estado del postre, se pueden realizar diferentes actuaciones).
Partes del cuerpo: alopecia, cabeza, pecho, partes íntimas, orejas, clavícula, pezones y vientre.
Objetos especiales d"&amp;"urante el dragging: alopecia, pecho y pezones.")</f>
        <v>Contacto íntimo (Después del baño, según la ropa, el estado de ánimo y el estado del postre, se pueden realizar diferentes actuaciones).
Partes del cuerpo: alopecia, cabeza, pecho, partes íntimas, orejas, clavícula, pezones y vientre.
Objetos especiales durante el dragging: alopecia, pecho y pezones.</v>
      </c>
      <c r="F78" s="205" t="str">
        <f>IFERROR(__xludf.DUMMYFUNCTION("GOOGLETRANSLATE(A78,""zh-tw"",""KO"")"),"친밀한 접촉 (목욕 후, 옷차림, 기분, 디저트 상태에 따라 다양한 퍼포먼스 가능)
신체 부위: 탈모, 머리, 가슴, 음부, 귀, 쇄골, 유두, 배
드래깅 시 특수 부위: 탈모, 가슴, 유두")</f>
        <v>친밀한 접촉 (목욕 후, 옷차림, 기분, 디저트 상태에 따라 다양한 퍼포먼스 가능)
신체 부위: 탈모, 머리, 가슴, 음부, 귀, 쇄골, 유두, 배
드래깅 시 특수 부위: 탈모, 가슴, 유두</v>
      </c>
      <c r="G78" s="55" t="str">
        <f>IFERROR(__xludf.DUMMYFUNCTION("GOOGLETRANSLATE(A78,""zh-tw"",""ru"")"),"Интимный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гр"&amp;"удь и соски")</f>
        <v>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грудь и соски</v>
      </c>
      <c r="H78" s="204" t="s">
        <v>3385</v>
      </c>
      <c r="I78" s="142" t="s">
        <v>3386</v>
      </c>
      <c r="J78" s="46"/>
      <c r="K78" s="46"/>
      <c r="L78" s="46"/>
      <c r="M78" s="46"/>
      <c r="N78" s="46"/>
      <c r="O78" s="46"/>
      <c r="P78" s="46"/>
      <c r="Q78" s="46"/>
      <c r="R78" s="46"/>
      <c r="S78" s="46"/>
      <c r="T78" s="46"/>
      <c r="U78" s="46"/>
      <c r="V78" s="46"/>
      <c r="W78" s="46"/>
    </row>
    <row r="79">
      <c r="A79" s="52" t="s">
        <v>3387</v>
      </c>
      <c r="B79" s="204"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3388</v>
      </c>
      <c r="D79" s="204"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5"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5"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2" t="s">
        <v>3389</v>
      </c>
      <c r="J79" s="46"/>
      <c r="K79" s="46"/>
      <c r="L79" s="46"/>
      <c r="M79" s="46"/>
      <c r="N79" s="46"/>
      <c r="O79" s="46"/>
      <c r="P79" s="46"/>
      <c r="Q79" s="46"/>
      <c r="R79" s="46"/>
      <c r="S79" s="46"/>
      <c r="T79" s="46"/>
      <c r="U79" s="46"/>
      <c r="V79" s="46"/>
      <c r="W79" s="46"/>
    </row>
    <row r="80">
      <c r="A80" s="55" t="s">
        <v>3390</v>
      </c>
      <c r="B80" s="205" t="s">
        <v>3391</v>
      </c>
      <c r="C80" s="55" t="s">
        <v>3392</v>
      </c>
      <c r="D80" s="204" t="str">
        <f>IFERROR(__xludf.DUMMYFUNCTION("GOOGLETRANSLATE(A80,""zh-tw"",""zh"")"),"牛奶是最好的解辣饮品，能大幅缩短解除辣哭了的持续时间")</f>
        <v>牛奶是最好的解辣饮品，能大幅缩短解除辣哭了的持续时间</v>
      </c>
      <c r="E80" s="208" t="s">
        <v>3393</v>
      </c>
      <c r="F80" s="205"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5" t="s">
        <v>3394</v>
      </c>
      <c r="I80" s="142" t="s">
        <v>3395</v>
      </c>
      <c r="J80" s="46"/>
      <c r="K80" s="46"/>
      <c r="L80" s="46"/>
      <c r="M80" s="46"/>
      <c r="N80" s="46"/>
      <c r="O80" s="46"/>
      <c r="P80" s="46"/>
      <c r="Q80" s="46"/>
      <c r="R80" s="46"/>
      <c r="S80" s="46"/>
      <c r="T80" s="46"/>
      <c r="U80" s="46"/>
      <c r="V80" s="46"/>
      <c r="W80" s="46"/>
    </row>
    <row r="81">
      <c r="A81" s="55" t="s">
        <v>3396</v>
      </c>
      <c r="B81" s="205" t="s">
        <v>3397</v>
      </c>
      <c r="C81" s="55" t="s">
        <v>3398</v>
      </c>
      <c r="D81" s="204"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8" t="s">
        <v>3399</v>
      </c>
      <c r="F81" s="205"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5" t="s">
        <v>3400</v>
      </c>
      <c r="I81" s="209" t="s">
        <v>3401</v>
      </c>
      <c r="J81" s="46"/>
      <c r="K81" s="46"/>
      <c r="L81" s="46"/>
      <c r="M81" s="46"/>
      <c r="N81" s="46"/>
      <c r="O81" s="46"/>
      <c r="P81" s="46"/>
      <c r="Q81" s="46"/>
      <c r="R81" s="46"/>
      <c r="S81" s="46"/>
      <c r="T81" s="46"/>
      <c r="U81" s="46"/>
      <c r="V81" s="46"/>
      <c r="W81" s="46"/>
    </row>
    <row r="82">
      <c r="A82" s="55" t="s">
        <v>3402</v>
      </c>
      <c r="B82" s="205" t="s">
        <v>3403</v>
      </c>
      <c r="C82" s="55" t="s">
        <v>3404</v>
      </c>
      <c r="D82" s="204" t="str">
        <f>IFERROR(__xludf.DUMMYFUNCTION("GOOGLETRANSLATE(A82,""zh-tw"",""zh"")"),"ASABA通常会出现在路边的草莓丛中")</f>
        <v>ASABA通常会出现在路边的草莓丛中</v>
      </c>
      <c r="E82" s="208" t="s">
        <v>3405</v>
      </c>
      <c r="F82" s="205"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5" t="s">
        <v>3406</v>
      </c>
      <c r="I82" s="142" t="s">
        <v>3407</v>
      </c>
      <c r="J82" s="46"/>
      <c r="K82" s="46"/>
      <c r="L82" s="46"/>
      <c r="M82" s="46"/>
      <c r="N82" s="46"/>
      <c r="O82" s="46"/>
      <c r="P82" s="46"/>
      <c r="Q82" s="46"/>
      <c r="R82" s="46"/>
      <c r="S82" s="46"/>
      <c r="T82" s="46"/>
      <c r="U82" s="46"/>
      <c r="V82" s="46"/>
      <c r="W82" s="46"/>
    </row>
    <row r="83">
      <c r="A83" s="55" t="s">
        <v>3408</v>
      </c>
      <c r="B83" s="205" t="s">
        <v>3409</v>
      </c>
      <c r="C83" s="55" t="s">
        <v>3410</v>
      </c>
      <c r="D83" s="204" t="str">
        <f>IFERROR(__xludf.DUMMYFUNCTION("GOOGLETRANSLATE(A83,""zh-tw"",""zh"")"),"""草莓""食材，目前无实际用途，等待未来更新")</f>
        <v>"草莓"食材，目前无实际用途，等待未来更新</v>
      </c>
      <c r="E83" s="208" t="s">
        <v>3411</v>
      </c>
      <c r="F83" s="205"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5" t="s">
        <v>3412</v>
      </c>
      <c r="I83" s="209" t="s">
        <v>3413</v>
      </c>
      <c r="J83" s="46"/>
      <c r="K83" s="46"/>
      <c r="L83" s="46"/>
      <c r="M83" s="46"/>
      <c r="N83" s="46"/>
      <c r="O83" s="46"/>
      <c r="P83" s="46"/>
      <c r="Q83" s="46"/>
      <c r="R83" s="46"/>
      <c r="S83" s="46"/>
      <c r="T83" s="46"/>
      <c r="U83" s="46"/>
      <c r="V83" s="46"/>
      <c r="W83" s="46"/>
    </row>
    <row r="84">
      <c r="A84" s="55" t="s">
        <v>3414</v>
      </c>
      <c r="B84" s="205" t="s">
        <v>3415</v>
      </c>
      <c r="C84" s="55" t="s">
        <v>3416</v>
      </c>
      <c r="D84" s="204"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8" t="s">
        <v>3417</v>
      </c>
      <c r="F84" s="205"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5" t="s">
        <v>3418</v>
      </c>
      <c r="I84" s="110" t="s">
        <v>3419</v>
      </c>
      <c r="J84" s="46"/>
      <c r="K84" s="46"/>
      <c r="L84" s="46"/>
      <c r="M84" s="46"/>
      <c r="N84" s="46"/>
      <c r="O84" s="46"/>
      <c r="P84" s="46"/>
      <c r="Q84" s="46"/>
      <c r="R84" s="46"/>
      <c r="S84" s="46"/>
      <c r="T84" s="46"/>
      <c r="U84" s="46"/>
      <c r="V84" s="46"/>
      <c r="W84" s="46"/>
    </row>
    <row r="85">
      <c r="A85" s="52" t="s">
        <v>3420</v>
      </c>
      <c r="B85" s="204" t="s">
        <v>3421</v>
      </c>
      <c r="C85" s="52" t="s">
        <v>3422</v>
      </c>
      <c r="D85" s="204"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8" t="s">
        <v>3423</v>
      </c>
      <c r="F85" s="205"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4" t="s">
        <v>3424</v>
      </c>
      <c r="I85" s="110" t="s">
        <v>3425</v>
      </c>
      <c r="J85" s="46"/>
      <c r="K85" s="46"/>
      <c r="L85" s="46"/>
      <c r="M85" s="46"/>
      <c r="N85" s="46"/>
      <c r="O85" s="46"/>
      <c r="P85" s="46"/>
      <c r="Q85" s="46"/>
      <c r="R85" s="46"/>
      <c r="S85" s="46"/>
      <c r="T85" s="46"/>
      <c r="U85" s="46"/>
      <c r="V85" s="46"/>
      <c r="W85" s="46"/>
    </row>
    <row r="86" ht="53.25" customHeight="1">
      <c r="A86" s="55" t="s">
        <v>3426</v>
      </c>
      <c r="B86" s="204"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3427</v>
      </c>
      <c r="D86" s="204"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5"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5" t="s">
        <v>3428</v>
      </c>
      <c r="I86" s="142" t="s">
        <v>3429</v>
      </c>
      <c r="J86" s="46"/>
      <c r="K86" s="46"/>
      <c r="L86" s="46"/>
      <c r="M86" s="46"/>
      <c r="N86" s="46"/>
      <c r="O86" s="46"/>
      <c r="P86" s="46"/>
      <c r="Q86" s="46"/>
      <c r="R86" s="46"/>
      <c r="S86" s="46"/>
      <c r="T86" s="46"/>
      <c r="U86" s="46"/>
      <c r="V86" s="46"/>
      <c r="W86" s="46"/>
    </row>
    <row r="87">
      <c r="A87" s="52" t="s">
        <v>3430</v>
      </c>
      <c r="B87" s="204"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3431</v>
      </c>
      <c r="D87" s="204"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5"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4" t="s">
        <v>3432</v>
      </c>
      <c r="I87" s="142" t="s">
        <v>3433</v>
      </c>
      <c r="J87" s="46"/>
      <c r="K87" s="46"/>
      <c r="L87" s="46"/>
      <c r="M87" s="46"/>
      <c r="N87" s="46"/>
      <c r="O87" s="46"/>
      <c r="P87" s="46"/>
      <c r="Q87" s="46"/>
      <c r="R87" s="46"/>
      <c r="S87" s="46"/>
      <c r="T87" s="46"/>
      <c r="U87" s="46"/>
      <c r="V87" s="46"/>
      <c r="W87" s="46"/>
    </row>
    <row r="88">
      <c r="A88" s="55" t="s">
        <v>3434</v>
      </c>
      <c r="B88" s="204"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3435</v>
      </c>
      <c r="D88" s="204"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5"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5" t="s">
        <v>3436</v>
      </c>
      <c r="I88" s="142" t="s">
        <v>3437</v>
      </c>
      <c r="J88" s="46"/>
      <c r="K88" s="46"/>
      <c r="L88" s="46"/>
      <c r="M88" s="46"/>
      <c r="N88" s="46"/>
      <c r="O88" s="46"/>
      <c r="P88" s="46"/>
      <c r="Q88" s="46"/>
      <c r="R88" s="46"/>
      <c r="S88" s="46"/>
      <c r="T88" s="46"/>
      <c r="U88" s="46"/>
      <c r="V88" s="46"/>
      <c r="W88" s="46"/>
    </row>
    <row r="89">
      <c r="A89" s="55" t="s">
        <v>3438</v>
      </c>
      <c r="B89" s="205" t="s">
        <v>3439</v>
      </c>
      <c r="C89" s="55" t="s">
        <v>3440</v>
      </c>
      <c r="D89" s="204"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8" t="s">
        <v>3441</v>
      </c>
      <c r="F89" s="205" t="str">
        <f>IFERROR(__xludf.DUMMYFUNCTION("GOOGLETRANSLATE(A89,""zh-tw"",""KO"")"),"뇌물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f>
        <v>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v>
      </c>
      <c r="G89" s="55" t="str">
        <f>IFERROR(__xludf.DUMMYFUNCTION("GOOGLETRANSLATE(A89,""zh-tw"",""ru"")"),"Что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усл"&amp;"овия, например, течка у девушки, будут определяться отдельно.")</f>
        <v>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5" t="s">
        <v>3442</v>
      </c>
      <c r="I89" s="142" t="s">
        <v>3443</v>
      </c>
      <c r="J89" s="46"/>
      <c r="K89" s="46"/>
      <c r="L89" s="46"/>
      <c r="M89" s="46"/>
      <c r="N89" s="46"/>
      <c r="O89" s="46"/>
      <c r="P89" s="46"/>
      <c r="Q89" s="46"/>
      <c r="R89" s="46"/>
      <c r="S89" s="46"/>
      <c r="T89" s="46"/>
      <c r="U89" s="46"/>
      <c r="V89" s="46"/>
      <c r="W89" s="46"/>
    </row>
    <row r="90">
      <c r="A90" s="52" t="s">
        <v>3444</v>
      </c>
      <c r="B90" s="204"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3445</v>
      </c>
      <c r="D90" s="204"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5"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10" t="s">
        <v>3446</v>
      </c>
      <c r="I90" s="209" t="s">
        <v>3447</v>
      </c>
      <c r="J90" s="46"/>
      <c r="K90" s="46"/>
      <c r="L90" s="46"/>
      <c r="M90" s="46"/>
      <c r="N90" s="46"/>
      <c r="O90" s="46"/>
      <c r="P90" s="46"/>
      <c r="Q90" s="46"/>
      <c r="R90" s="46"/>
      <c r="S90" s="46"/>
      <c r="T90" s="46"/>
      <c r="U90" s="46"/>
      <c r="V90" s="46"/>
      <c r="W90" s="46"/>
    </row>
    <row r="91">
      <c r="A91" s="52" t="s">
        <v>3448</v>
      </c>
      <c r="B91" s="204" t="str">
        <f>IFERROR(__xludf.DUMMYFUNCTION("GOOGLETRANSLATE(A91,""zh-tw"",""ja"")"),"「冒険者の道：石碑」マップでは、石板で討伐回数を確認できます。")</f>
        <v>「冒険者の道：石碑」マップでは、石板で討伐回数を確認できます。</v>
      </c>
      <c r="C91" s="52" t="s">
        <v>3449</v>
      </c>
      <c r="D91" s="204"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5"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1" t="s">
        <v>3450</v>
      </c>
      <c r="I91" s="142" t="s">
        <v>3451</v>
      </c>
      <c r="J91" s="46"/>
      <c r="K91" s="46"/>
      <c r="L91" s="46"/>
      <c r="M91" s="46"/>
      <c r="N91" s="46"/>
      <c r="O91" s="46"/>
      <c r="P91" s="46"/>
      <c r="Q91" s="46"/>
      <c r="R91" s="46"/>
      <c r="S91" s="46"/>
      <c r="T91" s="46"/>
      <c r="U91" s="46"/>
      <c r="V91" s="46"/>
      <c r="W91" s="46"/>
    </row>
    <row r="92">
      <c r="A92" s="55" t="s">
        <v>3452</v>
      </c>
      <c r="B92" s="205" t="s">
        <v>3453</v>
      </c>
      <c r="C92" s="55" t="s">
        <v>3454</v>
      </c>
      <c r="D92" s="204"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5"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5" t="s">
        <v>3455</v>
      </c>
      <c r="I92" s="142" t="s">
        <v>3456</v>
      </c>
      <c r="J92" s="46"/>
      <c r="K92" s="46"/>
      <c r="L92" s="46"/>
      <c r="M92" s="46"/>
      <c r="N92" s="46"/>
      <c r="O92" s="46"/>
      <c r="P92" s="46"/>
      <c r="Q92" s="46"/>
      <c r="R92" s="46"/>
      <c r="S92" s="46"/>
      <c r="T92" s="46"/>
      <c r="U92" s="46"/>
      <c r="V92" s="46"/>
      <c r="W92" s="46"/>
    </row>
    <row r="93">
      <c r="A93" s="55" t="s">
        <v>3457</v>
      </c>
      <c r="B93" s="205" t="s">
        <v>3458</v>
      </c>
      <c r="C93" s="55" t="s">
        <v>3459</v>
      </c>
      <c r="D93" s="204"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5"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5" t="s">
        <v>3460</v>
      </c>
      <c r="I93" s="142" t="s">
        <v>3461</v>
      </c>
      <c r="J93" s="46"/>
      <c r="K93" s="46"/>
      <c r="L93" s="46"/>
      <c r="M93" s="46"/>
      <c r="N93" s="46"/>
      <c r="O93" s="46"/>
      <c r="P93" s="46"/>
      <c r="Q93" s="46"/>
      <c r="R93" s="46"/>
      <c r="S93" s="46"/>
      <c r="T93" s="46"/>
      <c r="U93" s="46"/>
      <c r="V93" s="46"/>
      <c r="W93" s="46"/>
    </row>
    <row r="94">
      <c r="A94" s="52" t="s">
        <v>3462</v>
      </c>
      <c r="B94" s="204" t="s">
        <v>3463</v>
      </c>
      <c r="C94" s="52" t="s">
        <v>3464</v>
      </c>
      <c r="D94" s="204"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5"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5" t="str">
        <f>IFERROR(__xludf.DUMMYFUNCTION("GOOGLETRANSLATE(A94,""zh-tw"",""de"")"),"Egal, ob Sie ein Bruder oder eine Schwester sind, wenn das gesamte Essen aufgegessen ist, wird im Lagerhaus eine versteckte Verschwörung mit Instantnudeln ausgelöst.")</f>
        <v>Egal, ob Sie ein Bruder oder eine Schwester sind, wenn das gesamte Essen aufgegessen ist, wird im Lagerhaus eine versteckte Verschwörung mit Instantnudeln ausgelöst.</v>
      </c>
      <c r="I94" s="142" t="s">
        <v>3465</v>
      </c>
      <c r="J94" s="46"/>
      <c r="K94" s="46"/>
      <c r="L94" s="46"/>
      <c r="M94" s="46"/>
      <c r="N94" s="46"/>
      <c r="O94" s="46"/>
      <c r="P94" s="46"/>
      <c r="Q94" s="46"/>
      <c r="R94" s="46"/>
      <c r="S94" s="46"/>
      <c r="T94" s="46"/>
      <c r="U94" s="46"/>
      <c r="V94" s="46"/>
      <c r="W94" s="46"/>
    </row>
    <row r="95">
      <c r="A95" s="55" t="s">
        <v>3466</v>
      </c>
      <c r="B95" s="205" t="s">
        <v>3467</v>
      </c>
      <c r="C95" s="55" t="s">
        <v>3468</v>
      </c>
      <c r="D95" s="204"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5" t="str">
        <f>IFERROR(__xludf.DUMMYFUNCTION("GOOGLETRANSLATE(A95,""zh-tw"",""KO"")"),"미니카트 이동 중 미리 차에서 뛰어내릴 수 있습니다(일부 효과도 그에 따라 변경됩니다)")</f>
        <v>미니카트 이동 중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5" t="s">
        <v>3469</v>
      </c>
      <c r="I95" s="142" t="s">
        <v>3470</v>
      </c>
      <c r="J95" s="46"/>
      <c r="K95" s="46"/>
      <c r="L95" s="46"/>
      <c r="M95" s="46"/>
      <c r="N95" s="46"/>
      <c r="O95" s="46"/>
      <c r="P95" s="46"/>
      <c r="Q95" s="46"/>
      <c r="R95" s="46"/>
      <c r="S95" s="46"/>
      <c r="T95" s="46"/>
      <c r="U95" s="46"/>
      <c r="V95" s="46"/>
      <c r="W95" s="46"/>
    </row>
    <row r="96">
      <c r="A96" s="52" t="s">
        <v>3471</v>
      </c>
      <c r="B96" s="204" t="s">
        <v>3472</v>
      </c>
      <c r="C96" s="52" t="s">
        <v>3473</v>
      </c>
      <c r="D96" s="204"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5"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4" t="s">
        <v>3474</v>
      </c>
      <c r="I96" s="142" t="s">
        <v>3475</v>
      </c>
      <c r="J96" s="46"/>
      <c r="K96" s="46"/>
      <c r="L96" s="46"/>
      <c r="M96" s="46"/>
      <c r="N96" s="46"/>
      <c r="O96" s="46"/>
      <c r="P96" s="46"/>
      <c r="Q96" s="46"/>
      <c r="R96" s="46"/>
      <c r="S96" s="46"/>
      <c r="T96" s="46"/>
      <c r="U96" s="46"/>
      <c r="V96" s="46"/>
      <c r="W96" s="46"/>
    </row>
    <row r="97">
      <c r="A97" s="55" t="s">
        <v>3476</v>
      </c>
      <c r="B97" s="204" t="s">
        <v>3477</v>
      </c>
      <c r="C97" s="55" t="s">
        <v>3478</v>
      </c>
      <c r="D97" s="204"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5"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5" t="s">
        <v>3479</v>
      </c>
      <c r="I97" s="142" t="s">
        <v>3480</v>
      </c>
      <c r="J97" s="46"/>
      <c r="K97" s="46"/>
      <c r="L97" s="46"/>
      <c r="M97" s="46"/>
      <c r="N97" s="46"/>
      <c r="O97" s="46"/>
      <c r="P97" s="46"/>
      <c r="Q97" s="46"/>
      <c r="R97" s="46"/>
      <c r="S97" s="46"/>
      <c r="T97" s="46"/>
      <c r="U97" s="46"/>
      <c r="V97" s="46"/>
      <c r="W97" s="46"/>
    </row>
    <row r="98">
      <c r="A98" s="55" t="s">
        <v>3481</v>
      </c>
      <c r="B98" s="205" t="s">
        <v>3482</v>
      </c>
      <c r="C98" s="55" t="s">
        <v>3483</v>
      </c>
      <c r="D98" s="204"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5"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5" t="s">
        <v>3484</v>
      </c>
      <c r="I98" s="142" t="s">
        <v>3485</v>
      </c>
      <c r="J98" s="46"/>
      <c r="K98" s="46"/>
      <c r="L98" s="46"/>
      <c r="M98" s="46"/>
      <c r="N98" s="46"/>
      <c r="O98" s="46"/>
      <c r="P98" s="46"/>
      <c r="Q98" s="46"/>
      <c r="R98" s="46"/>
      <c r="S98" s="46"/>
      <c r="T98" s="46"/>
      <c r="U98" s="46"/>
      <c r="V98" s="46"/>
      <c r="W98" s="46"/>
    </row>
    <row r="99">
      <c r="A99" s="55" t="s">
        <v>3486</v>
      </c>
      <c r="B99" s="205" t="s">
        <v>3487</v>
      </c>
      <c r="C99" s="55" t="s">
        <v>3488</v>
      </c>
      <c r="D99" s="204"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5"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5" t="s">
        <v>3489</v>
      </c>
      <c r="I99" s="142" t="s">
        <v>3490</v>
      </c>
      <c r="J99" s="46"/>
      <c r="K99" s="46"/>
      <c r="L99" s="46"/>
      <c r="M99" s="46"/>
      <c r="N99" s="46"/>
      <c r="O99" s="46"/>
      <c r="P99" s="46"/>
      <c r="Q99" s="46"/>
      <c r="R99" s="46"/>
      <c r="S99" s="46"/>
      <c r="T99" s="46"/>
      <c r="U99" s="46"/>
      <c r="V99" s="46"/>
      <c r="W99" s="46"/>
    </row>
    <row r="100">
      <c r="A100" s="52" t="s">
        <v>3491</v>
      </c>
      <c r="B100" s="205" t="s">
        <v>3492</v>
      </c>
      <c r="C100" s="55" t="s">
        <v>3493</v>
      </c>
      <c r="D100" s="204"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5"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5" t="s">
        <v>3494</v>
      </c>
      <c r="I100" s="142" t="s">
        <v>3495</v>
      </c>
      <c r="J100" s="46"/>
      <c r="K100" s="46"/>
      <c r="L100" s="46"/>
      <c r="M100" s="46"/>
      <c r="N100" s="46"/>
      <c r="O100" s="46"/>
      <c r="P100" s="46"/>
      <c r="Q100" s="46"/>
      <c r="R100" s="46"/>
      <c r="S100" s="46"/>
      <c r="T100" s="46"/>
      <c r="U100" s="46"/>
      <c r="V100" s="46"/>
      <c r="W100" s="46"/>
    </row>
    <row r="101">
      <c r="A101" s="52" t="s">
        <v>3496</v>
      </c>
      <c r="B101" s="205" t="s">
        <v>3497</v>
      </c>
      <c r="C101" s="55" t="s">
        <v>3498</v>
      </c>
      <c r="D101" s="204"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5"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5" t="s">
        <v>3499</v>
      </c>
      <c r="I101" s="142" t="s">
        <v>3500</v>
      </c>
      <c r="J101" s="46"/>
      <c r="K101" s="46"/>
      <c r="L101" s="46"/>
      <c r="M101" s="46"/>
      <c r="N101" s="46"/>
      <c r="O101" s="46"/>
      <c r="P101" s="46"/>
      <c r="Q101" s="46"/>
      <c r="R101" s="46"/>
      <c r="S101" s="46"/>
      <c r="T101" s="46"/>
      <c r="U101" s="46"/>
      <c r="V101" s="46"/>
      <c r="W101" s="46"/>
    </row>
    <row r="102">
      <c r="A102" s="52" t="s">
        <v>3501</v>
      </c>
      <c r="B102" s="205" t="s">
        <v>3502</v>
      </c>
      <c r="C102" s="55" t="s">
        <v>3503</v>
      </c>
      <c r="D102" s="204"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5"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5" t="s">
        <v>3504</v>
      </c>
      <c r="I102" s="142" t="s">
        <v>3505</v>
      </c>
      <c r="J102" s="46"/>
      <c r="K102" s="46"/>
      <c r="L102" s="46"/>
      <c r="M102" s="46"/>
      <c r="N102" s="46"/>
      <c r="O102" s="46"/>
      <c r="P102" s="46"/>
      <c r="Q102" s="46"/>
      <c r="R102" s="46"/>
      <c r="S102" s="46"/>
      <c r="T102" s="46"/>
      <c r="U102" s="46"/>
      <c r="V102" s="46"/>
      <c r="W102" s="46"/>
    </row>
    <row r="103">
      <c r="A103" s="52" t="s">
        <v>3506</v>
      </c>
      <c r="B103" s="204" t="s">
        <v>3507</v>
      </c>
      <c r="C103" s="52" t="s">
        <v>3508</v>
      </c>
      <c r="D103" s="204"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3" s="205"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3" s="204" t="s">
        <v>3509</v>
      </c>
      <c r="I103" s="142" t="s">
        <v>3510</v>
      </c>
      <c r="J103" s="46"/>
      <c r="K103" s="46"/>
      <c r="L103" s="46"/>
      <c r="M103" s="46"/>
      <c r="N103" s="46"/>
      <c r="O103" s="46"/>
      <c r="P103" s="46"/>
      <c r="Q103" s="46"/>
      <c r="R103" s="46"/>
      <c r="S103" s="46"/>
      <c r="T103" s="46"/>
      <c r="U103" s="46"/>
      <c r="V103" s="46"/>
      <c r="W103" s="46"/>
    </row>
    <row r="104">
      <c r="A104" s="52" t="s">
        <v>3511</v>
      </c>
      <c r="B104" s="204" t="s">
        <v>3512</v>
      </c>
      <c r="C104" s="52" t="s">
        <v>3513</v>
      </c>
      <c r="D104" s="204"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5"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5"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zurückgefordert.
9. Derzeit ist kein Design für mehrere Iron Scouts vorgesehen.
10. N"&amp;"achdem eine Waffe eine hohe Temperatur erreicht hat, kann sie zurückgefordert und sofort erneut geschmiedet werden, wobei die Abkühlzeit der roten Temperatur ignoriert wird.
11. Der Schmiedehammer kann mit Waffenboni wie Katzenkralle und Waffenverstärkung"&amp;" kombiniert werden, um die Schmiedeeffektivität zu erhöhen.
12. Je höher die Angriffskraft des Charakters, desto höher die Schmiedeeffektivität.
13. Der Iron Scout kann nicht unbewaffnet beschworen werden.
14. In Zukunft können Waffen poliert werden, um i"&amp;"hre Effektivität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3514</v>
      </c>
      <c r="J104" s="46"/>
      <c r="K104" s="46"/>
      <c r="L104" s="46"/>
      <c r="M104" s="46"/>
      <c r="N104" s="46"/>
      <c r="O104" s="46"/>
      <c r="P104" s="46"/>
      <c r="Q104" s="46"/>
      <c r="R104" s="46"/>
      <c r="S104" s="46"/>
      <c r="T104" s="46"/>
      <c r="U104" s="46"/>
      <c r="V104" s="46"/>
      <c r="W104" s="46"/>
    </row>
    <row r="105">
      <c r="A105" s="52" t="s">
        <v>3515</v>
      </c>
      <c r="B105" s="204"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3516</v>
      </c>
      <c r="D105" s="204"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5"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5"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2" t="s">
        <v>3517</v>
      </c>
      <c r="J105" s="46"/>
      <c r="K105" s="46"/>
      <c r="L105" s="46"/>
      <c r="M105" s="46"/>
      <c r="N105" s="46"/>
      <c r="O105" s="46"/>
      <c r="P105" s="46"/>
      <c r="Q105" s="46"/>
      <c r="R105" s="46"/>
      <c r="S105" s="46"/>
      <c r="T105" s="46"/>
      <c r="U105" s="46"/>
      <c r="V105" s="46"/>
      <c r="W105" s="46"/>
    </row>
    <row r="106">
      <c r="A106" s="52" t="s">
        <v>3518</v>
      </c>
      <c r="B106" s="204" t="s">
        <v>3519</v>
      </c>
      <c r="C106" s="52" t="s">
        <v>3520</v>
      </c>
      <c r="D106" s="204"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5"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4" t="s">
        <v>3521</v>
      </c>
      <c r="I106" s="142" t="s">
        <v>3522</v>
      </c>
      <c r="J106" s="46"/>
      <c r="K106" s="46"/>
      <c r="L106" s="46"/>
      <c r="M106" s="46"/>
      <c r="N106" s="46"/>
      <c r="O106" s="46"/>
      <c r="P106" s="46"/>
      <c r="Q106" s="46"/>
      <c r="R106" s="46"/>
      <c r="S106" s="46"/>
      <c r="T106" s="46"/>
      <c r="U106" s="46"/>
      <c r="V106" s="46"/>
      <c r="W106" s="46"/>
    </row>
    <row r="107">
      <c r="A107" s="52" t="s">
        <v>3523</v>
      </c>
      <c r="B107" s="204" t="s">
        <v>3524</v>
      </c>
      <c r="C107" s="52" t="s">
        <v>3525</v>
      </c>
      <c r="D107" s="204"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5"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4" t="s">
        <v>3526</v>
      </c>
      <c r="I107" s="142" t="s">
        <v>3527</v>
      </c>
      <c r="J107" s="46"/>
      <c r="K107" s="46"/>
      <c r="L107" s="46"/>
      <c r="M107" s="46"/>
      <c r="N107" s="46"/>
      <c r="O107" s="46"/>
      <c r="P107" s="46"/>
      <c r="Q107" s="46"/>
      <c r="R107" s="46"/>
      <c r="S107" s="46"/>
      <c r="T107" s="46"/>
      <c r="U107" s="46"/>
      <c r="V107" s="46"/>
      <c r="W107" s="46"/>
    </row>
    <row r="108">
      <c r="A108" s="52" t="s">
        <v>3528</v>
      </c>
      <c r="B108" s="204" t="s">
        <v>3529</v>
      </c>
      <c r="C108" s="52" t="s">
        <v>3530</v>
      </c>
      <c r="D108" s="204"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8" s="205" t="str">
        <f>IFERROR(__xludf.DUMMYFUNCTION("GOOGLETRANSLATE(A108,""zh-tw"",""KO"")"),"유닛-01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4" t="s">
        <v>3531</v>
      </c>
      <c r="I108" s="142" t="s">
        <v>3532</v>
      </c>
      <c r="J108" s="46"/>
      <c r="K108" s="46"/>
      <c r="L108" s="46"/>
      <c r="M108" s="46"/>
      <c r="N108" s="46"/>
      <c r="O108" s="46"/>
      <c r="P108" s="46"/>
      <c r="Q108" s="46"/>
      <c r="R108" s="46"/>
      <c r="S108" s="46"/>
      <c r="T108" s="46"/>
      <c r="U108" s="46"/>
      <c r="V108" s="46"/>
      <c r="W108" s="46"/>
    </row>
    <row r="109">
      <c r="A109" s="52" t="s">
        <v>3533</v>
      </c>
      <c r="B109" s="204" t="s">
        <v>3534</v>
      </c>
      <c r="C109" s="52" t="s">
        <v>3535</v>
      </c>
      <c r="D109" s="204"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5"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4" t="s">
        <v>3536</v>
      </c>
      <c r="I109" s="110" t="s">
        <v>3537</v>
      </c>
      <c r="J109" s="46"/>
      <c r="K109" s="46"/>
      <c r="L109" s="46"/>
      <c r="M109" s="46"/>
      <c r="N109" s="46"/>
      <c r="O109" s="46"/>
      <c r="P109" s="46"/>
      <c r="Q109" s="46"/>
      <c r="R109" s="46"/>
      <c r="S109" s="46"/>
      <c r="T109" s="46"/>
      <c r="U109" s="46"/>
      <c r="V109" s="46"/>
      <c r="W109" s="46"/>
    </row>
    <row r="110">
      <c r="A110" s="52" t="s">
        <v>3538</v>
      </c>
      <c r="B110" s="204" t="s">
        <v>3539</v>
      </c>
      <c r="C110" s="52" t="s">
        <v>3540</v>
      </c>
      <c r="D110" s="204"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5"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его атакуют.
После поражения, если в радиусе 8 блоков есть вода, он выходит из боя и убегает в воду. Во время этого процесса "&amp;"у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Сака"&amp;"бан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его атакуют.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4" t="s">
        <v>3541</v>
      </c>
      <c r="I110" s="142" t="s">
        <v>3542</v>
      </c>
      <c r="J110" s="46"/>
      <c r="K110" s="46"/>
      <c r="L110" s="46"/>
      <c r="M110" s="46"/>
      <c r="N110" s="46"/>
      <c r="O110" s="46"/>
      <c r="P110" s="46"/>
      <c r="Q110" s="46"/>
      <c r="R110" s="46"/>
      <c r="S110" s="46"/>
      <c r="T110" s="46"/>
      <c r="U110" s="46"/>
      <c r="V110" s="46"/>
      <c r="W110" s="46"/>
    </row>
    <row r="111">
      <c r="A111" s="52" t="s">
        <v>3543</v>
      </c>
      <c r="B111" s="204" t="s">
        <v>3544</v>
      </c>
      <c r="C111" s="52" t="s">
        <v>3545</v>
      </c>
      <c r="D111" s="204"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5"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4" t="s">
        <v>3546</v>
      </c>
      <c r="I111" s="142" t="s">
        <v>3547</v>
      </c>
      <c r="J111" s="46"/>
      <c r="K111" s="46"/>
      <c r="L111" s="46"/>
      <c r="M111" s="46"/>
      <c r="N111" s="46"/>
      <c r="O111" s="46"/>
      <c r="P111" s="46"/>
      <c r="Q111" s="46"/>
      <c r="R111" s="46"/>
      <c r="S111" s="46"/>
      <c r="T111" s="46"/>
      <c r="U111" s="46"/>
      <c r="V111" s="46"/>
      <c r="W111" s="46"/>
    </row>
    <row r="112">
      <c r="A112" s="52" t="s">
        <v>3548</v>
      </c>
      <c r="B112" s="204" t="s">
        <v>3549</v>
      </c>
      <c r="C112" s="52" t="s">
        <v>3550</v>
      </c>
      <c r="D112" s="204"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5"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4" t="s">
        <v>3551</v>
      </c>
      <c r="I112" s="142" t="s">
        <v>3552</v>
      </c>
      <c r="J112" s="46"/>
      <c r="K112" s="46"/>
      <c r="L112" s="46"/>
      <c r="M112" s="46"/>
      <c r="N112" s="46"/>
      <c r="O112" s="46"/>
      <c r="P112" s="46"/>
      <c r="Q112" s="46"/>
      <c r="R112" s="46"/>
      <c r="S112" s="46"/>
      <c r="T112" s="46"/>
      <c r="U112" s="46"/>
      <c r="V112" s="46"/>
      <c r="W112" s="46"/>
    </row>
    <row r="113">
      <c r="A113" s="52" t="s">
        <v>3553</v>
      </c>
      <c r="B113" s="204" t="s">
        <v>3554</v>
      </c>
      <c r="C113" s="52" t="s">
        <v>3555</v>
      </c>
      <c r="D113" s="204"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5"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지도 전체에 효과적일 수 있습니다.")</f>
        <v>비가 오는 날씨는 낚시 확률에 30~50%의 보너스를 주지만, 화면에 비가 표시될 때만 그렇습니다(예를 들어, 실내/던전 등에서는 보너스가 없습니다). 흐린 날씨는 15~25%의 보너스를 주지만, 지도 전체에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4" t="s">
        <v>3556</v>
      </c>
      <c r="I113" s="142" t="s">
        <v>3557</v>
      </c>
      <c r="J113" s="46"/>
      <c r="K113" s="46"/>
      <c r="L113" s="46"/>
      <c r="M113" s="46"/>
      <c r="N113" s="46"/>
      <c r="O113" s="46"/>
      <c r="P113" s="46"/>
      <c r="Q113" s="46"/>
      <c r="R113" s="46"/>
      <c r="S113" s="46"/>
      <c r="T113" s="46"/>
      <c r="U113" s="46"/>
      <c r="V113" s="46"/>
      <c r="W113" s="46"/>
    </row>
    <row r="114">
      <c r="A114" s="55"/>
      <c r="B114" s="205"/>
      <c r="C114" s="55"/>
      <c r="D114" s="204"/>
      <c r="E114" s="55"/>
      <c r="F114" s="205"/>
      <c r="G114" s="55"/>
      <c r="H114" s="205"/>
      <c r="I114" s="149"/>
      <c r="J114" s="46"/>
      <c r="K114" s="46"/>
      <c r="L114" s="46"/>
      <c r="M114" s="46"/>
      <c r="N114" s="46"/>
      <c r="O114" s="46"/>
      <c r="P114" s="46"/>
      <c r="Q114" s="46"/>
      <c r="R114" s="46"/>
      <c r="S114" s="46"/>
      <c r="T114" s="46"/>
      <c r="U114" s="46"/>
      <c r="V114" s="46"/>
      <c r="W114" s="46"/>
    </row>
    <row r="115">
      <c r="A115" s="55"/>
      <c r="B115" s="205"/>
      <c r="C115" s="55"/>
      <c r="D115" s="205"/>
      <c r="E115" s="172"/>
      <c r="F115" s="212"/>
      <c r="G115" s="172"/>
      <c r="H115" s="205"/>
      <c r="I115" s="149"/>
      <c r="J115" s="46"/>
      <c r="K115" s="46"/>
      <c r="L115" s="46"/>
      <c r="M115" s="46"/>
      <c r="N115" s="46"/>
      <c r="O115" s="46"/>
      <c r="P115" s="46"/>
      <c r="Q115" s="46"/>
      <c r="R115" s="46"/>
      <c r="S115" s="46"/>
      <c r="T115" s="46"/>
      <c r="U115" s="46"/>
      <c r="V115" s="46"/>
      <c r="W115" s="46"/>
    </row>
    <row r="116">
      <c r="A116" s="55"/>
      <c r="B116" s="205"/>
      <c r="C116" s="55"/>
      <c r="D116" s="205"/>
      <c r="E116" s="172"/>
      <c r="F116" s="212"/>
      <c r="G116" s="172"/>
      <c r="H116" s="205"/>
      <c r="I116" s="149"/>
      <c r="J116" s="46"/>
      <c r="K116" s="46"/>
      <c r="L116" s="46"/>
      <c r="M116" s="46"/>
      <c r="N116" s="46"/>
      <c r="O116" s="46"/>
      <c r="P116" s="46"/>
      <c r="Q116" s="46"/>
      <c r="R116" s="46"/>
      <c r="S116" s="46"/>
      <c r="T116" s="46"/>
      <c r="U116" s="46"/>
      <c r="V116" s="46"/>
      <c r="W116" s="46"/>
    </row>
    <row r="117">
      <c r="A117" s="55"/>
      <c r="B117" s="205"/>
      <c r="C117" s="55"/>
      <c r="D117" s="205"/>
      <c r="E117" s="172"/>
      <c r="F117" s="212"/>
      <c r="G117" s="172"/>
      <c r="H117" s="205"/>
      <c r="I117" s="149"/>
      <c r="J117" s="46"/>
      <c r="K117" s="46"/>
      <c r="L117" s="46"/>
      <c r="M117" s="46"/>
      <c r="N117" s="46"/>
      <c r="O117" s="46"/>
      <c r="P117" s="46"/>
      <c r="Q117" s="46"/>
      <c r="R117" s="46"/>
      <c r="S117" s="46"/>
      <c r="T117" s="46"/>
      <c r="U117" s="46"/>
      <c r="V117" s="46"/>
      <c r="W117" s="46"/>
    </row>
    <row r="118">
      <c r="A118" s="55"/>
      <c r="B118" s="205"/>
      <c r="C118" s="55"/>
      <c r="D118" s="205"/>
      <c r="E118" s="172"/>
      <c r="F118" s="212"/>
      <c r="G118" s="172"/>
      <c r="H118" s="205"/>
      <c r="I118" s="149"/>
      <c r="J118" s="46"/>
      <c r="K118" s="46"/>
      <c r="L118" s="46"/>
      <c r="M118" s="46"/>
      <c r="N118" s="46"/>
      <c r="O118" s="46"/>
      <c r="P118" s="46"/>
      <c r="Q118" s="46"/>
      <c r="R118" s="46"/>
      <c r="S118" s="46"/>
      <c r="T118" s="46"/>
      <c r="U118" s="46"/>
      <c r="V118" s="46"/>
      <c r="W118" s="46"/>
    </row>
    <row r="119">
      <c r="A119" s="55"/>
      <c r="B119" s="205"/>
      <c r="C119" s="55"/>
      <c r="D119" s="205"/>
      <c r="E119" s="172"/>
      <c r="F119" s="212"/>
      <c r="G119" s="172"/>
      <c r="H119" s="205"/>
      <c r="I119" s="149"/>
      <c r="J119" s="46"/>
      <c r="K119" s="46"/>
      <c r="L119" s="46"/>
      <c r="M119" s="46"/>
      <c r="N119" s="46"/>
      <c r="O119" s="46"/>
      <c r="P119" s="46"/>
      <c r="Q119" s="46"/>
      <c r="R119" s="46"/>
      <c r="S119" s="46"/>
      <c r="T119" s="46"/>
      <c r="U119" s="46"/>
      <c r="V119" s="46"/>
      <c r="W119" s="46"/>
    </row>
    <row r="120">
      <c r="A120" s="55"/>
      <c r="B120" s="205"/>
      <c r="C120" s="55"/>
      <c r="D120" s="205"/>
      <c r="E120" s="172"/>
      <c r="F120" s="212"/>
      <c r="G120" s="172"/>
      <c r="H120" s="205"/>
      <c r="I120" s="149"/>
      <c r="J120" s="46"/>
      <c r="K120" s="46"/>
      <c r="L120" s="46"/>
      <c r="M120" s="46"/>
      <c r="N120" s="46"/>
      <c r="O120" s="46"/>
      <c r="P120" s="46"/>
      <c r="Q120" s="46"/>
      <c r="R120" s="46"/>
      <c r="S120" s="46"/>
      <c r="T120" s="46"/>
      <c r="U120" s="46"/>
      <c r="V120" s="46"/>
      <c r="W120" s="46"/>
    </row>
    <row r="121">
      <c r="A121" s="55"/>
      <c r="B121" s="205"/>
      <c r="C121" s="55"/>
      <c r="D121" s="205"/>
      <c r="E121" s="172"/>
      <c r="F121" s="212"/>
      <c r="G121" s="172"/>
      <c r="H121" s="205"/>
      <c r="I121" s="149"/>
      <c r="J121" s="46"/>
      <c r="K121" s="46"/>
      <c r="L121" s="46"/>
      <c r="M121" s="46"/>
      <c r="N121" s="46"/>
      <c r="O121" s="46"/>
      <c r="P121" s="46"/>
      <c r="Q121" s="46"/>
      <c r="R121" s="46"/>
      <c r="S121" s="46"/>
      <c r="T121" s="46"/>
      <c r="U121" s="46"/>
      <c r="V121" s="46"/>
      <c r="W121" s="46"/>
    </row>
    <row r="122">
      <c r="A122" s="55"/>
      <c r="B122" s="205"/>
      <c r="C122" s="55"/>
      <c r="D122" s="205"/>
      <c r="E122" s="172"/>
      <c r="F122" s="212"/>
      <c r="G122" s="172"/>
      <c r="H122" s="205"/>
      <c r="I122" s="149"/>
      <c r="J122" s="46"/>
      <c r="K122" s="46"/>
      <c r="L122" s="46"/>
      <c r="M122" s="46"/>
      <c r="N122" s="46"/>
      <c r="O122" s="46"/>
      <c r="P122" s="46"/>
      <c r="Q122" s="46"/>
      <c r="R122" s="46"/>
      <c r="S122" s="46"/>
      <c r="T122" s="46"/>
      <c r="U122" s="46"/>
      <c r="V122" s="46"/>
      <c r="W122" s="46"/>
    </row>
    <row r="123">
      <c r="A123" s="55"/>
      <c r="B123" s="205"/>
      <c r="C123" s="55"/>
      <c r="D123" s="205"/>
      <c r="E123" s="172"/>
      <c r="F123" s="212"/>
      <c r="G123" s="172"/>
      <c r="H123" s="205"/>
      <c r="I123" s="149"/>
      <c r="J123" s="46"/>
      <c r="K123" s="46"/>
      <c r="L123" s="46"/>
      <c r="M123" s="46"/>
      <c r="N123" s="46"/>
      <c r="O123" s="46"/>
      <c r="P123" s="46"/>
      <c r="Q123" s="46"/>
      <c r="R123" s="46"/>
      <c r="S123" s="46"/>
      <c r="T123" s="46"/>
      <c r="U123" s="46"/>
      <c r="V123" s="46"/>
      <c r="W123" s="46"/>
    </row>
    <row r="124">
      <c r="A124" s="55"/>
      <c r="B124" s="205"/>
      <c r="C124" s="55"/>
      <c r="D124" s="205"/>
      <c r="E124" s="172"/>
      <c r="F124" s="212"/>
      <c r="G124" s="172"/>
      <c r="H124" s="205"/>
      <c r="I124" s="149"/>
      <c r="J124" s="46"/>
      <c r="K124" s="46"/>
      <c r="L124" s="46"/>
      <c r="M124" s="46"/>
      <c r="N124" s="46"/>
      <c r="O124" s="46"/>
      <c r="P124" s="46"/>
      <c r="Q124" s="46"/>
      <c r="R124" s="46"/>
      <c r="S124" s="46"/>
      <c r="T124" s="46"/>
      <c r="U124" s="46"/>
      <c r="V124" s="46"/>
      <c r="W124" s="46"/>
    </row>
    <row r="125">
      <c r="A125" s="55"/>
      <c r="B125" s="205"/>
      <c r="C125" s="55"/>
      <c r="D125" s="205"/>
      <c r="E125" s="172"/>
      <c r="F125" s="212"/>
      <c r="G125" s="172"/>
      <c r="H125" s="205"/>
      <c r="I125" s="149"/>
      <c r="J125" s="46"/>
      <c r="K125" s="46"/>
      <c r="L125" s="46"/>
      <c r="M125" s="46"/>
      <c r="N125" s="46"/>
      <c r="O125" s="46"/>
      <c r="P125" s="46"/>
      <c r="Q125" s="46"/>
      <c r="R125" s="46"/>
      <c r="S125" s="46"/>
      <c r="T125" s="46"/>
      <c r="U125" s="46"/>
      <c r="V125" s="46"/>
      <c r="W125" s="46"/>
    </row>
    <row r="126">
      <c r="A126" s="55"/>
      <c r="B126" s="205"/>
      <c r="C126" s="55"/>
      <c r="D126" s="205"/>
      <c r="E126" s="172"/>
      <c r="F126" s="212"/>
      <c r="G126" s="172"/>
      <c r="H126" s="205"/>
      <c r="I126" s="149"/>
      <c r="J126" s="46"/>
      <c r="K126" s="46"/>
      <c r="L126" s="46"/>
      <c r="M126" s="46"/>
      <c r="N126" s="46"/>
      <c r="O126" s="46"/>
      <c r="P126" s="46"/>
      <c r="Q126" s="46"/>
      <c r="R126" s="46"/>
      <c r="S126" s="46"/>
      <c r="T126" s="46"/>
      <c r="U126" s="46"/>
      <c r="V126" s="46"/>
      <c r="W126" s="46"/>
    </row>
    <row r="127">
      <c r="A127" s="55"/>
      <c r="B127" s="205"/>
      <c r="C127" s="55"/>
      <c r="D127" s="205"/>
      <c r="E127" s="172"/>
      <c r="F127" s="212"/>
      <c r="G127" s="172"/>
      <c r="H127" s="205"/>
      <c r="I127" s="149"/>
      <c r="J127" s="46"/>
      <c r="K127" s="46"/>
      <c r="L127" s="46"/>
      <c r="M127" s="46"/>
      <c r="N127" s="46"/>
      <c r="O127" s="46"/>
      <c r="P127" s="46"/>
      <c r="Q127" s="46"/>
      <c r="R127" s="46"/>
      <c r="S127" s="46"/>
      <c r="T127" s="46"/>
      <c r="U127" s="46"/>
      <c r="V127" s="46"/>
      <c r="W127" s="46"/>
    </row>
    <row r="128">
      <c r="A128" s="55"/>
      <c r="B128" s="205"/>
      <c r="C128" s="55"/>
      <c r="D128" s="205"/>
      <c r="E128" s="172"/>
      <c r="F128" s="212"/>
      <c r="G128" s="172"/>
      <c r="H128" s="205"/>
      <c r="I128" s="149"/>
      <c r="J128" s="46"/>
      <c r="K128" s="46"/>
      <c r="L128" s="46"/>
      <c r="M128" s="46"/>
      <c r="N128" s="46"/>
      <c r="O128" s="46"/>
      <c r="P128" s="46"/>
      <c r="Q128" s="46"/>
      <c r="R128" s="46"/>
      <c r="S128" s="46"/>
      <c r="T128" s="46"/>
      <c r="U128" s="46"/>
      <c r="V128" s="46"/>
      <c r="W128" s="46"/>
    </row>
    <row r="129">
      <c r="A129" s="55"/>
      <c r="B129" s="205"/>
      <c r="C129" s="55"/>
      <c r="D129" s="205"/>
      <c r="E129" s="172"/>
      <c r="F129" s="212"/>
      <c r="G129" s="172"/>
      <c r="H129" s="205"/>
      <c r="I129" s="149"/>
      <c r="J129" s="46"/>
      <c r="K129" s="46"/>
      <c r="L129" s="46"/>
      <c r="M129" s="46"/>
      <c r="N129" s="46"/>
      <c r="O129" s="46"/>
      <c r="P129" s="46"/>
      <c r="Q129" s="46"/>
      <c r="R129" s="46"/>
      <c r="S129" s="46"/>
      <c r="T129" s="46"/>
      <c r="U129" s="46"/>
      <c r="V129" s="46"/>
      <c r="W129" s="46"/>
    </row>
    <row r="130">
      <c r="A130" s="55"/>
      <c r="B130" s="205"/>
      <c r="C130" s="55"/>
      <c r="D130" s="205"/>
      <c r="E130" s="172"/>
      <c r="F130" s="212"/>
      <c r="G130" s="172"/>
      <c r="H130" s="205"/>
      <c r="I130" s="149"/>
      <c r="J130" s="46"/>
      <c r="K130" s="46"/>
      <c r="L130" s="46"/>
      <c r="M130" s="46"/>
      <c r="N130" s="46"/>
      <c r="O130" s="46"/>
      <c r="P130" s="46"/>
      <c r="Q130" s="46"/>
      <c r="R130" s="46"/>
      <c r="S130" s="46"/>
      <c r="T130" s="46"/>
      <c r="U130" s="46"/>
      <c r="V130" s="46"/>
      <c r="W130" s="46"/>
    </row>
    <row r="131">
      <c r="A131" s="55"/>
      <c r="B131" s="205"/>
      <c r="C131" s="55"/>
      <c r="D131" s="205"/>
      <c r="E131" s="172"/>
      <c r="F131" s="212"/>
      <c r="G131" s="172"/>
      <c r="H131" s="205"/>
      <c r="I131" s="149"/>
      <c r="J131" s="46"/>
      <c r="K131" s="46"/>
      <c r="L131" s="46"/>
      <c r="M131" s="46"/>
      <c r="N131" s="46"/>
      <c r="O131" s="46"/>
      <c r="P131" s="46"/>
      <c r="Q131" s="46"/>
      <c r="R131" s="46"/>
      <c r="S131" s="46"/>
      <c r="T131" s="46"/>
      <c r="U131" s="46"/>
      <c r="V131" s="46"/>
      <c r="W131" s="46"/>
    </row>
    <row r="132">
      <c r="A132" s="55"/>
      <c r="B132" s="205"/>
      <c r="C132" s="55"/>
      <c r="D132" s="205"/>
      <c r="E132" s="172"/>
      <c r="F132" s="212"/>
      <c r="G132" s="172"/>
      <c r="H132" s="205"/>
      <c r="I132" s="149"/>
      <c r="J132" s="46"/>
      <c r="K132" s="46"/>
      <c r="L132" s="46"/>
      <c r="M132" s="46"/>
      <c r="N132" s="46"/>
      <c r="O132" s="46"/>
      <c r="P132" s="46"/>
      <c r="Q132" s="46"/>
      <c r="R132" s="46"/>
      <c r="S132" s="46"/>
      <c r="T132" s="46"/>
      <c r="U132" s="46"/>
      <c r="V132" s="46"/>
      <c r="W132" s="46"/>
    </row>
    <row r="133">
      <c r="A133" s="55"/>
      <c r="B133" s="205"/>
      <c r="C133" s="55"/>
      <c r="D133" s="205"/>
      <c r="E133" s="172"/>
      <c r="F133" s="212"/>
      <c r="G133" s="172"/>
      <c r="H133" s="205"/>
      <c r="I133" s="149"/>
      <c r="J133" s="46"/>
      <c r="K133" s="46"/>
      <c r="L133" s="46"/>
      <c r="M133" s="46"/>
      <c r="N133" s="46"/>
      <c r="O133" s="46"/>
      <c r="P133" s="46"/>
      <c r="Q133" s="46"/>
      <c r="R133" s="46"/>
      <c r="S133" s="46"/>
      <c r="T133" s="46"/>
      <c r="U133" s="46"/>
      <c r="V133" s="46"/>
      <c r="W133" s="46"/>
    </row>
    <row r="134">
      <c r="A134" s="55"/>
      <c r="B134" s="205"/>
      <c r="C134" s="55"/>
      <c r="D134" s="205"/>
      <c r="E134" s="172"/>
      <c r="F134" s="212"/>
      <c r="G134" s="172"/>
      <c r="H134" s="205"/>
      <c r="I134" s="149"/>
      <c r="J134" s="46"/>
      <c r="K134" s="46"/>
      <c r="L134" s="46"/>
      <c r="M134" s="46"/>
      <c r="N134" s="46"/>
      <c r="O134" s="46"/>
      <c r="P134" s="46"/>
      <c r="Q134" s="46"/>
      <c r="R134" s="46"/>
      <c r="S134" s="46"/>
      <c r="T134" s="46"/>
      <c r="U134" s="46"/>
      <c r="V134" s="46"/>
      <c r="W134" s="46"/>
    </row>
    <row r="135">
      <c r="A135" s="55"/>
      <c r="B135" s="205"/>
      <c r="C135" s="55"/>
      <c r="D135" s="205"/>
      <c r="E135" s="172"/>
      <c r="F135" s="212"/>
      <c r="G135" s="172"/>
      <c r="H135" s="205"/>
      <c r="I135" s="149"/>
      <c r="J135" s="46"/>
      <c r="K135" s="46"/>
      <c r="L135" s="46"/>
      <c r="M135" s="46"/>
      <c r="N135" s="46"/>
      <c r="O135" s="46"/>
      <c r="P135" s="46"/>
      <c r="Q135" s="46"/>
      <c r="R135" s="46"/>
      <c r="S135" s="46"/>
      <c r="T135" s="46"/>
      <c r="U135" s="46"/>
      <c r="V135" s="46"/>
      <c r="W135" s="46"/>
    </row>
    <row r="136">
      <c r="A136" s="55"/>
      <c r="B136" s="205"/>
      <c r="C136" s="55"/>
      <c r="D136" s="205"/>
      <c r="E136" s="172"/>
      <c r="F136" s="212"/>
      <c r="G136" s="172"/>
      <c r="H136" s="205"/>
      <c r="I136" s="149"/>
      <c r="J136" s="46"/>
      <c r="K136" s="46"/>
      <c r="L136" s="46"/>
      <c r="M136" s="46"/>
      <c r="N136" s="46"/>
      <c r="O136" s="46"/>
      <c r="P136" s="46"/>
      <c r="Q136" s="46"/>
      <c r="R136" s="46"/>
      <c r="S136" s="46"/>
      <c r="T136" s="46"/>
      <c r="U136" s="46"/>
      <c r="V136" s="46"/>
      <c r="W136" s="46"/>
    </row>
    <row r="137">
      <c r="A137" s="55"/>
      <c r="B137" s="205"/>
      <c r="C137" s="55"/>
      <c r="D137" s="205"/>
      <c r="E137" s="172"/>
      <c r="F137" s="212"/>
      <c r="G137" s="172"/>
      <c r="H137" s="205"/>
      <c r="I137" s="149"/>
      <c r="J137" s="46"/>
      <c r="K137" s="46"/>
      <c r="L137" s="46"/>
      <c r="M137" s="46"/>
      <c r="N137" s="46"/>
      <c r="O137" s="46"/>
      <c r="P137" s="46"/>
      <c r="Q137" s="46"/>
      <c r="R137" s="46"/>
      <c r="S137" s="46"/>
      <c r="T137" s="46"/>
      <c r="U137" s="46"/>
      <c r="V137" s="46"/>
      <c r="W137" s="46"/>
    </row>
    <row r="138">
      <c r="A138" s="55"/>
      <c r="B138" s="205"/>
      <c r="C138" s="55"/>
      <c r="D138" s="205"/>
      <c r="E138" s="172"/>
      <c r="F138" s="212"/>
      <c r="G138" s="172"/>
      <c r="H138" s="205"/>
      <c r="I138" s="149"/>
      <c r="J138" s="46"/>
      <c r="K138" s="46"/>
      <c r="L138" s="46"/>
      <c r="M138" s="46"/>
      <c r="N138" s="46"/>
      <c r="O138" s="46"/>
      <c r="P138" s="46"/>
      <c r="Q138" s="46"/>
      <c r="R138" s="46"/>
      <c r="S138" s="46"/>
      <c r="T138" s="46"/>
      <c r="U138" s="46"/>
      <c r="V138" s="46"/>
      <c r="W138" s="46"/>
    </row>
    <row r="139">
      <c r="A139" s="55"/>
      <c r="B139" s="205"/>
      <c r="C139" s="55"/>
      <c r="D139" s="205"/>
      <c r="E139" s="172"/>
      <c r="F139" s="212"/>
      <c r="G139" s="172"/>
      <c r="H139" s="205"/>
      <c r="I139" s="149"/>
      <c r="J139" s="46"/>
      <c r="K139" s="46"/>
      <c r="L139" s="46"/>
      <c r="M139" s="46"/>
      <c r="N139" s="46"/>
      <c r="O139" s="46"/>
      <c r="P139" s="46"/>
      <c r="Q139" s="46"/>
      <c r="R139" s="46"/>
      <c r="S139" s="46"/>
      <c r="T139" s="46"/>
      <c r="U139" s="46"/>
      <c r="V139" s="46"/>
      <c r="W139" s="46"/>
    </row>
    <row r="140">
      <c r="A140" s="55"/>
      <c r="B140" s="205"/>
      <c r="C140" s="55"/>
      <c r="D140" s="205"/>
      <c r="E140" s="172"/>
      <c r="F140" s="212"/>
      <c r="G140" s="172"/>
      <c r="H140" s="205"/>
      <c r="I140" s="149"/>
      <c r="J140" s="46"/>
      <c r="K140" s="46"/>
      <c r="L140" s="46"/>
      <c r="M140" s="46"/>
      <c r="N140" s="46"/>
      <c r="O140" s="46"/>
      <c r="P140" s="46"/>
      <c r="Q140" s="46"/>
      <c r="R140" s="46"/>
      <c r="S140" s="46"/>
      <c r="T140" s="46"/>
      <c r="U140" s="46"/>
      <c r="V140" s="46"/>
      <c r="W140" s="46"/>
    </row>
    <row r="141">
      <c r="A141" s="55"/>
      <c r="B141" s="205"/>
      <c r="C141" s="55"/>
      <c r="D141" s="205"/>
      <c r="E141" s="172"/>
      <c r="F141" s="212"/>
      <c r="G141" s="172"/>
      <c r="H141" s="205"/>
      <c r="I141" s="149"/>
      <c r="J141" s="46"/>
      <c r="K141" s="46"/>
      <c r="L141" s="46"/>
      <c r="M141" s="46"/>
      <c r="N141" s="46"/>
      <c r="O141" s="46"/>
      <c r="P141" s="46"/>
      <c r="Q141" s="46"/>
      <c r="R141" s="46"/>
      <c r="S141" s="46"/>
      <c r="T141" s="46"/>
      <c r="U141" s="46"/>
      <c r="V141" s="46"/>
      <c r="W141" s="46"/>
    </row>
    <row r="142">
      <c r="A142" s="55"/>
      <c r="B142" s="205"/>
      <c r="C142" s="55"/>
      <c r="D142" s="205"/>
      <c r="E142" s="172"/>
      <c r="F142" s="212"/>
      <c r="G142" s="172"/>
      <c r="H142" s="205"/>
      <c r="I142" s="149"/>
      <c r="J142" s="46"/>
      <c r="K142" s="46"/>
      <c r="L142" s="46"/>
      <c r="M142" s="46"/>
      <c r="N142" s="46"/>
      <c r="O142" s="46"/>
      <c r="P142" s="46"/>
      <c r="Q142" s="46"/>
      <c r="R142" s="46"/>
      <c r="S142" s="46"/>
      <c r="T142" s="46"/>
      <c r="U142" s="46"/>
      <c r="V142" s="46"/>
      <c r="W142" s="46"/>
    </row>
    <row r="143">
      <c r="A143" s="55"/>
      <c r="B143" s="205"/>
      <c r="C143" s="55"/>
      <c r="D143" s="205"/>
      <c r="E143" s="172"/>
      <c r="F143" s="212"/>
      <c r="G143" s="172"/>
      <c r="H143" s="205"/>
      <c r="I143" s="149"/>
      <c r="J143" s="46"/>
      <c r="K143" s="46"/>
      <c r="L143" s="46"/>
      <c r="M143" s="46"/>
      <c r="N143" s="46"/>
      <c r="O143" s="46"/>
      <c r="P143" s="46"/>
      <c r="Q143" s="46"/>
      <c r="R143" s="46"/>
      <c r="S143" s="46"/>
      <c r="T143" s="46"/>
      <c r="U143" s="46"/>
      <c r="V143" s="46"/>
      <c r="W143" s="46"/>
    </row>
    <row r="144">
      <c r="A144" s="55"/>
      <c r="B144" s="205"/>
      <c r="C144" s="55"/>
      <c r="D144" s="205"/>
      <c r="E144" s="172"/>
      <c r="F144" s="212"/>
      <c r="G144" s="172"/>
      <c r="H144" s="205"/>
      <c r="I144" s="149"/>
      <c r="J144" s="46"/>
      <c r="K144" s="46"/>
      <c r="L144" s="46"/>
      <c r="M144" s="46"/>
      <c r="N144" s="46"/>
      <c r="O144" s="46"/>
      <c r="P144" s="46"/>
      <c r="Q144" s="46"/>
      <c r="R144" s="46"/>
      <c r="S144" s="46"/>
      <c r="T144" s="46"/>
      <c r="U144" s="46"/>
      <c r="V144" s="46"/>
      <c r="W144" s="46"/>
    </row>
    <row r="145">
      <c r="A145" s="55"/>
      <c r="B145" s="205"/>
      <c r="C145" s="55"/>
      <c r="D145" s="205"/>
      <c r="E145" s="172"/>
      <c r="F145" s="212"/>
      <c r="G145" s="172"/>
      <c r="H145" s="205"/>
      <c r="I145" s="149"/>
      <c r="J145" s="46"/>
      <c r="K145" s="46"/>
      <c r="L145" s="46"/>
      <c r="M145" s="46"/>
      <c r="N145" s="46"/>
      <c r="O145" s="46"/>
      <c r="P145" s="46"/>
      <c r="Q145" s="46"/>
      <c r="R145" s="46"/>
      <c r="S145" s="46"/>
      <c r="T145" s="46"/>
      <c r="U145" s="46"/>
      <c r="V145" s="46"/>
      <c r="W145" s="46"/>
    </row>
    <row r="146">
      <c r="A146" s="55"/>
      <c r="B146" s="205"/>
      <c r="C146" s="55"/>
      <c r="D146" s="205"/>
      <c r="E146" s="172"/>
      <c r="F146" s="212"/>
      <c r="G146" s="172"/>
      <c r="H146" s="205"/>
      <c r="I146" s="149"/>
      <c r="J146" s="46"/>
      <c r="K146" s="46"/>
      <c r="L146" s="46"/>
      <c r="M146" s="46"/>
      <c r="N146" s="46"/>
      <c r="O146" s="46"/>
      <c r="P146" s="46"/>
      <c r="Q146" s="46"/>
      <c r="R146" s="46"/>
      <c r="S146" s="46"/>
      <c r="T146" s="46"/>
      <c r="U146" s="46"/>
      <c r="V146" s="46"/>
      <c r="W146" s="46"/>
    </row>
    <row r="147">
      <c r="A147" s="55"/>
      <c r="B147" s="205"/>
      <c r="C147" s="55"/>
      <c r="D147" s="205"/>
      <c r="E147" s="172"/>
      <c r="F147" s="212"/>
      <c r="G147" s="172"/>
      <c r="H147" s="205"/>
      <c r="I147" s="149"/>
      <c r="J147" s="46"/>
      <c r="K147" s="46"/>
      <c r="L147" s="46"/>
      <c r="M147" s="46"/>
      <c r="N147" s="46"/>
      <c r="O147" s="46"/>
      <c r="P147" s="46"/>
      <c r="Q147" s="46"/>
      <c r="R147" s="46"/>
      <c r="S147" s="46"/>
      <c r="T147" s="46"/>
      <c r="U147" s="46"/>
      <c r="V147" s="46"/>
      <c r="W147" s="46"/>
    </row>
    <row r="148">
      <c r="A148" s="55"/>
      <c r="B148" s="205"/>
      <c r="C148" s="55"/>
      <c r="D148" s="205"/>
      <c r="E148" s="172"/>
      <c r="F148" s="212"/>
      <c r="G148" s="172"/>
      <c r="H148" s="205"/>
      <c r="I148" s="149"/>
      <c r="J148" s="46"/>
      <c r="K148" s="46"/>
      <c r="L148" s="46"/>
      <c r="M148" s="46"/>
      <c r="N148" s="46"/>
      <c r="O148" s="46"/>
      <c r="P148" s="46"/>
      <c r="Q148" s="46"/>
      <c r="R148" s="46"/>
      <c r="S148" s="46"/>
      <c r="T148" s="46"/>
      <c r="U148" s="46"/>
      <c r="V148" s="46"/>
      <c r="W148" s="46"/>
    </row>
    <row r="149">
      <c r="A149" s="55"/>
      <c r="B149" s="205"/>
      <c r="C149" s="55"/>
      <c r="D149" s="205"/>
      <c r="E149" s="172"/>
      <c r="F149" s="212"/>
      <c r="G149" s="172"/>
      <c r="H149" s="205"/>
      <c r="I149" s="149"/>
      <c r="J149" s="46"/>
      <c r="K149" s="46"/>
      <c r="L149" s="46"/>
      <c r="M149" s="46"/>
      <c r="N149" s="46"/>
      <c r="O149" s="46"/>
      <c r="P149" s="46"/>
      <c r="Q149" s="46"/>
      <c r="R149" s="46"/>
      <c r="S149" s="46"/>
      <c r="T149" s="46"/>
      <c r="U149" s="46"/>
      <c r="V149" s="46"/>
      <c r="W149" s="46"/>
    </row>
    <row r="150">
      <c r="A150" s="55"/>
      <c r="B150" s="205"/>
      <c r="C150" s="55"/>
      <c r="D150" s="205"/>
      <c r="E150" s="172"/>
      <c r="F150" s="212"/>
      <c r="G150" s="172"/>
      <c r="H150" s="205"/>
      <c r="I150" s="149"/>
      <c r="J150" s="46"/>
      <c r="K150" s="46"/>
      <c r="L150" s="46"/>
      <c r="M150" s="46"/>
      <c r="N150" s="46"/>
      <c r="O150" s="46"/>
      <c r="P150" s="46"/>
      <c r="Q150" s="46"/>
      <c r="R150" s="46"/>
      <c r="S150" s="46"/>
      <c r="T150" s="46"/>
      <c r="U150" s="46"/>
      <c r="V150" s="46"/>
      <c r="W150" s="46"/>
    </row>
    <row r="151">
      <c r="A151" s="55"/>
      <c r="B151" s="205"/>
      <c r="C151" s="55"/>
      <c r="D151" s="205"/>
      <c r="E151" s="172"/>
      <c r="F151" s="212"/>
      <c r="G151" s="172"/>
      <c r="H151" s="205"/>
      <c r="I151" s="149"/>
      <c r="J151" s="46"/>
      <c r="K151" s="46"/>
      <c r="L151" s="46"/>
      <c r="M151" s="46"/>
      <c r="N151" s="46"/>
      <c r="O151" s="46"/>
      <c r="P151" s="46"/>
      <c r="Q151" s="46"/>
      <c r="R151" s="46"/>
      <c r="S151" s="46"/>
      <c r="T151" s="46"/>
      <c r="U151" s="46"/>
      <c r="V151" s="46"/>
      <c r="W151" s="46"/>
    </row>
    <row r="152">
      <c r="A152" s="55"/>
      <c r="B152" s="205"/>
      <c r="C152" s="55"/>
      <c r="D152" s="205"/>
      <c r="E152" s="172"/>
      <c r="F152" s="212"/>
      <c r="G152" s="172"/>
      <c r="H152" s="205"/>
      <c r="I152" s="149"/>
      <c r="J152" s="46"/>
      <c r="K152" s="46"/>
      <c r="L152" s="46"/>
      <c r="M152" s="46"/>
      <c r="N152" s="46"/>
      <c r="O152" s="46"/>
      <c r="P152" s="46"/>
      <c r="Q152" s="46"/>
      <c r="R152" s="46"/>
      <c r="S152" s="46"/>
      <c r="T152" s="46"/>
      <c r="U152" s="46"/>
      <c r="V152" s="46"/>
      <c r="W152" s="46"/>
    </row>
    <row r="153">
      <c r="A153" s="55"/>
      <c r="B153" s="205"/>
      <c r="C153" s="55"/>
      <c r="D153" s="205"/>
      <c r="E153" s="172"/>
      <c r="F153" s="212"/>
      <c r="G153" s="172"/>
      <c r="H153" s="205"/>
      <c r="I153" s="149"/>
      <c r="J153" s="46"/>
      <c r="K153" s="46"/>
      <c r="L153" s="46"/>
      <c r="M153" s="46"/>
      <c r="N153" s="46"/>
      <c r="O153" s="46"/>
      <c r="P153" s="46"/>
      <c r="Q153" s="46"/>
      <c r="R153" s="46"/>
      <c r="S153" s="46"/>
      <c r="T153" s="46"/>
      <c r="U153" s="46"/>
      <c r="V153" s="46"/>
      <c r="W153" s="46"/>
    </row>
    <row r="154">
      <c r="A154" s="55"/>
      <c r="B154" s="205"/>
      <c r="C154" s="55"/>
      <c r="D154" s="205"/>
      <c r="E154" s="172"/>
      <c r="F154" s="212"/>
      <c r="G154" s="172"/>
      <c r="H154" s="205"/>
      <c r="I154" s="149"/>
      <c r="J154" s="46"/>
      <c r="K154" s="46"/>
      <c r="L154" s="46"/>
      <c r="M154" s="46"/>
      <c r="N154" s="46"/>
      <c r="O154" s="46"/>
      <c r="P154" s="46"/>
      <c r="Q154" s="46"/>
      <c r="R154" s="46"/>
      <c r="S154" s="46"/>
      <c r="T154" s="46"/>
      <c r="U154" s="46"/>
      <c r="V154" s="46"/>
      <c r="W154" s="46"/>
    </row>
    <row r="155">
      <c r="A155" s="55"/>
      <c r="B155" s="205"/>
      <c r="C155" s="55"/>
      <c r="D155" s="205"/>
      <c r="E155" s="172"/>
      <c r="F155" s="212"/>
      <c r="G155" s="172"/>
      <c r="H155" s="205"/>
      <c r="I155" s="149"/>
      <c r="J155" s="46"/>
      <c r="K155" s="46"/>
      <c r="L155" s="46"/>
      <c r="M155" s="46"/>
      <c r="N155" s="46"/>
      <c r="O155" s="46"/>
      <c r="P155" s="46"/>
      <c r="Q155" s="46"/>
      <c r="R155" s="46"/>
      <c r="S155" s="46"/>
      <c r="T155" s="46"/>
      <c r="U155" s="46"/>
      <c r="V155" s="46"/>
      <c r="W155" s="46"/>
    </row>
    <row r="156">
      <c r="A156" s="55"/>
      <c r="B156" s="205"/>
      <c r="C156" s="55"/>
      <c r="D156" s="205"/>
      <c r="E156" s="172"/>
      <c r="F156" s="212"/>
      <c r="G156" s="172"/>
      <c r="H156" s="205"/>
      <c r="I156" s="149"/>
      <c r="J156" s="46"/>
      <c r="K156" s="46"/>
      <c r="L156" s="46"/>
      <c r="M156" s="46"/>
      <c r="N156" s="46"/>
      <c r="O156" s="46"/>
      <c r="P156" s="46"/>
      <c r="Q156" s="46"/>
      <c r="R156" s="46"/>
      <c r="S156" s="46"/>
      <c r="T156" s="46"/>
      <c r="U156" s="46"/>
      <c r="V156" s="46"/>
      <c r="W156" s="46"/>
    </row>
    <row r="157">
      <c r="A157" s="55"/>
      <c r="B157" s="205"/>
      <c r="C157" s="55"/>
      <c r="D157" s="205"/>
      <c r="E157" s="172"/>
      <c r="F157" s="212"/>
      <c r="G157" s="172"/>
      <c r="H157" s="205"/>
      <c r="I157" s="149"/>
      <c r="J157" s="46"/>
      <c r="K157" s="46"/>
      <c r="L157" s="46"/>
      <c r="M157" s="46"/>
      <c r="N157" s="46"/>
      <c r="O157" s="46"/>
      <c r="P157" s="46"/>
      <c r="Q157" s="46"/>
      <c r="R157" s="46"/>
      <c r="S157" s="46"/>
      <c r="T157" s="46"/>
      <c r="U157" s="46"/>
      <c r="V157" s="46"/>
      <c r="W157" s="46"/>
    </row>
    <row r="158">
      <c r="A158" s="55"/>
      <c r="B158" s="205"/>
      <c r="C158" s="55"/>
      <c r="D158" s="205"/>
      <c r="E158" s="172"/>
      <c r="F158" s="212"/>
      <c r="G158" s="172"/>
      <c r="H158" s="205"/>
      <c r="I158" s="149"/>
      <c r="J158" s="46"/>
      <c r="K158" s="46"/>
      <c r="L158" s="46"/>
      <c r="M158" s="46"/>
      <c r="N158" s="46"/>
      <c r="O158" s="46"/>
      <c r="P158" s="46"/>
      <c r="Q158" s="46"/>
      <c r="R158" s="46"/>
      <c r="S158" s="46"/>
      <c r="T158" s="46"/>
      <c r="U158" s="46"/>
      <c r="V158" s="46"/>
      <c r="W158" s="46"/>
    </row>
    <row r="159">
      <c r="A159" s="55"/>
      <c r="B159" s="205"/>
      <c r="C159" s="55"/>
      <c r="D159" s="205"/>
      <c r="E159" s="172"/>
      <c r="F159" s="212"/>
      <c r="G159" s="172"/>
      <c r="H159" s="205"/>
      <c r="I159" s="149"/>
      <c r="J159" s="46"/>
      <c r="K159" s="46"/>
      <c r="L159" s="46"/>
      <c r="M159" s="46"/>
      <c r="N159" s="46"/>
      <c r="O159" s="46"/>
      <c r="P159" s="46"/>
      <c r="Q159" s="46"/>
      <c r="R159" s="46"/>
      <c r="S159" s="46"/>
      <c r="T159" s="46"/>
      <c r="U159" s="46"/>
      <c r="V159" s="46"/>
      <c r="W159" s="46"/>
    </row>
    <row r="160">
      <c r="A160" s="55"/>
      <c r="B160" s="205"/>
      <c r="C160" s="55"/>
      <c r="D160" s="205"/>
      <c r="E160" s="172"/>
      <c r="F160" s="212"/>
      <c r="G160" s="172"/>
      <c r="H160" s="205"/>
      <c r="I160" s="149"/>
      <c r="J160" s="46"/>
      <c r="K160" s="46"/>
      <c r="L160" s="46"/>
      <c r="M160" s="46"/>
      <c r="N160" s="46"/>
      <c r="O160" s="46"/>
      <c r="P160" s="46"/>
      <c r="Q160" s="46"/>
      <c r="R160" s="46"/>
      <c r="S160" s="46"/>
      <c r="T160" s="46"/>
      <c r="U160" s="46"/>
      <c r="V160" s="46"/>
      <c r="W160" s="46"/>
    </row>
    <row r="161">
      <c r="A161" s="55"/>
      <c r="B161" s="205"/>
      <c r="C161" s="55"/>
      <c r="D161" s="205"/>
      <c r="E161" s="172"/>
      <c r="F161" s="212"/>
      <c r="G161" s="172"/>
      <c r="H161" s="205"/>
      <c r="I161" s="149"/>
      <c r="J161" s="46"/>
      <c r="K161" s="46"/>
      <c r="L161" s="46"/>
      <c r="M161" s="46"/>
      <c r="N161" s="46"/>
      <c r="O161" s="46"/>
      <c r="P161" s="46"/>
      <c r="Q161" s="46"/>
      <c r="R161" s="46"/>
      <c r="S161" s="46"/>
      <c r="T161" s="46"/>
      <c r="U161" s="46"/>
      <c r="V161" s="46"/>
      <c r="W161" s="46"/>
    </row>
    <row r="162">
      <c r="A162" s="55"/>
      <c r="B162" s="205"/>
      <c r="C162" s="55"/>
      <c r="D162" s="205"/>
      <c r="E162" s="172"/>
      <c r="F162" s="212"/>
      <c r="G162" s="172"/>
      <c r="H162" s="205"/>
      <c r="I162" s="149"/>
      <c r="J162" s="46"/>
      <c r="K162" s="46"/>
      <c r="L162" s="46"/>
      <c r="M162" s="46"/>
      <c r="N162" s="46"/>
      <c r="O162" s="46"/>
      <c r="P162" s="46"/>
      <c r="Q162" s="46"/>
      <c r="R162" s="46"/>
      <c r="S162" s="46"/>
      <c r="T162" s="46"/>
      <c r="U162" s="46"/>
      <c r="V162" s="46"/>
      <c r="W162" s="46"/>
    </row>
    <row r="163">
      <c r="A163" s="55"/>
      <c r="B163" s="205"/>
      <c r="C163" s="55"/>
      <c r="D163" s="205"/>
      <c r="E163" s="172"/>
      <c r="F163" s="212"/>
      <c r="G163" s="172"/>
      <c r="H163" s="205"/>
      <c r="I163" s="149"/>
      <c r="J163" s="46"/>
      <c r="K163" s="46"/>
      <c r="L163" s="46"/>
      <c r="M163" s="46"/>
      <c r="N163" s="46"/>
      <c r="O163" s="46"/>
      <c r="P163" s="46"/>
      <c r="Q163" s="46"/>
      <c r="R163" s="46"/>
      <c r="S163" s="46"/>
      <c r="T163" s="46"/>
      <c r="U163" s="46"/>
      <c r="V163" s="46"/>
      <c r="W163" s="46"/>
    </row>
    <row r="164">
      <c r="A164" s="55"/>
      <c r="B164" s="205"/>
      <c r="C164" s="55"/>
      <c r="D164" s="205"/>
      <c r="E164" s="172"/>
      <c r="F164" s="212"/>
      <c r="G164" s="172"/>
      <c r="H164" s="205"/>
      <c r="I164" s="149"/>
      <c r="J164" s="46"/>
      <c r="K164" s="46"/>
      <c r="L164" s="46"/>
      <c r="M164" s="46"/>
      <c r="N164" s="46"/>
      <c r="O164" s="46"/>
      <c r="P164" s="46"/>
      <c r="Q164" s="46"/>
      <c r="R164" s="46"/>
      <c r="S164" s="46"/>
      <c r="T164" s="46"/>
      <c r="U164" s="46"/>
      <c r="V164" s="46"/>
      <c r="W164" s="46"/>
    </row>
    <row r="165">
      <c r="A165" s="55"/>
      <c r="B165" s="205"/>
      <c r="C165" s="55"/>
      <c r="D165" s="205"/>
      <c r="E165" s="172"/>
      <c r="F165" s="212"/>
      <c r="G165" s="172"/>
      <c r="H165" s="205"/>
      <c r="I165" s="149"/>
      <c r="J165" s="46"/>
      <c r="K165" s="46"/>
      <c r="L165" s="46"/>
      <c r="M165" s="46"/>
      <c r="N165" s="46"/>
      <c r="O165" s="46"/>
      <c r="P165" s="46"/>
      <c r="Q165" s="46"/>
      <c r="R165" s="46"/>
      <c r="S165" s="46"/>
      <c r="T165" s="46"/>
      <c r="U165" s="46"/>
      <c r="V165" s="46"/>
      <c r="W165" s="46"/>
    </row>
    <row r="166">
      <c r="A166" s="55"/>
      <c r="B166" s="205"/>
      <c r="C166" s="55"/>
      <c r="D166" s="205"/>
      <c r="E166" s="172"/>
      <c r="F166" s="212"/>
      <c r="G166" s="172"/>
      <c r="H166" s="205"/>
      <c r="I166" s="149"/>
      <c r="J166" s="46"/>
      <c r="K166" s="46"/>
      <c r="L166" s="46"/>
      <c r="M166" s="46"/>
      <c r="N166" s="46"/>
      <c r="O166" s="46"/>
      <c r="P166" s="46"/>
      <c r="Q166" s="46"/>
      <c r="R166" s="46"/>
      <c r="S166" s="46"/>
      <c r="T166" s="46"/>
      <c r="U166" s="46"/>
      <c r="V166" s="46"/>
      <c r="W166" s="46"/>
    </row>
    <row r="167">
      <c r="A167" s="55"/>
      <c r="B167" s="205"/>
      <c r="C167" s="55"/>
      <c r="D167" s="205"/>
      <c r="E167" s="172"/>
      <c r="F167" s="212"/>
      <c r="G167" s="172"/>
      <c r="H167" s="205"/>
      <c r="I167" s="149"/>
      <c r="J167" s="46"/>
      <c r="K167" s="46"/>
      <c r="L167" s="46"/>
      <c r="M167" s="46"/>
      <c r="N167" s="46"/>
      <c r="O167" s="46"/>
      <c r="P167" s="46"/>
      <c r="Q167" s="46"/>
      <c r="R167" s="46"/>
      <c r="S167" s="46"/>
      <c r="T167" s="46"/>
      <c r="U167" s="46"/>
      <c r="V167" s="46"/>
      <c r="W167" s="46"/>
    </row>
    <row r="168">
      <c r="A168" s="55"/>
      <c r="B168" s="205"/>
      <c r="C168" s="55"/>
      <c r="D168" s="205"/>
      <c r="E168" s="172"/>
      <c r="F168" s="212"/>
      <c r="G168" s="172"/>
      <c r="H168" s="205"/>
      <c r="I168" s="149"/>
      <c r="J168" s="46"/>
      <c r="K168" s="46"/>
      <c r="L168" s="46"/>
      <c r="M168" s="46"/>
      <c r="N168" s="46"/>
      <c r="O168" s="46"/>
      <c r="P168" s="46"/>
      <c r="Q168" s="46"/>
      <c r="R168" s="46"/>
      <c r="S168" s="46"/>
      <c r="T168" s="46"/>
      <c r="U168" s="46"/>
      <c r="V168" s="46"/>
      <c r="W168" s="46"/>
    </row>
    <row r="169">
      <c r="A169" s="55"/>
      <c r="B169" s="205"/>
      <c r="C169" s="55"/>
      <c r="D169" s="205"/>
      <c r="E169" s="172"/>
      <c r="F169" s="212"/>
      <c r="G169" s="172"/>
      <c r="H169" s="205"/>
      <c r="I169" s="149"/>
      <c r="J169" s="46"/>
      <c r="K169" s="46"/>
      <c r="L169" s="46"/>
      <c r="M169" s="46"/>
      <c r="N169" s="46"/>
      <c r="O169" s="46"/>
      <c r="P169" s="46"/>
      <c r="Q169" s="46"/>
      <c r="R169" s="46"/>
      <c r="S169" s="46"/>
      <c r="T169" s="46"/>
      <c r="U169" s="46"/>
      <c r="V169" s="46"/>
      <c r="W169" s="46"/>
    </row>
    <row r="170">
      <c r="A170" s="55"/>
      <c r="B170" s="205"/>
      <c r="C170" s="55"/>
      <c r="D170" s="205"/>
      <c r="E170" s="172"/>
      <c r="F170" s="212"/>
      <c r="G170" s="172"/>
      <c r="H170" s="205"/>
      <c r="I170" s="149"/>
      <c r="J170" s="46"/>
      <c r="K170" s="46"/>
      <c r="L170" s="46"/>
      <c r="M170" s="46"/>
      <c r="N170" s="46"/>
      <c r="O170" s="46"/>
      <c r="P170" s="46"/>
      <c r="Q170" s="46"/>
      <c r="R170" s="46"/>
      <c r="S170" s="46"/>
      <c r="T170" s="46"/>
      <c r="U170" s="46"/>
      <c r="V170" s="46"/>
      <c r="W170" s="46"/>
    </row>
    <row r="171">
      <c r="A171" s="55"/>
      <c r="B171" s="205"/>
      <c r="C171" s="55"/>
      <c r="D171" s="205"/>
      <c r="E171" s="172"/>
      <c r="F171" s="212"/>
      <c r="G171" s="172"/>
      <c r="H171" s="205"/>
      <c r="I171" s="149"/>
      <c r="J171" s="46"/>
      <c r="K171" s="46"/>
      <c r="L171" s="46"/>
      <c r="M171" s="46"/>
      <c r="N171" s="46"/>
      <c r="O171" s="46"/>
      <c r="P171" s="46"/>
      <c r="Q171" s="46"/>
      <c r="R171" s="46"/>
      <c r="S171" s="46"/>
      <c r="T171" s="46"/>
      <c r="U171" s="46"/>
      <c r="V171" s="46"/>
      <c r="W171" s="46"/>
    </row>
    <row r="172">
      <c r="A172" s="55"/>
      <c r="B172" s="205"/>
      <c r="C172" s="55"/>
      <c r="D172" s="205"/>
      <c r="E172" s="172"/>
      <c r="F172" s="212"/>
      <c r="G172" s="172"/>
      <c r="H172" s="205"/>
      <c r="I172" s="149"/>
      <c r="J172" s="46"/>
      <c r="K172" s="46"/>
      <c r="L172" s="46"/>
      <c r="M172" s="46"/>
      <c r="N172" s="46"/>
      <c r="O172" s="46"/>
      <c r="P172" s="46"/>
      <c r="Q172" s="46"/>
      <c r="R172" s="46"/>
      <c r="S172" s="46"/>
      <c r="T172" s="46"/>
      <c r="U172" s="46"/>
      <c r="V172" s="46"/>
      <c r="W172" s="46"/>
    </row>
    <row r="173">
      <c r="A173" s="55"/>
      <c r="B173" s="205"/>
      <c r="C173" s="55"/>
      <c r="D173" s="205"/>
      <c r="E173" s="172"/>
      <c r="F173" s="212"/>
      <c r="G173" s="172"/>
      <c r="H173" s="205"/>
      <c r="I173" s="149"/>
      <c r="J173" s="46"/>
      <c r="K173" s="46"/>
      <c r="L173" s="46"/>
      <c r="M173" s="46"/>
      <c r="N173" s="46"/>
      <c r="O173" s="46"/>
      <c r="P173" s="46"/>
      <c r="Q173" s="46"/>
      <c r="R173" s="46"/>
      <c r="S173" s="46"/>
      <c r="T173" s="46"/>
      <c r="U173" s="46"/>
      <c r="V173" s="46"/>
      <c r="W173" s="46"/>
    </row>
    <row r="174">
      <c r="A174" s="55"/>
      <c r="B174" s="205"/>
      <c r="C174" s="55"/>
      <c r="D174" s="205"/>
      <c r="E174" s="172"/>
      <c r="F174" s="212"/>
      <c r="G174" s="172"/>
      <c r="H174" s="205"/>
      <c r="I174" s="149"/>
      <c r="J174" s="46"/>
      <c r="K174" s="46"/>
      <c r="L174" s="46"/>
      <c r="M174" s="46"/>
      <c r="N174" s="46"/>
      <c r="O174" s="46"/>
      <c r="P174" s="46"/>
      <c r="Q174" s="46"/>
      <c r="R174" s="46"/>
      <c r="S174" s="46"/>
      <c r="T174" s="46"/>
      <c r="U174" s="46"/>
      <c r="V174" s="46"/>
      <c r="W174" s="46"/>
    </row>
    <row r="175">
      <c r="A175" s="55"/>
      <c r="B175" s="205"/>
      <c r="C175" s="55"/>
      <c r="D175" s="205"/>
      <c r="E175" s="172"/>
      <c r="F175" s="212"/>
      <c r="G175" s="172"/>
      <c r="H175" s="205"/>
      <c r="I175" s="149"/>
      <c r="J175" s="46"/>
      <c r="K175" s="46"/>
      <c r="L175" s="46"/>
      <c r="M175" s="46"/>
      <c r="N175" s="46"/>
      <c r="O175" s="46"/>
      <c r="P175" s="46"/>
      <c r="Q175" s="46"/>
      <c r="R175" s="46"/>
      <c r="S175" s="46"/>
      <c r="T175" s="46"/>
      <c r="U175" s="46"/>
      <c r="V175" s="46"/>
      <c r="W175" s="46"/>
    </row>
    <row r="176">
      <c r="A176" s="55"/>
      <c r="B176" s="205"/>
      <c r="C176" s="55"/>
      <c r="D176" s="205"/>
      <c r="E176" s="172"/>
      <c r="F176" s="212"/>
      <c r="G176" s="172"/>
      <c r="H176" s="205"/>
      <c r="I176" s="149"/>
      <c r="J176" s="46"/>
      <c r="K176" s="46"/>
      <c r="L176" s="46"/>
      <c r="M176" s="46"/>
      <c r="N176" s="46"/>
      <c r="O176" s="46"/>
      <c r="P176" s="46"/>
      <c r="Q176" s="46"/>
      <c r="R176" s="46"/>
      <c r="S176" s="46"/>
      <c r="T176" s="46"/>
      <c r="U176" s="46"/>
      <c r="V176" s="46"/>
      <c r="W176" s="46"/>
    </row>
    <row r="177">
      <c r="A177" s="55"/>
      <c r="B177" s="205"/>
      <c r="C177" s="55"/>
      <c r="D177" s="205"/>
      <c r="E177" s="172"/>
      <c r="F177" s="212"/>
      <c r="G177" s="172"/>
      <c r="H177" s="205"/>
      <c r="I177" s="149"/>
      <c r="J177" s="46"/>
      <c r="K177" s="46"/>
      <c r="L177" s="46"/>
      <c r="M177" s="46"/>
      <c r="N177" s="46"/>
      <c r="O177" s="46"/>
      <c r="P177" s="46"/>
      <c r="Q177" s="46"/>
      <c r="R177" s="46"/>
      <c r="S177" s="46"/>
      <c r="T177" s="46"/>
      <c r="U177" s="46"/>
      <c r="V177" s="46"/>
      <c r="W177" s="46"/>
    </row>
    <row r="178">
      <c r="A178" s="55"/>
      <c r="B178" s="205"/>
      <c r="C178" s="55"/>
      <c r="D178" s="205"/>
      <c r="E178" s="172"/>
      <c r="F178" s="212"/>
      <c r="G178" s="172"/>
      <c r="H178" s="205"/>
      <c r="I178" s="149"/>
      <c r="J178" s="46"/>
      <c r="K178" s="46"/>
      <c r="L178" s="46"/>
      <c r="M178" s="46"/>
      <c r="N178" s="46"/>
      <c r="O178" s="46"/>
      <c r="P178" s="46"/>
      <c r="Q178" s="46"/>
      <c r="R178" s="46"/>
      <c r="S178" s="46"/>
      <c r="T178" s="46"/>
      <c r="U178" s="46"/>
      <c r="V178" s="46"/>
      <c r="W178" s="46"/>
    </row>
    <row r="179">
      <c r="A179" s="55"/>
      <c r="B179" s="205"/>
      <c r="C179" s="55"/>
      <c r="D179" s="205"/>
      <c r="E179" s="172"/>
      <c r="F179" s="212"/>
      <c r="G179" s="172"/>
      <c r="H179" s="205"/>
      <c r="I179" s="149"/>
      <c r="J179" s="46"/>
      <c r="K179" s="46"/>
      <c r="L179" s="46"/>
      <c r="M179" s="46"/>
      <c r="N179" s="46"/>
      <c r="O179" s="46"/>
      <c r="P179" s="46"/>
      <c r="Q179" s="46"/>
      <c r="R179" s="46"/>
      <c r="S179" s="46"/>
      <c r="T179" s="46"/>
      <c r="U179" s="46"/>
      <c r="V179" s="46"/>
      <c r="W179" s="46"/>
    </row>
    <row r="180">
      <c r="A180" s="55"/>
      <c r="B180" s="205"/>
      <c r="C180" s="55"/>
      <c r="D180" s="205"/>
      <c r="E180" s="172"/>
      <c r="F180" s="212"/>
      <c r="G180" s="172"/>
      <c r="H180" s="205"/>
      <c r="I180" s="149"/>
      <c r="J180" s="46"/>
      <c r="K180" s="46"/>
      <c r="L180" s="46"/>
      <c r="M180" s="46"/>
      <c r="N180" s="46"/>
      <c r="O180" s="46"/>
      <c r="P180" s="46"/>
      <c r="Q180" s="46"/>
      <c r="R180" s="46"/>
      <c r="S180" s="46"/>
      <c r="T180" s="46"/>
      <c r="U180" s="46"/>
      <c r="V180" s="46"/>
      <c r="W180" s="46"/>
    </row>
    <row r="181">
      <c r="A181" s="55"/>
      <c r="B181" s="205"/>
      <c r="C181" s="55"/>
      <c r="D181" s="205"/>
      <c r="E181" s="172"/>
      <c r="F181" s="212"/>
      <c r="G181" s="172"/>
      <c r="H181" s="205"/>
      <c r="I181" s="149"/>
      <c r="J181" s="46"/>
      <c r="K181" s="46"/>
      <c r="L181" s="46"/>
      <c r="M181" s="46"/>
      <c r="N181" s="46"/>
      <c r="O181" s="46"/>
      <c r="P181" s="46"/>
      <c r="Q181" s="46"/>
      <c r="R181" s="46"/>
      <c r="S181" s="46"/>
      <c r="T181" s="46"/>
      <c r="U181" s="46"/>
      <c r="V181" s="46"/>
      <c r="W181" s="46"/>
    </row>
    <row r="182">
      <c r="A182" s="55"/>
      <c r="B182" s="205"/>
      <c r="C182" s="55"/>
      <c r="D182" s="205"/>
      <c r="E182" s="172"/>
      <c r="F182" s="212"/>
      <c r="G182" s="172"/>
      <c r="H182" s="205"/>
      <c r="I182" s="149"/>
      <c r="J182" s="46"/>
      <c r="K182" s="46"/>
      <c r="L182" s="46"/>
      <c r="M182" s="46"/>
      <c r="N182" s="46"/>
      <c r="O182" s="46"/>
      <c r="P182" s="46"/>
      <c r="Q182" s="46"/>
      <c r="R182" s="46"/>
      <c r="S182" s="46"/>
      <c r="T182" s="46"/>
      <c r="U182" s="46"/>
      <c r="V182" s="46"/>
      <c r="W182" s="46"/>
    </row>
    <row r="183">
      <c r="A183" s="55"/>
      <c r="B183" s="205"/>
      <c r="C183" s="55"/>
      <c r="D183" s="205"/>
      <c r="E183" s="172"/>
      <c r="F183" s="212"/>
      <c r="G183" s="172"/>
      <c r="H183" s="205"/>
      <c r="I183" s="149"/>
      <c r="J183" s="46"/>
      <c r="K183" s="46"/>
      <c r="L183" s="46"/>
      <c r="M183" s="46"/>
      <c r="N183" s="46"/>
      <c r="O183" s="46"/>
      <c r="P183" s="46"/>
      <c r="Q183" s="46"/>
      <c r="R183" s="46"/>
      <c r="S183" s="46"/>
      <c r="T183" s="46"/>
      <c r="U183" s="46"/>
      <c r="V183" s="46"/>
      <c r="W183" s="46"/>
    </row>
    <row r="184">
      <c r="A184" s="55"/>
      <c r="B184" s="205"/>
      <c r="C184" s="55"/>
      <c r="D184" s="205"/>
      <c r="E184" s="172"/>
      <c r="F184" s="212"/>
      <c r="G184" s="172"/>
      <c r="H184" s="205"/>
      <c r="I184" s="149"/>
      <c r="J184" s="46"/>
      <c r="K184" s="46"/>
      <c r="L184" s="46"/>
      <c r="M184" s="46"/>
      <c r="N184" s="46"/>
      <c r="O184" s="46"/>
      <c r="P184" s="46"/>
      <c r="Q184" s="46"/>
      <c r="R184" s="46"/>
      <c r="S184" s="46"/>
      <c r="T184" s="46"/>
      <c r="U184" s="46"/>
      <c r="V184" s="46"/>
      <c r="W184" s="46"/>
    </row>
    <row r="185">
      <c r="A185" s="55"/>
      <c r="B185" s="205"/>
      <c r="C185" s="55"/>
      <c r="D185" s="205"/>
      <c r="E185" s="172"/>
      <c r="F185" s="212"/>
      <c r="G185" s="172"/>
      <c r="H185" s="205"/>
      <c r="I185" s="149"/>
      <c r="J185" s="46"/>
      <c r="K185" s="46"/>
      <c r="L185" s="46"/>
      <c r="M185" s="46"/>
      <c r="N185" s="46"/>
      <c r="O185" s="46"/>
      <c r="P185" s="46"/>
      <c r="Q185" s="46"/>
      <c r="R185" s="46"/>
      <c r="S185" s="46"/>
      <c r="T185" s="46"/>
      <c r="U185" s="46"/>
      <c r="V185" s="46"/>
      <c r="W185" s="46"/>
    </row>
    <row r="186">
      <c r="A186" s="55"/>
      <c r="B186" s="205"/>
      <c r="C186" s="55"/>
      <c r="D186" s="205"/>
      <c r="E186" s="172"/>
      <c r="F186" s="212"/>
      <c r="G186" s="172"/>
      <c r="H186" s="205"/>
      <c r="I186" s="149"/>
      <c r="J186" s="46"/>
      <c r="K186" s="46"/>
      <c r="L186" s="46"/>
      <c r="M186" s="46"/>
      <c r="N186" s="46"/>
      <c r="O186" s="46"/>
      <c r="P186" s="46"/>
      <c r="Q186" s="46"/>
      <c r="R186" s="46"/>
      <c r="S186" s="46"/>
      <c r="T186" s="46"/>
      <c r="U186" s="46"/>
      <c r="V186" s="46"/>
      <c r="W186" s="46"/>
    </row>
    <row r="187">
      <c r="A187" s="55"/>
      <c r="B187" s="205"/>
      <c r="C187" s="55"/>
      <c r="D187" s="205"/>
      <c r="E187" s="172"/>
      <c r="F187" s="212"/>
      <c r="G187" s="172"/>
      <c r="H187" s="205"/>
      <c r="I187" s="149"/>
      <c r="J187" s="46"/>
      <c r="K187" s="46"/>
      <c r="L187" s="46"/>
      <c r="M187" s="46"/>
      <c r="N187" s="46"/>
      <c r="O187" s="46"/>
      <c r="P187" s="46"/>
      <c r="Q187" s="46"/>
      <c r="R187" s="46"/>
      <c r="S187" s="46"/>
      <c r="T187" s="46"/>
      <c r="U187" s="46"/>
      <c r="V187" s="46"/>
      <c r="W187" s="46"/>
    </row>
    <row r="188">
      <c r="A188" s="55"/>
      <c r="B188" s="205"/>
      <c r="C188" s="55"/>
      <c r="D188" s="205"/>
      <c r="E188" s="172"/>
      <c r="F188" s="212"/>
      <c r="G188" s="172"/>
      <c r="H188" s="205"/>
      <c r="I188" s="149"/>
      <c r="J188" s="46"/>
      <c r="K188" s="46"/>
      <c r="L188" s="46"/>
      <c r="M188" s="46"/>
      <c r="N188" s="46"/>
      <c r="O188" s="46"/>
      <c r="P188" s="46"/>
      <c r="Q188" s="46"/>
      <c r="R188" s="46"/>
      <c r="S188" s="46"/>
      <c r="T188" s="46"/>
      <c r="U188" s="46"/>
      <c r="V188" s="46"/>
      <c r="W188" s="46"/>
    </row>
    <row r="189">
      <c r="A189" s="55"/>
      <c r="B189" s="205"/>
      <c r="C189" s="55"/>
      <c r="D189" s="205"/>
      <c r="E189" s="172"/>
      <c r="F189" s="212"/>
      <c r="G189" s="172"/>
      <c r="H189" s="205"/>
      <c r="I189" s="149"/>
      <c r="J189" s="46"/>
      <c r="K189" s="46"/>
      <c r="L189" s="46"/>
      <c r="M189" s="46"/>
      <c r="N189" s="46"/>
      <c r="O189" s="46"/>
      <c r="P189" s="46"/>
      <c r="Q189" s="46"/>
      <c r="R189" s="46"/>
      <c r="S189" s="46"/>
      <c r="T189" s="46"/>
      <c r="U189" s="46"/>
      <c r="V189" s="46"/>
      <c r="W189" s="46"/>
    </row>
    <row r="190">
      <c r="A190" s="55"/>
      <c r="B190" s="205"/>
      <c r="C190" s="55"/>
      <c r="D190" s="205"/>
      <c r="E190" s="172"/>
      <c r="F190" s="212"/>
      <c r="G190" s="172"/>
      <c r="H190" s="205"/>
      <c r="I190" s="149"/>
      <c r="J190" s="46"/>
      <c r="K190" s="46"/>
      <c r="L190" s="46"/>
      <c r="M190" s="46"/>
      <c r="N190" s="46"/>
      <c r="O190" s="46"/>
      <c r="P190" s="46"/>
      <c r="Q190" s="46"/>
      <c r="R190" s="46"/>
      <c r="S190" s="46"/>
      <c r="T190" s="46"/>
      <c r="U190" s="46"/>
      <c r="V190" s="46"/>
      <c r="W190" s="46"/>
    </row>
    <row r="191">
      <c r="A191" s="55"/>
      <c r="B191" s="205"/>
      <c r="C191" s="55"/>
      <c r="D191" s="205"/>
      <c r="E191" s="172"/>
      <c r="F191" s="212"/>
      <c r="G191" s="172"/>
      <c r="H191" s="205"/>
      <c r="I191" s="149"/>
      <c r="J191" s="46"/>
      <c r="K191" s="46"/>
      <c r="L191" s="46"/>
      <c r="M191" s="46"/>
      <c r="N191" s="46"/>
      <c r="O191" s="46"/>
      <c r="P191" s="46"/>
      <c r="Q191" s="46"/>
      <c r="R191" s="46"/>
      <c r="S191" s="46"/>
      <c r="T191" s="46"/>
      <c r="U191" s="46"/>
      <c r="V191" s="46"/>
      <c r="W191" s="46"/>
    </row>
    <row r="192">
      <c r="A192" s="55"/>
      <c r="B192" s="205"/>
      <c r="C192" s="55"/>
      <c r="D192" s="205"/>
      <c r="E192" s="172"/>
      <c r="F192" s="212"/>
      <c r="G192" s="172"/>
      <c r="H192" s="205"/>
      <c r="I192" s="149"/>
      <c r="J192" s="46"/>
      <c r="K192" s="46"/>
      <c r="L192" s="46"/>
      <c r="M192" s="46"/>
      <c r="N192" s="46"/>
      <c r="O192" s="46"/>
      <c r="P192" s="46"/>
      <c r="Q192" s="46"/>
      <c r="R192" s="46"/>
      <c r="S192" s="46"/>
      <c r="T192" s="46"/>
      <c r="U192" s="46"/>
      <c r="V192" s="46"/>
      <c r="W192" s="46"/>
    </row>
    <row r="193">
      <c r="A193" s="55"/>
      <c r="B193" s="205"/>
      <c r="C193" s="55"/>
      <c r="D193" s="205"/>
      <c r="E193" s="172"/>
      <c r="F193" s="212"/>
      <c r="G193" s="172"/>
      <c r="H193" s="205"/>
      <c r="I193" s="149"/>
      <c r="J193" s="46"/>
      <c r="K193" s="46"/>
      <c r="L193" s="46"/>
      <c r="M193" s="46"/>
      <c r="N193" s="46"/>
      <c r="O193" s="46"/>
      <c r="P193" s="46"/>
      <c r="Q193" s="46"/>
      <c r="R193" s="46"/>
      <c r="S193" s="46"/>
      <c r="T193" s="46"/>
      <c r="U193" s="46"/>
      <c r="V193" s="46"/>
      <c r="W193" s="46"/>
    </row>
    <row r="194">
      <c r="A194" s="55"/>
      <c r="B194" s="205"/>
      <c r="C194" s="55"/>
      <c r="D194" s="205"/>
      <c r="E194" s="172"/>
      <c r="F194" s="212"/>
      <c r="G194" s="172"/>
      <c r="H194" s="205"/>
      <c r="I194" s="149"/>
      <c r="J194" s="46"/>
      <c r="K194" s="46"/>
      <c r="L194" s="46"/>
      <c r="M194" s="46"/>
      <c r="N194" s="46"/>
      <c r="O194" s="46"/>
      <c r="P194" s="46"/>
      <c r="Q194" s="46"/>
      <c r="R194" s="46"/>
      <c r="S194" s="46"/>
      <c r="T194" s="46"/>
      <c r="U194" s="46"/>
      <c r="V194" s="46"/>
      <c r="W194" s="46"/>
    </row>
    <row r="195">
      <c r="A195" s="55"/>
      <c r="B195" s="205"/>
      <c r="C195" s="55"/>
      <c r="D195" s="205"/>
      <c r="E195" s="172"/>
      <c r="F195" s="212"/>
      <c r="G195" s="172"/>
      <c r="H195" s="205"/>
      <c r="I195" s="149"/>
      <c r="J195" s="46"/>
      <c r="K195" s="46"/>
      <c r="L195" s="46"/>
      <c r="M195" s="46"/>
      <c r="N195" s="46"/>
      <c r="O195" s="46"/>
      <c r="P195" s="46"/>
      <c r="Q195" s="46"/>
      <c r="R195" s="46"/>
      <c r="S195" s="46"/>
      <c r="T195" s="46"/>
      <c r="U195" s="46"/>
      <c r="V195" s="46"/>
      <c r="W195" s="46"/>
    </row>
    <row r="196">
      <c r="A196" s="55"/>
      <c r="B196" s="205"/>
      <c r="C196" s="55"/>
      <c r="D196" s="205"/>
      <c r="E196" s="172"/>
      <c r="F196" s="212"/>
      <c r="G196" s="172"/>
      <c r="H196" s="205"/>
      <c r="I196" s="149"/>
      <c r="J196" s="46"/>
      <c r="K196" s="46"/>
      <c r="L196" s="46"/>
      <c r="M196" s="46"/>
      <c r="N196" s="46"/>
      <c r="O196" s="46"/>
      <c r="P196" s="46"/>
      <c r="Q196" s="46"/>
      <c r="R196" s="46"/>
      <c r="S196" s="46"/>
      <c r="T196" s="46"/>
      <c r="U196" s="46"/>
      <c r="V196" s="46"/>
      <c r="W196" s="46"/>
    </row>
    <row r="197">
      <c r="A197" s="55"/>
      <c r="B197" s="205"/>
      <c r="C197" s="55"/>
      <c r="D197" s="205"/>
      <c r="E197" s="172"/>
      <c r="F197" s="212"/>
      <c r="G197" s="172"/>
      <c r="H197" s="205"/>
      <c r="I197" s="149"/>
      <c r="J197" s="46"/>
      <c r="K197" s="46"/>
      <c r="L197" s="46"/>
      <c r="M197" s="46"/>
      <c r="N197" s="46"/>
      <c r="O197" s="46"/>
      <c r="P197" s="46"/>
      <c r="Q197" s="46"/>
      <c r="R197" s="46"/>
      <c r="S197" s="46"/>
      <c r="T197" s="46"/>
      <c r="U197" s="46"/>
      <c r="V197" s="46"/>
      <c r="W197" s="46"/>
    </row>
    <row r="198">
      <c r="A198" s="55"/>
      <c r="B198" s="205"/>
      <c r="C198" s="55"/>
      <c r="D198" s="205"/>
      <c r="E198" s="172"/>
      <c r="F198" s="212"/>
      <c r="G198" s="172"/>
      <c r="H198" s="205"/>
      <c r="I198" s="149"/>
      <c r="J198" s="46"/>
      <c r="K198" s="46"/>
      <c r="L198" s="46"/>
      <c r="M198" s="46"/>
      <c r="N198" s="46"/>
      <c r="O198" s="46"/>
      <c r="P198" s="46"/>
      <c r="Q198" s="46"/>
      <c r="R198" s="46"/>
      <c r="S198" s="46"/>
      <c r="T198" s="46"/>
      <c r="U198" s="46"/>
      <c r="V198" s="46"/>
      <c r="W198" s="46"/>
    </row>
    <row r="199">
      <c r="A199" s="55"/>
      <c r="B199" s="205"/>
      <c r="C199" s="55"/>
      <c r="D199" s="205"/>
      <c r="E199" s="172"/>
      <c r="F199" s="212"/>
      <c r="G199" s="172"/>
      <c r="H199" s="205"/>
      <c r="I199" s="149"/>
      <c r="J199" s="46"/>
      <c r="K199" s="46"/>
      <c r="L199" s="46"/>
      <c r="M199" s="46"/>
      <c r="N199" s="46"/>
      <c r="O199" s="46"/>
      <c r="P199" s="46"/>
      <c r="Q199" s="46"/>
      <c r="R199" s="46"/>
      <c r="S199" s="46"/>
      <c r="T199" s="46"/>
      <c r="U199" s="46"/>
      <c r="V199" s="46"/>
      <c r="W199" s="46"/>
    </row>
    <row r="200">
      <c r="A200" s="55"/>
      <c r="B200" s="205"/>
      <c r="C200" s="55"/>
      <c r="D200" s="205"/>
      <c r="E200" s="172"/>
      <c r="F200" s="212"/>
      <c r="G200" s="172"/>
      <c r="H200" s="205"/>
      <c r="I200" s="149"/>
      <c r="J200" s="46"/>
      <c r="K200" s="46"/>
      <c r="L200" s="46"/>
      <c r="M200" s="46"/>
      <c r="N200" s="46"/>
      <c r="O200" s="46"/>
      <c r="P200" s="46"/>
      <c r="Q200" s="46"/>
      <c r="R200" s="46"/>
      <c r="S200" s="46"/>
      <c r="T200" s="46"/>
      <c r="U200" s="46"/>
      <c r="V200" s="46"/>
      <c r="W200" s="46"/>
    </row>
    <row r="201">
      <c r="A201" s="55"/>
      <c r="B201" s="205"/>
      <c r="C201" s="55"/>
      <c r="D201" s="205"/>
      <c r="E201" s="172"/>
      <c r="F201" s="212"/>
      <c r="G201" s="172"/>
      <c r="H201" s="205"/>
      <c r="I201" s="149"/>
      <c r="J201" s="46"/>
      <c r="K201" s="46"/>
      <c r="L201" s="46"/>
      <c r="M201" s="46"/>
      <c r="N201" s="46"/>
      <c r="O201" s="46"/>
      <c r="P201" s="46"/>
      <c r="Q201" s="46"/>
      <c r="R201" s="46"/>
      <c r="S201" s="46"/>
      <c r="T201" s="46"/>
      <c r="U201" s="46"/>
      <c r="V201" s="46"/>
      <c r="W201" s="46"/>
    </row>
    <row r="202">
      <c r="A202" s="55"/>
      <c r="B202" s="205"/>
      <c r="C202" s="55"/>
      <c r="D202" s="205"/>
      <c r="E202" s="172"/>
      <c r="F202" s="212"/>
      <c r="G202" s="172"/>
      <c r="H202" s="205"/>
      <c r="I202" s="149"/>
      <c r="J202" s="46"/>
      <c r="K202" s="46"/>
      <c r="L202" s="46"/>
      <c r="M202" s="46"/>
      <c r="N202" s="46"/>
      <c r="O202" s="46"/>
      <c r="P202" s="46"/>
      <c r="Q202" s="46"/>
      <c r="R202" s="46"/>
      <c r="S202" s="46"/>
      <c r="T202" s="46"/>
      <c r="U202" s="46"/>
      <c r="V202" s="46"/>
      <c r="W202" s="46"/>
    </row>
    <row r="203">
      <c r="A203" s="55"/>
      <c r="B203" s="205"/>
      <c r="C203" s="55"/>
      <c r="D203" s="205"/>
      <c r="E203" s="172"/>
      <c r="F203" s="212"/>
      <c r="G203" s="172"/>
      <c r="H203" s="205"/>
      <c r="I203" s="149"/>
      <c r="J203" s="46"/>
      <c r="K203" s="46"/>
      <c r="L203" s="46"/>
      <c r="M203" s="46"/>
      <c r="N203" s="46"/>
      <c r="O203" s="46"/>
      <c r="P203" s="46"/>
      <c r="Q203" s="46"/>
      <c r="R203" s="46"/>
      <c r="S203" s="46"/>
      <c r="T203" s="46"/>
      <c r="U203" s="46"/>
      <c r="V203" s="46"/>
      <c r="W203" s="46"/>
    </row>
    <row r="204">
      <c r="A204" s="55"/>
      <c r="B204" s="205"/>
      <c r="C204" s="55"/>
      <c r="D204" s="205"/>
      <c r="E204" s="172"/>
      <c r="F204" s="212"/>
      <c r="G204" s="172"/>
      <c r="H204" s="205"/>
      <c r="I204" s="149"/>
      <c r="J204" s="46"/>
      <c r="K204" s="46"/>
      <c r="L204" s="46"/>
      <c r="M204" s="46"/>
      <c r="N204" s="46"/>
      <c r="O204" s="46"/>
      <c r="P204" s="46"/>
      <c r="Q204" s="46"/>
      <c r="R204" s="46"/>
      <c r="S204" s="46"/>
      <c r="T204" s="46"/>
      <c r="U204" s="46"/>
      <c r="V204" s="46"/>
      <c r="W204" s="46"/>
    </row>
    <row r="205">
      <c r="A205" s="55"/>
      <c r="B205" s="205"/>
      <c r="C205" s="55"/>
      <c r="D205" s="205"/>
      <c r="E205" s="172"/>
      <c r="F205" s="212"/>
      <c r="G205" s="172"/>
      <c r="H205" s="205"/>
      <c r="I205" s="149"/>
      <c r="J205" s="46"/>
      <c r="K205" s="46"/>
      <c r="L205" s="46"/>
      <c r="M205" s="46"/>
      <c r="N205" s="46"/>
      <c r="O205" s="46"/>
      <c r="P205" s="46"/>
      <c r="Q205" s="46"/>
      <c r="R205" s="46"/>
      <c r="S205" s="46"/>
      <c r="T205" s="46"/>
      <c r="U205" s="46"/>
      <c r="V205" s="46"/>
      <c r="W205" s="46"/>
    </row>
    <row r="206">
      <c r="A206" s="55"/>
      <c r="B206" s="205"/>
      <c r="C206" s="55"/>
      <c r="D206" s="205"/>
      <c r="E206" s="172"/>
      <c r="F206" s="212"/>
      <c r="G206" s="172"/>
      <c r="H206" s="205"/>
      <c r="I206" s="149"/>
      <c r="J206" s="46"/>
      <c r="K206" s="46"/>
      <c r="L206" s="46"/>
      <c r="M206" s="46"/>
      <c r="N206" s="46"/>
      <c r="O206" s="46"/>
      <c r="P206" s="46"/>
      <c r="Q206" s="46"/>
      <c r="R206" s="46"/>
      <c r="S206" s="46"/>
      <c r="T206" s="46"/>
      <c r="U206" s="46"/>
      <c r="V206" s="46"/>
      <c r="W206" s="46"/>
    </row>
    <row r="207">
      <c r="A207" s="55"/>
      <c r="B207" s="205"/>
      <c r="C207" s="55"/>
      <c r="D207" s="205"/>
      <c r="E207" s="172"/>
      <c r="F207" s="212"/>
      <c r="G207" s="172"/>
      <c r="H207" s="205"/>
      <c r="I207" s="149"/>
      <c r="J207" s="46"/>
      <c r="K207" s="46"/>
      <c r="L207" s="46"/>
      <c r="M207" s="46"/>
      <c r="N207" s="46"/>
      <c r="O207" s="46"/>
      <c r="P207" s="46"/>
      <c r="Q207" s="46"/>
      <c r="R207" s="46"/>
      <c r="S207" s="46"/>
      <c r="T207" s="46"/>
      <c r="U207" s="46"/>
      <c r="V207" s="46"/>
      <c r="W207" s="46"/>
    </row>
    <row r="208">
      <c r="A208" s="55"/>
      <c r="B208" s="205"/>
      <c r="C208" s="55"/>
      <c r="D208" s="205"/>
      <c r="E208" s="172"/>
      <c r="F208" s="212"/>
      <c r="G208" s="172"/>
      <c r="H208" s="205"/>
      <c r="I208" s="149"/>
      <c r="J208" s="46"/>
      <c r="K208" s="46"/>
      <c r="L208" s="46"/>
      <c r="M208" s="46"/>
      <c r="N208" s="46"/>
      <c r="O208" s="46"/>
      <c r="P208" s="46"/>
      <c r="Q208" s="46"/>
      <c r="R208" s="46"/>
      <c r="S208" s="46"/>
      <c r="T208" s="46"/>
      <c r="U208" s="46"/>
      <c r="V208" s="46"/>
      <c r="W208" s="46"/>
    </row>
    <row r="209">
      <c r="A209" s="55"/>
      <c r="B209" s="205"/>
      <c r="C209" s="55"/>
      <c r="D209" s="205"/>
      <c r="E209" s="172"/>
      <c r="F209" s="212"/>
      <c r="G209" s="172"/>
      <c r="H209" s="205"/>
      <c r="I209" s="149"/>
      <c r="J209" s="46"/>
      <c r="K209" s="46"/>
      <c r="L209" s="46"/>
      <c r="M209" s="46"/>
      <c r="N209" s="46"/>
      <c r="O209" s="46"/>
      <c r="P209" s="46"/>
      <c r="Q209" s="46"/>
      <c r="R209" s="46"/>
      <c r="S209" s="46"/>
      <c r="T209" s="46"/>
      <c r="U209" s="46"/>
      <c r="V209" s="46"/>
      <c r="W209" s="46"/>
    </row>
    <row r="210">
      <c r="A210" s="55"/>
      <c r="B210" s="205"/>
      <c r="C210" s="55"/>
      <c r="D210" s="205"/>
      <c r="E210" s="172"/>
      <c r="F210" s="212"/>
      <c r="G210" s="172"/>
      <c r="H210" s="205"/>
      <c r="I210" s="149"/>
      <c r="J210" s="46"/>
      <c r="K210" s="46"/>
      <c r="L210" s="46"/>
      <c r="M210" s="46"/>
      <c r="N210" s="46"/>
      <c r="O210" s="46"/>
      <c r="P210" s="46"/>
      <c r="Q210" s="46"/>
      <c r="R210" s="46"/>
      <c r="S210" s="46"/>
      <c r="T210" s="46"/>
      <c r="U210" s="46"/>
      <c r="V210" s="46"/>
      <c r="W210" s="46"/>
    </row>
    <row r="211">
      <c r="A211" s="55"/>
      <c r="B211" s="205"/>
      <c r="C211" s="55"/>
      <c r="D211" s="205"/>
      <c r="E211" s="172"/>
      <c r="F211" s="212"/>
      <c r="G211" s="172"/>
      <c r="H211" s="205"/>
      <c r="I211" s="149"/>
      <c r="J211" s="46"/>
      <c r="K211" s="46"/>
      <c r="L211" s="46"/>
      <c r="M211" s="46"/>
      <c r="N211" s="46"/>
      <c r="O211" s="46"/>
      <c r="P211" s="46"/>
      <c r="Q211" s="46"/>
      <c r="R211" s="46"/>
      <c r="S211" s="46"/>
      <c r="T211" s="46"/>
      <c r="U211" s="46"/>
      <c r="V211" s="46"/>
      <c r="W211" s="46"/>
    </row>
    <row r="212">
      <c r="A212" s="55"/>
      <c r="B212" s="205"/>
      <c r="C212" s="55"/>
      <c r="D212" s="205"/>
      <c r="E212" s="172"/>
      <c r="F212" s="212"/>
      <c r="G212" s="172"/>
      <c r="H212" s="205"/>
      <c r="I212" s="149"/>
      <c r="J212" s="46"/>
      <c r="K212" s="46"/>
      <c r="L212" s="46"/>
      <c r="M212" s="46"/>
      <c r="N212" s="46"/>
      <c r="O212" s="46"/>
      <c r="P212" s="46"/>
      <c r="Q212" s="46"/>
      <c r="R212" s="46"/>
      <c r="S212" s="46"/>
      <c r="T212" s="46"/>
      <c r="U212" s="46"/>
      <c r="V212" s="46"/>
      <c r="W212" s="46"/>
    </row>
    <row r="213">
      <c r="A213" s="55"/>
      <c r="B213" s="205"/>
      <c r="C213" s="55"/>
      <c r="D213" s="205"/>
      <c r="E213" s="172"/>
      <c r="F213" s="212"/>
      <c r="G213" s="172"/>
      <c r="H213" s="205"/>
      <c r="I213" s="149"/>
      <c r="J213" s="46"/>
      <c r="K213" s="46"/>
      <c r="L213" s="46"/>
      <c r="M213" s="46"/>
      <c r="N213" s="46"/>
      <c r="O213" s="46"/>
      <c r="P213" s="46"/>
      <c r="Q213" s="46"/>
      <c r="R213" s="46"/>
      <c r="S213" s="46"/>
      <c r="T213" s="46"/>
      <c r="U213" s="46"/>
      <c r="V213" s="46"/>
      <c r="W213" s="46"/>
    </row>
    <row r="214">
      <c r="A214" s="55"/>
      <c r="B214" s="205"/>
      <c r="C214" s="55"/>
      <c r="D214" s="205"/>
      <c r="E214" s="172"/>
      <c r="F214" s="212"/>
      <c r="G214" s="172"/>
      <c r="H214" s="205"/>
      <c r="I214" s="149"/>
      <c r="J214" s="46"/>
      <c r="K214" s="46"/>
      <c r="L214" s="46"/>
      <c r="M214" s="46"/>
      <c r="N214" s="46"/>
      <c r="O214" s="46"/>
      <c r="P214" s="46"/>
      <c r="Q214" s="46"/>
      <c r="R214" s="46"/>
      <c r="S214" s="46"/>
      <c r="T214" s="46"/>
      <c r="U214" s="46"/>
      <c r="V214" s="46"/>
      <c r="W214" s="46"/>
    </row>
    <row r="215">
      <c r="A215" s="55"/>
      <c r="B215" s="205"/>
      <c r="C215" s="55"/>
      <c r="D215" s="205"/>
      <c r="E215" s="172"/>
      <c r="F215" s="212"/>
      <c r="G215" s="172"/>
      <c r="H215" s="205"/>
      <c r="I215" s="149"/>
      <c r="J215" s="46"/>
      <c r="K215" s="46"/>
      <c r="L215" s="46"/>
      <c r="M215" s="46"/>
      <c r="N215" s="46"/>
      <c r="O215" s="46"/>
      <c r="P215" s="46"/>
      <c r="Q215" s="46"/>
      <c r="R215" s="46"/>
      <c r="S215" s="46"/>
      <c r="T215" s="46"/>
      <c r="U215" s="46"/>
      <c r="V215" s="46"/>
      <c r="W215" s="46"/>
    </row>
    <row r="216">
      <c r="A216" s="55"/>
      <c r="B216" s="205"/>
      <c r="C216" s="55"/>
      <c r="D216" s="205"/>
      <c r="E216" s="172"/>
      <c r="F216" s="212"/>
      <c r="G216" s="172"/>
      <c r="H216" s="205"/>
      <c r="I216" s="149"/>
      <c r="J216" s="46"/>
      <c r="K216" s="46"/>
      <c r="L216" s="46"/>
      <c r="M216" s="46"/>
      <c r="N216" s="46"/>
      <c r="O216" s="46"/>
      <c r="P216" s="46"/>
      <c r="Q216" s="46"/>
      <c r="R216" s="46"/>
      <c r="S216" s="46"/>
      <c r="T216" s="46"/>
      <c r="U216" s="46"/>
      <c r="V216" s="46"/>
      <c r="W216" s="46"/>
    </row>
    <row r="217">
      <c r="A217" s="55"/>
      <c r="B217" s="205"/>
      <c r="C217" s="55"/>
      <c r="D217" s="205"/>
      <c r="E217" s="172"/>
      <c r="F217" s="212"/>
      <c r="G217" s="172"/>
      <c r="H217" s="205"/>
      <c r="I217" s="149"/>
      <c r="J217" s="46"/>
      <c r="K217" s="46"/>
      <c r="L217" s="46"/>
      <c r="M217" s="46"/>
      <c r="N217" s="46"/>
      <c r="O217" s="46"/>
      <c r="P217" s="46"/>
      <c r="Q217" s="46"/>
      <c r="R217" s="46"/>
      <c r="S217" s="46"/>
      <c r="T217" s="46"/>
      <c r="U217" s="46"/>
      <c r="V217" s="46"/>
      <c r="W217" s="46"/>
    </row>
    <row r="218">
      <c r="A218" s="55"/>
      <c r="B218" s="205"/>
      <c r="C218" s="55"/>
      <c r="D218" s="205"/>
      <c r="E218" s="172"/>
      <c r="F218" s="212"/>
      <c r="G218" s="172"/>
      <c r="H218" s="205"/>
      <c r="I218" s="149"/>
      <c r="J218" s="46"/>
      <c r="K218" s="46"/>
      <c r="L218" s="46"/>
      <c r="M218" s="46"/>
      <c r="N218" s="46"/>
      <c r="O218" s="46"/>
      <c r="P218" s="46"/>
      <c r="Q218" s="46"/>
      <c r="R218" s="46"/>
      <c r="S218" s="46"/>
      <c r="T218" s="46"/>
      <c r="U218" s="46"/>
      <c r="V218" s="46"/>
      <c r="W218" s="46"/>
    </row>
    <row r="219">
      <c r="A219" s="55"/>
      <c r="B219" s="205"/>
      <c r="C219" s="55"/>
      <c r="D219" s="205"/>
      <c r="E219" s="172"/>
      <c r="F219" s="212"/>
      <c r="G219" s="172"/>
      <c r="H219" s="205"/>
      <c r="I219" s="149"/>
      <c r="J219" s="46"/>
      <c r="K219" s="46"/>
      <c r="L219" s="46"/>
      <c r="M219" s="46"/>
      <c r="N219" s="46"/>
      <c r="O219" s="46"/>
      <c r="P219" s="46"/>
      <c r="Q219" s="46"/>
      <c r="R219" s="46"/>
      <c r="S219" s="46"/>
      <c r="T219" s="46"/>
      <c r="U219" s="46"/>
      <c r="V219" s="46"/>
      <c r="W219" s="46"/>
    </row>
    <row r="220">
      <c r="A220" s="55"/>
      <c r="B220" s="205"/>
      <c r="C220" s="55"/>
      <c r="D220" s="205"/>
      <c r="E220" s="172"/>
      <c r="F220" s="212"/>
      <c r="G220" s="172"/>
      <c r="H220" s="205"/>
      <c r="I220" s="149"/>
      <c r="J220" s="46"/>
      <c r="K220" s="46"/>
      <c r="L220" s="46"/>
      <c r="M220" s="46"/>
      <c r="N220" s="46"/>
      <c r="O220" s="46"/>
      <c r="P220" s="46"/>
      <c r="Q220" s="46"/>
      <c r="R220" s="46"/>
      <c r="S220" s="46"/>
      <c r="T220" s="46"/>
      <c r="U220" s="46"/>
      <c r="V220" s="46"/>
      <c r="W220" s="46"/>
    </row>
    <row r="221">
      <c r="A221" s="55"/>
      <c r="B221" s="205"/>
      <c r="C221" s="55"/>
      <c r="D221" s="205"/>
      <c r="E221" s="172"/>
      <c r="F221" s="212"/>
      <c r="G221" s="172"/>
      <c r="H221" s="205"/>
      <c r="I221" s="149"/>
      <c r="J221" s="46"/>
      <c r="K221" s="46"/>
      <c r="L221" s="46"/>
      <c r="M221" s="46"/>
      <c r="N221" s="46"/>
      <c r="O221" s="46"/>
      <c r="P221" s="46"/>
      <c r="Q221" s="46"/>
      <c r="R221" s="46"/>
      <c r="S221" s="46"/>
      <c r="T221" s="46"/>
      <c r="U221" s="46"/>
      <c r="V221" s="46"/>
      <c r="W221" s="46"/>
    </row>
    <row r="222">
      <c r="A222" s="55"/>
      <c r="B222" s="205"/>
      <c r="C222" s="55"/>
      <c r="D222" s="205"/>
      <c r="E222" s="172"/>
      <c r="F222" s="212"/>
      <c r="G222" s="172"/>
      <c r="H222" s="205"/>
      <c r="I222" s="149"/>
      <c r="J222" s="46"/>
      <c r="K222" s="46"/>
      <c r="L222" s="46"/>
      <c r="M222" s="46"/>
      <c r="N222" s="46"/>
      <c r="O222" s="46"/>
      <c r="P222" s="46"/>
      <c r="Q222" s="46"/>
      <c r="R222" s="46"/>
      <c r="S222" s="46"/>
      <c r="T222" s="46"/>
      <c r="U222" s="46"/>
      <c r="V222" s="46"/>
      <c r="W222" s="46"/>
    </row>
    <row r="223">
      <c r="A223" s="55"/>
      <c r="B223" s="205"/>
      <c r="C223" s="55"/>
      <c r="D223" s="205"/>
      <c r="E223" s="172"/>
      <c r="F223" s="212"/>
      <c r="G223" s="172"/>
      <c r="H223" s="205"/>
      <c r="I223" s="149"/>
      <c r="J223" s="46"/>
      <c r="K223" s="46"/>
      <c r="L223" s="46"/>
      <c r="M223" s="46"/>
      <c r="N223" s="46"/>
      <c r="O223" s="46"/>
      <c r="P223" s="46"/>
      <c r="Q223" s="46"/>
      <c r="R223" s="46"/>
      <c r="S223" s="46"/>
      <c r="T223" s="46"/>
      <c r="U223" s="46"/>
      <c r="V223" s="46"/>
      <c r="W223" s="46"/>
    </row>
    <row r="224">
      <c r="A224" s="55"/>
      <c r="B224" s="205"/>
      <c r="C224" s="55"/>
      <c r="D224" s="205"/>
      <c r="E224" s="172"/>
      <c r="F224" s="212"/>
      <c r="G224" s="172"/>
      <c r="H224" s="205"/>
      <c r="I224" s="149"/>
      <c r="J224" s="46"/>
      <c r="K224" s="46"/>
      <c r="L224" s="46"/>
      <c r="M224" s="46"/>
      <c r="N224" s="46"/>
      <c r="O224" s="46"/>
      <c r="P224" s="46"/>
      <c r="Q224" s="46"/>
      <c r="R224" s="46"/>
      <c r="S224" s="46"/>
      <c r="T224" s="46"/>
      <c r="U224" s="46"/>
      <c r="V224" s="46"/>
      <c r="W224" s="46"/>
    </row>
    <row r="225">
      <c r="A225" s="55"/>
      <c r="B225" s="205"/>
      <c r="C225" s="55"/>
      <c r="D225" s="205"/>
      <c r="E225" s="172"/>
      <c r="F225" s="212"/>
      <c r="G225" s="172"/>
      <c r="H225" s="205"/>
      <c r="I225" s="149"/>
      <c r="J225" s="46"/>
      <c r="K225" s="46"/>
      <c r="L225" s="46"/>
      <c r="M225" s="46"/>
      <c r="N225" s="46"/>
      <c r="O225" s="46"/>
      <c r="P225" s="46"/>
      <c r="Q225" s="46"/>
      <c r="R225" s="46"/>
      <c r="S225" s="46"/>
      <c r="T225" s="46"/>
      <c r="U225" s="46"/>
      <c r="V225" s="46"/>
      <c r="W225" s="46"/>
    </row>
    <row r="226">
      <c r="A226" s="55"/>
      <c r="B226" s="205"/>
      <c r="C226" s="55"/>
      <c r="D226" s="205"/>
      <c r="E226" s="172"/>
      <c r="F226" s="212"/>
      <c r="G226" s="172"/>
      <c r="H226" s="205"/>
      <c r="I226" s="149"/>
      <c r="J226" s="46"/>
      <c r="K226" s="46"/>
      <c r="L226" s="46"/>
      <c r="M226" s="46"/>
      <c r="N226" s="46"/>
      <c r="O226" s="46"/>
      <c r="P226" s="46"/>
      <c r="Q226" s="46"/>
      <c r="R226" s="46"/>
      <c r="S226" s="46"/>
      <c r="T226" s="46"/>
      <c r="U226" s="46"/>
      <c r="V226" s="46"/>
      <c r="W226" s="46"/>
    </row>
    <row r="227">
      <c r="A227" s="55"/>
      <c r="B227" s="205"/>
      <c r="C227" s="55"/>
      <c r="D227" s="205"/>
      <c r="E227" s="172"/>
      <c r="F227" s="212"/>
      <c r="G227" s="172"/>
      <c r="H227" s="205"/>
      <c r="I227" s="149"/>
      <c r="J227" s="46"/>
      <c r="K227" s="46"/>
      <c r="L227" s="46"/>
      <c r="M227" s="46"/>
      <c r="N227" s="46"/>
      <c r="O227" s="46"/>
      <c r="P227" s="46"/>
      <c r="Q227" s="46"/>
      <c r="R227" s="46"/>
      <c r="S227" s="46"/>
      <c r="T227" s="46"/>
      <c r="U227" s="46"/>
      <c r="V227" s="46"/>
      <c r="W227" s="46"/>
    </row>
    <row r="228">
      <c r="A228" s="55"/>
      <c r="B228" s="205"/>
      <c r="C228" s="55"/>
      <c r="D228" s="205"/>
      <c r="E228" s="172"/>
      <c r="F228" s="212"/>
      <c r="G228" s="172"/>
      <c r="H228" s="205"/>
      <c r="I228" s="149"/>
      <c r="J228" s="46"/>
      <c r="K228" s="46"/>
      <c r="L228" s="46"/>
      <c r="M228" s="46"/>
      <c r="N228" s="46"/>
      <c r="O228" s="46"/>
      <c r="P228" s="46"/>
      <c r="Q228" s="46"/>
      <c r="R228" s="46"/>
      <c r="S228" s="46"/>
      <c r="T228" s="46"/>
      <c r="U228" s="46"/>
      <c r="V228" s="46"/>
      <c r="W228" s="46"/>
    </row>
    <row r="229">
      <c r="A229" s="55"/>
      <c r="B229" s="205"/>
      <c r="C229" s="55"/>
      <c r="D229" s="205"/>
      <c r="E229" s="172"/>
      <c r="F229" s="212"/>
      <c r="G229" s="172"/>
      <c r="H229" s="205"/>
      <c r="I229" s="149"/>
      <c r="J229" s="46"/>
      <c r="K229" s="46"/>
      <c r="L229" s="46"/>
      <c r="M229" s="46"/>
      <c r="N229" s="46"/>
      <c r="O229" s="46"/>
      <c r="P229" s="46"/>
      <c r="Q229" s="46"/>
      <c r="R229" s="46"/>
      <c r="S229" s="46"/>
      <c r="T229" s="46"/>
      <c r="U229" s="46"/>
      <c r="V229" s="46"/>
      <c r="W229" s="46"/>
    </row>
    <row r="230">
      <c r="A230" s="55"/>
      <c r="B230" s="205"/>
      <c r="C230" s="55"/>
      <c r="D230" s="205"/>
      <c r="E230" s="172"/>
      <c r="F230" s="212"/>
      <c r="G230" s="172"/>
      <c r="H230" s="205"/>
      <c r="I230" s="149"/>
      <c r="J230" s="46"/>
      <c r="K230" s="46"/>
      <c r="L230" s="46"/>
      <c r="M230" s="46"/>
      <c r="N230" s="46"/>
      <c r="O230" s="46"/>
      <c r="P230" s="46"/>
      <c r="Q230" s="46"/>
      <c r="R230" s="46"/>
      <c r="S230" s="46"/>
      <c r="T230" s="46"/>
      <c r="U230" s="46"/>
      <c r="V230" s="46"/>
      <c r="W230" s="46"/>
    </row>
    <row r="231">
      <c r="A231" s="55"/>
      <c r="B231" s="205"/>
      <c r="C231" s="55"/>
      <c r="D231" s="205"/>
      <c r="E231" s="172"/>
      <c r="F231" s="212"/>
      <c r="G231" s="172"/>
      <c r="H231" s="205"/>
      <c r="I231" s="149"/>
      <c r="J231" s="46"/>
      <c r="K231" s="46"/>
      <c r="L231" s="46"/>
      <c r="M231" s="46"/>
      <c r="N231" s="46"/>
      <c r="O231" s="46"/>
      <c r="P231" s="46"/>
      <c r="Q231" s="46"/>
      <c r="R231" s="46"/>
      <c r="S231" s="46"/>
      <c r="T231" s="46"/>
      <c r="U231" s="46"/>
      <c r="V231" s="46"/>
      <c r="W231" s="46"/>
    </row>
    <row r="232">
      <c r="A232" s="55"/>
      <c r="B232" s="205"/>
      <c r="C232" s="55"/>
      <c r="D232" s="205"/>
      <c r="E232" s="172"/>
      <c r="F232" s="212"/>
      <c r="G232" s="172"/>
      <c r="H232" s="205"/>
      <c r="I232" s="149"/>
      <c r="J232" s="46"/>
      <c r="K232" s="46"/>
      <c r="L232" s="46"/>
      <c r="M232" s="46"/>
      <c r="N232" s="46"/>
      <c r="O232" s="46"/>
      <c r="P232" s="46"/>
      <c r="Q232" s="46"/>
      <c r="R232" s="46"/>
      <c r="S232" s="46"/>
      <c r="T232" s="46"/>
      <c r="U232" s="46"/>
      <c r="V232" s="46"/>
      <c r="W232" s="46"/>
    </row>
    <row r="233">
      <c r="A233" s="55"/>
      <c r="B233" s="205"/>
      <c r="C233" s="55"/>
      <c r="D233" s="205"/>
      <c r="E233" s="172"/>
      <c r="F233" s="212"/>
      <c r="G233" s="172"/>
      <c r="H233" s="205"/>
      <c r="I233" s="149"/>
      <c r="J233" s="46"/>
      <c r="K233" s="46"/>
      <c r="L233" s="46"/>
      <c r="M233" s="46"/>
      <c r="N233" s="46"/>
      <c r="O233" s="46"/>
      <c r="P233" s="46"/>
      <c r="Q233" s="46"/>
      <c r="R233" s="46"/>
      <c r="S233" s="46"/>
      <c r="T233" s="46"/>
      <c r="U233" s="46"/>
      <c r="V233" s="46"/>
      <c r="W233" s="46"/>
    </row>
    <row r="234">
      <c r="A234" s="55"/>
      <c r="B234" s="205"/>
      <c r="C234" s="55"/>
      <c r="D234" s="205"/>
      <c r="E234" s="172"/>
      <c r="F234" s="212"/>
      <c r="G234" s="172"/>
      <c r="H234" s="205"/>
      <c r="I234" s="149"/>
      <c r="J234" s="46"/>
      <c r="K234" s="46"/>
      <c r="L234" s="46"/>
      <c r="M234" s="46"/>
      <c r="N234" s="46"/>
      <c r="O234" s="46"/>
      <c r="P234" s="46"/>
      <c r="Q234" s="46"/>
      <c r="R234" s="46"/>
      <c r="S234" s="46"/>
      <c r="T234" s="46"/>
      <c r="U234" s="46"/>
      <c r="V234" s="46"/>
      <c r="W234" s="46"/>
    </row>
    <row r="235">
      <c r="A235" s="55"/>
      <c r="B235" s="205"/>
      <c r="C235" s="55"/>
      <c r="D235" s="205"/>
      <c r="E235" s="172"/>
      <c r="F235" s="212"/>
      <c r="G235" s="172"/>
      <c r="H235" s="205"/>
      <c r="I235" s="149"/>
      <c r="J235" s="46"/>
      <c r="K235" s="46"/>
      <c r="L235" s="46"/>
      <c r="M235" s="46"/>
      <c r="N235" s="46"/>
      <c r="O235" s="46"/>
      <c r="P235" s="46"/>
      <c r="Q235" s="46"/>
      <c r="R235" s="46"/>
      <c r="S235" s="46"/>
      <c r="T235" s="46"/>
      <c r="U235" s="46"/>
      <c r="V235" s="46"/>
      <c r="W235" s="46"/>
    </row>
    <row r="236">
      <c r="A236" s="55"/>
      <c r="B236" s="205"/>
      <c r="C236" s="55"/>
      <c r="D236" s="205"/>
      <c r="E236" s="172"/>
      <c r="F236" s="212"/>
      <c r="G236" s="172"/>
      <c r="H236" s="205"/>
      <c r="I236" s="149"/>
      <c r="J236" s="46"/>
      <c r="K236" s="46"/>
      <c r="L236" s="46"/>
      <c r="M236" s="46"/>
      <c r="N236" s="46"/>
      <c r="O236" s="46"/>
      <c r="P236" s="46"/>
      <c r="Q236" s="46"/>
      <c r="R236" s="46"/>
      <c r="S236" s="46"/>
      <c r="T236" s="46"/>
      <c r="U236" s="46"/>
      <c r="V236" s="46"/>
      <c r="W236" s="46"/>
    </row>
    <row r="237">
      <c r="A237" s="55"/>
      <c r="B237" s="205"/>
      <c r="C237" s="55"/>
      <c r="D237" s="205"/>
      <c r="E237" s="172"/>
      <c r="F237" s="212"/>
      <c r="G237" s="172"/>
      <c r="H237" s="205"/>
      <c r="I237" s="149"/>
      <c r="J237" s="46"/>
      <c r="K237" s="46"/>
      <c r="L237" s="46"/>
      <c r="M237" s="46"/>
      <c r="N237" s="46"/>
      <c r="O237" s="46"/>
      <c r="P237" s="46"/>
      <c r="Q237" s="46"/>
      <c r="R237" s="46"/>
      <c r="S237" s="46"/>
      <c r="T237" s="46"/>
      <c r="U237" s="46"/>
      <c r="V237" s="46"/>
      <c r="W237" s="46"/>
    </row>
    <row r="238">
      <c r="A238" s="55"/>
      <c r="B238" s="205"/>
      <c r="C238" s="55"/>
      <c r="D238" s="205"/>
      <c r="E238" s="172"/>
      <c r="F238" s="212"/>
      <c r="G238" s="172"/>
      <c r="H238" s="205"/>
      <c r="I238" s="149"/>
      <c r="J238" s="46"/>
      <c r="K238" s="46"/>
      <c r="L238" s="46"/>
      <c r="M238" s="46"/>
      <c r="N238" s="46"/>
      <c r="O238" s="46"/>
      <c r="P238" s="46"/>
      <c r="Q238" s="46"/>
      <c r="R238" s="46"/>
      <c r="S238" s="46"/>
      <c r="T238" s="46"/>
      <c r="U238" s="46"/>
      <c r="V238" s="46"/>
      <c r="W238" s="46"/>
    </row>
    <row r="239">
      <c r="A239" s="55"/>
      <c r="B239" s="205"/>
      <c r="C239" s="55"/>
      <c r="D239" s="205"/>
      <c r="E239" s="172"/>
      <c r="F239" s="212"/>
      <c r="G239" s="172"/>
      <c r="H239" s="205"/>
      <c r="I239" s="149"/>
      <c r="J239" s="46"/>
      <c r="K239" s="46"/>
      <c r="L239" s="46"/>
      <c r="M239" s="46"/>
      <c r="N239" s="46"/>
      <c r="O239" s="46"/>
      <c r="P239" s="46"/>
      <c r="Q239" s="46"/>
      <c r="R239" s="46"/>
      <c r="S239" s="46"/>
      <c r="T239" s="46"/>
      <c r="U239" s="46"/>
      <c r="V239" s="46"/>
      <c r="W239" s="46"/>
    </row>
    <row r="240">
      <c r="A240" s="55"/>
      <c r="B240" s="205"/>
      <c r="C240" s="55"/>
      <c r="D240" s="205"/>
      <c r="E240" s="172"/>
      <c r="F240" s="212"/>
      <c r="G240" s="172"/>
      <c r="H240" s="205"/>
      <c r="I240" s="149"/>
      <c r="J240" s="46"/>
      <c r="K240" s="46"/>
      <c r="L240" s="46"/>
      <c r="M240" s="46"/>
      <c r="N240" s="46"/>
      <c r="O240" s="46"/>
      <c r="P240" s="46"/>
      <c r="Q240" s="46"/>
      <c r="R240" s="46"/>
      <c r="S240" s="46"/>
      <c r="T240" s="46"/>
      <c r="U240" s="46"/>
      <c r="V240" s="46"/>
      <c r="W240" s="46"/>
    </row>
    <row r="241">
      <c r="A241" s="55"/>
      <c r="B241" s="205"/>
      <c r="C241" s="55"/>
      <c r="D241" s="205"/>
      <c r="E241" s="172"/>
      <c r="F241" s="212"/>
      <c r="G241" s="172"/>
      <c r="H241" s="205"/>
      <c r="I241" s="149"/>
      <c r="J241" s="46"/>
      <c r="K241" s="46"/>
      <c r="L241" s="46"/>
      <c r="M241" s="46"/>
      <c r="N241" s="46"/>
      <c r="O241" s="46"/>
      <c r="P241" s="46"/>
      <c r="Q241" s="46"/>
      <c r="R241" s="46"/>
      <c r="S241" s="46"/>
      <c r="T241" s="46"/>
      <c r="U241" s="46"/>
      <c r="V241" s="46"/>
      <c r="W241" s="46"/>
    </row>
    <row r="242">
      <c r="A242" s="55"/>
      <c r="B242" s="205"/>
      <c r="C242" s="55"/>
      <c r="D242" s="205"/>
      <c r="E242" s="172"/>
      <c r="F242" s="212"/>
      <c r="G242" s="172"/>
      <c r="H242" s="205"/>
      <c r="I242" s="149"/>
      <c r="J242" s="46"/>
      <c r="K242" s="46"/>
      <c r="L242" s="46"/>
      <c r="M242" s="46"/>
      <c r="N242" s="46"/>
      <c r="O242" s="46"/>
      <c r="P242" s="46"/>
      <c r="Q242" s="46"/>
      <c r="R242" s="46"/>
      <c r="S242" s="46"/>
      <c r="T242" s="46"/>
      <c r="U242" s="46"/>
      <c r="V242" s="46"/>
      <c r="W242" s="46"/>
    </row>
    <row r="243">
      <c r="A243" s="55"/>
      <c r="B243" s="205"/>
      <c r="C243" s="55"/>
      <c r="D243" s="205"/>
      <c r="E243" s="172"/>
      <c r="F243" s="212"/>
      <c r="G243" s="172"/>
      <c r="H243" s="205"/>
      <c r="I243" s="149"/>
      <c r="J243" s="46"/>
      <c r="K243" s="46"/>
      <c r="L243" s="46"/>
      <c r="M243" s="46"/>
      <c r="N243" s="46"/>
      <c r="O243" s="46"/>
      <c r="P243" s="46"/>
      <c r="Q243" s="46"/>
      <c r="R243" s="46"/>
      <c r="S243" s="46"/>
      <c r="T243" s="46"/>
      <c r="U243" s="46"/>
      <c r="V243" s="46"/>
      <c r="W243" s="46"/>
    </row>
    <row r="244">
      <c r="A244" s="55"/>
      <c r="B244" s="205"/>
      <c r="C244" s="55"/>
      <c r="D244" s="205"/>
      <c r="E244" s="172"/>
      <c r="F244" s="212"/>
      <c r="G244" s="172"/>
      <c r="H244" s="205"/>
      <c r="I244" s="149"/>
      <c r="J244" s="46"/>
      <c r="K244" s="46"/>
      <c r="L244" s="46"/>
      <c r="M244" s="46"/>
      <c r="N244" s="46"/>
      <c r="O244" s="46"/>
      <c r="P244" s="46"/>
      <c r="Q244" s="46"/>
      <c r="R244" s="46"/>
      <c r="S244" s="46"/>
      <c r="T244" s="46"/>
      <c r="U244" s="46"/>
      <c r="V244" s="46"/>
      <c r="W244" s="46"/>
    </row>
    <row r="245">
      <c r="A245" s="55"/>
      <c r="B245" s="205"/>
      <c r="C245" s="55"/>
      <c r="D245" s="205"/>
      <c r="E245" s="172"/>
      <c r="F245" s="212"/>
      <c r="G245" s="172"/>
      <c r="H245" s="205"/>
      <c r="I245" s="149"/>
      <c r="J245" s="46"/>
      <c r="K245" s="46"/>
      <c r="L245" s="46"/>
      <c r="M245" s="46"/>
      <c r="N245" s="46"/>
      <c r="O245" s="46"/>
      <c r="P245" s="46"/>
      <c r="Q245" s="46"/>
      <c r="R245" s="46"/>
      <c r="S245" s="46"/>
      <c r="T245" s="46"/>
      <c r="U245" s="46"/>
      <c r="V245" s="46"/>
      <c r="W245" s="46"/>
    </row>
    <row r="246">
      <c r="A246" s="55"/>
      <c r="B246" s="205"/>
      <c r="C246" s="55"/>
      <c r="D246" s="205"/>
      <c r="E246" s="172"/>
      <c r="F246" s="212"/>
      <c r="G246" s="172"/>
      <c r="H246" s="205"/>
      <c r="I246" s="149"/>
      <c r="J246" s="46"/>
      <c r="K246" s="46"/>
      <c r="L246" s="46"/>
      <c r="M246" s="46"/>
      <c r="N246" s="46"/>
      <c r="O246" s="46"/>
      <c r="P246" s="46"/>
      <c r="Q246" s="46"/>
      <c r="R246" s="46"/>
      <c r="S246" s="46"/>
      <c r="T246" s="46"/>
      <c r="U246" s="46"/>
      <c r="V246" s="46"/>
      <c r="W246" s="46"/>
    </row>
    <row r="247">
      <c r="A247" s="55"/>
      <c r="B247" s="205"/>
      <c r="C247" s="55"/>
      <c r="D247" s="205"/>
      <c r="E247" s="172"/>
      <c r="F247" s="212"/>
      <c r="G247" s="172"/>
      <c r="H247" s="205"/>
      <c r="I247" s="149"/>
      <c r="J247" s="46"/>
      <c r="K247" s="46"/>
      <c r="L247" s="46"/>
      <c r="M247" s="46"/>
      <c r="N247" s="46"/>
      <c r="O247" s="46"/>
      <c r="P247" s="46"/>
      <c r="Q247" s="46"/>
      <c r="R247" s="46"/>
      <c r="S247" s="46"/>
      <c r="T247" s="46"/>
      <c r="U247" s="46"/>
      <c r="V247" s="46"/>
      <c r="W247" s="46"/>
    </row>
    <row r="248">
      <c r="A248" s="55"/>
      <c r="B248" s="205"/>
      <c r="C248" s="55"/>
      <c r="D248" s="205"/>
      <c r="E248" s="172"/>
      <c r="F248" s="212"/>
      <c r="G248" s="172"/>
      <c r="H248" s="205"/>
      <c r="I248" s="149"/>
      <c r="J248" s="46"/>
      <c r="K248" s="46"/>
      <c r="L248" s="46"/>
      <c r="M248" s="46"/>
      <c r="N248" s="46"/>
      <c r="O248" s="46"/>
      <c r="P248" s="46"/>
      <c r="Q248" s="46"/>
      <c r="R248" s="46"/>
      <c r="S248" s="46"/>
      <c r="T248" s="46"/>
      <c r="U248" s="46"/>
      <c r="V248" s="46"/>
      <c r="W248" s="46"/>
    </row>
    <row r="249">
      <c r="A249" s="55"/>
      <c r="B249" s="205"/>
      <c r="C249" s="55"/>
      <c r="D249" s="205"/>
      <c r="E249" s="172"/>
      <c r="F249" s="212"/>
      <c r="G249" s="172"/>
      <c r="H249" s="205"/>
      <c r="I249" s="149"/>
      <c r="J249" s="46"/>
      <c r="K249" s="46"/>
      <c r="L249" s="46"/>
      <c r="M249" s="46"/>
      <c r="N249" s="46"/>
      <c r="O249" s="46"/>
      <c r="P249" s="46"/>
      <c r="Q249" s="46"/>
      <c r="R249" s="46"/>
      <c r="S249" s="46"/>
      <c r="T249" s="46"/>
      <c r="U249" s="46"/>
      <c r="V249" s="46"/>
      <c r="W249" s="46"/>
    </row>
    <row r="250">
      <c r="A250" s="55"/>
      <c r="B250" s="205"/>
      <c r="C250" s="55"/>
      <c r="D250" s="205"/>
      <c r="E250" s="172"/>
      <c r="F250" s="212"/>
      <c r="G250" s="172"/>
      <c r="H250" s="205"/>
      <c r="I250" s="149"/>
      <c r="J250" s="46"/>
      <c r="K250" s="46"/>
      <c r="L250" s="46"/>
      <c r="M250" s="46"/>
      <c r="N250" s="46"/>
      <c r="O250" s="46"/>
      <c r="P250" s="46"/>
      <c r="Q250" s="46"/>
      <c r="R250" s="46"/>
      <c r="S250" s="46"/>
      <c r="T250" s="46"/>
      <c r="U250" s="46"/>
      <c r="V250" s="46"/>
      <c r="W250" s="46"/>
    </row>
    <row r="251">
      <c r="A251" s="55"/>
      <c r="B251" s="205"/>
      <c r="C251" s="55"/>
      <c r="D251" s="205"/>
      <c r="E251" s="172"/>
      <c r="F251" s="212"/>
      <c r="G251" s="172"/>
      <c r="H251" s="205"/>
      <c r="I251" s="149"/>
      <c r="J251" s="46"/>
      <c r="K251" s="46"/>
      <c r="L251" s="46"/>
      <c r="M251" s="46"/>
      <c r="N251" s="46"/>
      <c r="O251" s="46"/>
      <c r="P251" s="46"/>
      <c r="Q251" s="46"/>
      <c r="R251" s="46"/>
      <c r="S251" s="46"/>
      <c r="T251" s="46"/>
      <c r="U251" s="46"/>
      <c r="V251" s="46"/>
      <c r="W251" s="46"/>
    </row>
    <row r="252">
      <c r="A252" s="55"/>
      <c r="B252" s="205"/>
      <c r="C252" s="55"/>
      <c r="D252" s="205"/>
      <c r="E252" s="172"/>
      <c r="F252" s="212"/>
      <c r="G252" s="172"/>
      <c r="H252" s="205"/>
      <c r="I252" s="149"/>
      <c r="J252" s="46"/>
      <c r="K252" s="46"/>
      <c r="L252" s="46"/>
      <c r="M252" s="46"/>
      <c r="N252" s="46"/>
      <c r="O252" s="46"/>
      <c r="P252" s="46"/>
      <c r="Q252" s="46"/>
      <c r="R252" s="46"/>
      <c r="S252" s="46"/>
      <c r="T252" s="46"/>
      <c r="U252" s="46"/>
      <c r="V252" s="46"/>
      <c r="W252" s="46"/>
    </row>
    <row r="253">
      <c r="A253" s="55"/>
      <c r="B253" s="205"/>
      <c r="C253" s="55"/>
      <c r="D253" s="205"/>
      <c r="E253" s="172"/>
      <c r="F253" s="212"/>
      <c r="G253" s="172"/>
      <c r="H253" s="205"/>
      <c r="I253" s="149"/>
      <c r="J253" s="46"/>
      <c r="K253" s="46"/>
      <c r="L253" s="46"/>
      <c r="M253" s="46"/>
      <c r="N253" s="46"/>
      <c r="O253" s="46"/>
      <c r="P253" s="46"/>
      <c r="Q253" s="46"/>
      <c r="R253" s="46"/>
      <c r="S253" s="46"/>
      <c r="T253" s="46"/>
      <c r="U253" s="46"/>
      <c r="V253" s="46"/>
      <c r="W253" s="46"/>
    </row>
    <row r="254">
      <c r="A254" s="55"/>
      <c r="B254" s="205"/>
      <c r="C254" s="55"/>
      <c r="D254" s="205"/>
      <c r="E254" s="172"/>
      <c r="F254" s="212"/>
      <c r="G254" s="172"/>
      <c r="H254" s="205"/>
      <c r="I254" s="149"/>
      <c r="J254" s="46"/>
      <c r="K254" s="46"/>
      <c r="L254" s="46"/>
      <c r="M254" s="46"/>
      <c r="N254" s="46"/>
      <c r="O254" s="46"/>
      <c r="P254" s="46"/>
      <c r="Q254" s="46"/>
      <c r="R254" s="46"/>
      <c r="S254" s="46"/>
      <c r="T254" s="46"/>
      <c r="U254" s="46"/>
      <c r="V254" s="46"/>
      <c r="W254" s="46"/>
    </row>
    <row r="255">
      <c r="A255" s="55"/>
      <c r="B255" s="205"/>
      <c r="C255" s="55"/>
      <c r="D255" s="205"/>
      <c r="E255" s="172"/>
      <c r="F255" s="212"/>
      <c r="G255" s="172"/>
      <c r="H255" s="205"/>
      <c r="I255" s="149"/>
      <c r="J255" s="46"/>
      <c r="K255" s="46"/>
      <c r="L255" s="46"/>
      <c r="M255" s="46"/>
      <c r="N255" s="46"/>
      <c r="O255" s="46"/>
      <c r="P255" s="46"/>
      <c r="Q255" s="46"/>
      <c r="R255" s="46"/>
      <c r="S255" s="46"/>
      <c r="T255" s="46"/>
      <c r="U255" s="46"/>
      <c r="V255" s="46"/>
      <c r="W255" s="46"/>
    </row>
    <row r="256">
      <c r="A256" s="55"/>
      <c r="B256" s="205"/>
      <c r="C256" s="55"/>
      <c r="D256" s="205"/>
      <c r="E256" s="172"/>
      <c r="F256" s="212"/>
      <c r="G256" s="172"/>
      <c r="H256" s="205"/>
      <c r="I256" s="149"/>
      <c r="J256" s="46"/>
      <c r="K256" s="46"/>
      <c r="L256" s="46"/>
      <c r="M256" s="46"/>
      <c r="N256" s="46"/>
      <c r="O256" s="46"/>
      <c r="P256" s="46"/>
      <c r="Q256" s="46"/>
      <c r="R256" s="46"/>
      <c r="S256" s="46"/>
      <c r="T256" s="46"/>
      <c r="U256" s="46"/>
      <c r="V256" s="46"/>
      <c r="W256" s="46"/>
    </row>
    <row r="257">
      <c r="A257" s="55"/>
      <c r="B257" s="205"/>
      <c r="C257" s="55"/>
      <c r="D257" s="205"/>
      <c r="E257" s="172"/>
      <c r="F257" s="212"/>
      <c r="G257" s="172"/>
      <c r="H257" s="205"/>
      <c r="I257" s="149"/>
      <c r="J257" s="46"/>
      <c r="K257" s="46"/>
      <c r="L257" s="46"/>
      <c r="M257" s="46"/>
      <c r="N257" s="46"/>
      <c r="O257" s="46"/>
      <c r="P257" s="46"/>
      <c r="Q257" s="46"/>
      <c r="R257" s="46"/>
      <c r="S257" s="46"/>
      <c r="T257" s="46"/>
      <c r="U257" s="46"/>
      <c r="V257" s="46"/>
      <c r="W257" s="46"/>
    </row>
    <row r="258">
      <c r="A258" s="55"/>
      <c r="B258" s="205"/>
      <c r="C258" s="55"/>
      <c r="D258" s="205"/>
      <c r="E258" s="172"/>
      <c r="F258" s="212"/>
      <c r="G258" s="172"/>
      <c r="H258" s="205"/>
      <c r="I258" s="149"/>
      <c r="J258" s="46"/>
      <c r="K258" s="46"/>
      <c r="L258" s="46"/>
      <c r="M258" s="46"/>
      <c r="N258" s="46"/>
      <c r="O258" s="46"/>
      <c r="P258" s="46"/>
      <c r="Q258" s="46"/>
      <c r="R258" s="46"/>
      <c r="S258" s="46"/>
      <c r="T258" s="46"/>
      <c r="U258" s="46"/>
      <c r="V258" s="46"/>
      <c r="W258" s="46"/>
    </row>
    <row r="259">
      <c r="A259" s="55"/>
      <c r="B259" s="205"/>
      <c r="C259" s="55"/>
      <c r="D259" s="205"/>
      <c r="E259" s="172"/>
      <c r="F259" s="212"/>
      <c r="G259" s="172"/>
      <c r="H259" s="205"/>
      <c r="I259" s="149"/>
      <c r="J259" s="46"/>
      <c r="K259" s="46"/>
      <c r="L259" s="46"/>
      <c r="M259" s="46"/>
      <c r="N259" s="46"/>
      <c r="O259" s="46"/>
      <c r="P259" s="46"/>
      <c r="Q259" s="46"/>
      <c r="R259" s="46"/>
      <c r="S259" s="46"/>
      <c r="T259" s="46"/>
      <c r="U259" s="46"/>
      <c r="V259" s="46"/>
      <c r="W259" s="46"/>
    </row>
    <row r="260">
      <c r="A260" s="55"/>
      <c r="B260" s="205"/>
      <c r="C260" s="55"/>
      <c r="D260" s="205"/>
      <c r="E260" s="172"/>
      <c r="F260" s="212"/>
      <c r="G260" s="172"/>
      <c r="H260" s="205"/>
      <c r="I260" s="149"/>
      <c r="J260" s="46"/>
      <c r="K260" s="46"/>
      <c r="L260" s="46"/>
      <c r="M260" s="46"/>
      <c r="N260" s="46"/>
      <c r="O260" s="46"/>
      <c r="P260" s="46"/>
      <c r="Q260" s="46"/>
      <c r="R260" s="46"/>
      <c r="S260" s="46"/>
      <c r="T260" s="46"/>
      <c r="U260" s="46"/>
      <c r="V260" s="46"/>
      <c r="W260" s="46"/>
    </row>
    <row r="261">
      <c r="A261" s="55"/>
      <c r="B261" s="205"/>
      <c r="C261" s="55"/>
      <c r="D261" s="205"/>
      <c r="E261" s="172"/>
      <c r="F261" s="212"/>
      <c r="G261" s="172"/>
      <c r="H261" s="205"/>
      <c r="I261" s="149"/>
      <c r="J261" s="46"/>
      <c r="K261" s="46"/>
      <c r="L261" s="46"/>
      <c r="M261" s="46"/>
      <c r="N261" s="46"/>
      <c r="O261" s="46"/>
      <c r="P261" s="46"/>
      <c r="Q261" s="46"/>
      <c r="R261" s="46"/>
      <c r="S261" s="46"/>
      <c r="T261" s="46"/>
      <c r="U261" s="46"/>
      <c r="V261" s="46"/>
      <c r="W261" s="46"/>
    </row>
    <row r="262">
      <c r="A262" s="55"/>
      <c r="B262" s="205"/>
      <c r="C262" s="55"/>
      <c r="D262" s="205"/>
      <c r="E262" s="172"/>
      <c r="F262" s="212"/>
      <c r="G262" s="172"/>
      <c r="H262" s="205"/>
      <c r="I262" s="149"/>
      <c r="J262" s="46"/>
      <c r="K262" s="46"/>
      <c r="L262" s="46"/>
      <c r="M262" s="46"/>
      <c r="N262" s="46"/>
      <c r="O262" s="46"/>
      <c r="P262" s="46"/>
      <c r="Q262" s="46"/>
      <c r="R262" s="46"/>
      <c r="S262" s="46"/>
      <c r="T262" s="46"/>
      <c r="U262" s="46"/>
      <c r="V262" s="46"/>
      <c r="W262" s="46"/>
    </row>
    <row r="263">
      <c r="A263" s="55"/>
      <c r="B263" s="205"/>
      <c r="C263" s="55"/>
      <c r="D263" s="205"/>
      <c r="E263" s="172"/>
      <c r="F263" s="212"/>
      <c r="G263" s="172"/>
      <c r="H263" s="205"/>
      <c r="I263" s="149"/>
      <c r="J263" s="46"/>
      <c r="K263" s="46"/>
      <c r="L263" s="46"/>
      <c r="M263" s="46"/>
      <c r="N263" s="46"/>
      <c r="O263" s="46"/>
      <c r="P263" s="46"/>
      <c r="Q263" s="46"/>
      <c r="R263" s="46"/>
      <c r="S263" s="46"/>
      <c r="T263" s="46"/>
      <c r="U263" s="46"/>
      <c r="V263" s="46"/>
      <c r="W263" s="46"/>
    </row>
    <row r="264">
      <c r="A264" s="55"/>
      <c r="B264" s="205"/>
      <c r="C264" s="55"/>
      <c r="D264" s="205"/>
      <c r="E264" s="172"/>
      <c r="F264" s="212"/>
      <c r="G264" s="172"/>
      <c r="H264" s="205"/>
      <c r="I264" s="149"/>
      <c r="J264" s="46"/>
      <c r="K264" s="46"/>
      <c r="L264" s="46"/>
      <c r="M264" s="46"/>
      <c r="N264" s="46"/>
      <c r="O264" s="46"/>
      <c r="P264" s="46"/>
      <c r="Q264" s="46"/>
      <c r="R264" s="46"/>
      <c r="S264" s="46"/>
      <c r="T264" s="46"/>
      <c r="U264" s="46"/>
      <c r="V264" s="46"/>
      <c r="W264" s="46"/>
    </row>
    <row r="265">
      <c r="A265" s="55"/>
      <c r="B265" s="205"/>
      <c r="C265" s="55"/>
      <c r="D265" s="205"/>
      <c r="E265" s="172"/>
      <c r="F265" s="212"/>
      <c r="G265" s="172"/>
      <c r="H265" s="205"/>
      <c r="I265" s="149"/>
      <c r="J265" s="46"/>
      <c r="K265" s="46"/>
      <c r="L265" s="46"/>
      <c r="M265" s="46"/>
      <c r="N265" s="46"/>
      <c r="O265" s="46"/>
      <c r="P265" s="46"/>
      <c r="Q265" s="46"/>
      <c r="R265" s="46"/>
      <c r="S265" s="46"/>
      <c r="T265" s="46"/>
      <c r="U265" s="46"/>
      <c r="V265" s="46"/>
      <c r="W265" s="46"/>
    </row>
    <row r="266">
      <c r="A266" s="55"/>
      <c r="B266" s="205"/>
      <c r="C266" s="55"/>
      <c r="D266" s="205"/>
      <c r="E266" s="172"/>
      <c r="F266" s="212"/>
      <c r="G266" s="172"/>
      <c r="H266" s="205"/>
      <c r="I266" s="149"/>
      <c r="J266" s="46"/>
      <c r="K266" s="46"/>
      <c r="L266" s="46"/>
      <c r="M266" s="46"/>
      <c r="N266" s="46"/>
      <c r="O266" s="46"/>
      <c r="P266" s="46"/>
      <c r="Q266" s="46"/>
      <c r="R266" s="46"/>
      <c r="S266" s="46"/>
      <c r="T266" s="46"/>
      <c r="U266" s="46"/>
      <c r="V266" s="46"/>
      <c r="W266" s="46"/>
    </row>
    <row r="267">
      <c r="A267" s="55"/>
      <c r="B267" s="205"/>
      <c r="C267" s="55"/>
      <c r="D267" s="205"/>
      <c r="E267" s="172"/>
      <c r="F267" s="212"/>
      <c r="G267" s="172"/>
      <c r="H267" s="205"/>
      <c r="I267" s="149"/>
      <c r="J267" s="46"/>
      <c r="K267" s="46"/>
      <c r="L267" s="46"/>
      <c r="M267" s="46"/>
      <c r="N267" s="46"/>
      <c r="O267" s="46"/>
      <c r="P267" s="46"/>
      <c r="Q267" s="46"/>
      <c r="R267" s="46"/>
      <c r="S267" s="46"/>
      <c r="T267" s="46"/>
      <c r="U267" s="46"/>
      <c r="V267" s="46"/>
      <c r="W267" s="46"/>
    </row>
    <row r="268">
      <c r="A268" s="55"/>
      <c r="B268" s="205"/>
      <c r="C268" s="55"/>
      <c r="D268" s="205"/>
      <c r="E268" s="172"/>
      <c r="F268" s="212"/>
      <c r="G268" s="172"/>
      <c r="H268" s="205"/>
      <c r="I268" s="149"/>
      <c r="J268" s="46"/>
      <c r="K268" s="46"/>
      <c r="L268" s="46"/>
      <c r="M268" s="46"/>
      <c r="N268" s="46"/>
      <c r="O268" s="46"/>
      <c r="P268" s="46"/>
      <c r="Q268" s="46"/>
      <c r="R268" s="46"/>
      <c r="S268" s="46"/>
      <c r="T268" s="46"/>
      <c r="U268" s="46"/>
      <c r="V268" s="46"/>
      <c r="W268" s="46"/>
    </row>
    <row r="269">
      <c r="A269" s="55"/>
      <c r="B269" s="205"/>
      <c r="C269" s="55"/>
      <c r="D269" s="205"/>
      <c r="E269" s="172"/>
      <c r="F269" s="212"/>
      <c r="G269" s="172"/>
      <c r="H269" s="205"/>
      <c r="I269" s="149"/>
      <c r="J269" s="46"/>
      <c r="K269" s="46"/>
      <c r="L269" s="46"/>
      <c r="M269" s="46"/>
      <c r="N269" s="46"/>
      <c r="O269" s="46"/>
      <c r="P269" s="46"/>
      <c r="Q269" s="46"/>
      <c r="R269" s="46"/>
      <c r="S269" s="46"/>
      <c r="T269" s="46"/>
      <c r="U269" s="46"/>
      <c r="V269" s="46"/>
      <c r="W269" s="46"/>
    </row>
    <row r="270">
      <c r="A270" s="55"/>
      <c r="B270" s="205"/>
      <c r="C270" s="55"/>
      <c r="D270" s="205"/>
      <c r="E270" s="172"/>
      <c r="F270" s="212"/>
      <c r="G270" s="172"/>
      <c r="H270" s="205"/>
      <c r="I270" s="149"/>
      <c r="J270" s="46"/>
      <c r="K270" s="46"/>
      <c r="L270" s="46"/>
      <c r="M270" s="46"/>
      <c r="N270" s="46"/>
      <c r="O270" s="46"/>
      <c r="P270" s="46"/>
      <c r="Q270" s="46"/>
      <c r="R270" s="46"/>
      <c r="S270" s="46"/>
      <c r="T270" s="46"/>
      <c r="U270" s="46"/>
      <c r="V270" s="46"/>
      <c r="W270" s="46"/>
    </row>
    <row r="271">
      <c r="A271" s="55"/>
      <c r="B271" s="205"/>
      <c r="C271" s="55"/>
      <c r="D271" s="205"/>
      <c r="E271" s="172"/>
      <c r="F271" s="212"/>
      <c r="G271" s="172"/>
      <c r="H271" s="205"/>
      <c r="I271" s="149"/>
      <c r="J271" s="46"/>
      <c r="K271" s="46"/>
      <c r="L271" s="46"/>
      <c r="M271" s="46"/>
      <c r="N271" s="46"/>
      <c r="O271" s="46"/>
      <c r="P271" s="46"/>
      <c r="Q271" s="46"/>
      <c r="R271" s="46"/>
      <c r="S271" s="46"/>
      <c r="T271" s="46"/>
      <c r="U271" s="46"/>
      <c r="V271" s="46"/>
      <c r="W271" s="46"/>
    </row>
    <row r="272">
      <c r="A272" s="55"/>
      <c r="B272" s="205"/>
      <c r="C272" s="55"/>
      <c r="D272" s="205"/>
      <c r="E272" s="172"/>
      <c r="F272" s="212"/>
      <c r="G272" s="172"/>
      <c r="H272" s="205"/>
      <c r="I272" s="149"/>
      <c r="J272" s="46"/>
      <c r="K272" s="46"/>
      <c r="L272" s="46"/>
      <c r="M272" s="46"/>
      <c r="N272" s="46"/>
      <c r="O272" s="46"/>
      <c r="P272" s="46"/>
      <c r="Q272" s="46"/>
      <c r="R272" s="46"/>
      <c r="S272" s="46"/>
      <c r="T272" s="46"/>
      <c r="U272" s="46"/>
      <c r="V272" s="46"/>
      <c r="W272" s="46"/>
    </row>
    <row r="273">
      <c r="A273" s="55"/>
      <c r="B273" s="205"/>
      <c r="C273" s="55"/>
      <c r="D273" s="205"/>
      <c r="E273" s="172"/>
      <c r="F273" s="212"/>
      <c r="G273" s="172"/>
      <c r="H273" s="205"/>
      <c r="I273" s="149"/>
      <c r="J273" s="46"/>
      <c r="K273" s="46"/>
      <c r="L273" s="46"/>
      <c r="M273" s="46"/>
      <c r="N273" s="46"/>
      <c r="O273" s="46"/>
      <c r="P273" s="46"/>
      <c r="Q273" s="46"/>
      <c r="R273" s="46"/>
      <c r="S273" s="46"/>
      <c r="T273" s="46"/>
      <c r="U273" s="46"/>
      <c r="V273" s="46"/>
      <c r="W273" s="46"/>
    </row>
    <row r="274">
      <c r="A274" s="55"/>
      <c r="B274" s="205"/>
      <c r="C274" s="55"/>
      <c r="D274" s="205"/>
      <c r="E274" s="172"/>
      <c r="F274" s="212"/>
      <c r="G274" s="172"/>
      <c r="H274" s="205"/>
      <c r="I274" s="149"/>
      <c r="J274" s="46"/>
      <c r="K274" s="46"/>
      <c r="L274" s="46"/>
      <c r="M274" s="46"/>
      <c r="N274" s="46"/>
      <c r="O274" s="46"/>
      <c r="P274" s="46"/>
      <c r="Q274" s="46"/>
      <c r="R274" s="46"/>
      <c r="S274" s="46"/>
      <c r="T274" s="46"/>
      <c r="U274" s="46"/>
      <c r="V274" s="46"/>
      <c r="W274" s="46"/>
    </row>
    <row r="275">
      <c r="A275" s="55"/>
      <c r="B275" s="205"/>
      <c r="C275" s="55"/>
      <c r="D275" s="205"/>
      <c r="E275" s="172"/>
      <c r="F275" s="212"/>
      <c r="G275" s="172"/>
      <c r="H275" s="205"/>
      <c r="I275" s="149"/>
      <c r="J275" s="46"/>
      <c r="K275" s="46"/>
      <c r="L275" s="46"/>
      <c r="M275" s="46"/>
      <c r="N275" s="46"/>
      <c r="O275" s="46"/>
      <c r="P275" s="46"/>
      <c r="Q275" s="46"/>
      <c r="R275" s="46"/>
      <c r="S275" s="46"/>
      <c r="T275" s="46"/>
      <c r="U275" s="46"/>
      <c r="V275" s="46"/>
      <c r="W275" s="46"/>
    </row>
    <row r="276">
      <c r="A276" s="55"/>
      <c r="B276" s="205"/>
      <c r="C276" s="55"/>
      <c r="D276" s="205"/>
      <c r="E276" s="172"/>
      <c r="F276" s="212"/>
      <c r="G276" s="172"/>
      <c r="H276" s="205"/>
      <c r="I276" s="149"/>
      <c r="J276" s="46"/>
      <c r="K276" s="46"/>
      <c r="L276" s="46"/>
      <c r="M276" s="46"/>
      <c r="N276" s="46"/>
      <c r="O276" s="46"/>
      <c r="P276" s="46"/>
      <c r="Q276" s="46"/>
      <c r="R276" s="46"/>
      <c r="S276" s="46"/>
      <c r="T276" s="46"/>
      <c r="U276" s="46"/>
      <c r="V276" s="46"/>
      <c r="W276" s="46"/>
    </row>
    <row r="277">
      <c r="A277" s="55"/>
      <c r="B277" s="205"/>
      <c r="C277" s="55"/>
      <c r="D277" s="205"/>
      <c r="E277" s="172"/>
      <c r="F277" s="212"/>
      <c r="G277" s="172"/>
      <c r="H277" s="205"/>
      <c r="I277" s="149"/>
      <c r="J277" s="46"/>
      <c r="K277" s="46"/>
      <c r="L277" s="46"/>
      <c r="M277" s="46"/>
      <c r="N277" s="46"/>
      <c r="O277" s="46"/>
      <c r="P277" s="46"/>
      <c r="Q277" s="46"/>
      <c r="R277" s="46"/>
      <c r="S277" s="46"/>
      <c r="T277" s="46"/>
      <c r="U277" s="46"/>
      <c r="V277" s="46"/>
      <c r="W277" s="46"/>
    </row>
    <row r="278">
      <c r="A278" s="55"/>
      <c r="B278" s="205"/>
      <c r="C278" s="55"/>
      <c r="D278" s="205"/>
      <c r="E278" s="172"/>
      <c r="F278" s="212"/>
      <c r="G278" s="172"/>
      <c r="H278" s="205"/>
      <c r="I278" s="149"/>
      <c r="J278" s="46"/>
      <c r="K278" s="46"/>
      <c r="L278" s="46"/>
      <c r="M278" s="46"/>
      <c r="N278" s="46"/>
      <c r="O278" s="46"/>
      <c r="P278" s="46"/>
      <c r="Q278" s="46"/>
      <c r="R278" s="46"/>
      <c r="S278" s="46"/>
      <c r="T278" s="46"/>
      <c r="U278" s="46"/>
      <c r="V278" s="46"/>
      <c r="W278" s="46"/>
    </row>
    <row r="279">
      <c r="A279" s="55"/>
      <c r="B279" s="205"/>
      <c r="C279" s="55"/>
      <c r="D279" s="205"/>
      <c r="E279" s="172"/>
      <c r="F279" s="212"/>
      <c r="G279" s="172"/>
      <c r="H279" s="205"/>
      <c r="I279" s="149"/>
      <c r="J279" s="46"/>
      <c r="K279" s="46"/>
      <c r="L279" s="46"/>
      <c r="M279" s="46"/>
      <c r="N279" s="46"/>
      <c r="O279" s="46"/>
      <c r="P279" s="46"/>
      <c r="Q279" s="46"/>
      <c r="R279" s="46"/>
      <c r="S279" s="46"/>
      <c r="T279" s="46"/>
      <c r="U279" s="46"/>
      <c r="V279" s="46"/>
      <c r="W279" s="46"/>
    </row>
    <row r="280">
      <c r="A280" s="55"/>
      <c r="B280" s="205"/>
      <c r="C280" s="55"/>
      <c r="D280" s="205"/>
      <c r="E280" s="172"/>
      <c r="F280" s="212"/>
      <c r="G280" s="172"/>
      <c r="H280" s="205"/>
      <c r="I280" s="149"/>
      <c r="J280" s="46"/>
      <c r="K280" s="46"/>
      <c r="L280" s="46"/>
      <c r="M280" s="46"/>
      <c r="N280" s="46"/>
      <c r="O280" s="46"/>
      <c r="P280" s="46"/>
      <c r="Q280" s="46"/>
      <c r="R280" s="46"/>
      <c r="S280" s="46"/>
      <c r="T280" s="46"/>
      <c r="U280" s="46"/>
      <c r="V280" s="46"/>
      <c r="W280" s="46"/>
    </row>
    <row r="281">
      <c r="A281" s="55"/>
      <c r="B281" s="205"/>
      <c r="C281" s="55"/>
      <c r="D281" s="205"/>
      <c r="E281" s="172"/>
      <c r="F281" s="212"/>
      <c r="G281" s="172"/>
      <c r="H281" s="205"/>
      <c r="I281" s="149"/>
      <c r="J281" s="46"/>
      <c r="K281" s="46"/>
      <c r="L281" s="46"/>
      <c r="M281" s="46"/>
      <c r="N281" s="46"/>
      <c r="O281" s="46"/>
      <c r="P281" s="46"/>
      <c r="Q281" s="46"/>
      <c r="R281" s="46"/>
      <c r="S281" s="46"/>
      <c r="T281" s="46"/>
      <c r="U281" s="46"/>
      <c r="V281" s="46"/>
      <c r="W281" s="46"/>
    </row>
    <row r="282">
      <c r="A282" s="55"/>
      <c r="B282" s="205"/>
      <c r="C282" s="55"/>
      <c r="D282" s="205"/>
      <c r="E282" s="172"/>
      <c r="F282" s="212"/>
      <c r="G282" s="172"/>
      <c r="H282" s="205"/>
      <c r="I282" s="149"/>
      <c r="J282" s="46"/>
      <c r="K282" s="46"/>
      <c r="L282" s="46"/>
      <c r="M282" s="46"/>
      <c r="N282" s="46"/>
      <c r="O282" s="46"/>
      <c r="P282" s="46"/>
      <c r="Q282" s="46"/>
      <c r="R282" s="46"/>
      <c r="S282" s="46"/>
      <c r="T282" s="46"/>
      <c r="U282" s="46"/>
      <c r="V282" s="46"/>
      <c r="W282" s="46"/>
    </row>
    <row r="283">
      <c r="A283" s="55"/>
      <c r="B283" s="205"/>
      <c r="C283" s="55"/>
      <c r="D283" s="205"/>
      <c r="E283" s="172"/>
      <c r="F283" s="212"/>
      <c r="G283" s="172"/>
      <c r="H283" s="205"/>
      <c r="I283" s="149"/>
      <c r="J283" s="46"/>
      <c r="K283" s="46"/>
      <c r="L283" s="46"/>
      <c r="M283" s="46"/>
      <c r="N283" s="46"/>
      <c r="O283" s="46"/>
      <c r="P283" s="46"/>
      <c r="Q283" s="46"/>
      <c r="R283" s="46"/>
      <c r="S283" s="46"/>
      <c r="T283" s="46"/>
      <c r="U283" s="46"/>
      <c r="V283" s="46"/>
      <c r="W283" s="46"/>
    </row>
    <row r="284">
      <c r="A284" s="55"/>
      <c r="B284" s="205"/>
      <c r="C284" s="55"/>
      <c r="D284" s="205"/>
      <c r="E284" s="172"/>
      <c r="F284" s="212"/>
      <c r="G284" s="172"/>
      <c r="H284" s="205"/>
      <c r="I284" s="149"/>
      <c r="J284" s="46"/>
      <c r="K284" s="46"/>
      <c r="L284" s="46"/>
      <c r="M284" s="46"/>
      <c r="N284" s="46"/>
      <c r="O284" s="46"/>
      <c r="P284" s="46"/>
      <c r="Q284" s="46"/>
      <c r="R284" s="46"/>
      <c r="S284" s="46"/>
      <c r="T284" s="46"/>
      <c r="U284" s="46"/>
      <c r="V284" s="46"/>
      <c r="W284" s="46"/>
    </row>
    <row r="285">
      <c r="A285" s="55"/>
      <c r="B285" s="205"/>
      <c r="C285" s="55"/>
      <c r="D285" s="205"/>
      <c r="E285" s="172"/>
      <c r="F285" s="212"/>
      <c r="G285" s="172"/>
      <c r="H285" s="205"/>
      <c r="I285" s="149"/>
      <c r="J285" s="46"/>
      <c r="K285" s="46"/>
      <c r="L285" s="46"/>
      <c r="M285" s="46"/>
      <c r="N285" s="46"/>
      <c r="O285" s="46"/>
      <c r="P285" s="46"/>
      <c r="Q285" s="46"/>
      <c r="R285" s="46"/>
      <c r="S285" s="46"/>
      <c r="T285" s="46"/>
      <c r="U285" s="46"/>
      <c r="V285" s="46"/>
      <c r="W285" s="46"/>
    </row>
    <row r="286">
      <c r="A286" s="55"/>
      <c r="B286" s="205"/>
      <c r="C286" s="55"/>
      <c r="D286" s="205"/>
      <c r="E286" s="172"/>
      <c r="F286" s="212"/>
      <c r="G286" s="172"/>
      <c r="H286" s="205"/>
      <c r="I286" s="149"/>
      <c r="J286" s="46"/>
      <c r="K286" s="46"/>
      <c r="L286" s="46"/>
      <c r="M286" s="46"/>
      <c r="N286" s="46"/>
      <c r="O286" s="46"/>
      <c r="P286" s="46"/>
      <c r="Q286" s="46"/>
      <c r="R286" s="46"/>
      <c r="S286" s="46"/>
      <c r="T286" s="46"/>
      <c r="U286" s="46"/>
      <c r="V286" s="46"/>
      <c r="W286" s="46"/>
    </row>
    <row r="287">
      <c r="A287" s="55"/>
      <c r="B287" s="205"/>
      <c r="C287" s="55"/>
      <c r="D287" s="205"/>
      <c r="E287" s="172"/>
      <c r="F287" s="212"/>
      <c r="G287" s="172"/>
      <c r="H287" s="205"/>
      <c r="I287" s="149"/>
      <c r="J287" s="46"/>
      <c r="K287" s="46"/>
      <c r="L287" s="46"/>
      <c r="M287" s="46"/>
      <c r="N287" s="46"/>
      <c r="O287" s="46"/>
      <c r="P287" s="46"/>
      <c r="Q287" s="46"/>
      <c r="R287" s="46"/>
      <c r="S287" s="46"/>
      <c r="T287" s="46"/>
      <c r="U287" s="46"/>
      <c r="V287" s="46"/>
      <c r="W287" s="46"/>
    </row>
    <row r="288">
      <c r="A288" s="55"/>
      <c r="B288" s="205"/>
      <c r="C288" s="55"/>
      <c r="D288" s="205"/>
      <c r="E288" s="172"/>
      <c r="F288" s="212"/>
      <c r="G288" s="172"/>
      <c r="H288" s="205"/>
      <c r="I288" s="149"/>
      <c r="J288" s="46"/>
      <c r="K288" s="46"/>
      <c r="L288" s="46"/>
      <c r="M288" s="46"/>
      <c r="N288" s="46"/>
      <c r="O288" s="46"/>
      <c r="P288" s="46"/>
      <c r="Q288" s="46"/>
      <c r="R288" s="46"/>
      <c r="S288" s="46"/>
      <c r="T288" s="46"/>
      <c r="U288" s="46"/>
      <c r="V288" s="46"/>
      <c r="W288" s="46"/>
    </row>
    <row r="289">
      <c r="A289" s="55"/>
      <c r="B289" s="205"/>
      <c r="C289" s="55"/>
      <c r="D289" s="205"/>
      <c r="E289" s="172"/>
      <c r="F289" s="212"/>
      <c r="G289" s="172"/>
      <c r="H289" s="205"/>
      <c r="I289" s="149"/>
      <c r="J289" s="46"/>
      <c r="K289" s="46"/>
      <c r="L289" s="46"/>
      <c r="M289" s="46"/>
      <c r="N289" s="46"/>
      <c r="O289" s="46"/>
      <c r="P289" s="46"/>
      <c r="Q289" s="46"/>
      <c r="R289" s="46"/>
      <c r="S289" s="46"/>
      <c r="T289" s="46"/>
      <c r="U289" s="46"/>
      <c r="V289" s="46"/>
      <c r="W289" s="46"/>
    </row>
    <row r="290">
      <c r="A290" s="55"/>
      <c r="B290" s="205"/>
      <c r="C290" s="55"/>
      <c r="D290" s="205"/>
      <c r="E290" s="172"/>
      <c r="F290" s="212"/>
      <c r="G290" s="172"/>
      <c r="H290" s="205"/>
      <c r="I290" s="149"/>
      <c r="J290" s="46"/>
      <c r="K290" s="46"/>
      <c r="L290" s="46"/>
      <c r="M290" s="46"/>
      <c r="N290" s="46"/>
      <c r="O290" s="46"/>
      <c r="P290" s="46"/>
      <c r="Q290" s="46"/>
      <c r="R290" s="46"/>
      <c r="S290" s="46"/>
      <c r="T290" s="46"/>
      <c r="U290" s="46"/>
      <c r="V290" s="46"/>
      <c r="W290" s="46"/>
    </row>
    <row r="291">
      <c r="A291" s="55"/>
      <c r="B291" s="205"/>
      <c r="C291" s="55"/>
      <c r="D291" s="205"/>
      <c r="E291" s="172"/>
      <c r="F291" s="212"/>
      <c r="G291" s="172"/>
      <c r="H291" s="205"/>
      <c r="I291" s="149"/>
      <c r="J291" s="46"/>
      <c r="K291" s="46"/>
      <c r="L291" s="46"/>
      <c r="M291" s="46"/>
      <c r="N291" s="46"/>
      <c r="O291" s="46"/>
      <c r="P291" s="46"/>
      <c r="Q291" s="46"/>
      <c r="R291" s="46"/>
      <c r="S291" s="46"/>
      <c r="T291" s="46"/>
      <c r="U291" s="46"/>
      <c r="V291" s="46"/>
      <c r="W291" s="46"/>
    </row>
    <row r="292">
      <c r="A292" s="55"/>
      <c r="B292" s="205"/>
      <c r="C292" s="55"/>
      <c r="D292" s="205"/>
      <c r="E292" s="172"/>
      <c r="F292" s="212"/>
      <c r="G292" s="172"/>
      <c r="H292" s="205"/>
      <c r="I292" s="149"/>
      <c r="J292" s="46"/>
      <c r="K292" s="46"/>
      <c r="L292" s="46"/>
      <c r="M292" s="46"/>
      <c r="N292" s="46"/>
      <c r="O292" s="46"/>
      <c r="P292" s="46"/>
      <c r="Q292" s="46"/>
      <c r="R292" s="46"/>
      <c r="S292" s="46"/>
      <c r="T292" s="46"/>
      <c r="U292" s="46"/>
      <c r="V292" s="46"/>
      <c r="W292" s="46"/>
    </row>
    <row r="293">
      <c r="A293" s="55"/>
      <c r="B293" s="205"/>
      <c r="C293" s="55"/>
      <c r="D293" s="205"/>
      <c r="E293" s="172"/>
      <c r="F293" s="212"/>
      <c r="G293" s="172"/>
      <c r="H293" s="205"/>
      <c r="I293" s="149"/>
      <c r="J293" s="46"/>
      <c r="K293" s="46"/>
      <c r="L293" s="46"/>
      <c r="M293" s="46"/>
      <c r="N293" s="46"/>
      <c r="O293" s="46"/>
      <c r="P293" s="46"/>
      <c r="Q293" s="46"/>
      <c r="R293" s="46"/>
      <c r="S293" s="46"/>
      <c r="T293" s="46"/>
      <c r="U293" s="46"/>
      <c r="V293" s="46"/>
      <c r="W293" s="46"/>
    </row>
    <row r="294">
      <c r="A294" s="55"/>
      <c r="B294" s="205"/>
      <c r="C294" s="55"/>
      <c r="D294" s="205"/>
      <c r="E294" s="172"/>
      <c r="F294" s="212"/>
      <c r="G294" s="172"/>
      <c r="H294" s="205"/>
      <c r="I294" s="149"/>
      <c r="J294" s="46"/>
      <c r="K294" s="46"/>
      <c r="L294" s="46"/>
      <c r="M294" s="46"/>
      <c r="N294" s="46"/>
      <c r="O294" s="46"/>
      <c r="P294" s="46"/>
      <c r="Q294" s="46"/>
      <c r="R294" s="46"/>
      <c r="S294" s="46"/>
      <c r="T294" s="46"/>
      <c r="U294" s="46"/>
      <c r="V294" s="46"/>
      <c r="W294" s="46"/>
    </row>
    <row r="295">
      <c r="A295" s="55"/>
      <c r="B295" s="205"/>
      <c r="C295" s="55"/>
      <c r="D295" s="205"/>
      <c r="E295" s="172"/>
      <c r="F295" s="212"/>
      <c r="G295" s="172"/>
      <c r="H295" s="205"/>
      <c r="I295" s="149"/>
      <c r="J295" s="46"/>
      <c r="K295" s="46"/>
      <c r="L295" s="46"/>
      <c r="M295" s="46"/>
      <c r="N295" s="46"/>
      <c r="O295" s="46"/>
      <c r="P295" s="46"/>
      <c r="Q295" s="46"/>
      <c r="R295" s="46"/>
      <c r="S295" s="46"/>
      <c r="T295" s="46"/>
      <c r="U295" s="46"/>
      <c r="V295" s="46"/>
      <c r="W295" s="46"/>
    </row>
    <row r="296">
      <c r="A296" s="55"/>
      <c r="B296" s="205"/>
      <c r="C296" s="55"/>
      <c r="D296" s="205"/>
      <c r="E296" s="172"/>
      <c r="F296" s="212"/>
      <c r="G296" s="172"/>
      <c r="H296" s="205"/>
      <c r="I296" s="149"/>
      <c r="J296" s="46"/>
      <c r="K296" s="46"/>
      <c r="L296" s="46"/>
      <c r="M296" s="46"/>
      <c r="N296" s="46"/>
      <c r="O296" s="46"/>
      <c r="P296" s="46"/>
      <c r="Q296" s="46"/>
      <c r="R296" s="46"/>
      <c r="S296" s="46"/>
      <c r="T296" s="46"/>
      <c r="U296" s="46"/>
      <c r="V296" s="46"/>
      <c r="W296" s="46"/>
    </row>
    <row r="297">
      <c r="A297" s="55"/>
      <c r="B297" s="205"/>
      <c r="C297" s="55"/>
      <c r="D297" s="205"/>
      <c r="E297" s="172"/>
      <c r="F297" s="212"/>
      <c r="G297" s="172"/>
      <c r="H297" s="205"/>
      <c r="I297" s="149"/>
      <c r="J297" s="46"/>
      <c r="K297" s="46"/>
      <c r="L297" s="46"/>
      <c r="M297" s="46"/>
      <c r="N297" s="46"/>
      <c r="O297" s="46"/>
      <c r="P297" s="46"/>
      <c r="Q297" s="46"/>
      <c r="R297" s="46"/>
      <c r="S297" s="46"/>
      <c r="T297" s="46"/>
      <c r="U297" s="46"/>
      <c r="V297" s="46"/>
      <c r="W297" s="46"/>
    </row>
    <row r="298">
      <c r="A298" s="55"/>
      <c r="B298" s="205"/>
      <c r="C298" s="55"/>
      <c r="D298" s="205"/>
      <c r="E298" s="172"/>
      <c r="F298" s="212"/>
      <c r="G298" s="172"/>
      <c r="H298" s="205"/>
      <c r="I298" s="149"/>
      <c r="J298" s="46"/>
      <c r="K298" s="46"/>
      <c r="L298" s="46"/>
      <c r="M298" s="46"/>
      <c r="N298" s="46"/>
      <c r="O298" s="46"/>
      <c r="P298" s="46"/>
      <c r="Q298" s="46"/>
      <c r="R298" s="46"/>
      <c r="S298" s="46"/>
      <c r="T298" s="46"/>
      <c r="U298" s="46"/>
      <c r="V298" s="46"/>
      <c r="W298" s="46"/>
    </row>
    <row r="299">
      <c r="A299" s="55"/>
      <c r="B299" s="205"/>
      <c r="C299" s="55"/>
      <c r="D299" s="205"/>
      <c r="E299" s="172"/>
      <c r="F299" s="212"/>
      <c r="G299" s="172"/>
      <c r="H299" s="205"/>
      <c r="I299" s="149"/>
      <c r="J299" s="46"/>
      <c r="K299" s="46"/>
      <c r="L299" s="46"/>
      <c r="M299" s="46"/>
      <c r="N299" s="46"/>
      <c r="O299" s="46"/>
      <c r="P299" s="46"/>
      <c r="Q299" s="46"/>
      <c r="R299" s="46"/>
      <c r="S299" s="46"/>
      <c r="T299" s="46"/>
      <c r="U299" s="46"/>
      <c r="V299" s="46"/>
      <c r="W299" s="46"/>
    </row>
    <row r="300">
      <c r="A300" s="55"/>
      <c r="B300" s="205"/>
      <c r="C300" s="55"/>
      <c r="D300" s="205"/>
      <c r="E300" s="172"/>
      <c r="F300" s="212"/>
      <c r="G300" s="172"/>
      <c r="H300" s="205"/>
      <c r="I300" s="149"/>
      <c r="J300" s="46"/>
      <c r="K300" s="46"/>
      <c r="L300" s="46"/>
      <c r="M300" s="46"/>
      <c r="N300" s="46"/>
      <c r="O300" s="46"/>
      <c r="P300" s="46"/>
      <c r="Q300" s="46"/>
      <c r="R300" s="46"/>
      <c r="S300" s="46"/>
      <c r="T300" s="46"/>
      <c r="U300" s="46"/>
      <c r="V300" s="46"/>
      <c r="W300" s="46"/>
    </row>
    <row r="301">
      <c r="A301" s="55"/>
      <c r="B301" s="205"/>
      <c r="C301" s="55"/>
      <c r="D301" s="205"/>
      <c r="E301" s="172"/>
      <c r="F301" s="212"/>
      <c r="G301" s="172"/>
      <c r="H301" s="205"/>
      <c r="I301" s="149"/>
      <c r="J301" s="46"/>
      <c r="K301" s="46"/>
      <c r="L301" s="46"/>
      <c r="M301" s="46"/>
      <c r="N301" s="46"/>
      <c r="O301" s="46"/>
      <c r="P301" s="46"/>
      <c r="Q301" s="46"/>
      <c r="R301" s="46"/>
      <c r="S301" s="46"/>
      <c r="T301" s="46"/>
      <c r="U301" s="46"/>
      <c r="V301" s="46"/>
      <c r="W301" s="46"/>
    </row>
    <row r="302">
      <c r="A302" s="55"/>
      <c r="B302" s="205"/>
      <c r="C302" s="55"/>
      <c r="D302" s="205"/>
      <c r="E302" s="172"/>
      <c r="F302" s="212"/>
      <c r="G302" s="172"/>
      <c r="H302" s="205"/>
      <c r="I302" s="149"/>
      <c r="J302" s="46"/>
      <c r="K302" s="46"/>
      <c r="L302" s="46"/>
      <c r="M302" s="46"/>
      <c r="N302" s="46"/>
      <c r="O302" s="46"/>
      <c r="P302" s="46"/>
      <c r="Q302" s="46"/>
      <c r="R302" s="46"/>
      <c r="S302" s="46"/>
      <c r="T302" s="46"/>
      <c r="U302" s="46"/>
      <c r="V302" s="46"/>
      <c r="W302" s="46"/>
    </row>
    <row r="303">
      <c r="A303" s="55"/>
      <c r="B303" s="205"/>
      <c r="C303" s="55"/>
      <c r="D303" s="205"/>
      <c r="E303" s="172"/>
      <c r="F303" s="212"/>
      <c r="G303" s="172"/>
      <c r="H303" s="205"/>
      <c r="I303" s="149"/>
      <c r="J303" s="46"/>
      <c r="K303" s="46"/>
      <c r="L303" s="46"/>
      <c r="M303" s="46"/>
      <c r="N303" s="46"/>
      <c r="O303" s="46"/>
      <c r="P303" s="46"/>
      <c r="Q303" s="46"/>
      <c r="R303" s="46"/>
      <c r="S303" s="46"/>
      <c r="T303" s="46"/>
      <c r="U303" s="46"/>
      <c r="V303" s="46"/>
      <c r="W303" s="46"/>
    </row>
    <row r="304">
      <c r="A304" s="55"/>
      <c r="B304" s="205"/>
      <c r="C304" s="55"/>
      <c r="D304" s="205"/>
      <c r="E304" s="172"/>
      <c r="F304" s="212"/>
      <c r="G304" s="172"/>
      <c r="H304" s="205"/>
      <c r="I304" s="149"/>
      <c r="J304" s="46"/>
      <c r="K304" s="46"/>
      <c r="L304" s="46"/>
      <c r="M304" s="46"/>
      <c r="N304" s="46"/>
      <c r="O304" s="46"/>
      <c r="P304" s="46"/>
      <c r="Q304" s="46"/>
      <c r="R304" s="46"/>
      <c r="S304" s="46"/>
      <c r="T304" s="46"/>
      <c r="U304" s="46"/>
      <c r="V304" s="46"/>
      <c r="W304" s="46"/>
    </row>
    <row r="305">
      <c r="A305" s="55"/>
      <c r="B305" s="205"/>
      <c r="C305" s="55"/>
      <c r="D305" s="205"/>
      <c r="E305" s="172"/>
      <c r="F305" s="212"/>
      <c r="G305" s="172"/>
      <c r="H305" s="205"/>
      <c r="I305" s="149"/>
      <c r="J305" s="46"/>
      <c r="K305" s="46"/>
      <c r="L305" s="46"/>
      <c r="M305" s="46"/>
      <c r="N305" s="46"/>
      <c r="O305" s="46"/>
      <c r="P305" s="46"/>
      <c r="Q305" s="46"/>
      <c r="R305" s="46"/>
      <c r="S305" s="46"/>
      <c r="T305" s="46"/>
      <c r="U305" s="46"/>
      <c r="V305" s="46"/>
      <c r="W305" s="46"/>
    </row>
    <row r="306">
      <c r="A306" s="55"/>
      <c r="B306" s="205"/>
      <c r="C306" s="55"/>
      <c r="D306" s="205"/>
      <c r="E306" s="172"/>
      <c r="F306" s="212"/>
      <c r="G306" s="172"/>
      <c r="H306" s="205"/>
      <c r="I306" s="149"/>
      <c r="J306" s="46"/>
      <c r="K306" s="46"/>
      <c r="L306" s="46"/>
      <c r="M306" s="46"/>
      <c r="N306" s="46"/>
      <c r="O306" s="46"/>
      <c r="P306" s="46"/>
      <c r="Q306" s="46"/>
      <c r="R306" s="46"/>
      <c r="S306" s="46"/>
      <c r="T306" s="46"/>
      <c r="U306" s="46"/>
      <c r="V306" s="46"/>
      <c r="W306" s="46"/>
    </row>
    <row r="307">
      <c r="A307" s="55"/>
      <c r="B307" s="205"/>
      <c r="C307" s="55"/>
      <c r="D307" s="205"/>
      <c r="E307" s="172"/>
      <c r="F307" s="212"/>
      <c r="G307" s="172"/>
      <c r="H307" s="205"/>
      <c r="I307" s="149"/>
      <c r="J307" s="46"/>
      <c r="K307" s="46"/>
      <c r="L307" s="46"/>
      <c r="M307" s="46"/>
      <c r="N307" s="46"/>
      <c r="O307" s="46"/>
      <c r="P307" s="46"/>
      <c r="Q307" s="46"/>
      <c r="R307" s="46"/>
      <c r="S307" s="46"/>
      <c r="T307" s="46"/>
      <c r="U307" s="46"/>
      <c r="V307" s="46"/>
      <c r="W307" s="46"/>
    </row>
    <row r="308">
      <c r="A308" s="55"/>
      <c r="B308" s="205"/>
      <c r="C308" s="55"/>
      <c r="D308" s="205"/>
      <c r="E308" s="172"/>
      <c r="F308" s="212"/>
      <c r="G308" s="172"/>
      <c r="H308" s="205"/>
      <c r="I308" s="149"/>
      <c r="J308" s="46"/>
      <c r="K308" s="46"/>
      <c r="L308" s="46"/>
      <c r="M308" s="46"/>
      <c r="N308" s="46"/>
      <c r="O308" s="46"/>
      <c r="P308" s="46"/>
      <c r="Q308" s="46"/>
      <c r="R308" s="46"/>
      <c r="S308" s="46"/>
      <c r="T308" s="46"/>
      <c r="U308" s="46"/>
      <c r="V308" s="46"/>
      <c r="W308" s="46"/>
    </row>
    <row r="309">
      <c r="A309" s="55"/>
      <c r="B309" s="205"/>
      <c r="C309" s="55"/>
      <c r="D309" s="205"/>
      <c r="E309" s="172"/>
      <c r="F309" s="212"/>
      <c r="G309" s="172"/>
      <c r="H309" s="205"/>
      <c r="I309" s="149"/>
      <c r="J309" s="46"/>
      <c r="K309" s="46"/>
      <c r="L309" s="46"/>
      <c r="M309" s="46"/>
      <c r="N309" s="46"/>
      <c r="O309" s="46"/>
      <c r="P309" s="46"/>
      <c r="Q309" s="46"/>
      <c r="R309" s="46"/>
      <c r="S309" s="46"/>
      <c r="T309" s="46"/>
      <c r="U309" s="46"/>
      <c r="V309" s="46"/>
      <c r="W309" s="46"/>
    </row>
    <row r="310">
      <c r="A310" s="55"/>
      <c r="B310" s="205"/>
      <c r="C310" s="55"/>
      <c r="D310" s="205"/>
      <c r="E310" s="172"/>
      <c r="F310" s="212"/>
      <c r="G310" s="172"/>
      <c r="H310" s="205"/>
      <c r="I310" s="149"/>
      <c r="J310" s="46"/>
      <c r="K310" s="46"/>
      <c r="L310" s="46"/>
      <c r="M310" s="46"/>
      <c r="N310" s="46"/>
      <c r="O310" s="46"/>
      <c r="P310" s="46"/>
      <c r="Q310" s="46"/>
      <c r="R310" s="46"/>
      <c r="S310" s="46"/>
      <c r="T310" s="46"/>
      <c r="U310" s="46"/>
      <c r="V310" s="46"/>
      <c r="W310" s="46"/>
    </row>
    <row r="311">
      <c r="A311" s="55"/>
      <c r="B311" s="205"/>
      <c r="C311" s="55"/>
      <c r="D311" s="205"/>
      <c r="E311" s="172"/>
      <c r="F311" s="212"/>
      <c r="G311" s="172"/>
      <c r="H311" s="205"/>
      <c r="I311" s="149"/>
      <c r="J311" s="46"/>
      <c r="K311" s="46"/>
      <c r="L311" s="46"/>
      <c r="M311" s="46"/>
      <c r="N311" s="46"/>
      <c r="O311" s="46"/>
      <c r="P311" s="46"/>
      <c r="Q311" s="46"/>
      <c r="R311" s="46"/>
      <c r="S311" s="46"/>
      <c r="T311" s="46"/>
      <c r="U311" s="46"/>
      <c r="V311" s="46"/>
      <c r="W311" s="46"/>
    </row>
    <row r="312">
      <c r="A312" s="55"/>
      <c r="B312" s="205"/>
      <c r="C312" s="55"/>
      <c r="D312" s="205"/>
      <c r="E312" s="172"/>
      <c r="F312" s="212"/>
      <c r="G312" s="172"/>
      <c r="H312" s="205"/>
      <c r="I312" s="149"/>
      <c r="J312" s="46"/>
      <c r="K312" s="46"/>
      <c r="L312" s="46"/>
      <c r="M312" s="46"/>
      <c r="N312" s="46"/>
      <c r="O312" s="46"/>
      <c r="P312" s="46"/>
      <c r="Q312" s="46"/>
      <c r="R312" s="46"/>
      <c r="S312" s="46"/>
      <c r="T312" s="46"/>
      <c r="U312" s="46"/>
      <c r="V312" s="46"/>
      <c r="W312" s="46"/>
    </row>
    <row r="313">
      <c r="A313" s="55"/>
      <c r="B313" s="205"/>
      <c r="C313" s="55"/>
      <c r="D313" s="205"/>
      <c r="E313" s="172"/>
      <c r="F313" s="212"/>
      <c r="G313" s="172"/>
      <c r="H313" s="205"/>
      <c r="I313" s="149"/>
      <c r="J313" s="46"/>
      <c r="K313" s="46"/>
      <c r="L313" s="46"/>
      <c r="M313" s="46"/>
      <c r="N313" s="46"/>
      <c r="O313" s="46"/>
      <c r="P313" s="46"/>
      <c r="Q313" s="46"/>
      <c r="R313" s="46"/>
      <c r="S313" s="46"/>
      <c r="T313" s="46"/>
      <c r="U313" s="46"/>
      <c r="V313" s="46"/>
      <c r="W313" s="46"/>
    </row>
    <row r="314">
      <c r="A314" s="55"/>
      <c r="B314" s="205"/>
      <c r="C314" s="55"/>
      <c r="D314" s="205"/>
      <c r="E314" s="172"/>
      <c r="F314" s="212"/>
      <c r="G314" s="172"/>
      <c r="H314" s="205"/>
      <c r="I314" s="149"/>
      <c r="J314" s="46"/>
      <c r="K314" s="46"/>
      <c r="L314" s="46"/>
      <c r="M314" s="46"/>
      <c r="N314" s="46"/>
      <c r="O314" s="46"/>
      <c r="P314" s="46"/>
      <c r="Q314" s="46"/>
      <c r="R314" s="46"/>
      <c r="S314" s="46"/>
      <c r="T314" s="46"/>
      <c r="U314" s="46"/>
      <c r="V314" s="46"/>
      <c r="W314" s="46"/>
    </row>
    <row r="315">
      <c r="A315" s="55"/>
      <c r="B315" s="205"/>
      <c r="C315" s="55"/>
      <c r="D315" s="205"/>
      <c r="E315" s="172"/>
      <c r="F315" s="212"/>
      <c r="G315" s="172"/>
      <c r="H315" s="205"/>
      <c r="I315" s="149"/>
      <c r="J315" s="46"/>
      <c r="K315" s="46"/>
      <c r="L315" s="46"/>
      <c r="M315" s="46"/>
      <c r="N315" s="46"/>
      <c r="O315" s="46"/>
      <c r="P315" s="46"/>
      <c r="Q315" s="46"/>
      <c r="R315" s="46"/>
      <c r="S315" s="46"/>
      <c r="T315" s="46"/>
      <c r="U315" s="46"/>
      <c r="V315" s="46"/>
      <c r="W315" s="46"/>
    </row>
    <row r="316">
      <c r="A316" s="55"/>
      <c r="B316" s="205"/>
      <c r="C316" s="55"/>
      <c r="D316" s="205"/>
      <c r="E316" s="172"/>
      <c r="F316" s="212"/>
      <c r="G316" s="172"/>
      <c r="H316" s="205"/>
      <c r="I316" s="149"/>
      <c r="J316" s="46"/>
      <c r="K316" s="46"/>
      <c r="L316" s="46"/>
      <c r="M316" s="46"/>
      <c r="N316" s="46"/>
      <c r="O316" s="46"/>
      <c r="P316" s="46"/>
      <c r="Q316" s="46"/>
      <c r="R316" s="46"/>
      <c r="S316" s="46"/>
      <c r="T316" s="46"/>
      <c r="U316" s="46"/>
      <c r="V316" s="46"/>
      <c r="W316" s="46"/>
    </row>
    <row r="317">
      <c r="A317" s="55"/>
      <c r="B317" s="205"/>
      <c r="C317" s="55"/>
      <c r="D317" s="205"/>
      <c r="E317" s="172"/>
      <c r="F317" s="212"/>
      <c r="G317" s="172"/>
      <c r="H317" s="205"/>
      <c r="I317" s="149"/>
      <c r="J317" s="46"/>
      <c r="K317" s="46"/>
      <c r="L317" s="46"/>
      <c r="M317" s="46"/>
      <c r="N317" s="46"/>
      <c r="O317" s="46"/>
      <c r="P317" s="46"/>
      <c r="Q317" s="46"/>
      <c r="R317" s="46"/>
      <c r="S317" s="46"/>
      <c r="T317" s="46"/>
      <c r="U317" s="46"/>
      <c r="V317" s="46"/>
      <c r="W317" s="46"/>
    </row>
    <row r="318">
      <c r="A318" s="55"/>
      <c r="B318" s="205"/>
      <c r="C318" s="55"/>
      <c r="D318" s="205"/>
      <c r="E318" s="172"/>
      <c r="F318" s="212"/>
      <c r="G318" s="172"/>
      <c r="H318" s="205"/>
      <c r="I318" s="149"/>
      <c r="J318" s="46"/>
      <c r="K318" s="46"/>
      <c r="L318" s="46"/>
      <c r="M318" s="46"/>
      <c r="N318" s="46"/>
      <c r="O318" s="46"/>
      <c r="P318" s="46"/>
      <c r="Q318" s="46"/>
      <c r="R318" s="46"/>
      <c r="S318" s="46"/>
      <c r="T318" s="46"/>
      <c r="U318" s="46"/>
      <c r="V318" s="46"/>
      <c r="W318" s="46"/>
    </row>
    <row r="319">
      <c r="A319" s="55"/>
      <c r="B319" s="205"/>
      <c r="C319" s="55"/>
      <c r="D319" s="205"/>
      <c r="E319" s="172"/>
      <c r="F319" s="212"/>
      <c r="G319" s="172"/>
      <c r="H319" s="205"/>
      <c r="I319" s="149"/>
      <c r="J319" s="46"/>
      <c r="K319" s="46"/>
      <c r="L319" s="46"/>
      <c r="M319" s="46"/>
      <c r="N319" s="46"/>
      <c r="O319" s="46"/>
      <c r="P319" s="46"/>
      <c r="Q319" s="46"/>
      <c r="R319" s="46"/>
      <c r="S319" s="46"/>
      <c r="T319" s="46"/>
      <c r="U319" s="46"/>
      <c r="V319" s="46"/>
      <c r="W319" s="46"/>
    </row>
    <row r="320">
      <c r="A320" s="55"/>
      <c r="B320" s="205"/>
      <c r="C320" s="55"/>
      <c r="D320" s="205"/>
      <c r="E320" s="172"/>
      <c r="F320" s="212"/>
      <c r="G320" s="172"/>
      <c r="H320" s="205"/>
      <c r="I320" s="149"/>
      <c r="J320" s="46"/>
      <c r="K320" s="46"/>
      <c r="L320" s="46"/>
      <c r="M320" s="46"/>
      <c r="N320" s="46"/>
      <c r="O320" s="46"/>
      <c r="P320" s="46"/>
      <c r="Q320" s="46"/>
      <c r="R320" s="46"/>
      <c r="S320" s="46"/>
      <c r="T320" s="46"/>
      <c r="U320" s="46"/>
      <c r="V320" s="46"/>
      <c r="W320" s="46"/>
    </row>
    <row r="321">
      <c r="A321" s="55"/>
      <c r="B321" s="205"/>
      <c r="C321" s="55"/>
      <c r="D321" s="205"/>
      <c r="E321" s="172"/>
      <c r="F321" s="212"/>
      <c r="G321" s="172"/>
      <c r="H321" s="205"/>
      <c r="I321" s="149"/>
      <c r="J321" s="46"/>
      <c r="K321" s="46"/>
      <c r="L321" s="46"/>
      <c r="M321" s="46"/>
      <c r="N321" s="46"/>
      <c r="O321" s="46"/>
      <c r="P321" s="46"/>
      <c r="Q321" s="46"/>
      <c r="R321" s="46"/>
      <c r="S321" s="46"/>
      <c r="T321" s="46"/>
      <c r="U321" s="46"/>
      <c r="V321" s="46"/>
      <c r="W321" s="46"/>
    </row>
    <row r="322">
      <c r="A322" s="55"/>
      <c r="B322" s="205"/>
      <c r="C322" s="55"/>
      <c r="D322" s="205"/>
      <c r="E322" s="172"/>
      <c r="F322" s="212"/>
      <c r="G322" s="172"/>
      <c r="H322" s="205"/>
      <c r="I322" s="149"/>
      <c r="J322" s="46"/>
      <c r="K322" s="46"/>
      <c r="L322" s="46"/>
      <c r="M322" s="46"/>
      <c r="N322" s="46"/>
      <c r="O322" s="46"/>
      <c r="P322" s="46"/>
      <c r="Q322" s="46"/>
      <c r="R322" s="46"/>
      <c r="S322" s="46"/>
      <c r="T322" s="46"/>
      <c r="U322" s="46"/>
      <c r="V322" s="46"/>
      <c r="W322" s="46"/>
    </row>
    <row r="323">
      <c r="A323" s="55"/>
      <c r="B323" s="205"/>
      <c r="C323" s="55"/>
      <c r="D323" s="205"/>
      <c r="E323" s="172"/>
      <c r="F323" s="212"/>
      <c r="G323" s="172"/>
      <c r="H323" s="205"/>
      <c r="I323" s="149"/>
      <c r="J323" s="46"/>
      <c r="K323" s="46"/>
      <c r="L323" s="46"/>
      <c r="M323" s="46"/>
      <c r="N323" s="46"/>
      <c r="O323" s="46"/>
      <c r="P323" s="46"/>
      <c r="Q323" s="46"/>
      <c r="R323" s="46"/>
      <c r="S323" s="46"/>
      <c r="T323" s="46"/>
      <c r="U323" s="46"/>
      <c r="V323" s="46"/>
      <c r="W323" s="46"/>
    </row>
    <row r="324">
      <c r="A324" s="55"/>
      <c r="B324" s="205"/>
      <c r="C324" s="55"/>
      <c r="D324" s="205"/>
      <c r="E324" s="172"/>
      <c r="F324" s="212"/>
      <c r="G324" s="172"/>
      <c r="H324" s="205"/>
      <c r="I324" s="149"/>
      <c r="J324" s="46"/>
      <c r="K324" s="46"/>
      <c r="L324" s="46"/>
      <c r="M324" s="46"/>
      <c r="N324" s="46"/>
      <c r="O324" s="46"/>
      <c r="P324" s="46"/>
      <c r="Q324" s="46"/>
      <c r="R324" s="46"/>
      <c r="S324" s="46"/>
      <c r="T324" s="46"/>
      <c r="U324" s="46"/>
      <c r="V324" s="46"/>
      <c r="W324" s="46"/>
    </row>
    <row r="325">
      <c r="A325" s="55"/>
      <c r="B325" s="205"/>
      <c r="C325" s="55"/>
      <c r="D325" s="205"/>
      <c r="E325" s="172"/>
      <c r="F325" s="212"/>
      <c r="G325" s="172"/>
      <c r="H325" s="205"/>
      <c r="I325" s="149"/>
      <c r="J325" s="46"/>
      <c r="K325" s="46"/>
      <c r="L325" s="46"/>
      <c r="M325" s="46"/>
      <c r="N325" s="46"/>
      <c r="O325" s="46"/>
      <c r="P325" s="46"/>
      <c r="Q325" s="46"/>
      <c r="R325" s="46"/>
      <c r="S325" s="46"/>
      <c r="T325" s="46"/>
      <c r="U325" s="46"/>
      <c r="V325" s="46"/>
      <c r="W325" s="46"/>
    </row>
    <row r="326">
      <c r="A326" s="55"/>
      <c r="B326" s="205"/>
      <c r="C326" s="55"/>
      <c r="D326" s="205"/>
      <c r="E326" s="172"/>
      <c r="F326" s="212"/>
      <c r="G326" s="172"/>
      <c r="H326" s="205"/>
      <c r="I326" s="149"/>
      <c r="J326" s="46"/>
      <c r="K326" s="46"/>
      <c r="L326" s="46"/>
      <c r="M326" s="46"/>
      <c r="N326" s="46"/>
      <c r="O326" s="46"/>
      <c r="P326" s="46"/>
      <c r="Q326" s="46"/>
      <c r="R326" s="46"/>
      <c r="S326" s="46"/>
      <c r="T326" s="46"/>
      <c r="U326" s="46"/>
      <c r="V326" s="46"/>
      <c r="W326" s="46"/>
    </row>
    <row r="327">
      <c r="A327" s="55"/>
      <c r="B327" s="205"/>
      <c r="C327" s="55"/>
      <c r="D327" s="205"/>
      <c r="E327" s="172"/>
      <c r="F327" s="212"/>
      <c r="G327" s="172"/>
      <c r="H327" s="205"/>
      <c r="I327" s="149"/>
      <c r="J327" s="46"/>
      <c r="K327" s="46"/>
      <c r="L327" s="46"/>
      <c r="M327" s="46"/>
      <c r="N327" s="46"/>
      <c r="O327" s="46"/>
      <c r="P327" s="46"/>
      <c r="Q327" s="46"/>
      <c r="R327" s="46"/>
      <c r="S327" s="46"/>
      <c r="T327" s="46"/>
      <c r="U327" s="46"/>
      <c r="V327" s="46"/>
      <c r="W327" s="46"/>
    </row>
    <row r="328">
      <c r="A328" s="55"/>
      <c r="B328" s="205"/>
      <c r="C328" s="55"/>
      <c r="D328" s="205"/>
      <c r="E328" s="172"/>
      <c r="F328" s="212"/>
      <c r="G328" s="172"/>
      <c r="H328" s="205"/>
      <c r="I328" s="149"/>
      <c r="J328" s="46"/>
      <c r="K328" s="46"/>
      <c r="L328" s="46"/>
      <c r="M328" s="46"/>
      <c r="N328" s="46"/>
      <c r="O328" s="46"/>
      <c r="P328" s="46"/>
      <c r="Q328" s="46"/>
      <c r="R328" s="46"/>
      <c r="S328" s="46"/>
      <c r="T328" s="46"/>
      <c r="U328" s="46"/>
      <c r="V328" s="46"/>
      <c r="W328" s="46"/>
    </row>
    <row r="329">
      <c r="A329" s="55"/>
      <c r="B329" s="205"/>
      <c r="C329" s="55"/>
      <c r="D329" s="205"/>
      <c r="E329" s="172"/>
      <c r="F329" s="212"/>
      <c r="G329" s="172"/>
      <c r="H329" s="205"/>
      <c r="I329" s="149"/>
      <c r="J329" s="46"/>
      <c r="K329" s="46"/>
      <c r="L329" s="46"/>
      <c r="M329" s="46"/>
      <c r="N329" s="46"/>
      <c r="O329" s="46"/>
      <c r="P329" s="46"/>
      <c r="Q329" s="46"/>
      <c r="R329" s="46"/>
      <c r="S329" s="46"/>
      <c r="T329" s="46"/>
      <c r="U329" s="46"/>
      <c r="V329" s="46"/>
      <c r="W329" s="46"/>
    </row>
    <row r="330">
      <c r="A330" s="55"/>
      <c r="B330" s="205"/>
      <c r="C330" s="55"/>
      <c r="D330" s="205"/>
      <c r="E330" s="172"/>
      <c r="F330" s="212"/>
      <c r="G330" s="172"/>
      <c r="H330" s="205"/>
      <c r="I330" s="149"/>
      <c r="J330" s="46"/>
      <c r="K330" s="46"/>
      <c r="L330" s="46"/>
      <c r="M330" s="46"/>
      <c r="N330" s="46"/>
      <c r="O330" s="46"/>
      <c r="P330" s="46"/>
      <c r="Q330" s="46"/>
      <c r="R330" s="46"/>
      <c r="S330" s="46"/>
      <c r="T330" s="46"/>
      <c r="U330" s="46"/>
      <c r="V330" s="46"/>
      <c r="W330" s="46"/>
    </row>
    <row r="331">
      <c r="A331" s="55"/>
      <c r="B331" s="205"/>
      <c r="C331" s="55"/>
      <c r="D331" s="205"/>
      <c r="E331" s="172"/>
      <c r="F331" s="212"/>
      <c r="G331" s="172"/>
      <c r="H331" s="205"/>
      <c r="I331" s="149"/>
      <c r="J331" s="46"/>
      <c r="K331" s="46"/>
      <c r="L331" s="46"/>
      <c r="M331" s="46"/>
      <c r="N331" s="46"/>
      <c r="O331" s="46"/>
      <c r="P331" s="46"/>
      <c r="Q331" s="46"/>
      <c r="R331" s="46"/>
      <c r="S331" s="46"/>
      <c r="T331" s="46"/>
      <c r="U331" s="46"/>
      <c r="V331" s="46"/>
      <c r="W331" s="46"/>
    </row>
    <row r="332">
      <c r="A332" s="55"/>
      <c r="B332" s="205"/>
      <c r="C332" s="55"/>
      <c r="D332" s="205"/>
      <c r="E332" s="172"/>
      <c r="F332" s="212"/>
      <c r="G332" s="172"/>
      <c r="H332" s="205"/>
      <c r="I332" s="149"/>
      <c r="J332" s="46"/>
      <c r="K332" s="46"/>
      <c r="L332" s="46"/>
      <c r="M332" s="46"/>
      <c r="N332" s="46"/>
      <c r="O332" s="46"/>
      <c r="P332" s="46"/>
      <c r="Q332" s="46"/>
      <c r="R332" s="46"/>
      <c r="S332" s="46"/>
      <c r="T332" s="46"/>
      <c r="U332" s="46"/>
      <c r="V332" s="46"/>
      <c r="W332" s="46"/>
    </row>
    <row r="333">
      <c r="A333" s="55"/>
      <c r="B333" s="205"/>
      <c r="C333" s="55"/>
      <c r="D333" s="205"/>
      <c r="E333" s="172"/>
      <c r="F333" s="212"/>
      <c r="G333" s="172"/>
      <c r="H333" s="205"/>
      <c r="I333" s="149"/>
      <c r="J333" s="46"/>
      <c r="K333" s="46"/>
      <c r="L333" s="46"/>
      <c r="M333" s="46"/>
      <c r="N333" s="46"/>
      <c r="O333" s="46"/>
      <c r="P333" s="46"/>
      <c r="Q333" s="46"/>
      <c r="R333" s="46"/>
      <c r="S333" s="46"/>
      <c r="T333" s="46"/>
      <c r="U333" s="46"/>
      <c r="V333" s="46"/>
      <c r="W333" s="46"/>
    </row>
    <row r="334">
      <c r="A334" s="55"/>
      <c r="B334" s="205"/>
      <c r="C334" s="55"/>
      <c r="D334" s="205"/>
      <c r="E334" s="172"/>
      <c r="F334" s="212"/>
      <c r="G334" s="172"/>
      <c r="H334" s="205"/>
      <c r="I334" s="149"/>
      <c r="J334" s="46"/>
      <c r="K334" s="46"/>
      <c r="L334" s="46"/>
      <c r="M334" s="46"/>
      <c r="N334" s="46"/>
      <c r="O334" s="46"/>
      <c r="P334" s="46"/>
      <c r="Q334" s="46"/>
      <c r="R334" s="46"/>
      <c r="S334" s="46"/>
      <c r="T334" s="46"/>
      <c r="U334" s="46"/>
      <c r="V334" s="46"/>
      <c r="W334" s="46"/>
    </row>
    <row r="335">
      <c r="A335" s="55"/>
      <c r="B335" s="205"/>
      <c r="C335" s="55"/>
      <c r="D335" s="205"/>
      <c r="E335" s="172"/>
      <c r="F335" s="212"/>
      <c r="G335" s="172"/>
      <c r="H335" s="205"/>
      <c r="I335" s="149"/>
      <c r="J335" s="46"/>
      <c r="K335" s="46"/>
      <c r="L335" s="46"/>
      <c r="M335" s="46"/>
      <c r="N335" s="46"/>
      <c r="O335" s="46"/>
      <c r="P335" s="46"/>
      <c r="Q335" s="46"/>
      <c r="R335" s="46"/>
      <c r="S335" s="46"/>
      <c r="T335" s="46"/>
      <c r="U335" s="46"/>
      <c r="V335" s="46"/>
      <c r="W335" s="46"/>
    </row>
    <row r="336">
      <c r="A336" s="55"/>
      <c r="B336" s="205"/>
      <c r="C336" s="55"/>
      <c r="D336" s="205"/>
      <c r="E336" s="172"/>
      <c r="F336" s="212"/>
      <c r="G336" s="172"/>
      <c r="H336" s="205"/>
      <c r="I336" s="149"/>
      <c r="J336" s="46"/>
      <c r="K336" s="46"/>
      <c r="L336" s="46"/>
      <c r="M336" s="46"/>
      <c r="N336" s="46"/>
      <c r="O336" s="46"/>
      <c r="P336" s="46"/>
      <c r="Q336" s="46"/>
      <c r="R336" s="46"/>
      <c r="S336" s="46"/>
      <c r="T336" s="46"/>
      <c r="U336" s="46"/>
      <c r="V336" s="46"/>
      <c r="W336" s="46"/>
    </row>
    <row r="337">
      <c r="A337" s="55"/>
      <c r="B337" s="205"/>
      <c r="C337" s="55"/>
      <c r="D337" s="205"/>
      <c r="E337" s="172"/>
      <c r="F337" s="212"/>
      <c r="G337" s="172"/>
      <c r="H337" s="205"/>
      <c r="I337" s="149"/>
      <c r="J337" s="46"/>
      <c r="K337" s="46"/>
      <c r="L337" s="46"/>
      <c r="M337" s="46"/>
      <c r="N337" s="46"/>
      <c r="O337" s="46"/>
      <c r="P337" s="46"/>
      <c r="Q337" s="46"/>
      <c r="R337" s="46"/>
      <c r="S337" s="46"/>
      <c r="T337" s="46"/>
      <c r="U337" s="46"/>
      <c r="V337" s="46"/>
      <c r="W337" s="46"/>
    </row>
    <row r="338">
      <c r="A338" s="55"/>
      <c r="B338" s="205"/>
      <c r="C338" s="55"/>
      <c r="D338" s="205"/>
      <c r="E338" s="172"/>
      <c r="F338" s="212"/>
      <c r="G338" s="172"/>
      <c r="H338" s="205"/>
      <c r="I338" s="149"/>
      <c r="J338" s="46"/>
      <c r="K338" s="46"/>
      <c r="L338" s="46"/>
      <c r="M338" s="46"/>
      <c r="N338" s="46"/>
      <c r="O338" s="46"/>
      <c r="P338" s="46"/>
      <c r="Q338" s="46"/>
      <c r="R338" s="46"/>
      <c r="S338" s="46"/>
      <c r="T338" s="46"/>
      <c r="U338" s="46"/>
      <c r="V338" s="46"/>
      <c r="W338" s="46"/>
    </row>
    <row r="339">
      <c r="A339" s="55"/>
      <c r="B339" s="205"/>
      <c r="C339" s="55"/>
      <c r="D339" s="205"/>
      <c r="E339" s="172"/>
      <c r="F339" s="212"/>
      <c r="G339" s="172"/>
      <c r="H339" s="205"/>
      <c r="I339" s="149"/>
      <c r="J339" s="46"/>
      <c r="K339" s="46"/>
      <c r="L339" s="46"/>
      <c r="M339" s="46"/>
      <c r="N339" s="46"/>
      <c r="O339" s="46"/>
      <c r="P339" s="46"/>
      <c r="Q339" s="46"/>
      <c r="R339" s="46"/>
      <c r="S339" s="46"/>
      <c r="T339" s="46"/>
      <c r="U339" s="46"/>
      <c r="V339" s="46"/>
      <c r="W339" s="46"/>
    </row>
    <row r="340">
      <c r="A340" s="55"/>
      <c r="B340" s="205"/>
      <c r="C340" s="55"/>
      <c r="D340" s="205"/>
      <c r="E340" s="172"/>
      <c r="F340" s="212"/>
      <c r="G340" s="172"/>
      <c r="H340" s="205"/>
      <c r="I340" s="149"/>
      <c r="J340" s="46"/>
      <c r="K340" s="46"/>
      <c r="L340" s="46"/>
      <c r="M340" s="46"/>
      <c r="N340" s="46"/>
      <c r="O340" s="46"/>
      <c r="P340" s="46"/>
      <c r="Q340" s="46"/>
      <c r="R340" s="46"/>
      <c r="S340" s="46"/>
      <c r="T340" s="46"/>
      <c r="U340" s="46"/>
      <c r="V340" s="46"/>
      <c r="W340" s="46"/>
    </row>
    <row r="341">
      <c r="A341" s="55"/>
      <c r="B341" s="205"/>
      <c r="C341" s="55"/>
      <c r="D341" s="205"/>
      <c r="E341" s="172"/>
      <c r="F341" s="212"/>
      <c r="G341" s="172"/>
      <c r="H341" s="205"/>
      <c r="I341" s="149"/>
      <c r="J341" s="46"/>
      <c r="K341" s="46"/>
      <c r="L341" s="46"/>
      <c r="M341" s="46"/>
      <c r="N341" s="46"/>
      <c r="O341" s="46"/>
      <c r="P341" s="46"/>
      <c r="Q341" s="46"/>
      <c r="R341" s="46"/>
      <c r="S341" s="46"/>
      <c r="T341" s="46"/>
      <c r="U341" s="46"/>
      <c r="V341" s="46"/>
      <c r="W341" s="46"/>
    </row>
    <row r="342">
      <c r="A342" s="55"/>
      <c r="B342" s="205"/>
      <c r="C342" s="55"/>
      <c r="D342" s="205"/>
      <c r="E342" s="172"/>
      <c r="F342" s="212"/>
      <c r="G342" s="172"/>
      <c r="H342" s="205"/>
      <c r="I342" s="149"/>
      <c r="J342" s="46"/>
      <c r="K342" s="46"/>
      <c r="L342" s="46"/>
      <c r="M342" s="46"/>
      <c r="N342" s="46"/>
      <c r="O342" s="46"/>
      <c r="P342" s="46"/>
      <c r="Q342" s="46"/>
      <c r="R342" s="46"/>
      <c r="S342" s="46"/>
      <c r="T342" s="46"/>
      <c r="U342" s="46"/>
      <c r="V342" s="46"/>
      <c r="W342" s="46"/>
    </row>
    <row r="343">
      <c r="A343" s="55"/>
      <c r="B343" s="205"/>
      <c r="C343" s="55"/>
      <c r="D343" s="205"/>
      <c r="E343" s="172"/>
      <c r="F343" s="212"/>
      <c r="G343" s="172"/>
      <c r="H343" s="205"/>
      <c r="I343" s="149"/>
      <c r="J343" s="46"/>
      <c r="K343" s="46"/>
      <c r="L343" s="46"/>
      <c r="M343" s="46"/>
      <c r="N343" s="46"/>
      <c r="O343" s="46"/>
      <c r="P343" s="46"/>
      <c r="Q343" s="46"/>
      <c r="R343" s="46"/>
      <c r="S343" s="46"/>
      <c r="T343" s="46"/>
      <c r="U343" s="46"/>
      <c r="V343" s="46"/>
      <c r="W343" s="46"/>
    </row>
    <row r="344">
      <c r="A344" s="55"/>
      <c r="B344" s="205"/>
      <c r="C344" s="55"/>
      <c r="D344" s="205"/>
      <c r="E344" s="172"/>
      <c r="F344" s="212"/>
      <c r="G344" s="172"/>
      <c r="H344" s="205"/>
      <c r="I344" s="149"/>
      <c r="J344" s="46"/>
      <c r="K344" s="46"/>
      <c r="L344" s="46"/>
      <c r="M344" s="46"/>
      <c r="N344" s="46"/>
      <c r="O344" s="46"/>
      <c r="P344" s="46"/>
      <c r="Q344" s="46"/>
      <c r="R344" s="46"/>
      <c r="S344" s="46"/>
      <c r="T344" s="46"/>
      <c r="U344" s="46"/>
      <c r="V344" s="46"/>
      <c r="W344" s="46"/>
    </row>
    <row r="345">
      <c r="A345" s="55"/>
      <c r="B345" s="205"/>
      <c r="C345" s="55"/>
      <c r="D345" s="205"/>
      <c r="E345" s="172"/>
      <c r="F345" s="212"/>
      <c r="G345" s="172"/>
      <c r="H345" s="205"/>
      <c r="I345" s="149"/>
      <c r="J345" s="46"/>
      <c r="K345" s="46"/>
      <c r="L345" s="46"/>
      <c r="M345" s="46"/>
      <c r="N345" s="46"/>
      <c r="O345" s="46"/>
      <c r="P345" s="46"/>
      <c r="Q345" s="46"/>
      <c r="R345" s="46"/>
      <c r="S345" s="46"/>
      <c r="T345" s="46"/>
      <c r="U345" s="46"/>
      <c r="V345" s="46"/>
      <c r="W345" s="46"/>
    </row>
    <row r="346">
      <c r="A346" s="55"/>
      <c r="B346" s="205"/>
      <c r="C346" s="55"/>
      <c r="D346" s="205"/>
      <c r="E346" s="172"/>
      <c r="F346" s="212"/>
      <c r="G346" s="172"/>
      <c r="H346" s="205"/>
      <c r="I346" s="149"/>
      <c r="J346" s="46"/>
      <c r="K346" s="46"/>
      <c r="L346" s="46"/>
      <c r="M346" s="46"/>
      <c r="N346" s="46"/>
      <c r="O346" s="46"/>
      <c r="P346" s="46"/>
      <c r="Q346" s="46"/>
      <c r="R346" s="46"/>
      <c r="S346" s="46"/>
      <c r="T346" s="46"/>
      <c r="U346" s="46"/>
      <c r="V346" s="46"/>
      <c r="W346" s="46"/>
    </row>
    <row r="347">
      <c r="A347" s="55"/>
      <c r="B347" s="205"/>
      <c r="C347" s="55"/>
      <c r="D347" s="205"/>
      <c r="E347" s="172"/>
      <c r="F347" s="212"/>
      <c r="G347" s="172"/>
      <c r="H347" s="205"/>
      <c r="I347" s="149"/>
      <c r="J347" s="46"/>
      <c r="K347" s="46"/>
      <c r="L347" s="46"/>
      <c r="M347" s="46"/>
      <c r="N347" s="46"/>
      <c r="O347" s="46"/>
      <c r="P347" s="46"/>
      <c r="Q347" s="46"/>
      <c r="R347" s="46"/>
      <c r="S347" s="46"/>
      <c r="T347" s="46"/>
      <c r="U347" s="46"/>
      <c r="V347" s="46"/>
      <c r="W347" s="46"/>
    </row>
    <row r="348">
      <c r="A348" s="55"/>
      <c r="B348" s="205"/>
      <c r="C348" s="55"/>
      <c r="D348" s="205"/>
      <c r="E348" s="172"/>
      <c r="F348" s="212"/>
      <c r="G348" s="172"/>
      <c r="H348" s="205"/>
      <c r="I348" s="149"/>
      <c r="J348" s="46"/>
      <c r="K348" s="46"/>
      <c r="L348" s="46"/>
      <c r="M348" s="46"/>
      <c r="N348" s="46"/>
      <c r="O348" s="46"/>
      <c r="P348" s="46"/>
      <c r="Q348" s="46"/>
      <c r="R348" s="46"/>
      <c r="S348" s="46"/>
      <c r="T348" s="46"/>
      <c r="U348" s="46"/>
      <c r="V348" s="46"/>
      <c r="W348" s="46"/>
    </row>
    <row r="349">
      <c r="A349" s="55"/>
      <c r="B349" s="205"/>
      <c r="C349" s="55"/>
      <c r="D349" s="205"/>
      <c r="E349" s="172"/>
      <c r="F349" s="212"/>
      <c r="G349" s="172"/>
      <c r="H349" s="205"/>
      <c r="I349" s="149"/>
      <c r="J349" s="46"/>
      <c r="K349" s="46"/>
      <c r="L349" s="46"/>
      <c r="M349" s="46"/>
      <c r="N349" s="46"/>
      <c r="O349" s="46"/>
      <c r="P349" s="46"/>
      <c r="Q349" s="46"/>
      <c r="R349" s="46"/>
      <c r="S349" s="46"/>
      <c r="T349" s="46"/>
      <c r="U349" s="46"/>
      <c r="V349" s="46"/>
      <c r="W349" s="46"/>
    </row>
    <row r="350">
      <c r="A350" s="55"/>
      <c r="B350" s="205"/>
      <c r="C350" s="55"/>
      <c r="D350" s="205"/>
      <c r="E350" s="172"/>
      <c r="F350" s="212"/>
      <c r="G350" s="172"/>
      <c r="H350" s="205"/>
      <c r="I350" s="149"/>
      <c r="J350" s="46"/>
      <c r="K350" s="46"/>
      <c r="L350" s="46"/>
      <c r="M350" s="46"/>
      <c r="N350" s="46"/>
      <c r="O350" s="46"/>
      <c r="P350" s="46"/>
      <c r="Q350" s="46"/>
      <c r="R350" s="46"/>
      <c r="S350" s="46"/>
      <c r="T350" s="46"/>
      <c r="U350" s="46"/>
      <c r="V350" s="46"/>
      <c r="W350" s="46"/>
    </row>
    <row r="351">
      <c r="A351" s="55"/>
      <c r="B351" s="205"/>
      <c r="C351" s="55"/>
      <c r="D351" s="205"/>
      <c r="E351" s="172"/>
      <c r="F351" s="212"/>
      <c r="G351" s="172"/>
      <c r="H351" s="205"/>
      <c r="I351" s="149"/>
      <c r="J351" s="46"/>
      <c r="K351" s="46"/>
      <c r="L351" s="46"/>
      <c r="M351" s="46"/>
      <c r="N351" s="46"/>
      <c r="O351" s="46"/>
      <c r="P351" s="46"/>
      <c r="Q351" s="46"/>
      <c r="R351" s="46"/>
      <c r="S351" s="46"/>
      <c r="T351" s="46"/>
      <c r="U351" s="46"/>
      <c r="V351" s="46"/>
      <c r="W351" s="46"/>
    </row>
    <row r="352">
      <c r="A352" s="55"/>
      <c r="B352" s="205"/>
      <c r="C352" s="55"/>
      <c r="D352" s="205"/>
      <c r="E352" s="172"/>
      <c r="F352" s="212"/>
      <c r="G352" s="172"/>
      <c r="H352" s="205"/>
      <c r="I352" s="149"/>
      <c r="J352" s="46"/>
      <c r="K352" s="46"/>
      <c r="L352" s="46"/>
      <c r="M352" s="46"/>
      <c r="N352" s="46"/>
      <c r="O352" s="46"/>
      <c r="P352" s="46"/>
      <c r="Q352" s="46"/>
      <c r="R352" s="46"/>
      <c r="S352" s="46"/>
      <c r="T352" s="46"/>
      <c r="U352" s="46"/>
      <c r="V352" s="46"/>
      <c r="W352" s="46"/>
    </row>
    <row r="353">
      <c r="A353" s="55"/>
      <c r="B353" s="205"/>
      <c r="C353" s="55"/>
      <c r="D353" s="205"/>
      <c r="E353" s="172"/>
      <c r="F353" s="212"/>
      <c r="G353" s="172"/>
      <c r="H353" s="205"/>
      <c r="I353" s="149"/>
      <c r="J353" s="46"/>
      <c r="K353" s="46"/>
      <c r="L353" s="46"/>
      <c r="M353" s="46"/>
      <c r="N353" s="46"/>
      <c r="O353" s="46"/>
      <c r="P353" s="46"/>
      <c r="Q353" s="46"/>
      <c r="R353" s="46"/>
      <c r="S353" s="46"/>
      <c r="T353" s="46"/>
      <c r="U353" s="46"/>
      <c r="V353" s="46"/>
      <c r="W353" s="46"/>
    </row>
    <row r="354">
      <c r="A354" s="55"/>
      <c r="B354" s="205"/>
      <c r="C354" s="55"/>
      <c r="D354" s="205"/>
      <c r="E354" s="172"/>
      <c r="F354" s="212"/>
      <c r="G354" s="172"/>
      <c r="H354" s="205"/>
      <c r="I354" s="149"/>
      <c r="J354" s="46"/>
      <c r="K354" s="46"/>
      <c r="L354" s="46"/>
      <c r="M354" s="46"/>
      <c r="N354" s="46"/>
      <c r="O354" s="46"/>
      <c r="P354" s="46"/>
      <c r="Q354" s="46"/>
      <c r="R354" s="46"/>
      <c r="S354" s="46"/>
      <c r="T354" s="46"/>
      <c r="U354" s="46"/>
      <c r="V354" s="46"/>
      <c r="W354" s="46"/>
    </row>
    <row r="355">
      <c r="A355" s="55"/>
      <c r="B355" s="205"/>
      <c r="C355" s="55"/>
      <c r="D355" s="205"/>
      <c r="E355" s="172"/>
      <c r="F355" s="212"/>
      <c r="G355" s="172"/>
      <c r="H355" s="205"/>
      <c r="I355" s="149"/>
      <c r="J355" s="46"/>
      <c r="K355" s="46"/>
      <c r="L355" s="46"/>
      <c r="M355" s="46"/>
      <c r="N355" s="46"/>
      <c r="O355" s="46"/>
      <c r="P355" s="46"/>
      <c r="Q355" s="46"/>
      <c r="R355" s="46"/>
      <c r="S355" s="46"/>
      <c r="T355" s="46"/>
      <c r="U355" s="46"/>
      <c r="V355" s="46"/>
      <c r="W355" s="46"/>
    </row>
    <row r="356">
      <c r="A356" s="55"/>
      <c r="B356" s="205"/>
      <c r="C356" s="55"/>
      <c r="D356" s="205"/>
      <c r="E356" s="172"/>
      <c r="F356" s="212"/>
      <c r="G356" s="172"/>
      <c r="H356" s="205"/>
      <c r="I356" s="149"/>
      <c r="J356" s="46"/>
      <c r="K356" s="46"/>
      <c r="L356" s="46"/>
      <c r="M356" s="46"/>
      <c r="N356" s="46"/>
      <c r="O356" s="46"/>
      <c r="P356" s="46"/>
      <c r="Q356" s="46"/>
      <c r="R356" s="46"/>
      <c r="S356" s="46"/>
      <c r="T356" s="46"/>
      <c r="U356" s="46"/>
      <c r="V356" s="46"/>
      <c r="W356" s="46"/>
    </row>
    <row r="357">
      <c r="A357" s="55"/>
      <c r="B357" s="205"/>
      <c r="C357" s="55"/>
      <c r="D357" s="205"/>
      <c r="E357" s="172"/>
      <c r="F357" s="212"/>
      <c r="G357" s="172"/>
      <c r="H357" s="205"/>
      <c r="I357" s="149"/>
      <c r="J357" s="46"/>
      <c r="K357" s="46"/>
      <c r="L357" s="46"/>
      <c r="M357" s="46"/>
      <c r="N357" s="46"/>
      <c r="O357" s="46"/>
      <c r="P357" s="46"/>
      <c r="Q357" s="46"/>
      <c r="R357" s="46"/>
      <c r="S357" s="46"/>
      <c r="T357" s="46"/>
      <c r="U357" s="46"/>
      <c r="V357" s="46"/>
      <c r="W357" s="46"/>
    </row>
    <row r="358">
      <c r="A358" s="55"/>
      <c r="B358" s="205"/>
      <c r="C358" s="55"/>
      <c r="D358" s="205"/>
      <c r="E358" s="172"/>
      <c r="F358" s="212"/>
      <c r="G358" s="172"/>
      <c r="H358" s="205"/>
      <c r="I358" s="149"/>
      <c r="J358" s="46"/>
      <c r="K358" s="46"/>
      <c r="L358" s="46"/>
      <c r="M358" s="46"/>
      <c r="N358" s="46"/>
      <c r="O358" s="46"/>
      <c r="P358" s="46"/>
      <c r="Q358" s="46"/>
      <c r="R358" s="46"/>
      <c r="S358" s="46"/>
      <c r="T358" s="46"/>
      <c r="U358" s="46"/>
      <c r="V358" s="46"/>
      <c r="W358" s="46"/>
    </row>
    <row r="359">
      <c r="A359" s="55"/>
      <c r="B359" s="205"/>
      <c r="C359" s="55"/>
      <c r="D359" s="205"/>
      <c r="E359" s="172"/>
      <c r="F359" s="212"/>
      <c r="G359" s="172"/>
      <c r="H359" s="205"/>
      <c r="I359" s="149"/>
      <c r="J359" s="46"/>
      <c r="K359" s="46"/>
      <c r="L359" s="46"/>
      <c r="M359" s="46"/>
      <c r="N359" s="46"/>
      <c r="O359" s="46"/>
      <c r="P359" s="46"/>
      <c r="Q359" s="46"/>
      <c r="R359" s="46"/>
      <c r="S359" s="46"/>
      <c r="T359" s="46"/>
      <c r="U359" s="46"/>
      <c r="V359" s="46"/>
      <c r="W359" s="46"/>
    </row>
    <row r="360">
      <c r="A360" s="55"/>
      <c r="B360" s="205"/>
      <c r="C360" s="55"/>
      <c r="D360" s="205"/>
      <c r="E360" s="172"/>
      <c r="F360" s="212"/>
      <c r="G360" s="172"/>
      <c r="H360" s="205"/>
      <c r="I360" s="149"/>
      <c r="J360" s="46"/>
      <c r="K360" s="46"/>
      <c r="L360" s="46"/>
      <c r="M360" s="46"/>
      <c r="N360" s="46"/>
      <c r="O360" s="46"/>
      <c r="P360" s="46"/>
      <c r="Q360" s="46"/>
      <c r="R360" s="46"/>
      <c r="S360" s="46"/>
      <c r="T360" s="46"/>
      <c r="U360" s="46"/>
      <c r="V360" s="46"/>
      <c r="W360" s="46"/>
    </row>
    <row r="361">
      <c r="A361" s="55"/>
      <c r="B361" s="205"/>
      <c r="C361" s="55"/>
      <c r="D361" s="205"/>
      <c r="E361" s="172"/>
      <c r="F361" s="212"/>
      <c r="G361" s="172"/>
      <c r="H361" s="205"/>
      <c r="I361" s="149"/>
      <c r="J361" s="46"/>
      <c r="K361" s="46"/>
      <c r="L361" s="46"/>
      <c r="M361" s="46"/>
      <c r="N361" s="46"/>
      <c r="O361" s="46"/>
      <c r="P361" s="46"/>
      <c r="Q361" s="46"/>
      <c r="R361" s="46"/>
      <c r="S361" s="46"/>
      <c r="T361" s="46"/>
      <c r="U361" s="46"/>
      <c r="V361" s="46"/>
      <c r="W361" s="46"/>
    </row>
    <row r="362">
      <c r="A362" s="55"/>
      <c r="B362" s="205"/>
      <c r="C362" s="55"/>
      <c r="D362" s="205"/>
      <c r="E362" s="172"/>
      <c r="F362" s="212"/>
      <c r="G362" s="172"/>
      <c r="H362" s="205"/>
      <c r="I362" s="149"/>
      <c r="J362" s="46"/>
      <c r="K362" s="46"/>
      <c r="L362" s="46"/>
      <c r="M362" s="46"/>
      <c r="N362" s="46"/>
      <c r="O362" s="46"/>
      <c r="P362" s="46"/>
      <c r="Q362" s="46"/>
      <c r="R362" s="46"/>
      <c r="S362" s="46"/>
      <c r="T362" s="46"/>
      <c r="U362" s="46"/>
      <c r="V362" s="46"/>
      <c r="W362" s="46"/>
    </row>
    <row r="363">
      <c r="A363" s="55"/>
      <c r="B363" s="205"/>
      <c r="C363" s="55"/>
      <c r="D363" s="205"/>
      <c r="E363" s="172"/>
      <c r="F363" s="212"/>
      <c r="G363" s="172"/>
      <c r="H363" s="205"/>
      <c r="I363" s="149"/>
      <c r="J363" s="46"/>
      <c r="K363" s="46"/>
      <c r="L363" s="46"/>
      <c r="M363" s="46"/>
      <c r="N363" s="46"/>
      <c r="O363" s="46"/>
      <c r="P363" s="46"/>
      <c r="Q363" s="46"/>
      <c r="R363" s="46"/>
      <c r="S363" s="46"/>
      <c r="T363" s="46"/>
      <c r="U363" s="46"/>
      <c r="V363" s="46"/>
      <c r="W363" s="46"/>
    </row>
    <row r="364">
      <c r="A364" s="55"/>
      <c r="B364" s="205"/>
      <c r="C364" s="55"/>
      <c r="D364" s="205"/>
      <c r="E364" s="172"/>
      <c r="F364" s="212"/>
      <c r="G364" s="172"/>
      <c r="H364" s="205"/>
      <c r="I364" s="149"/>
      <c r="J364" s="46"/>
      <c r="K364" s="46"/>
      <c r="L364" s="46"/>
      <c r="M364" s="46"/>
      <c r="N364" s="46"/>
      <c r="O364" s="46"/>
      <c r="P364" s="46"/>
      <c r="Q364" s="46"/>
      <c r="R364" s="46"/>
      <c r="S364" s="46"/>
      <c r="T364" s="46"/>
      <c r="U364" s="46"/>
      <c r="V364" s="46"/>
      <c r="W364" s="46"/>
    </row>
    <row r="365">
      <c r="A365" s="55"/>
      <c r="B365" s="205"/>
      <c r="C365" s="55"/>
      <c r="D365" s="205"/>
      <c r="E365" s="172"/>
      <c r="F365" s="212"/>
      <c r="G365" s="172"/>
      <c r="H365" s="205"/>
      <c r="I365" s="149"/>
      <c r="J365" s="46"/>
      <c r="K365" s="46"/>
      <c r="L365" s="46"/>
      <c r="M365" s="46"/>
      <c r="N365" s="46"/>
      <c r="O365" s="46"/>
      <c r="P365" s="46"/>
      <c r="Q365" s="46"/>
      <c r="R365" s="46"/>
      <c r="S365" s="46"/>
      <c r="T365" s="46"/>
      <c r="U365" s="46"/>
      <c r="V365" s="46"/>
      <c r="W365" s="46"/>
    </row>
    <row r="366">
      <c r="A366" s="55"/>
      <c r="B366" s="205"/>
      <c r="C366" s="55"/>
      <c r="D366" s="205"/>
      <c r="E366" s="172"/>
      <c r="F366" s="212"/>
      <c r="G366" s="172"/>
      <c r="H366" s="205"/>
      <c r="I366" s="149"/>
      <c r="J366" s="46"/>
      <c r="K366" s="46"/>
      <c r="L366" s="46"/>
      <c r="M366" s="46"/>
      <c r="N366" s="46"/>
      <c r="O366" s="46"/>
      <c r="P366" s="46"/>
      <c r="Q366" s="46"/>
      <c r="R366" s="46"/>
      <c r="S366" s="46"/>
      <c r="T366" s="46"/>
      <c r="U366" s="46"/>
      <c r="V366" s="46"/>
      <c r="W366" s="46"/>
    </row>
    <row r="367">
      <c r="A367" s="55"/>
      <c r="B367" s="205"/>
      <c r="C367" s="55"/>
      <c r="D367" s="205"/>
      <c r="E367" s="172"/>
      <c r="F367" s="212"/>
      <c r="G367" s="172"/>
      <c r="H367" s="205"/>
      <c r="I367" s="149"/>
      <c r="J367" s="46"/>
      <c r="K367" s="46"/>
      <c r="L367" s="46"/>
      <c r="M367" s="46"/>
      <c r="N367" s="46"/>
      <c r="O367" s="46"/>
      <c r="P367" s="46"/>
      <c r="Q367" s="46"/>
      <c r="R367" s="46"/>
      <c r="S367" s="46"/>
      <c r="T367" s="46"/>
      <c r="U367" s="46"/>
      <c r="V367" s="46"/>
      <c r="W367" s="46"/>
    </row>
    <row r="368">
      <c r="A368" s="55"/>
      <c r="B368" s="205"/>
      <c r="C368" s="55"/>
      <c r="D368" s="205"/>
      <c r="E368" s="172"/>
      <c r="F368" s="212"/>
      <c r="G368" s="172"/>
      <c r="H368" s="205"/>
      <c r="I368" s="149"/>
      <c r="J368" s="46"/>
      <c r="K368" s="46"/>
      <c r="L368" s="46"/>
      <c r="M368" s="46"/>
      <c r="N368" s="46"/>
      <c r="O368" s="46"/>
      <c r="P368" s="46"/>
      <c r="Q368" s="46"/>
      <c r="R368" s="46"/>
      <c r="S368" s="46"/>
      <c r="T368" s="46"/>
      <c r="U368" s="46"/>
      <c r="V368" s="46"/>
      <c r="W368" s="46"/>
    </row>
    <row r="369">
      <c r="A369" s="55"/>
      <c r="B369" s="205"/>
      <c r="C369" s="55"/>
      <c r="D369" s="205"/>
      <c r="E369" s="172"/>
      <c r="F369" s="212"/>
      <c r="G369" s="172"/>
      <c r="H369" s="205"/>
      <c r="I369" s="149"/>
      <c r="J369" s="46"/>
      <c r="K369" s="46"/>
      <c r="L369" s="46"/>
      <c r="M369" s="46"/>
      <c r="N369" s="46"/>
      <c r="O369" s="46"/>
      <c r="P369" s="46"/>
      <c r="Q369" s="46"/>
      <c r="R369" s="46"/>
      <c r="S369" s="46"/>
      <c r="T369" s="46"/>
      <c r="U369" s="46"/>
      <c r="V369" s="46"/>
      <c r="W369" s="46"/>
    </row>
    <row r="370">
      <c r="A370" s="55"/>
      <c r="B370" s="205"/>
      <c r="C370" s="55"/>
      <c r="D370" s="205"/>
      <c r="E370" s="172"/>
      <c r="F370" s="212"/>
      <c r="G370" s="172"/>
      <c r="H370" s="205"/>
      <c r="I370" s="149"/>
      <c r="J370" s="46"/>
      <c r="K370" s="46"/>
      <c r="L370" s="46"/>
      <c r="M370" s="46"/>
      <c r="N370" s="46"/>
      <c r="O370" s="46"/>
      <c r="P370" s="46"/>
      <c r="Q370" s="46"/>
      <c r="R370" s="46"/>
      <c r="S370" s="46"/>
      <c r="T370" s="46"/>
      <c r="U370" s="46"/>
      <c r="V370" s="46"/>
      <c r="W370" s="46"/>
    </row>
    <row r="371">
      <c r="A371" s="55"/>
      <c r="B371" s="205"/>
      <c r="C371" s="55"/>
      <c r="D371" s="205"/>
      <c r="E371" s="172"/>
      <c r="F371" s="212"/>
      <c r="G371" s="172"/>
      <c r="H371" s="205"/>
      <c r="I371" s="149"/>
      <c r="J371" s="46"/>
      <c r="K371" s="46"/>
      <c r="L371" s="46"/>
      <c r="M371" s="46"/>
      <c r="N371" s="46"/>
      <c r="O371" s="46"/>
      <c r="P371" s="46"/>
      <c r="Q371" s="46"/>
      <c r="R371" s="46"/>
      <c r="S371" s="46"/>
      <c r="T371" s="46"/>
      <c r="U371" s="46"/>
      <c r="V371" s="46"/>
      <c r="W371" s="46"/>
    </row>
    <row r="372">
      <c r="A372" s="55"/>
      <c r="B372" s="205"/>
      <c r="C372" s="55"/>
      <c r="D372" s="205"/>
      <c r="E372" s="172"/>
      <c r="F372" s="212"/>
      <c r="G372" s="172"/>
      <c r="H372" s="205"/>
      <c r="I372" s="149"/>
      <c r="J372" s="46"/>
      <c r="K372" s="46"/>
      <c r="L372" s="46"/>
      <c r="M372" s="46"/>
      <c r="N372" s="46"/>
      <c r="O372" s="46"/>
      <c r="P372" s="46"/>
      <c r="Q372" s="46"/>
      <c r="R372" s="46"/>
      <c r="S372" s="46"/>
      <c r="T372" s="46"/>
      <c r="U372" s="46"/>
      <c r="V372" s="46"/>
      <c r="W372" s="46"/>
    </row>
    <row r="373">
      <c r="A373" s="55"/>
      <c r="B373" s="205"/>
      <c r="C373" s="55"/>
      <c r="D373" s="205"/>
      <c r="E373" s="172"/>
      <c r="F373" s="212"/>
      <c r="G373" s="172"/>
      <c r="H373" s="205"/>
      <c r="I373" s="149"/>
      <c r="J373" s="46"/>
      <c r="K373" s="46"/>
      <c r="L373" s="46"/>
      <c r="M373" s="46"/>
      <c r="N373" s="46"/>
      <c r="O373" s="46"/>
      <c r="P373" s="46"/>
      <c r="Q373" s="46"/>
      <c r="R373" s="46"/>
      <c r="S373" s="46"/>
      <c r="T373" s="46"/>
      <c r="U373" s="46"/>
      <c r="V373" s="46"/>
      <c r="W373" s="46"/>
    </row>
    <row r="374">
      <c r="A374" s="55"/>
      <c r="B374" s="205"/>
      <c r="C374" s="55"/>
      <c r="D374" s="205"/>
      <c r="E374" s="172"/>
      <c r="F374" s="212"/>
      <c r="G374" s="172"/>
      <c r="H374" s="205"/>
      <c r="I374" s="149"/>
      <c r="J374" s="46"/>
      <c r="K374" s="46"/>
      <c r="L374" s="46"/>
      <c r="M374" s="46"/>
      <c r="N374" s="46"/>
      <c r="O374" s="46"/>
      <c r="P374" s="46"/>
      <c r="Q374" s="46"/>
      <c r="R374" s="46"/>
      <c r="S374" s="46"/>
      <c r="T374" s="46"/>
      <c r="U374" s="46"/>
      <c r="V374" s="46"/>
      <c r="W374" s="46"/>
    </row>
    <row r="375">
      <c r="A375" s="55"/>
      <c r="B375" s="205"/>
      <c r="C375" s="55"/>
      <c r="D375" s="205"/>
      <c r="E375" s="172"/>
      <c r="F375" s="212"/>
      <c r="G375" s="172"/>
      <c r="H375" s="205"/>
      <c r="I375" s="149"/>
      <c r="J375" s="46"/>
      <c r="K375" s="46"/>
      <c r="L375" s="46"/>
      <c r="M375" s="46"/>
      <c r="N375" s="46"/>
      <c r="O375" s="46"/>
      <c r="P375" s="46"/>
      <c r="Q375" s="46"/>
      <c r="R375" s="46"/>
      <c r="S375" s="46"/>
      <c r="T375" s="46"/>
      <c r="U375" s="46"/>
      <c r="V375" s="46"/>
      <c r="W375" s="46"/>
    </row>
    <row r="376">
      <c r="A376" s="55"/>
      <c r="B376" s="205"/>
      <c r="C376" s="55"/>
      <c r="D376" s="205"/>
      <c r="E376" s="172"/>
      <c r="F376" s="212"/>
      <c r="G376" s="172"/>
      <c r="H376" s="205"/>
      <c r="I376" s="149"/>
      <c r="J376" s="46"/>
      <c r="K376" s="46"/>
      <c r="L376" s="46"/>
      <c r="M376" s="46"/>
      <c r="N376" s="46"/>
      <c r="O376" s="46"/>
      <c r="P376" s="46"/>
      <c r="Q376" s="46"/>
      <c r="R376" s="46"/>
      <c r="S376" s="46"/>
      <c r="T376" s="46"/>
      <c r="U376" s="46"/>
      <c r="V376" s="46"/>
      <c r="W376" s="46"/>
    </row>
    <row r="377">
      <c r="A377" s="55"/>
      <c r="B377" s="205"/>
      <c r="C377" s="55"/>
      <c r="D377" s="205"/>
      <c r="E377" s="172"/>
      <c r="F377" s="212"/>
      <c r="G377" s="172"/>
      <c r="H377" s="205"/>
      <c r="I377" s="149"/>
      <c r="J377" s="46"/>
      <c r="K377" s="46"/>
      <c r="L377" s="46"/>
      <c r="M377" s="46"/>
      <c r="N377" s="46"/>
      <c r="O377" s="46"/>
      <c r="P377" s="46"/>
      <c r="Q377" s="46"/>
      <c r="R377" s="46"/>
      <c r="S377" s="46"/>
      <c r="T377" s="46"/>
      <c r="U377" s="46"/>
      <c r="V377" s="46"/>
      <c r="W377" s="46"/>
    </row>
    <row r="378">
      <c r="A378" s="55"/>
      <c r="B378" s="205"/>
      <c r="C378" s="55"/>
      <c r="D378" s="205"/>
      <c r="E378" s="172"/>
      <c r="F378" s="212"/>
      <c r="G378" s="172"/>
      <c r="H378" s="205"/>
      <c r="I378" s="149"/>
      <c r="J378" s="46"/>
      <c r="K378" s="46"/>
      <c r="L378" s="46"/>
      <c r="M378" s="46"/>
      <c r="N378" s="46"/>
      <c r="O378" s="46"/>
      <c r="P378" s="46"/>
      <c r="Q378" s="46"/>
      <c r="R378" s="46"/>
      <c r="S378" s="46"/>
      <c r="T378" s="46"/>
      <c r="U378" s="46"/>
      <c r="V378" s="46"/>
      <c r="W378" s="46"/>
    </row>
    <row r="379">
      <c r="A379" s="55"/>
      <c r="B379" s="205"/>
      <c r="C379" s="55"/>
      <c r="D379" s="205"/>
      <c r="E379" s="172"/>
      <c r="F379" s="212"/>
      <c r="G379" s="172"/>
      <c r="H379" s="205"/>
      <c r="I379" s="149"/>
      <c r="J379" s="46"/>
      <c r="K379" s="46"/>
      <c r="L379" s="46"/>
      <c r="M379" s="46"/>
      <c r="N379" s="46"/>
      <c r="O379" s="46"/>
      <c r="P379" s="46"/>
      <c r="Q379" s="46"/>
      <c r="R379" s="46"/>
      <c r="S379" s="46"/>
      <c r="T379" s="46"/>
      <c r="U379" s="46"/>
      <c r="V379" s="46"/>
      <c r="W379" s="46"/>
    </row>
    <row r="380">
      <c r="A380" s="55"/>
      <c r="B380" s="205"/>
      <c r="C380" s="55"/>
      <c r="D380" s="205"/>
      <c r="E380" s="172"/>
      <c r="F380" s="212"/>
      <c r="G380" s="172"/>
      <c r="H380" s="205"/>
      <c r="I380" s="149"/>
      <c r="J380" s="46"/>
      <c r="K380" s="46"/>
      <c r="L380" s="46"/>
      <c r="M380" s="46"/>
      <c r="N380" s="46"/>
      <c r="O380" s="46"/>
      <c r="P380" s="46"/>
      <c r="Q380" s="46"/>
      <c r="R380" s="46"/>
      <c r="S380" s="46"/>
      <c r="T380" s="46"/>
      <c r="U380" s="46"/>
      <c r="V380" s="46"/>
      <c r="W380" s="46"/>
    </row>
    <row r="381">
      <c r="A381" s="55"/>
      <c r="B381" s="205"/>
      <c r="C381" s="55"/>
      <c r="D381" s="205"/>
      <c r="E381" s="172"/>
      <c r="F381" s="212"/>
      <c r="G381" s="172"/>
      <c r="H381" s="205"/>
      <c r="I381" s="149"/>
      <c r="J381" s="46"/>
      <c r="K381" s="46"/>
      <c r="L381" s="46"/>
      <c r="M381" s="46"/>
      <c r="N381" s="46"/>
      <c r="O381" s="46"/>
      <c r="P381" s="46"/>
      <c r="Q381" s="46"/>
      <c r="R381" s="46"/>
      <c r="S381" s="46"/>
      <c r="T381" s="46"/>
      <c r="U381" s="46"/>
      <c r="V381" s="46"/>
      <c r="W381" s="46"/>
    </row>
    <row r="382">
      <c r="A382" s="55"/>
      <c r="B382" s="205"/>
      <c r="C382" s="55"/>
      <c r="D382" s="205"/>
      <c r="E382" s="172"/>
      <c r="F382" s="212"/>
      <c r="G382" s="172"/>
      <c r="H382" s="205"/>
      <c r="I382" s="149"/>
      <c r="J382" s="46"/>
      <c r="K382" s="46"/>
      <c r="L382" s="46"/>
      <c r="M382" s="46"/>
      <c r="N382" s="46"/>
      <c r="O382" s="46"/>
      <c r="P382" s="46"/>
      <c r="Q382" s="46"/>
      <c r="R382" s="46"/>
      <c r="S382" s="46"/>
      <c r="T382" s="46"/>
      <c r="U382" s="46"/>
      <c r="V382" s="46"/>
      <c r="W382" s="46"/>
    </row>
    <row r="383">
      <c r="A383" s="55"/>
      <c r="B383" s="205"/>
      <c r="C383" s="55"/>
      <c r="D383" s="205"/>
      <c r="E383" s="172"/>
      <c r="F383" s="212"/>
      <c r="G383" s="172"/>
      <c r="H383" s="205"/>
      <c r="I383" s="149"/>
      <c r="J383" s="46"/>
      <c r="K383" s="46"/>
      <c r="L383" s="46"/>
      <c r="M383" s="46"/>
      <c r="N383" s="46"/>
      <c r="O383" s="46"/>
      <c r="P383" s="46"/>
      <c r="Q383" s="46"/>
      <c r="R383" s="46"/>
      <c r="S383" s="46"/>
      <c r="T383" s="46"/>
      <c r="U383" s="46"/>
      <c r="V383" s="46"/>
      <c r="W383" s="46"/>
    </row>
    <row r="384">
      <c r="A384" s="55"/>
      <c r="B384" s="205"/>
      <c r="C384" s="55"/>
      <c r="D384" s="205"/>
      <c r="E384" s="172"/>
      <c r="F384" s="212"/>
      <c r="G384" s="172"/>
      <c r="H384" s="205"/>
      <c r="I384" s="149"/>
      <c r="J384" s="46"/>
      <c r="K384" s="46"/>
      <c r="L384" s="46"/>
      <c r="M384" s="46"/>
      <c r="N384" s="46"/>
      <c r="O384" s="46"/>
      <c r="P384" s="46"/>
      <c r="Q384" s="46"/>
      <c r="R384" s="46"/>
      <c r="S384" s="46"/>
      <c r="T384" s="46"/>
      <c r="U384" s="46"/>
      <c r="V384" s="46"/>
      <c r="W384" s="46"/>
    </row>
    <row r="385">
      <c r="A385" s="55"/>
      <c r="B385" s="205"/>
      <c r="C385" s="55"/>
      <c r="D385" s="205"/>
      <c r="E385" s="172"/>
      <c r="F385" s="212"/>
      <c r="G385" s="172"/>
      <c r="H385" s="205"/>
      <c r="I385" s="149"/>
      <c r="J385" s="46"/>
      <c r="K385" s="46"/>
      <c r="L385" s="46"/>
      <c r="M385" s="46"/>
      <c r="N385" s="46"/>
      <c r="O385" s="46"/>
      <c r="P385" s="46"/>
      <c r="Q385" s="46"/>
      <c r="R385" s="46"/>
      <c r="S385" s="46"/>
      <c r="T385" s="46"/>
      <c r="U385" s="46"/>
      <c r="V385" s="46"/>
      <c r="W385" s="46"/>
    </row>
    <row r="386">
      <c r="A386" s="55"/>
      <c r="B386" s="205"/>
      <c r="C386" s="55"/>
      <c r="D386" s="205"/>
      <c r="E386" s="172"/>
      <c r="F386" s="212"/>
      <c r="G386" s="172"/>
      <c r="H386" s="205"/>
      <c r="I386" s="149"/>
      <c r="J386" s="46"/>
      <c r="K386" s="46"/>
      <c r="L386" s="46"/>
      <c r="M386" s="46"/>
      <c r="N386" s="46"/>
      <c r="O386" s="46"/>
      <c r="P386" s="46"/>
      <c r="Q386" s="46"/>
      <c r="R386" s="46"/>
      <c r="S386" s="46"/>
      <c r="T386" s="46"/>
      <c r="U386" s="46"/>
      <c r="V386" s="46"/>
      <c r="W386" s="46"/>
    </row>
    <row r="387">
      <c r="A387" s="55"/>
      <c r="B387" s="205"/>
      <c r="C387" s="55"/>
      <c r="D387" s="205"/>
      <c r="E387" s="172"/>
      <c r="F387" s="212"/>
      <c r="G387" s="172"/>
      <c r="H387" s="205"/>
      <c r="I387" s="149"/>
      <c r="J387" s="46"/>
      <c r="K387" s="46"/>
      <c r="L387" s="46"/>
      <c r="M387" s="46"/>
      <c r="N387" s="46"/>
      <c r="O387" s="46"/>
      <c r="P387" s="46"/>
      <c r="Q387" s="46"/>
      <c r="R387" s="46"/>
      <c r="S387" s="46"/>
      <c r="T387" s="46"/>
      <c r="U387" s="46"/>
      <c r="V387" s="46"/>
      <c r="W387" s="46"/>
    </row>
    <row r="388">
      <c r="A388" s="55"/>
      <c r="B388" s="205"/>
      <c r="C388" s="55"/>
      <c r="D388" s="205"/>
      <c r="E388" s="172"/>
      <c r="F388" s="212"/>
      <c r="G388" s="172"/>
      <c r="H388" s="205"/>
      <c r="I388" s="149"/>
      <c r="J388" s="46"/>
      <c r="K388" s="46"/>
      <c r="L388" s="46"/>
      <c r="M388" s="46"/>
      <c r="N388" s="46"/>
      <c r="O388" s="46"/>
      <c r="P388" s="46"/>
      <c r="Q388" s="46"/>
      <c r="R388" s="46"/>
      <c r="S388" s="46"/>
      <c r="T388" s="46"/>
      <c r="U388" s="46"/>
      <c r="V388" s="46"/>
      <c r="W388" s="46"/>
    </row>
    <row r="389">
      <c r="A389" s="55"/>
      <c r="B389" s="205"/>
      <c r="C389" s="55"/>
      <c r="D389" s="205"/>
      <c r="E389" s="172"/>
      <c r="F389" s="212"/>
      <c r="G389" s="172"/>
      <c r="H389" s="205"/>
      <c r="I389" s="149"/>
      <c r="J389" s="46"/>
      <c r="K389" s="46"/>
      <c r="L389" s="46"/>
      <c r="M389" s="46"/>
      <c r="N389" s="46"/>
      <c r="O389" s="46"/>
      <c r="P389" s="46"/>
      <c r="Q389" s="46"/>
      <c r="R389" s="46"/>
      <c r="S389" s="46"/>
      <c r="T389" s="46"/>
      <c r="U389" s="46"/>
      <c r="V389" s="46"/>
      <c r="W389" s="46"/>
    </row>
    <row r="390">
      <c r="A390" s="55"/>
      <c r="B390" s="205"/>
      <c r="C390" s="55"/>
      <c r="D390" s="205"/>
      <c r="E390" s="172"/>
      <c r="F390" s="212"/>
      <c r="G390" s="172"/>
      <c r="H390" s="205"/>
      <c r="I390" s="149"/>
      <c r="J390" s="46"/>
      <c r="K390" s="46"/>
      <c r="L390" s="46"/>
      <c r="M390" s="46"/>
      <c r="N390" s="46"/>
      <c r="O390" s="46"/>
      <c r="P390" s="46"/>
      <c r="Q390" s="46"/>
      <c r="R390" s="46"/>
      <c r="S390" s="46"/>
      <c r="T390" s="46"/>
      <c r="U390" s="46"/>
      <c r="V390" s="46"/>
      <c r="W390" s="46"/>
    </row>
    <row r="391">
      <c r="A391" s="55"/>
      <c r="B391" s="205"/>
      <c r="C391" s="55"/>
      <c r="D391" s="205"/>
      <c r="E391" s="172"/>
      <c r="F391" s="212"/>
      <c r="G391" s="172"/>
      <c r="H391" s="205"/>
      <c r="I391" s="149"/>
      <c r="J391" s="46"/>
      <c r="K391" s="46"/>
      <c r="L391" s="46"/>
      <c r="M391" s="46"/>
      <c r="N391" s="46"/>
      <c r="O391" s="46"/>
      <c r="P391" s="46"/>
      <c r="Q391" s="46"/>
      <c r="R391" s="46"/>
      <c r="S391" s="46"/>
      <c r="T391" s="46"/>
      <c r="U391" s="46"/>
      <c r="V391" s="46"/>
      <c r="W391" s="46"/>
    </row>
    <row r="392">
      <c r="A392" s="55"/>
      <c r="B392" s="205"/>
      <c r="C392" s="55"/>
      <c r="D392" s="205"/>
      <c r="E392" s="172"/>
      <c r="F392" s="212"/>
      <c r="G392" s="172"/>
      <c r="H392" s="205"/>
      <c r="I392" s="149"/>
      <c r="J392" s="46"/>
      <c r="K392" s="46"/>
      <c r="L392" s="46"/>
      <c r="M392" s="46"/>
      <c r="N392" s="46"/>
      <c r="O392" s="46"/>
      <c r="P392" s="46"/>
      <c r="Q392" s="46"/>
      <c r="R392" s="46"/>
      <c r="S392" s="46"/>
      <c r="T392" s="46"/>
      <c r="U392" s="46"/>
      <c r="V392" s="46"/>
      <c r="W392" s="46"/>
    </row>
    <row r="393">
      <c r="A393" s="55"/>
      <c r="B393" s="205"/>
      <c r="C393" s="55"/>
      <c r="D393" s="205"/>
      <c r="E393" s="172"/>
      <c r="F393" s="212"/>
      <c r="G393" s="172"/>
      <c r="H393" s="205"/>
      <c r="I393" s="149"/>
      <c r="J393" s="46"/>
      <c r="K393" s="46"/>
      <c r="L393" s="46"/>
      <c r="M393" s="46"/>
      <c r="N393" s="46"/>
      <c r="O393" s="46"/>
      <c r="P393" s="46"/>
      <c r="Q393" s="46"/>
      <c r="R393" s="46"/>
      <c r="S393" s="46"/>
      <c r="T393" s="46"/>
      <c r="U393" s="46"/>
      <c r="V393" s="46"/>
      <c r="W393" s="46"/>
    </row>
    <row r="394">
      <c r="A394" s="55"/>
      <c r="B394" s="205"/>
      <c r="C394" s="55"/>
      <c r="D394" s="205"/>
      <c r="E394" s="172"/>
      <c r="F394" s="212"/>
      <c r="G394" s="172"/>
      <c r="H394" s="205"/>
      <c r="I394" s="149"/>
      <c r="J394" s="46"/>
      <c r="K394" s="46"/>
      <c r="L394" s="46"/>
      <c r="M394" s="46"/>
      <c r="N394" s="46"/>
      <c r="O394" s="46"/>
      <c r="P394" s="46"/>
      <c r="Q394" s="46"/>
      <c r="R394" s="46"/>
      <c r="S394" s="46"/>
      <c r="T394" s="46"/>
      <c r="U394" s="46"/>
      <c r="V394" s="46"/>
      <c r="W394" s="46"/>
    </row>
    <row r="395">
      <c r="A395" s="55"/>
      <c r="B395" s="205"/>
      <c r="C395" s="55"/>
      <c r="D395" s="205"/>
      <c r="E395" s="172"/>
      <c r="F395" s="212"/>
      <c r="G395" s="172"/>
      <c r="H395" s="205"/>
      <c r="I395" s="149"/>
      <c r="J395" s="46"/>
      <c r="K395" s="46"/>
      <c r="L395" s="46"/>
      <c r="M395" s="46"/>
      <c r="N395" s="46"/>
      <c r="O395" s="46"/>
      <c r="P395" s="46"/>
      <c r="Q395" s="46"/>
      <c r="R395" s="46"/>
      <c r="S395" s="46"/>
      <c r="T395" s="46"/>
      <c r="U395" s="46"/>
      <c r="V395" s="46"/>
      <c r="W395" s="46"/>
    </row>
    <row r="396">
      <c r="A396" s="55"/>
      <c r="B396" s="205"/>
      <c r="C396" s="55"/>
      <c r="D396" s="205"/>
      <c r="E396" s="172"/>
      <c r="F396" s="212"/>
      <c r="G396" s="172"/>
      <c r="H396" s="205"/>
      <c r="I396" s="149"/>
      <c r="J396" s="46"/>
      <c r="K396" s="46"/>
      <c r="L396" s="46"/>
      <c r="M396" s="46"/>
      <c r="N396" s="46"/>
      <c r="O396" s="46"/>
      <c r="P396" s="46"/>
      <c r="Q396" s="46"/>
      <c r="R396" s="46"/>
      <c r="S396" s="46"/>
      <c r="T396" s="46"/>
      <c r="U396" s="46"/>
      <c r="V396" s="46"/>
      <c r="W396" s="46"/>
    </row>
    <row r="397">
      <c r="A397" s="55"/>
      <c r="B397" s="205"/>
      <c r="C397" s="55"/>
      <c r="D397" s="205"/>
      <c r="E397" s="172"/>
      <c r="F397" s="212"/>
      <c r="G397" s="172"/>
      <c r="H397" s="205"/>
      <c r="I397" s="149"/>
      <c r="J397" s="46"/>
      <c r="K397" s="46"/>
      <c r="L397" s="46"/>
      <c r="M397" s="46"/>
      <c r="N397" s="46"/>
      <c r="O397" s="46"/>
      <c r="P397" s="46"/>
      <c r="Q397" s="46"/>
      <c r="R397" s="46"/>
      <c r="S397" s="46"/>
      <c r="T397" s="46"/>
      <c r="U397" s="46"/>
      <c r="V397" s="46"/>
      <c r="W397" s="46"/>
    </row>
    <row r="398">
      <c r="A398" s="55"/>
      <c r="B398" s="205"/>
      <c r="C398" s="55"/>
      <c r="D398" s="205"/>
      <c r="E398" s="172"/>
      <c r="F398" s="212"/>
      <c r="G398" s="172"/>
      <c r="H398" s="205"/>
      <c r="I398" s="149"/>
      <c r="J398" s="46"/>
      <c r="K398" s="46"/>
      <c r="L398" s="46"/>
      <c r="M398" s="46"/>
      <c r="N398" s="46"/>
      <c r="O398" s="46"/>
      <c r="P398" s="46"/>
      <c r="Q398" s="46"/>
      <c r="R398" s="46"/>
      <c r="S398" s="46"/>
      <c r="T398" s="46"/>
      <c r="U398" s="46"/>
      <c r="V398" s="46"/>
      <c r="W398" s="46"/>
    </row>
    <row r="399">
      <c r="A399" s="55"/>
      <c r="B399" s="205"/>
      <c r="C399" s="55"/>
      <c r="D399" s="205"/>
      <c r="E399" s="172"/>
      <c r="F399" s="212"/>
      <c r="G399" s="172"/>
      <c r="H399" s="205"/>
      <c r="I399" s="149"/>
      <c r="J399" s="46"/>
      <c r="K399" s="46"/>
      <c r="L399" s="46"/>
      <c r="M399" s="46"/>
      <c r="N399" s="46"/>
      <c r="O399" s="46"/>
      <c r="P399" s="46"/>
      <c r="Q399" s="46"/>
      <c r="R399" s="46"/>
      <c r="S399" s="46"/>
      <c r="T399" s="46"/>
      <c r="U399" s="46"/>
      <c r="V399" s="46"/>
      <c r="W399" s="46"/>
    </row>
    <row r="400">
      <c r="A400" s="55"/>
      <c r="B400" s="205"/>
      <c r="C400" s="55"/>
      <c r="D400" s="205"/>
      <c r="E400" s="172"/>
      <c r="F400" s="212"/>
      <c r="G400" s="172"/>
      <c r="H400" s="205"/>
      <c r="I400" s="149"/>
      <c r="J400" s="46"/>
      <c r="K400" s="46"/>
      <c r="L400" s="46"/>
      <c r="M400" s="46"/>
      <c r="N400" s="46"/>
      <c r="O400" s="46"/>
      <c r="P400" s="46"/>
      <c r="Q400" s="46"/>
      <c r="R400" s="46"/>
      <c r="S400" s="46"/>
      <c r="T400" s="46"/>
      <c r="U400" s="46"/>
      <c r="V400" s="46"/>
      <c r="W400" s="46"/>
    </row>
    <row r="401">
      <c r="A401" s="55"/>
      <c r="B401" s="205"/>
      <c r="C401" s="55"/>
      <c r="D401" s="205"/>
      <c r="E401" s="172"/>
      <c r="F401" s="212"/>
      <c r="G401" s="172"/>
      <c r="H401" s="205"/>
      <c r="I401" s="149"/>
      <c r="J401" s="46"/>
      <c r="K401" s="46"/>
      <c r="L401" s="46"/>
      <c r="M401" s="46"/>
      <c r="N401" s="46"/>
      <c r="O401" s="46"/>
      <c r="P401" s="46"/>
      <c r="Q401" s="46"/>
      <c r="R401" s="46"/>
      <c r="S401" s="46"/>
      <c r="T401" s="46"/>
      <c r="U401" s="46"/>
      <c r="V401" s="46"/>
      <c r="W401" s="46"/>
    </row>
    <row r="402">
      <c r="A402" s="55"/>
      <c r="B402" s="205"/>
      <c r="C402" s="55"/>
      <c r="D402" s="205"/>
      <c r="E402" s="172"/>
      <c r="F402" s="212"/>
      <c r="G402" s="172"/>
      <c r="H402" s="205"/>
      <c r="I402" s="149"/>
      <c r="J402" s="46"/>
      <c r="K402" s="46"/>
      <c r="L402" s="46"/>
      <c r="M402" s="46"/>
      <c r="N402" s="46"/>
      <c r="O402" s="46"/>
      <c r="P402" s="46"/>
      <c r="Q402" s="46"/>
      <c r="R402" s="46"/>
      <c r="S402" s="46"/>
      <c r="T402" s="46"/>
      <c r="U402" s="46"/>
      <c r="V402" s="46"/>
      <c r="W402" s="46"/>
    </row>
    <row r="403">
      <c r="A403" s="55"/>
      <c r="B403" s="205"/>
      <c r="C403" s="55"/>
      <c r="D403" s="205"/>
      <c r="E403" s="172"/>
      <c r="F403" s="212"/>
      <c r="G403" s="172"/>
      <c r="H403" s="205"/>
      <c r="I403" s="149"/>
      <c r="J403" s="46"/>
      <c r="K403" s="46"/>
      <c r="L403" s="46"/>
      <c r="M403" s="46"/>
      <c r="N403" s="46"/>
      <c r="O403" s="46"/>
      <c r="P403" s="46"/>
      <c r="Q403" s="46"/>
      <c r="R403" s="46"/>
      <c r="S403" s="46"/>
      <c r="T403" s="46"/>
      <c r="U403" s="46"/>
      <c r="V403" s="46"/>
      <c r="W403" s="46"/>
    </row>
    <row r="404">
      <c r="A404" s="55"/>
      <c r="B404" s="205"/>
      <c r="C404" s="55"/>
      <c r="D404" s="205"/>
      <c r="E404" s="172"/>
      <c r="F404" s="212"/>
      <c r="G404" s="172"/>
      <c r="H404" s="205"/>
      <c r="I404" s="149"/>
      <c r="J404" s="46"/>
      <c r="K404" s="46"/>
      <c r="L404" s="46"/>
      <c r="M404" s="46"/>
      <c r="N404" s="46"/>
      <c r="O404" s="46"/>
      <c r="P404" s="46"/>
      <c r="Q404" s="46"/>
      <c r="R404" s="46"/>
      <c r="S404" s="46"/>
      <c r="T404" s="46"/>
      <c r="U404" s="46"/>
      <c r="V404" s="46"/>
      <c r="W404" s="46"/>
    </row>
    <row r="405">
      <c r="A405" s="55"/>
      <c r="B405" s="205"/>
      <c r="C405" s="55"/>
      <c r="D405" s="205"/>
      <c r="E405" s="172"/>
      <c r="F405" s="212"/>
      <c r="G405" s="172"/>
      <c r="H405" s="205"/>
      <c r="I405" s="149"/>
      <c r="J405" s="46"/>
      <c r="K405" s="46"/>
      <c r="L405" s="46"/>
      <c r="M405" s="46"/>
      <c r="N405" s="46"/>
      <c r="O405" s="46"/>
      <c r="P405" s="46"/>
      <c r="Q405" s="46"/>
      <c r="R405" s="46"/>
      <c r="S405" s="46"/>
      <c r="T405" s="46"/>
      <c r="U405" s="46"/>
      <c r="V405" s="46"/>
      <c r="W405" s="46"/>
    </row>
    <row r="406">
      <c r="A406" s="55"/>
      <c r="B406" s="205"/>
      <c r="C406" s="55"/>
      <c r="D406" s="205"/>
      <c r="E406" s="172"/>
      <c r="F406" s="212"/>
      <c r="G406" s="172"/>
      <c r="H406" s="205"/>
      <c r="I406" s="149"/>
      <c r="J406" s="46"/>
      <c r="K406" s="46"/>
      <c r="L406" s="46"/>
      <c r="M406" s="46"/>
      <c r="N406" s="46"/>
      <c r="O406" s="46"/>
      <c r="P406" s="46"/>
      <c r="Q406" s="46"/>
      <c r="R406" s="46"/>
      <c r="S406" s="46"/>
      <c r="T406" s="46"/>
      <c r="U406" s="46"/>
      <c r="V406" s="46"/>
      <c r="W406" s="46"/>
    </row>
    <row r="407">
      <c r="A407" s="55"/>
      <c r="B407" s="205"/>
      <c r="C407" s="55"/>
      <c r="D407" s="205"/>
      <c r="E407" s="172"/>
      <c r="F407" s="212"/>
      <c r="G407" s="172"/>
      <c r="H407" s="205"/>
      <c r="I407" s="149"/>
      <c r="J407" s="46"/>
      <c r="K407" s="46"/>
      <c r="L407" s="46"/>
      <c r="M407" s="46"/>
      <c r="N407" s="46"/>
      <c r="O407" s="46"/>
      <c r="P407" s="46"/>
      <c r="Q407" s="46"/>
      <c r="R407" s="46"/>
      <c r="S407" s="46"/>
      <c r="T407" s="46"/>
      <c r="U407" s="46"/>
      <c r="V407" s="46"/>
      <c r="W407" s="46"/>
    </row>
    <row r="408">
      <c r="A408" s="55"/>
      <c r="B408" s="205"/>
      <c r="C408" s="55"/>
      <c r="D408" s="205"/>
      <c r="E408" s="172"/>
      <c r="F408" s="212"/>
      <c r="G408" s="172"/>
      <c r="H408" s="205"/>
      <c r="I408" s="149"/>
      <c r="J408" s="46"/>
      <c r="K408" s="46"/>
      <c r="L408" s="46"/>
      <c r="M408" s="46"/>
      <c r="N408" s="46"/>
      <c r="O408" s="46"/>
      <c r="P408" s="46"/>
      <c r="Q408" s="46"/>
      <c r="R408" s="46"/>
      <c r="S408" s="46"/>
      <c r="T408" s="46"/>
      <c r="U408" s="46"/>
      <c r="V408" s="46"/>
      <c r="W408" s="46"/>
    </row>
    <row r="409">
      <c r="A409" s="55"/>
      <c r="B409" s="205"/>
      <c r="C409" s="55"/>
      <c r="D409" s="205"/>
      <c r="E409" s="172"/>
      <c r="F409" s="212"/>
      <c r="G409" s="172"/>
      <c r="H409" s="205"/>
      <c r="I409" s="149"/>
      <c r="J409" s="46"/>
      <c r="K409" s="46"/>
      <c r="L409" s="46"/>
      <c r="M409" s="46"/>
      <c r="N409" s="46"/>
      <c r="O409" s="46"/>
      <c r="P409" s="46"/>
      <c r="Q409" s="46"/>
      <c r="R409" s="46"/>
      <c r="S409" s="46"/>
      <c r="T409" s="46"/>
      <c r="U409" s="46"/>
      <c r="V409" s="46"/>
      <c r="W409" s="46"/>
    </row>
    <row r="410">
      <c r="A410" s="55"/>
      <c r="B410" s="205"/>
      <c r="C410" s="55"/>
      <c r="D410" s="205"/>
      <c r="E410" s="172"/>
      <c r="F410" s="212"/>
      <c r="G410" s="172"/>
      <c r="H410" s="205"/>
      <c r="I410" s="149"/>
      <c r="J410" s="46"/>
      <c r="K410" s="46"/>
      <c r="L410" s="46"/>
      <c r="M410" s="46"/>
      <c r="N410" s="46"/>
      <c r="O410" s="46"/>
      <c r="P410" s="46"/>
      <c r="Q410" s="46"/>
      <c r="R410" s="46"/>
      <c r="S410" s="46"/>
      <c r="T410" s="46"/>
      <c r="U410" s="46"/>
      <c r="V410" s="46"/>
      <c r="W410" s="46"/>
    </row>
    <row r="411">
      <c r="A411" s="55"/>
      <c r="B411" s="205"/>
      <c r="C411" s="55"/>
      <c r="D411" s="205"/>
      <c r="E411" s="172"/>
      <c r="F411" s="212"/>
      <c r="G411" s="172"/>
      <c r="H411" s="205"/>
      <c r="I411" s="149"/>
      <c r="J411" s="46"/>
      <c r="K411" s="46"/>
      <c r="L411" s="46"/>
      <c r="M411" s="46"/>
      <c r="N411" s="46"/>
      <c r="O411" s="46"/>
      <c r="P411" s="46"/>
      <c r="Q411" s="46"/>
      <c r="R411" s="46"/>
      <c r="S411" s="46"/>
      <c r="T411" s="46"/>
      <c r="U411" s="46"/>
      <c r="V411" s="46"/>
      <c r="W411" s="46"/>
    </row>
    <row r="412">
      <c r="A412" s="55"/>
      <c r="B412" s="205"/>
      <c r="C412" s="55"/>
      <c r="D412" s="205"/>
      <c r="E412" s="172"/>
      <c r="F412" s="212"/>
      <c r="G412" s="172"/>
      <c r="H412" s="205"/>
      <c r="I412" s="149"/>
      <c r="J412" s="46"/>
      <c r="K412" s="46"/>
      <c r="L412" s="46"/>
      <c r="M412" s="46"/>
      <c r="N412" s="46"/>
      <c r="O412" s="46"/>
      <c r="P412" s="46"/>
      <c r="Q412" s="46"/>
      <c r="R412" s="46"/>
      <c r="S412" s="46"/>
      <c r="T412" s="46"/>
      <c r="U412" s="46"/>
      <c r="V412" s="46"/>
      <c r="W412" s="46"/>
    </row>
    <row r="413">
      <c r="A413" s="55"/>
      <c r="B413" s="205"/>
      <c r="C413" s="55"/>
      <c r="D413" s="205"/>
      <c r="E413" s="172"/>
      <c r="F413" s="212"/>
      <c r="G413" s="172"/>
      <c r="H413" s="205"/>
      <c r="I413" s="149"/>
      <c r="J413" s="46"/>
      <c r="K413" s="46"/>
      <c r="L413" s="46"/>
      <c r="M413" s="46"/>
      <c r="N413" s="46"/>
      <c r="O413" s="46"/>
      <c r="P413" s="46"/>
      <c r="Q413" s="46"/>
      <c r="R413" s="46"/>
      <c r="S413" s="46"/>
      <c r="T413" s="46"/>
      <c r="U413" s="46"/>
      <c r="V413" s="46"/>
      <c r="W413" s="46"/>
    </row>
    <row r="414">
      <c r="A414" s="55"/>
      <c r="B414" s="205"/>
      <c r="C414" s="55"/>
      <c r="D414" s="205"/>
      <c r="E414" s="172"/>
      <c r="F414" s="212"/>
      <c r="G414" s="172"/>
      <c r="H414" s="205"/>
      <c r="I414" s="149"/>
      <c r="J414" s="46"/>
      <c r="K414" s="46"/>
      <c r="L414" s="46"/>
      <c r="M414" s="46"/>
      <c r="N414" s="46"/>
      <c r="O414" s="46"/>
      <c r="P414" s="46"/>
      <c r="Q414" s="46"/>
      <c r="R414" s="46"/>
      <c r="S414" s="46"/>
      <c r="T414" s="46"/>
      <c r="U414" s="46"/>
      <c r="V414" s="46"/>
      <c r="W414" s="46"/>
    </row>
    <row r="415">
      <c r="A415" s="55"/>
      <c r="B415" s="205"/>
      <c r="C415" s="55"/>
      <c r="D415" s="205"/>
      <c r="E415" s="172"/>
      <c r="F415" s="212"/>
      <c r="G415" s="172"/>
      <c r="H415" s="205"/>
      <c r="I415" s="149"/>
      <c r="J415" s="46"/>
      <c r="K415" s="46"/>
      <c r="L415" s="46"/>
      <c r="M415" s="46"/>
      <c r="N415" s="46"/>
      <c r="O415" s="46"/>
      <c r="P415" s="46"/>
      <c r="Q415" s="46"/>
      <c r="R415" s="46"/>
      <c r="S415" s="46"/>
      <c r="T415" s="46"/>
      <c r="U415" s="46"/>
      <c r="V415" s="46"/>
      <c r="W415" s="46"/>
    </row>
    <row r="416">
      <c r="A416" s="55"/>
      <c r="B416" s="205"/>
      <c r="C416" s="55"/>
      <c r="D416" s="205"/>
      <c r="E416" s="172"/>
      <c r="F416" s="212"/>
      <c r="G416" s="172"/>
      <c r="H416" s="205"/>
      <c r="I416" s="149"/>
      <c r="J416" s="46"/>
      <c r="K416" s="46"/>
      <c r="L416" s="46"/>
      <c r="M416" s="46"/>
      <c r="N416" s="46"/>
      <c r="O416" s="46"/>
      <c r="P416" s="46"/>
      <c r="Q416" s="46"/>
      <c r="R416" s="46"/>
      <c r="S416" s="46"/>
      <c r="T416" s="46"/>
      <c r="U416" s="46"/>
      <c r="V416" s="46"/>
      <c r="W416" s="46"/>
    </row>
    <row r="417">
      <c r="A417" s="55"/>
      <c r="B417" s="205"/>
      <c r="C417" s="55"/>
      <c r="D417" s="205"/>
      <c r="E417" s="172"/>
      <c r="F417" s="212"/>
      <c r="G417" s="172"/>
      <c r="H417" s="205"/>
      <c r="I417" s="149"/>
      <c r="J417" s="46"/>
      <c r="K417" s="46"/>
      <c r="L417" s="46"/>
      <c r="M417" s="46"/>
      <c r="N417" s="46"/>
      <c r="O417" s="46"/>
      <c r="P417" s="46"/>
      <c r="Q417" s="46"/>
      <c r="R417" s="46"/>
      <c r="S417" s="46"/>
      <c r="T417" s="46"/>
      <c r="U417" s="46"/>
      <c r="V417" s="46"/>
      <c r="W417" s="46"/>
    </row>
    <row r="418">
      <c r="A418" s="55"/>
      <c r="B418" s="205"/>
      <c r="C418" s="55"/>
      <c r="D418" s="205"/>
      <c r="E418" s="172"/>
      <c r="F418" s="212"/>
      <c r="G418" s="172"/>
      <c r="H418" s="205"/>
      <c r="I418" s="149"/>
      <c r="J418" s="46"/>
      <c r="K418" s="46"/>
      <c r="L418" s="46"/>
      <c r="M418" s="46"/>
      <c r="N418" s="46"/>
      <c r="O418" s="46"/>
      <c r="P418" s="46"/>
      <c r="Q418" s="46"/>
      <c r="R418" s="46"/>
      <c r="S418" s="46"/>
      <c r="T418" s="46"/>
      <c r="U418" s="46"/>
      <c r="V418" s="46"/>
      <c r="W418" s="46"/>
    </row>
    <row r="419">
      <c r="A419" s="55"/>
      <c r="B419" s="205"/>
      <c r="C419" s="55"/>
      <c r="D419" s="205"/>
      <c r="E419" s="172"/>
      <c r="F419" s="212"/>
      <c r="G419" s="172"/>
      <c r="H419" s="205"/>
      <c r="I419" s="149"/>
      <c r="J419" s="46"/>
      <c r="K419" s="46"/>
      <c r="L419" s="46"/>
      <c r="M419" s="46"/>
      <c r="N419" s="46"/>
      <c r="O419" s="46"/>
      <c r="P419" s="46"/>
      <c r="Q419" s="46"/>
      <c r="R419" s="46"/>
      <c r="S419" s="46"/>
      <c r="T419" s="46"/>
      <c r="U419" s="46"/>
      <c r="V419" s="46"/>
      <c r="W419" s="46"/>
    </row>
    <row r="420">
      <c r="A420" s="55"/>
      <c r="B420" s="205"/>
      <c r="C420" s="55"/>
      <c r="D420" s="205"/>
      <c r="E420" s="172"/>
      <c r="F420" s="212"/>
      <c r="G420" s="172"/>
      <c r="H420" s="205"/>
      <c r="I420" s="149"/>
      <c r="J420" s="46"/>
      <c r="K420" s="46"/>
      <c r="L420" s="46"/>
      <c r="M420" s="46"/>
      <c r="N420" s="46"/>
      <c r="O420" s="46"/>
      <c r="P420" s="46"/>
      <c r="Q420" s="46"/>
      <c r="R420" s="46"/>
      <c r="S420" s="46"/>
      <c r="T420" s="46"/>
      <c r="U420" s="46"/>
      <c r="V420" s="46"/>
      <c r="W420" s="46"/>
    </row>
    <row r="421">
      <c r="A421" s="55"/>
      <c r="B421" s="205"/>
      <c r="C421" s="55"/>
      <c r="D421" s="205"/>
      <c r="E421" s="172"/>
      <c r="F421" s="212"/>
      <c r="G421" s="172"/>
      <c r="H421" s="205"/>
      <c r="I421" s="149"/>
      <c r="J421" s="46"/>
      <c r="K421" s="46"/>
      <c r="L421" s="46"/>
      <c r="M421" s="46"/>
      <c r="N421" s="46"/>
      <c r="O421" s="46"/>
      <c r="P421" s="46"/>
      <c r="Q421" s="46"/>
      <c r="R421" s="46"/>
      <c r="S421" s="46"/>
      <c r="T421" s="46"/>
      <c r="U421" s="46"/>
      <c r="V421" s="46"/>
      <c r="W421" s="46"/>
    </row>
    <row r="422">
      <c r="A422" s="55"/>
      <c r="B422" s="205"/>
      <c r="C422" s="55"/>
      <c r="D422" s="205"/>
      <c r="E422" s="172"/>
      <c r="F422" s="212"/>
      <c r="G422" s="172"/>
      <c r="H422" s="205"/>
      <c r="I422" s="149"/>
      <c r="J422" s="46"/>
      <c r="K422" s="46"/>
      <c r="L422" s="46"/>
      <c r="M422" s="46"/>
      <c r="N422" s="46"/>
      <c r="O422" s="46"/>
      <c r="P422" s="46"/>
      <c r="Q422" s="46"/>
      <c r="R422" s="46"/>
      <c r="S422" s="46"/>
      <c r="T422" s="46"/>
      <c r="U422" s="46"/>
      <c r="V422" s="46"/>
      <c r="W422" s="46"/>
    </row>
    <row r="423">
      <c r="A423" s="55"/>
      <c r="B423" s="205"/>
      <c r="C423" s="55"/>
      <c r="D423" s="205"/>
      <c r="E423" s="172"/>
      <c r="F423" s="212"/>
      <c r="G423" s="172"/>
      <c r="H423" s="205"/>
      <c r="I423" s="149"/>
      <c r="J423" s="46"/>
      <c r="K423" s="46"/>
      <c r="L423" s="46"/>
      <c r="M423" s="46"/>
      <c r="N423" s="46"/>
      <c r="O423" s="46"/>
      <c r="P423" s="46"/>
      <c r="Q423" s="46"/>
      <c r="R423" s="46"/>
      <c r="S423" s="46"/>
      <c r="T423" s="46"/>
      <c r="U423" s="46"/>
      <c r="V423" s="46"/>
      <c r="W423" s="46"/>
    </row>
    <row r="424">
      <c r="A424" s="55"/>
      <c r="B424" s="205"/>
      <c r="C424" s="55"/>
      <c r="D424" s="205"/>
      <c r="E424" s="172"/>
      <c r="F424" s="212"/>
      <c r="G424" s="172"/>
      <c r="H424" s="205"/>
      <c r="I424" s="149"/>
      <c r="J424" s="46"/>
      <c r="K424" s="46"/>
      <c r="L424" s="46"/>
      <c r="M424" s="46"/>
      <c r="N424" s="46"/>
      <c r="O424" s="46"/>
      <c r="P424" s="46"/>
      <c r="Q424" s="46"/>
      <c r="R424" s="46"/>
      <c r="S424" s="46"/>
      <c r="T424" s="46"/>
      <c r="U424" s="46"/>
      <c r="V424" s="46"/>
      <c r="W424" s="46"/>
    </row>
    <row r="425">
      <c r="A425" s="55"/>
      <c r="B425" s="205"/>
      <c r="C425" s="55"/>
      <c r="D425" s="205"/>
      <c r="E425" s="172"/>
      <c r="F425" s="212"/>
      <c r="G425" s="172"/>
      <c r="H425" s="205"/>
      <c r="I425" s="149"/>
      <c r="J425" s="46"/>
      <c r="K425" s="46"/>
      <c r="L425" s="46"/>
      <c r="M425" s="46"/>
      <c r="N425" s="46"/>
      <c r="O425" s="46"/>
      <c r="P425" s="46"/>
      <c r="Q425" s="46"/>
      <c r="R425" s="46"/>
      <c r="S425" s="46"/>
      <c r="T425" s="46"/>
      <c r="U425" s="46"/>
      <c r="V425" s="46"/>
      <c r="W425" s="46"/>
    </row>
    <row r="426">
      <c r="A426" s="55"/>
      <c r="B426" s="205"/>
      <c r="C426" s="55"/>
      <c r="D426" s="205"/>
      <c r="E426" s="172"/>
      <c r="F426" s="212"/>
      <c r="G426" s="172"/>
      <c r="H426" s="205"/>
      <c r="I426" s="149"/>
      <c r="J426" s="46"/>
      <c r="K426" s="46"/>
      <c r="L426" s="46"/>
      <c r="M426" s="46"/>
      <c r="N426" s="46"/>
      <c r="O426" s="46"/>
      <c r="P426" s="46"/>
      <c r="Q426" s="46"/>
      <c r="R426" s="46"/>
      <c r="S426" s="46"/>
      <c r="T426" s="46"/>
      <c r="U426" s="46"/>
      <c r="V426" s="46"/>
      <c r="W426" s="46"/>
    </row>
    <row r="427">
      <c r="A427" s="55"/>
      <c r="B427" s="205"/>
      <c r="C427" s="55"/>
      <c r="D427" s="205"/>
      <c r="E427" s="172"/>
      <c r="F427" s="212"/>
      <c r="G427" s="172"/>
      <c r="H427" s="205"/>
      <c r="I427" s="149"/>
      <c r="J427" s="46"/>
      <c r="K427" s="46"/>
      <c r="L427" s="46"/>
      <c r="M427" s="46"/>
      <c r="N427" s="46"/>
      <c r="O427" s="46"/>
      <c r="P427" s="46"/>
      <c r="Q427" s="46"/>
      <c r="R427" s="46"/>
      <c r="S427" s="46"/>
      <c r="T427" s="46"/>
      <c r="U427" s="46"/>
      <c r="V427" s="46"/>
      <c r="W427" s="46"/>
    </row>
    <row r="428">
      <c r="A428" s="55"/>
      <c r="B428" s="205"/>
      <c r="C428" s="55"/>
      <c r="D428" s="205"/>
      <c r="E428" s="172"/>
      <c r="F428" s="212"/>
      <c r="G428" s="172"/>
      <c r="H428" s="205"/>
      <c r="I428" s="149"/>
      <c r="J428" s="46"/>
      <c r="K428" s="46"/>
      <c r="L428" s="46"/>
      <c r="M428" s="46"/>
      <c r="N428" s="46"/>
      <c r="O428" s="46"/>
      <c r="P428" s="46"/>
      <c r="Q428" s="46"/>
      <c r="R428" s="46"/>
      <c r="S428" s="46"/>
      <c r="T428" s="46"/>
      <c r="U428" s="46"/>
      <c r="V428" s="46"/>
      <c r="W428" s="46"/>
    </row>
    <row r="429">
      <c r="A429" s="55"/>
      <c r="B429" s="205"/>
      <c r="C429" s="55"/>
      <c r="D429" s="205"/>
      <c r="E429" s="172"/>
      <c r="F429" s="212"/>
      <c r="G429" s="172"/>
      <c r="H429" s="205"/>
      <c r="I429" s="149"/>
      <c r="J429" s="46"/>
      <c r="K429" s="46"/>
      <c r="L429" s="46"/>
      <c r="M429" s="46"/>
      <c r="N429" s="46"/>
      <c r="O429" s="46"/>
      <c r="P429" s="46"/>
      <c r="Q429" s="46"/>
      <c r="R429" s="46"/>
      <c r="S429" s="46"/>
      <c r="T429" s="46"/>
      <c r="U429" s="46"/>
      <c r="V429" s="46"/>
      <c r="W429" s="46"/>
    </row>
    <row r="430">
      <c r="A430" s="55"/>
      <c r="B430" s="205"/>
      <c r="C430" s="55"/>
      <c r="D430" s="205"/>
      <c r="E430" s="172"/>
      <c r="F430" s="212"/>
      <c r="G430" s="172"/>
      <c r="H430" s="205"/>
      <c r="I430" s="149"/>
      <c r="J430" s="46"/>
      <c r="K430" s="46"/>
      <c r="L430" s="46"/>
      <c r="M430" s="46"/>
      <c r="N430" s="46"/>
      <c r="O430" s="46"/>
      <c r="P430" s="46"/>
      <c r="Q430" s="46"/>
      <c r="R430" s="46"/>
      <c r="S430" s="46"/>
      <c r="T430" s="46"/>
      <c r="U430" s="46"/>
      <c r="V430" s="46"/>
      <c r="W430" s="46"/>
    </row>
    <row r="431">
      <c r="A431" s="55"/>
      <c r="B431" s="205"/>
      <c r="C431" s="55"/>
      <c r="D431" s="205"/>
      <c r="E431" s="172"/>
      <c r="F431" s="212"/>
      <c r="G431" s="172"/>
      <c r="H431" s="205"/>
      <c r="I431" s="149"/>
      <c r="J431" s="46"/>
      <c r="K431" s="46"/>
      <c r="L431" s="46"/>
      <c r="M431" s="46"/>
      <c r="N431" s="46"/>
      <c r="O431" s="46"/>
      <c r="P431" s="46"/>
      <c r="Q431" s="46"/>
      <c r="R431" s="46"/>
      <c r="S431" s="46"/>
      <c r="T431" s="46"/>
      <c r="U431" s="46"/>
      <c r="V431" s="46"/>
      <c r="W431" s="46"/>
    </row>
    <row r="432">
      <c r="A432" s="55"/>
      <c r="B432" s="205"/>
      <c r="C432" s="55"/>
      <c r="D432" s="205"/>
      <c r="E432" s="172"/>
      <c r="F432" s="212"/>
      <c r="G432" s="172"/>
      <c r="H432" s="205"/>
      <c r="I432" s="149"/>
      <c r="J432" s="46"/>
      <c r="K432" s="46"/>
      <c r="L432" s="46"/>
      <c r="M432" s="46"/>
      <c r="N432" s="46"/>
      <c r="O432" s="46"/>
      <c r="P432" s="46"/>
      <c r="Q432" s="46"/>
      <c r="R432" s="46"/>
      <c r="S432" s="46"/>
      <c r="T432" s="46"/>
      <c r="U432" s="46"/>
      <c r="V432" s="46"/>
      <c r="W432" s="46"/>
    </row>
    <row r="433">
      <c r="A433" s="55"/>
      <c r="B433" s="205"/>
      <c r="C433" s="55"/>
      <c r="D433" s="205"/>
      <c r="E433" s="172"/>
      <c r="F433" s="212"/>
      <c r="G433" s="172"/>
      <c r="H433" s="205"/>
      <c r="I433" s="149"/>
      <c r="J433" s="46"/>
      <c r="K433" s="46"/>
      <c r="L433" s="46"/>
      <c r="M433" s="46"/>
      <c r="N433" s="46"/>
      <c r="O433" s="46"/>
      <c r="P433" s="46"/>
      <c r="Q433" s="46"/>
      <c r="R433" s="46"/>
      <c r="S433" s="46"/>
      <c r="T433" s="46"/>
      <c r="U433" s="46"/>
      <c r="V433" s="46"/>
      <c r="W433" s="46"/>
    </row>
    <row r="434">
      <c r="A434" s="55"/>
      <c r="B434" s="205"/>
      <c r="C434" s="55"/>
      <c r="D434" s="205"/>
      <c r="E434" s="172"/>
      <c r="F434" s="212"/>
      <c r="G434" s="172"/>
      <c r="H434" s="205"/>
      <c r="I434" s="149"/>
      <c r="J434" s="46"/>
      <c r="K434" s="46"/>
      <c r="L434" s="46"/>
      <c r="M434" s="46"/>
      <c r="N434" s="46"/>
      <c r="O434" s="46"/>
      <c r="P434" s="46"/>
      <c r="Q434" s="46"/>
      <c r="R434" s="46"/>
      <c r="S434" s="46"/>
      <c r="T434" s="46"/>
      <c r="U434" s="46"/>
      <c r="V434" s="46"/>
      <c r="W434" s="46"/>
    </row>
    <row r="435">
      <c r="A435" s="55"/>
      <c r="B435" s="205"/>
      <c r="C435" s="55"/>
      <c r="D435" s="205"/>
      <c r="E435" s="172"/>
      <c r="F435" s="212"/>
      <c r="G435" s="172"/>
      <c r="H435" s="205"/>
      <c r="I435" s="149"/>
      <c r="J435" s="46"/>
      <c r="K435" s="46"/>
      <c r="L435" s="46"/>
      <c r="M435" s="46"/>
      <c r="N435" s="46"/>
      <c r="O435" s="46"/>
      <c r="P435" s="46"/>
      <c r="Q435" s="46"/>
      <c r="R435" s="46"/>
      <c r="S435" s="46"/>
      <c r="T435" s="46"/>
      <c r="U435" s="46"/>
      <c r="V435" s="46"/>
      <c r="W435" s="46"/>
    </row>
    <row r="436">
      <c r="A436" s="55"/>
      <c r="B436" s="205"/>
      <c r="C436" s="55"/>
      <c r="D436" s="205"/>
      <c r="E436" s="172"/>
      <c r="F436" s="212"/>
      <c r="G436" s="172"/>
      <c r="H436" s="205"/>
      <c r="I436" s="149"/>
      <c r="J436" s="46"/>
      <c r="K436" s="46"/>
      <c r="L436" s="46"/>
      <c r="M436" s="46"/>
      <c r="N436" s="46"/>
      <c r="O436" s="46"/>
      <c r="P436" s="46"/>
      <c r="Q436" s="46"/>
      <c r="R436" s="46"/>
      <c r="S436" s="46"/>
      <c r="T436" s="46"/>
      <c r="U436" s="46"/>
      <c r="V436" s="46"/>
      <c r="W436" s="46"/>
    </row>
    <row r="437">
      <c r="A437" s="55"/>
      <c r="B437" s="205"/>
      <c r="C437" s="55"/>
      <c r="D437" s="205"/>
      <c r="E437" s="172"/>
      <c r="F437" s="212"/>
      <c r="G437" s="172"/>
      <c r="H437" s="205"/>
      <c r="I437" s="149"/>
      <c r="J437" s="46"/>
      <c r="K437" s="46"/>
      <c r="L437" s="46"/>
      <c r="M437" s="46"/>
      <c r="N437" s="46"/>
      <c r="O437" s="46"/>
      <c r="P437" s="46"/>
      <c r="Q437" s="46"/>
      <c r="R437" s="46"/>
      <c r="S437" s="46"/>
      <c r="T437" s="46"/>
      <c r="U437" s="46"/>
      <c r="V437" s="46"/>
      <c r="W437" s="46"/>
    </row>
    <row r="438">
      <c r="A438" s="55"/>
      <c r="B438" s="205"/>
      <c r="C438" s="55"/>
      <c r="D438" s="205"/>
      <c r="E438" s="172"/>
      <c r="F438" s="212"/>
      <c r="G438" s="172"/>
      <c r="H438" s="205"/>
      <c r="I438" s="149"/>
      <c r="J438" s="46"/>
      <c r="K438" s="46"/>
      <c r="L438" s="46"/>
      <c r="M438" s="46"/>
      <c r="N438" s="46"/>
      <c r="O438" s="46"/>
      <c r="P438" s="46"/>
      <c r="Q438" s="46"/>
      <c r="R438" s="46"/>
      <c r="S438" s="46"/>
      <c r="T438" s="46"/>
      <c r="U438" s="46"/>
      <c r="V438" s="46"/>
      <c r="W438" s="46"/>
    </row>
    <row r="439">
      <c r="A439" s="55"/>
      <c r="B439" s="205"/>
      <c r="C439" s="55"/>
      <c r="D439" s="205"/>
      <c r="E439" s="172"/>
      <c r="F439" s="212"/>
      <c r="G439" s="172"/>
      <c r="H439" s="205"/>
      <c r="I439" s="149"/>
      <c r="J439" s="46"/>
      <c r="K439" s="46"/>
      <c r="L439" s="46"/>
      <c r="M439" s="46"/>
      <c r="N439" s="46"/>
      <c r="O439" s="46"/>
      <c r="P439" s="46"/>
      <c r="Q439" s="46"/>
      <c r="R439" s="46"/>
      <c r="S439" s="46"/>
      <c r="T439" s="46"/>
      <c r="U439" s="46"/>
      <c r="V439" s="46"/>
      <c r="W439" s="46"/>
    </row>
    <row r="440">
      <c r="A440" s="55"/>
      <c r="B440" s="205"/>
      <c r="C440" s="55"/>
      <c r="D440" s="205"/>
      <c r="E440" s="172"/>
      <c r="F440" s="212"/>
      <c r="G440" s="172"/>
      <c r="H440" s="205"/>
      <c r="I440" s="149"/>
      <c r="J440" s="46"/>
      <c r="K440" s="46"/>
      <c r="L440" s="46"/>
      <c r="M440" s="46"/>
      <c r="N440" s="46"/>
      <c r="O440" s="46"/>
      <c r="P440" s="46"/>
      <c r="Q440" s="46"/>
      <c r="R440" s="46"/>
      <c r="S440" s="46"/>
      <c r="T440" s="46"/>
      <c r="U440" s="46"/>
      <c r="V440" s="46"/>
      <c r="W440" s="46"/>
    </row>
    <row r="441">
      <c r="A441" s="55"/>
      <c r="B441" s="205"/>
      <c r="C441" s="55"/>
      <c r="D441" s="205"/>
      <c r="E441" s="172"/>
      <c r="F441" s="212"/>
      <c r="G441" s="172"/>
      <c r="H441" s="205"/>
      <c r="I441" s="149"/>
      <c r="J441" s="46"/>
      <c r="K441" s="46"/>
      <c r="L441" s="46"/>
      <c r="M441" s="46"/>
      <c r="N441" s="46"/>
      <c r="O441" s="46"/>
      <c r="P441" s="46"/>
      <c r="Q441" s="46"/>
      <c r="R441" s="46"/>
      <c r="S441" s="46"/>
      <c r="T441" s="46"/>
      <c r="U441" s="46"/>
      <c r="V441" s="46"/>
      <c r="W441" s="46"/>
    </row>
    <row r="442">
      <c r="A442" s="55"/>
      <c r="B442" s="205"/>
      <c r="C442" s="55"/>
      <c r="D442" s="205"/>
      <c r="E442" s="172"/>
      <c r="F442" s="212"/>
      <c r="G442" s="172"/>
      <c r="H442" s="205"/>
      <c r="I442" s="149"/>
      <c r="J442" s="46"/>
      <c r="K442" s="46"/>
      <c r="L442" s="46"/>
      <c r="M442" s="46"/>
      <c r="N442" s="46"/>
      <c r="O442" s="46"/>
      <c r="P442" s="46"/>
      <c r="Q442" s="46"/>
      <c r="R442" s="46"/>
      <c r="S442" s="46"/>
      <c r="T442" s="46"/>
      <c r="U442" s="46"/>
      <c r="V442" s="46"/>
      <c r="W442" s="46"/>
    </row>
    <row r="443">
      <c r="A443" s="55"/>
      <c r="B443" s="205"/>
      <c r="C443" s="55"/>
      <c r="D443" s="205"/>
      <c r="E443" s="172"/>
      <c r="F443" s="212"/>
      <c r="G443" s="172"/>
      <c r="H443" s="205"/>
      <c r="I443" s="149"/>
      <c r="J443" s="46"/>
      <c r="K443" s="46"/>
      <c r="L443" s="46"/>
      <c r="M443" s="46"/>
      <c r="N443" s="46"/>
      <c r="O443" s="46"/>
      <c r="P443" s="46"/>
      <c r="Q443" s="46"/>
      <c r="R443" s="46"/>
      <c r="S443" s="46"/>
      <c r="T443" s="46"/>
      <c r="U443" s="46"/>
      <c r="V443" s="46"/>
      <c r="W443" s="46"/>
    </row>
    <row r="444">
      <c r="A444" s="55"/>
      <c r="B444" s="205"/>
      <c r="C444" s="55"/>
      <c r="D444" s="205"/>
      <c r="E444" s="172"/>
      <c r="F444" s="212"/>
      <c r="G444" s="172"/>
      <c r="H444" s="205"/>
      <c r="I444" s="149"/>
      <c r="J444" s="46"/>
      <c r="K444" s="46"/>
      <c r="L444" s="46"/>
      <c r="M444" s="46"/>
      <c r="N444" s="46"/>
      <c r="O444" s="46"/>
      <c r="P444" s="46"/>
      <c r="Q444" s="46"/>
      <c r="R444" s="46"/>
      <c r="S444" s="46"/>
      <c r="T444" s="46"/>
      <c r="U444" s="46"/>
      <c r="V444" s="46"/>
      <c r="W444" s="46"/>
    </row>
    <row r="445">
      <c r="A445" s="55"/>
      <c r="B445" s="205"/>
      <c r="C445" s="55"/>
      <c r="D445" s="205"/>
      <c r="E445" s="172"/>
      <c r="F445" s="212"/>
      <c r="G445" s="172"/>
      <c r="H445" s="205"/>
      <c r="I445" s="149"/>
      <c r="J445" s="46"/>
      <c r="K445" s="46"/>
      <c r="L445" s="46"/>
      <c r="M445" s="46"/>
      <c r="N445" s="46"/>
      <c r="O445" s="46"/>
      <c r="P445" s="46"/>
      <c r="Q445" s="46"/>
      <c r="R445" s="46"/>
      <c r="S445" s="46"/>
      <c r="T445" s="46"/>
      <c r="U445" s="46"/>
      <c r="V445" s="46"/>
      <c r="W445" s="46"/>
    </row>
    <row r="446">
      <c r="A446" s="55"/>
      <c r="B446" s="205"/>
      <c r="C446" s="55"/>
      <c r="D446" s="205"/>
      <c r="E446" s="172"/>
      <c r="F446" s="212"/>
      <c r="G446" s="172"/>
      <c r="H446" s="205"/>
      <c r="I446" s="149"/>
      <c r="J446" s="46"/>
      <c r="K446" s="46"/>
      <c r="L446" s="46"/>
      <c r="M446" s="46"/>
      <c r="N446" s="46"/>
      <c r="O446" s="46"/>
      <c r="P446" s="46"/>
      <c r="Q446" s="46"/>
      <c r="R446" s="46"/>
      <c r="S446" s="46"/>
      <c r="T446" s="46"/>
      <c r="U446" s="46"/>
      <c r="V446" s="46"/>
      <c r="W446" s="46"/>
    </row>
    <row r="447">
      <c r="A447" s="55"/>
      <c r="B447" s="205"/>
      <c r="C447" s="55"/>
      <c r="D447" s="205"/>
      <c r="E447" s="172"/>
      <c r="F447" s="212"/>
      <c r="G447" s="172"/>
      <c r="H447" s="205"/>
      <c r="I447" s="149"/>
      <c r="J447" s="46"/>
      <c r="K447" s="46"/>
      <c r="L447" s="46"/>
      <c r="M447" s="46"/>
      <c r="N447" s="46"/>
      <c r="O447" s="46"/>
      <c r="P447" s="46"/>
      <c r="Q447" s="46"/>
      <c r="R447" s="46"/>
      <c r="S447" s="46"/>
      <c r="T447" s="46"/>
      <c r="U447" s="46"/>
      <c r="V447" s="46"/>
      <c r="W447" s="46"/>
    </row>
    <row r="448">
      <c r="A448" s="55"/>
      <c r="B448" s="205"/>
      <c r="C448" s="55"/>
      <c r="D448" s="205"/>
      <c r="E448" s="172"/>
      <c r="F448" s="212"/>
      <c r="G448" s="172"/>
      <c r="H448" s="205"/>
      <c r="I448" s="149"/>
      <c r="J448" s="46"/>
      <c r="K448" s="46"/>
      <c r="L448" s="46"/>
      <c r="M448" s="46"/>
      <c r="N448" s="46"/>
      <c r="O448" s="46"/>
      <c r="P448" s="46"/>
      <c r="Q448" s="46"/>
      <c r="R448" s="46"/>
      <c r="S448" s="46"/>
      <c r="T448" s="46"/>
      <c r="U448" s="46"/>
      <c r="V448" s="46"/>
      <c r="W448" s="46"/>
    </row>
    <row r="449">
      <c r="A449" s="55"/>
      <c r="B449" s="205"/>
      <c r="C449" s="55"/>
      <c r="D449" s="205"/>
      <c r="E449" s="172"/>
      <c r="F449" s="212"/>
      <c r="G449" s="172"/>
      <c r="H449" s="205"/>
      <c r="I449" s="149"/>
      <c r="J449" s="46"/>
      <c r="K449" s="46"/>
      <c r="L449" s="46"/>
      <c r="M449" s="46"/>
      <c r="N449" s="46"/>
      <c r="O449" s="46"/>
      <c r="P449" s="46"/>
      <c r="Q449" s="46"/>
      <c r="R449" s="46"/>
      <c r="S449" s="46"/>
      <c r="T449" s="46"/>
      <c r="U449" s="46"/>
      <c r="V449" s="46"/>
      <c r="W449" s="46"/>
    </row>
    <row r="450">
      <c r="A450" s="55"/>
      <c r="B450" s="205"/>
      <c r="C450" s="55"/>
      <c r="D450" s="205"/>
      <c r="E450" s="172"/>
      <c r="F450" s="212"/>
      <c r="G450" s="172"/>
      <c r="H450" s="205"/>
      <c r="I450" s="149"/>
      <c r="J450" s="46"/>
      <c r="K450" s="46"/>
      <c r="L450" s="46"/>
      <c r="M450" s="46"/>
      <c r="N450" s="46"/>
      <c r="O450" s="46"/>
      <c r="P450" s="46"/>
      <c r="Q450" s="46"/>
      <c r="R450" s="46"/>
      <c r="S450" s="46"/>
      <c r="T450" s="46"/>
      <c r="U450" s="46"/>
      <c r="V450" s="46"/>
      <c r="W450" s="46"/>
    </row>
    <row r="451">
      <c r="A451" s="55"/>
      <c r="B451" s="205"/>
      <c r="C451" s="55"/>
      <c r="D451" s="205"/>
      <c r="E451" s="172"/>
      <c r="F451" s="212"/>
      <c r="G451" s="172"/>
      <c r="H451" s="205"/>
      <c r="I451" s="149"/>
      <c r="J451" s="46"/>
      <c r="K451" s="46"/>
      <c r="L451" s="46"/>
      <c r="M451" s="46"/>
      <c r="N451" s="46"/>
      <c r="O451" s="46"/>
      <c r="P451" s="46"/>
      <c r="Q451" s="46"/>
      <c r="R451" s="46"/>
      <c r="S451" s="46"/>
      <c r="T451" s="46"/>
      <c r="U451" s="46"/>
      <c r="V451" s="46"/>
      <c r="W451" s="46"/>
    </row>
    <row r="452">
      <c r="A452" s="55"/>
      <c r="B452" s="205"/>
      <c r="C452" s="55"/>
      <c r="D452" s="205"/>
      <c r="E452" s="172"/>
      <c r="F452" s="212"/>
      <c r="G452" s="172"/>
      <c r="H452" s="205"/>
      <c r="I452" s="149"/>
      <c r="J452" s="46"/>
      <c r="K452" s="46"/>
      <c r="L452" s="46"/>
      <c r="M452" s="46"/>
      <c r="N452" s="46"/>
      <c r="O452" s="46"/>
      <c r="P452" s="46"/>
      <c r="Q452" s="46"/>
      <c r="R452" s="46"/>
      <c r="S452" s="46"/>
      <c r="T452" s="46"/>
      <c r="U452" s="46"/>
      <c r="V452" s="46"/>
      <c r="W452" s="46"/>
    </row>
    <row r="453">
      <c r="A453" s="55"/>
      <c r="B453" s="205"/>
      <c r="C453" s="55"/>
      <c r="D453" s="205"/>
      <c r="E453" s="172"/>
      <c r="F453" s="212"/>
      <c r="G453" s="172"/>
      <c r="H453" s="205"/>
      <c r="I453" s="149"/>
      <c r="J453" s="46"/>
      <c r="K453" s="46"/>
      <c r="L453" s="46"/>
      <c r="M453" s="46"/>
      <c r="N453" s="46"/>
      <c r="O453" s="46"/>
      <c r="P453" s="46"/>
      <c r="Q453" s="46"/>
      <c r="R453" s="46"/>
      <c r="S453" s="46"/>
      <c r="T453" s="46"/>
      <c r="U453" s="46"/>
      <c r="V453" s="46"/>
      <c r="W453" s="46"/>
    </row>
    <row r="454">
      <c r="A454" s="55"/>
      <c r="B454" s="205"/>
      <c r="C454" s="55"/>
      <c r="D454" s="205"/>
      <c r="E454" s="172"/>
      <c r="F454" s="212"/>
      <c r="G454" s="172"/>
      <c r="H454" s="205"/>
      <c r="I454" s="149"/>
      <c r="J454" s="46"/>
      <c r="K454" s="46"/>
      <c r="L454" s="46"/>
      <c r="M454" s="46"/>
      <c r="N454" s="46"/>
      <c r="O454" s="46"/>
      <c r="P454" s="46"/>
      <c r="Q454" s="46"/>
      <c r="R454" s="46"/>
      <c r="S454" s="46"/>
      <c r="T454" s="46"/>
      <c r="U454" s="46"/>
      <c r="V454" s="46"/>
      <c r="W454" s="46"/>
    </row>
    <row r="455">
      <c r="A455" s="55"/>
      <c r="B455" s="205"/>
      <c r="C455" s="55"/>
      <c r="D455" s="205"/>
      <c r="E455" s="172"/>
      <c r="F455" s="212"/>
      <c r="G455" s="172"/>
      <c r="H455" s="205"/>
      <c r="I455" s="149"/>
      <c r="J455" s="46"/>
      <c r="K455" s="46"/>
      <c r="L455" s="46"/>
      <c r="M455" s="46"/>
      <c r="N455" s="46"/>
      <c r="O455" s="46"/>
      <c r="P455" s="46"/>
      <c r="Q455" s="46"/>
      <c r="R455" s="46"/>
      <c r="S455" s="46"/>
      <c r="T455" s="46"/>
      <c r="U455" s="46"/>
      <c r="V455" s="46"/>
      <c r="W455" s="46"/>
    </row>
    <row r="456">
      <c r="A456" s="55"/>
      <c r="B456" s="205"/>
      <c r="C456" s="55"/>
      <c r="D456" s="205"/>
      <c r="E456" s="172"/>
      <c r="F456" s="212"/>
      <c r="G456" s="172"/>
      <c r="H456" s="205"/>
      <c r="I456" s="149"/>
      <c r="J456" s="46"/>
      <c r="K456" s="46"/>
      <c r="L456" s="46"/>
      <c r="M456" s="46"/>
      <c r="N456" s="46"/>
      <c r="O456" s="46"/>
      <c r="P456" s="46"/>
      <c r="Q456" s="46"/>
      <c r="R456" s="46"/>
      <c r="S456" s="46"/>
      <c r="T456" s="46"/>
      <c r="U456" s="46"/>
      <c r="V456" s="46"/>
      <c r="W456" s="46"/>
    </row>
    <row r="457">
      <c r="A457" s="55"/>
      <c r="B457" s="205"/>
      <c r="C457" s="55"/>
      <c r="D457" s="205"/>
      <c r="E457" s="172"/>
      <c r="F457" s="212"/>
      <c r="G457" s="172"/>
      <c r="H457" s="205"/>
      <c r="I457" s="149"/>
      <c r="J457" s="46"/>
      <c r="K457" s="46"/>
      <c r="L457" s="46"/>
      <c r="M457" s="46"/>
      <c r="N457" s="46"/>
      <c r="O457" s="46"/>
      <c r="P457" s="46"/>
      <c r="Q457" s="46"/>
      <c r="R457" s="46"/>
      <c r="S457" s="46"/>
      <c r="T457" s="46"/>
      <c r="U457" s="46"/>
      <c r="V457" s="46"/>
      <c r="W457" s="46"/>
    </row>
    <row r="458">
      <c r="A458" s="55"/>
      <c r="B458" s="205"/>
      <c r="C458" s="55"/>
      <c r="D458" s="205"/>
      <c r="E458" s="172"/>
      <c r="F458" s="212"/>
      <c r="G458" s="172"/>
      <c r="H458" s="205"/>
      <c r="I458" s="149"/>
      <c r="J458" s="46"/>
      <c r="K458" s="46"/>
      <c r="L458" s="46"/>
      <c r="M458" s="46"/>
      <c r="N458" s="46"/>
      <c r="O458" s="46"/>
      <c r="P458" s="46"/>
      <c r="Q458" s="46"/>
      <c r="R458" s="46"/>
      <c r="S458" s="46"/>
      <c r="T458" s="46"/>
      <c r="U458" s="46"/>
      <c r="V458" s="46"/>
      <c r="W458" s="46"/>
    </row>
    <row r="459">
      <c r="A459" s="55"/>
      <c r="B459" s="205"/>
      <c r="C459" s="55"/>
      <c r="D459" s="205"/>
      <c r="E459" s="172"/>
      <c r="F459" s="212"/>
      <c r="G459" s="172"/>
      <c r="H459" s="205"/>
      <c r="I459" s="149"/>
      <c r="J459" s="46"/>
      <c r="K459" s="46"/>
      <c r="L459" s="46"/>
      <c r="M459" s="46"/>
      <c r="N459" s="46"/>
      <c r="O459" s="46"/>
      <c r="P459" s="46"/>
      <c r="Q459" s="46"/>
      <c r="R459" s="46"/>
      <c r="S459" s="46"/>
      <c r="T459" s="46"/>
      <c r="U459" s="46"/>
      <c r="V459" s="46"/>
      <c r="W459" s="46"/>
    </row>
    <row r="460">
      <c r="A460" s="55"/>
      <c r="B460" s="205"/>
      <c r="C460" s="55"/>
      <c r="D460" s="205"/>
      <c r="E460" s="172"/>
      <c r="F460" s="212"/>
      <c r="G460" s="172"/>
      <c r="H460" s="205"/>
      <c r="I460" s="149"/>
      <c r="J460" s="46"/>
      <c r="K460" s="46"/>
      <c r="L460" s="46"/>
      <c r="M460" s="46"/>
      <c r="N460" s="46"/>
      <c r="O460" s="46"/>
      <c r="P460" s="46"/>
      <c r="Q460" s="46"/>
      <c r="R460" s="46"/>
      <c r="S460" s="46"/>
      <c r="T460" s="46"/>
      <c r="U460" s="46"/>
      <c r="V460" s="46"/>
      <c r="W460" s="46"/>
    </row>
    <row r="461">
      <c r="A461" s="55"/>
      <c r="B461" s="205"/>
      <c r="C461" s="55"/>
      <c r="D461" s="205"/>
      <c r="E461" s="172"/>
      <c r="F461" s="212"/>
      <c r="G461" s="172"/>
      <c r="H461" s="205"/>
      <c r="I461" s="149"/>
      <c r="J461" s="46"/>
      <c r="K461" s="46"/>
      <c r="L461" s="46"/>
      <c r="M461" s="46"/>
      <c r="N461" s="46"/>
      <c r="O461" s="46"/>
      <c r="P461" s="46"/>
      <c r="Q461" s="46"/>
      <c r="R461" s="46"/>
      <c r="S461" s="46"/>
      <c r="T461" s="46"/>
      <c r="U461" s="46"/>
      <c r="V461" s="46"/>
      <c r="W461" s="46"/>
    </row>
    <row r="462">
      <c r="A462" s="55"/>
      <c r="B462" s="205"/>
      <c r="C462" s="55"/>
      <c r="D462" s="205"/>
      <c r="E462" s="172"/>
      <c r="F462" s="212"/>
      <c r="G462" s="172"/>
      <c r="H462" s="205"/>
      <c r="I462" s="149"/>
      <c r="J462" s="46"/>
      <c r="K462" s="46"/>
      <c r="L462" s="46"/>
      <c r="M462" s="46"/>
      <c r="N462" s="46"/>
      <c r="O462" s="46"/>
      <c r="P462" s="46"/>
      <c r="Q462" s="46"/>
      <c r="R462" s="46"/>
      <c r="S462" s="46"/>
      <c r="T462" s="46"/>
      <c r="U462" s="46"/>
      <c r="V462" s="46"/>
      <c r="W462" s="46"/>
    </row>
    <row r="463">
      <c r="A463" s="55"/>
      <c r="B463" s="205"/>
      <c r="C463" s="55"/>
      <c r="D463" s="205"/>
      <c r="E463" s="172"/>
      <c r="F463" s="212"/>
      <c r="G463" s="172"/>
      <c r="H463" s="205"/>
      <c r="I463" s="149"/>
      <c r="J463" s="46"/>
      <c r="K463" s="46"/>
      <c r="L463" s="46"/>
      <c r="M463" s="46"/>
      <c r="N463" s="46"/>
      <c r="O463" s="46"/>
      <c r="P463" s="46"/>
      <c r="Q463" s="46"/>
      <c r="R463" s="46"/>
      <c r="S463" s="46"/>
      <c r="T463" s="46"/>
      <c r="U463" s="46"/>
      <c r="V463" s="46"/>
      <c r="W463" s="46"/>
    </row>
    <row r="464">
      <c r="A464" s="55"/>
      <c r="B464" s="205"/>
      <c r="C464" s="55"/>
      <c r="D464" s="205"/>
      <c r="E464" s="172"/>
      <c r="F464" s="212"/>
      <c r="G464" s="172"/>
      <c r="H464" s="205"/>
      <c r="I464" s="149"/>
      <c r="J464" s="46"/>
      <c r="K464" s="46"/>
      <c r="L464" s="46"/>
      <c r="M464" s="46"/>
      <c r="N464" s="46"/>
      <c r="O464" s="46"/>
      <c r="P464" s="46"/>
      <c r="Q464" s="46"/>
      <c r="R464" s="46"/>
      <c r="S464" s="46"/>
      <c r="T464" s="46"/>
      <c r="U464" s="46"/>
      <c r="V464" s="46"/>
      <c r="W464" s="46"/>
    </row>
    <row r="465">
      <c r="A465" s="55"/>
      <c r="B465" s="205"/>
      <c r="C465" s="55"/>
      <c r="D465" s="205"/>
      <c r="E465" s="172"/>
      <c r="F465" s="212"/>
      <c r="G465" s="172"/>
      <c r="H465" s="205"/>
      <c r="I465" s="149"/>
      <c r="J465" s="46"/>
      <c r="K465" s="46"/>
      <c r="L465" s="46"/>
      <c r="M465" s="46"/>
      <c r="N465" s="46"/>
      <c r="O465" s="46"/>
      <c r="P465" s="46"/>
      <c r="Q465" s="46"/>
      <c r="R465" s="46"/>
      <c r="S465" s="46"/>
      <c r="T465" s="46"/>
      <c r="U465" s="46"/>
      <c r="V465" s="46"/>
      <c r="W465" s="46"/>
    </row>
    <row r="466">
      <c r="A466" s="55"/>
      <c r="B466" s="205"/>
      <c r="C466" s="55"/>
      <c r="D466" s="205"/>
      <c r="E466" s="172"/>
      <c r="F466" s="212"/>
      <c r="G466" s="172"/>
      <c r="H466" s="205"/>
      <c r="I466" s="149"/>
      <c r="J466" s="46"/>
      <c r="K466" s="46"/>
      <c r="L466" s="46"/>
      <c r="M466" s="46"/>
      <c r="N466" s="46"/>
      <c r="O466" s="46"/>
      <c r="P466" s="46"/>
      <c r="Q466" s="46"/>
      <c r="R466" s="46"/>
      <c r="S466" s="46"/>
      <c r="T466" s="46"/>
      <c r="U466" s="46"/>
      <c r="V466" s="46"/>
      <c r="W466" s="46"/>
    </row>
    <row r="467">
      <c r="A467" s="55"/>
      <c r="B467" s="205"/>
      <c r="C467" s="55"/>
      <c r="D467" s="205"/>
      <c r="E467" s="172"/>
      <c r="F467" s="212"/>
      <c r="G467" s="172"/>
      <c r="H467" s="205"/>
      <c r="I467" s="149"/>
      <c r="J467" s="46"/>
      <c r="K467" s="46"/>
      <c r="L467" s="46"/>
      <c r="M467" s="46"/>
      <c r="N467" s="46"/>
      <c r="O467" s="46"/>
      <c r="P467" s="46"/>
      <c r="Q467" s="46"/>
      <c r="R467" s="46"/>
      <c r="S467" s="46"/>
      <c r="T467" s="46"/>
      <c r="U467" s="46"/>
      <c r="V467" s="46"/>
      <c r="W467" s="46"/>
    </row>
    <row r="468">
      <c r="A468" s="55"/>
      <c r="B468" s="205"/>
      <c r="C468" s="55"/>
      <c r="D468" s="205"/>
      <c r="E468" s="172"/>
      <c r="F468" s="212"/>
      <c r="G468" s="172"/>
      <c r="H468" s="205"/>
      <c r="I468" s="149"/>
      <c r="J468" s="46"/>
      <c r="K468" s="46"/>
      <c r="L468" s="46"/>
      <c r="M468" s="46"/>
      <c r="N468" s="46"/>
      <c r="O468" s="46"/>
      <c r="P468" s="46"/>
      <c r="Q468" s="46"/>
      <c r="R468" s="46"/>
      <c r="S468" s="46"/>
      <c r="T468" s="46"/>
      <c r="U468" s="46"/>
      <c r="V468" s="46"/>
      <c r="W468" s="46"/>
    </row>
    <row r="469">
      <c r="A469" s="55"/>
      <c r="B469" s="205"/>
      <c r="C469" s="55"/>
      <c r="D469" s="205"/>
      <c r="E469" s="172"/>
      <c r="F469" s="212"/>
      <c r="G469" s="172"/>
      <c r="H469" s="205"/>
      <c r="I469" s="149"/>
      <c r="J469" s="46"/>
      <c r="K469" s="46"/>
      <c r="L469" s="46"/>
      <c r="M469" s="46"/>
      <c r="N469" s="46"/>
      <c r="O469" s="46"/>
      <c r="P469" s="46"/>
      <c r="Q469" s="46"/>
      <c r="R469" s="46"/>
      <c r="S469" s="46"/>
      <c r="T469" s="46"/>
      <c r="U469" s="46"/>
      <c r="V469" s="46"/>
      <c r="W469" s="46"/>
    </row>
    <row r="470">
      <c r="A470" s="55"/>
      <c r="B470" s="205"/>
      <c r="C470" s="55"/>
      <c r="D470" s="205"/>
      <c r="E470" s="172"/>
      <c r="F470" s="212"/>
      <c r="G470" s="172"/>
      <c r="H470" s="205"/>
      <c r="I470" s="149"/>
      <c r="J470" s="46"/>
      <c r="K470" s="46"/>
      <c r="L470" s="46"/>
      <c r="M470" s="46"/>
      <c r="N470" s="46"/>
      <c r="O470" s="46"/>
      <c r="P470" s="46"/>
      <c r="Q470" s="46"/>
      <c r="R470" s="46"/>
      <c r="S470" s="46"/>
      <c r="T470" s="46"/>
      <c r="U470" s="46"/>
      <c r="V470" s="46"/>
      <c r="W470" s="46"/>
    </row>
    <row r="471">
      <c r="A471" s="55"/>
      <c r="B471" s="205"/>
      <c r="C471" s="55"/>
      <c r="D471" s="205"/>
      <c r="E471" s="172"/>
      <c r="F471" s="212"/>
      <c r="G471" s="172"/>
      <c r="H471" s="205"/>
      <c r="I471" s="149"/>
      <c r="J471" s="46"/>
      <c r="K471" s="46"/>
      <c r="L471" s="46"/>
      <c r="M471" s="46"/>
      <c r="N471" s="46"/>
      <c r="O471" s="46"/>
      <c r="P471" s="46"/>
      <c r="Q471" s="46"/>
      <c r="R471" s="46"/>
      <c r="S471" s="46"/>
      <c r="T471" s="46"/>
      <c r="U471" s="46"/>
      <c r="V471" s="46"/>
      <c r="W471" s="46"/>
    </row>
    <row r="472">
      <c r="A472" s="55"/>
      <c r="B472" s="205"/>
      <c r="C472" s="55"/>
      <c r="D472" s="205"/>
      <c r="E472" s="172"/>
      <c r="F472" s="212"/>
      <c r="G472" s="172"/>
      <c r="H472" s="205"/>
      <c r="I472" s="149"/>
      <c r="J472" s="46"/>
      <c r="K472" s="46"/>
      <c r="L472" s="46"/>
      <c r="M472" s="46"/>
      <c r="N472" s="46"/>
      <c r="O472" s="46"/>
      <c r="P472" s="46"/>
      <c r="Q472" s="46"/>
      <c r="R472" s="46"/>
      <c r="S472" s="46"/>
      <c r="T472" s="46"/>
      <c r="U472" s="46"/>
      <c r="V472" s="46"/>
      <c r="W472" s="46"/>
    </row>
    <row r="473">
      <c r="A473" s="55"/>
      <c r="B473" s="205"/>
      <c r="C473" s="55"/>
      <c r="D473" s="205"/>
      <c r="E473" s="172"/>
      <c r="F473" s="212"/>
      <c r="G473" s="172"/>
      <c r="H473" s="205"/>
      <c r="I473" s="149"/>
      <c r="J473" s="46"/>
      <c r="K473" s="46"/>
      <c r="L473" s="46"/>
      <c r="M473" s="46"/>
      <c r="N473" s="46"/>
      <c r="O473" s="46"/>
      <c r="P473" s="46"/>
      <c r="Q473" s="46"/>
      <c r="R473" s="46"/>
      <c r="S473" s="46"/>
      <c r="T473" s="46"/>
      <c r="U473" s="46"/>
      <c r="V473" s="46"/>
      <c r="W473" s="46"/>
    </row>
    <row r="474">
      <c r="A474" s="55"/>
      <c r="B474" s="205"/>
      <c r="C474" s="55"/>
      <c r="D474" s="205"/>
      <c r="E474" s="172"/>
      <c r="F474" s="212"/>
      <c r="G474" s="172"/>
      <c r="H474" s="205"/>
      <c r="I474" s="149"/>
      <c r="J474" s="46"/>
      <c r="K474" s="46"/>
      <c r="L474" s="46"/>
      <c r="M474" s="46"/>
      <c r="N474" s="46"/>
      <c r="O474" s="46"/>
      <c r="P474" s="46"/>
      <c r="Q474" s="46"/>
      <c r="R474" s="46"/>
      <c r="S474" s="46"/>
      <c r="T474" s="46"/>
      <c r="U474" s="46"/>
      <c r="V474" s="46"/>
      <c r="W474" s="46"/>
    </row>
    <row r="475">
      <c r="A475" s="55"/>
      <c r="B475" s="205"/>
      <c r="C475" s="55"/>
      <c r="D475" s="205"/>
      <c r="E475" s="172"/>
      <c r="F475" s="212"/>
      <c r="G475" s="172"/>
      <c r="H475" s="205"/>
      <c r="I475" s="149"/>
      <c r="J475" s="46"/>
      <c r="K475" s="46"/>
      <c r="L475" s="46"/>
      <c r="M475" s="46"/>
      <c r="N475" s="46"/>
      <c r="O475" s="46"/>
      <c r="P475" s="46"/>
      <c r="Q475" s="46"/>
      <c r="R475" s="46"/>
      <c r="S475" s="46"/>
      <c r="T475" s="46"/>
      <c r="U475" s="46"/>
      <c r="V475" s="46"/>
      <c r="W475" s="46"/>
    </row>
    <row r="476">
      <c r="A476" s="55"/>
      <c r="B476" s="205"/>
      <c r="C476" s="55"/>
      <c r="D476" s="205"/>
      <c r="E476" s="172"/>
      <c r="F476" s="212"/>
      <c r="G476" s="172"/>
      <c r="H476" s="205"/>
      <c r="I476" s="149"/>
      <c r="J476" s="46"/>
      <c r="K476" s="46"/>
      <c r="L476" s="46"/>
      <c r="M476" s="46"/>
      <c r="N476" s="46"/>
      <c r="O476" s="46"/>
      <c r="P476" s="46"/>
      <c r="Q476" s="46"/>
      <c r="R476" s="46"/>
      <c r="S476" s="46"/>
      <c r="T476" s="46"/>
      <c r="U476" s="46"/>
      <c r="V476" s="46"/>
      <c r="W476" s="46"/>
    </row>
    <row r="477">
      <c r="A477" s="55"/>
      <c r="B477" s="205"/>
      <c r="C477" s="55"/>
      <c r="D477" s="205"/>
      <c r="E477" s="172"/>
      <c r="F477" s="212"/>
      <c r="G477" s="172"/>
      <c r="H477" s="205"/>
      <c r="I477" s="149"/>
      <c r="J477" s="46"/>
      <c r="K477" s="46"/>
      <c r="L477" s="46"/>
      <c r="M477" s="46"/>
      <c r="N477" s="46"/>
      <c r="O477" s="46"/>
      <c r="P477" s="46"/>
      <c r="Q477" s="46"/>
      <c r="R477" s="46"/>
      <c r="S477" s="46"/>
      <c r="T477" s="46"/>
      <c r="U477" s="46"/>
      <c r="V477" s="46"/>
      <c r="W477" s="46"/>
    </row>
    <row r="478">
      <c r="A478" s="55"/>
      <c r="B478" s="205"/>
      <c r="C478" s="55"/>
      <c r="D478" s="205"/>
      <c r="E478" s="172"/>
      <c r="F478" s="212"/>
      <c r="G478" s="172"/>
      <c r="H478" s="205"/>
      <c r="I478" s="149"/>
      <c r="J478" s="46"/>
      <c r="K478" s="46"/>
      <c r="L478" s="46"/>
      <c r="M478" s="46"/>
      <c r="N478" s="46"/>
      <c r="O478" s="46"/>
      <c r="P478" s="46"/>
      <c r="Q478" s="46"/>
      <c r="R478" s="46"/>
      <c r="S478" s="46"/>
      <c r="T478" s="46"/>
      <c r="U478" s="46"/>
      <c r="V478" s="46"/>
      <c r="W478" s="46"/>
    </row>
    <row r="479">
      <c r="A479" s="55"/>
      <c r="B479" s="205"/>
      <c r="C479" s="55"/>
      <c r="D479" s="205"/>
      <c r="E479" s="172"/>
      <c r="F479" s="212"/>
      <c r="G479" s="172"/>
      <c r="H479" s="205"/>
      <c r="I479" s="149"/>
      <c r="J479" s="46"/>
      <c r="K479" s="46"/>
      <c r="L479" s="46"/>
      <c r="M479" s="46"/>
      <c r="N479" s="46"/>
      <c r="O479" s="46"/>
      <c r="P479" s="46"/>
      <c r="Q479" s="46"/>
      <c r="R479" s="46"/>
      <c r="S479" s="46"/>
      <c r="T479" s="46"/>
      <c r="U479" s="46"/>
      <c r="V479" s="46"/>
      <c r="W479" s="46"/>
    </row>
    <row r="480">
      <c r="A480" s="55"/>
      <c r="B480" s="205"/>
      <c r="C480" s="55"/>
      <c r="D480" s="205"/>
      <c r="E480" s="172"/>
      <c r="F480" s="212"/>
      <c r="G480" s="172"/>
      <c r="H480" s="205"/>
      <c r="I480" s="149"/>
      <c r="J480" s="46"/>
      <c r="K480" s="46"/>
      <c r="L480" s="46"/>
      <c r="M480" s="46"/>
      <c r="N480" s="46"/>
      <c r="O480" s="46"/>
      <c r="P480" s="46"/>
      <c r="Q480" s="46"/>
      <c r="R480" s="46"/>
      <c r="S480" s="46"/>
      <c r="T480" s="46"/>
      <c r="U480" s="46"/>
      <c r="V480" s="46"/>
      <c r="W480" s="46"/>
    </row>
    <row r="481">
      <c r="A481" s="55"/>
      <c r="B481" s="205"/>
      <c r="C481" s="55"/>
      <c r="D481" s="205"/>
      <c r="E481" s="172"/>
      <c r="F481" s="212"/>
      <c r="G481" s="172"/>
      <c r="H481" s="205"/>
      <c r="I481" s="149"/>
      <c r="J481" s="46"/>
      <c r="K481" s="46"/>
      <c r="L481" s="46"/>
      <c r="M481" s="46"/>
      <c r="N481" s="46"/>
      <c r="O481" s="46"/>
      <c r="P481" s="46"/>
      <c r="Q481" s="46"/>
      <c r="R481" s="46"/>
      <c r="S481" s="46"/>
      <c r="T481" s="46"/>
      <c r="U481" s="46"/>
      <c r="V481" s="46"/>
      <c r="W481" s="46"/>
    </row>
    <row r="482">
      <c r="A482" s="55"/>
      <c r="B482" s="205"/>
      <c r="C482" s="55"/>
      <c r="D482" s="205"/>
      <c r="E482" s="172"/>
      <c r="F482" s="212"/>
      <c r="G482" s="172"/>
      <c r="H482" s="205"/>
      <c r="I482" s="149"/>
      <c r="J482" s="46"/>
      <c r="K482" s="46"/>
      <c r="L482" s="46"/>
      <c r="M482" s="46"/>
      <c r="N482" s="46"/>
      <c r="O482" s="46"/>
      <c r="P482" s="46"/>
      <c r="Q482" s="46"/>
      <c r="R482" s="46"/>
      <c r="S482" s="46"/>
      <c r="T482" s="46"/>
      <c r="U482" s="46"/>
      <c r="V482" s="46"/>
      <c r="W482" s="46"/>
    </row>
    <row r="483">
      <c r="A483" s="55"/>
      <c r="B483" s="205"/>
      <c r="C483" s="55"/>
      <c r="D483" s="205"/>
      <c r="E483" s="172"/>
      <c r="F483" s="212"/>
      <c r="G483" s="172"/>
      <c r="H483" s="205"/>
      <c r="I483" s="149"/>
      <c r="J483" s="46"/>
      <c r="K483" s="46"/>
      <c r="L483" s="46"/>
      <c r="M483" s="46"/>
      <c r="N483" s="46"/>
      <c r="O483" s="46"/>
      <c r="P483" s="46"/>
      <c r="Q483" s="46"/>
      <c r="R483" s="46"/>
      <c r="S483" s="46"/>
      <c r="T483" s="46"/>
      <c r="U483" s="46"/>
      <c r="V483" s="46"/>
      <c r="W483" s="46"/>
    </row>
    <row r="484">
      <c r="A484" s="55"/>
      <c r="B484" s="205"/>
      <c r="C484" s="55"/>
      <c r="D484" s="205"/>
      <c r="E484" s="172"/>
      <c r="F484" s="212"/>
      <c r="G484" s="172"/>
      <c r="H484" s="205"/>
      <c r="I484" s="149"/>
      <c r="J484" s="46"/>
      <c r="K484" s="46"/>
      <c r="L484" s="46"/>
      <c r="M484" s="46"/>
      <c r="N484" s="46"/>
      <c r="O484" s="46"/>
      <c r="P484" s="46"/>
      <c r="Q484" s="46"/>
      <c r="R484" s="46"/>
      <c r="S484" s="46"/>
      <c r="T484" s="46"/>
      <c r="U484" s="46"/>
      <c r="V484" s="46"/>
      <c r="W484" s="46"/>
    </row>
    <row r="485">
      <c r="A485" s="55"/>
      <c r="B485" s="205"/>
      <c r="C485" s="55"/>
      <c r="D485" s="205"/>
      <c r="E485" s="172"/>
      <c r="F485" s="212"/>
      <c r="G485" s="172"/>
      <c r="H485" s="205"/>
      <c r="I485" s="149"/>
      <c r="J485" s="46"/>
      <c r="K485" s="46"/>
      <c r="L485" s="46"/>
      <c r="M485" s="46"/>
      <c r="N485" s="46"/>
      <c r="O485" s="46"/>
      <c r="P485" s="46"/>
      <c r="Q485" s="46"/>
      <c r="R485" s="46"/>
      <c r="S485" s="46"/>
      <c r="T485" s="46"/>
      <c r="U485" s="46"/>
      <c r="V485" s="46"/>
      <c r="W485" s="46"/>
    </row>
    <row r="486">
      <c r="A486" s="55"/>
      <c r="B486" s="205"/>
      <c r="C486" s="55"/>
      <c r="D486" s="205"/>
      <c r="E486" s="172"/>
      <c r="F486" s="212"/>
      <c r="G486" s="172"/>
      <c r="H486" s="205"/>
      <c r="I486" s="149"/>
      <c r="J486" s="46"/>
      <c r="K486" s="46"/>
      <c r="L486" s="46"/>
      <c r="M486" s="46"/>
      <c r="N486" s="46"/>
      <c r="O486" s="46"/>
      <c r="P486" s="46"/>
      <c r="Q486" s="46"/>
      <c r="R486" s="46"/>
      <c r="S486" s="46"/>
      <c r="T486" s="46"/>
      <c r="U486" s="46"/>
      <c r="V486" s="46"/>
      <c r="W486" s="46"/>
    </row>
    <row r="487">
      <c r="A487" s="55"/>
      <c r="B487" s="205"/>
      <c r="C487" s="55"/>
      <c r="D487" s="205"/>
      <c r="E487" s="172"/>
      <c r="F487" s="212"/>
      <c r="G487" s="172"/>
      <c r="H487" s="205"/>
      <c r="I487" s="149"/>
      <c r="J487" s="46"/>
      <c r="K487" s="46"/>
      <c r="L487" s="46"/>
      <c r="M487" s="46"/>
      <c r="N487" s="46"/>
      <c r="O487" s="46"/>
      <c r="P487" s="46"/>
      <c r="Q487" s="46"/>
      <c r="R487" s="46"/>
      <c r="S487" s="46"/>
      <c r="T487" s="46"/>
      <c r="U487" s="46"/>
      <c r="V487" s="46"/>
      <c r="W487" s="46"/>
    </row>
    <row r="488">
      <c r="A488" s="55"/>
      <c r="B488" s="205"/>
      <c r="C488" s="55"/>
      <c r="D488" s="205"/>
      <c r="E488" s="172"/>
      <c r="F488" s="212"/>
      <c r="G488" s="172"/>
      <c r="H488" s="205"/>
      <c r="I488" s="149"/>
      <c r="J488" s="46"/>
      <c r="K488" s="46"/>
      <c r="L488" s="46"/>
      <c r="M488" s="46"/>
      <c r="N488" s="46"/>
      <c r="O488" s="46"/>
      <c r="P488" s="46"/>
      <c r="Q488" s="46"/>
      <c r="R488" s="46"/>
      <c r="S488" s="46"/>
      <c r="T488" s="46"/>
      <c r="U488" s="46"/>
      <c r="V488" s="46"/>
      <c r="W488" s="46"/>
    </row>
    <row r="489">
      <c r="A489" s="55"/>
      <c r="B489" s="205"/>
      <c r="C489" s="55"/>
      <c r="D489" s="205"/>
      <c r="E489" s="172"/>
      <c r="F489" s="212"/>
      <c r="G489" s="172"/>
      <c r="H489" s="205"/>
      <c r="I489" s="149"/>
      <c r="J489" s="46"/>
      <c r="K489" s="46"/>
      <c r="L489" s="46"/>
      <c r="M489" s="46"/>
      <c r="N489" s="46"/>
      <c r="O489" s="46"/>
      <c r="P489" s="46"/>
      <c r="Q489" s="46"/>
      <c r="R489" s="46"/>
      <c r="S489" s="46"/>
      <c r="T489" s="46"/>
      <c r="U489" s="46"/>
      <c r="V489" s="46"/>
      <c r="W489" s="46"/>
    </row>
    <row r="490">
      <c r="A490" s="55"/>
      <c r="B490" s="205"/>
      <c r="C490" s="55"/>
      <c r="D490" s="205"/>
      <c r="E490" s="172"/>
      <c r="F490" s="212"/>
      <c r="G490" s="172"/>
      <c r="H490" s="205"/>
      <c r="I490" s="149"/>
      <c r="J490" s="46"/>
      <c r="K490" s="46"/>
      <c r="L490" s="46"/>
      <c r="M490" s="46"/>
      <c r="N490" s="46"/>
      <c r="O490" s="46"/>
      <c r="P490" s="46"/>
      <c r="Q490" s="46"/>
      <c r="R490" s="46"/>
      <c r="S490" s="46"/>
      <c r="T490" s="46"/>
      <c r="U490" s="46"/>
      <c r="V490" s="46"/>
      <c r="W490" s="46"/>
    </row>
    <row r="491">
      <c r="A491" s="55"/>
      <c r="B491" s="205"/>
      <c r="C491" s="55"/>
      <c r="D491" s="205"/>
      <c r="E491" s="172"/>
      <c r="F491" s="212"/>
      <c r="G491" s="172"/>
      <c r="H491" s="205"/>
      <c r="I491" s="149"/>
      <c r="J491" s="46"/>
      <c r="K491" s="46"/>
      <c r="L491" s="46"/>
      <c r="M491" s="46"/>
      <c r="N491" s="46"/>
      <c r="O491" s="46"/>
      <c r="P491" s="46"/>
      <c r="Q491" s="46"/>
      <c r="R491" s="46"/>
      <c r="S491" s="46"/>
      <c r="T491" s="46"/>
      <c r="U491" s="46"/>
      <c r="V491" s="46"/>
      <c r="W491" s="46"/>
    </row>
    <row r="492">
      <c r="A492" s="55"/>
      <c r="B492" s="205"/>
      <c r="C492" s="55"/>
      <c r="D492" s="205"/>
      <c r="E492" s="172"/>
      <c r="F492" s="212"/>
      <c r="G492" s="172"/>
      <c r="H492" s="205"/>
      <c r="I492" s="149"/>
      <c r="J492" s="46"/>
      <c r="K492" s="46"/>
      <c r="L492" s="46"/>
      <c r="M492" s="46"/>
      <c r="N492" s="46"/>
      <c r="O492" s="46"/>
      <c r="P492" s="46"/>
      <c r="Q492" s="46"/>
      <c r="R492" s="46"/>
      <c r="S492" s="46"/>
      <c r="T492" s="46"/>
      <c r="U492" s="46"/>
      <c r="V492" s="46"/>
      <c r="W492" s="46"/>
    </row>
    <row r="493">
      <c r="A493" s="55"/>
      <c r="B493" s="205"/>
      <c r="C493" s="55"/>
      <c r="D493" s="205"/>
      <c r="E493" s="172"/>
      <c r="F493" s="212"/>
      <c r="G493" s="172"/>
      <c r="H493" s="205"/>
      <c r="I493" s="149"/>
      <c r="J493" s="46"/>
      <c r="K493" s="46"/>
      <c r="L493" s="46"/>
      <c r="M493" s="46"/>
      <c r="N493" s="46"/>
      <c r="O493" s="46"/>
      <c r="P493" s="46"/>
      <c r="Q493" s="46"/>
      <c r="R493" s="46"/>
      <c r="S493" s="46"/>
      <c r="T493" s="46"/>
      <c r="U493" s="46"/>
      <c r="V493" s="46"/>
      <c r="W493" s="46"/>
    </row>
    <row r="494">
      <c r="A494" s="55"/>
      <c r="B494" s="205"/>
      <c r="C494" s="55"/>
      <c r="D494" s="205"/>
      <c r="E494" s="172"/>
      <c r="F494" s="212"/>
      <c r="G494" s="172"/>
      <c r="H494" s="205"/>
      <c r="I494" s="149"/>
      <c r="J494" s="46"/>
      <c r="K494" s="46"/>
      <c r="L494" s="46"/>
      <c r="M494" s="46"/>
      <c r="N494" s="46"/>
      <c r="O494" s="46"/>
      <c r="P494" s="46"/>
      <c r="Q494" s="46"/>
      <c r="R494" s="46"/>
      <c r="S494" s="46"/>
      <c r="T494" s="46"/>
      <c r="U494" s="46"/>
      <c r="V494" s="46"/>
      <c r="W494" s="46"/>
    </row>
    <row r="495">
      <c r="A495" s="55"/>
      <c r="B495" s="205"/>
      <c r="C495" s="55"/>
      <c r="D495" s="205"/>
      <c r="E495" s="172"/>
      <c r="F495" s="212"/>
      <c r="G495" s="172"/>
      <c r="H495" s="205"/>
      <c r="I495" s="149"/>
      <c r="J495" s="46"/>
      <c r="K495" s="46"/>
      <c r="L495" s="46"/>
      <c r="M495" s="46"/>
      <c r="N495" s="46"/>
      <c r="O495" s="46"/>
      <c r="P495" s="46"/>
      <c r="Q495" s="46"/>
      <c r="R495" s="46"/>
      <c r="S495" s="46"/>
      <c r="T495" s="46"/>
      <c r="U495" s="46"/>
      <c r="V495" s="46"/>
      <c r="W495" s="46"/>
    </row>
    <row r="496">
      <c r="A496" s="55"/>
      <c r="B496" s="205"/>
      <c r="C496" s="55"/>
      <c r="D496" s="205"/>
      <c r="E496" s="172"/>
      <c r="F496" s="212"/>
      <c r="G496" s="172"/>
      <c r="H496" s="205"/>
      <c r="I496" s="149"/>
      <c r="J496" s="46"/>
      <c r="K496" s="46"/>
      <c r="L496" s="46"/>
      <c r="M496" s="46"/>
      <c r="N496" s="46"/>
      <c r="O496" s="46"/>
      <c r="P496" s="46"/>
      <c r="Q496" s="46"/>
      <c r="R496" s="46"/>
      <c r="S496" s="46"/>
      <c r="T496" s="46"/>
      <c r="U496" s="46"/>
      <c r="V496" s="46"/>
      <c r="W496" s="46"/>
    </row>
    <row r="497">
      <c r="A497" s="55"/>
      <c r="B497" s="205"/>
      <c r="C497" s="55"/>
      <c r="D497" s="205"/>
      <c r="E497" s="172"/>
      <c r="F497" s="212"/>
      <c r="G497" s="172"/>
      <c r="H497" s="205"/>
      <c r="I497" s="149"/>
      <c r="J497" s="46"/>
      <c r="K497" s="46"/>
      <c r="L497" s="46"/>
      <c r="M497" s="46"/>
      <c r="N497" s="46"/>
      <c r="O497" s="46"/>
      <c r="P497" s="46"/>
      <c r="Q497" s="46"/>
      <c r="R497" s="46"/>
      <c r="S497" s="46"/>
      <c r="T497" s="46"/>
      <c r="U497" s="46"/>
      <c r="V497" s="46"/>
      <c r="W497" s="46"/>
    </row>
    <row r="498">
      <c r="A498" s="55"/>
      <c r="B498" s="205"/>
      <c r="C498" s="55"/>
      <c r="D498" s="205"/>
      <c r="E498" s="172"/>
      <c r="F498" s="212"/>
      <c r="G498" s="172"/>
      <c r="H498" s="205"/>
      <c r="I498" s="149"/>
      <c r="J498" s="46"/>
      <c r="K498" s="46"/>
      <c r="L498" s="46"/>
      <c r="M498" s="46"/>
      <c r="N498" s="46"/>
      <c r="O498" s="46"/>
      <c r="P498" s="46"/>
      <c r="Q498" s="46"/>
      <c r="R498" s="46"/>
      <c r="S498" s="46"/>
      <c r="T498" s="46"/>
      <c r="U498" s="46"/>
      <c r="V498" s="46"/>
      <c r="W498" s="46"/>
    </row>
    <row r="499">
      <c r="A499" s="55"/>
      <c r="B499" s="205"/>
      <c r="C499" s="55"/>
      <c r="D499" s="205"/>
      <c r="E499" s="172"/>
      <c r="F499" s="212"/>
      <c r="G499" s="172"/>
      <c r="H499" s="205"/>
      <c r="I499" s="149"/>
      <c r="J499" s="46"/>
      <c r="K499" s="46"/>
      <c r="L499" s="46"/>
      <c r="M499" s="46"/>
      <c r="N499" s="46"/>
      <c r="O499" s="46"/>
      <c r="P499" s="46"/>
      <c r="Q499" s="46"/>
      <c r="R499" s="46"/>
      <c r="S499" s="46"/>
      <c r="T499" s="46"/>
      <c r="U499" s="46"/>
      <c r="V499" s="46"/>
      <c r="W499" s="46"/>
    </row>
    <row r="500">
      <c r="A500" s="55"/>
      <c r="B500" s="205"/>
      <c r="C500" s="55"/>
      <c r="D500" s="205"/>
      <c r="E500" s="172"/>
      <c r="F500" s="212"/>
      <c r="G500" s="172"/>
      <c r="H500" s="205"/>
      <c r="I500" s="149"/>
      <c r="J500" s="46"/>
      <c r="K500" s="46"/>
      <c r="L500" s="46"/>
      <c r="M500" s="46"/>
      <c r="N500" s="46"/>
      <c r="O500" s="46"/>
      <c r="P500" s="46"/>
      <c r="Q500" s="46"/>
      <c r="R500" s="46"/>
      <c r="S500" s="46"/>
      <c r="T500" s="46"/>
      <c r="U500" s="46"/>
      <c r="V500" s="46"/>
      <c r="W500" s="46"/>
    </row>
    <row r="501">
      <c r="A501" s="55"/>
      <c r="B501" s="205"/>
      <c r="C501" s="55"/>
      <c r="D501" s="205"/>
      <c r="E501" s="172"/>
      <c r="F501" s="212"/>
      <c r="G501" s="172"/>
      <c r="H501" s="205"/>
      <c r="I501" s="149"/>
      <c r="J501" s="46"/>
      <c r="K501" s="46"/>
      <c r="L501" s="46"/>
      <c r="M501" s="46"/>
      <c r="N501" s="46"/>
      <c r="O501" s="46"/>
      <c r="P501" s="46"/>
      <c r="Q501" s="46"/>
      <c r="R501" s="46"/>
      <c r="S501" s="46"/>
      <c r="T501" s="46"/>
      <c r="U501" s="46"/>
      <c r="V501" s="46"/>
      <c r="W501" s="46"/>
    </row>
    <row r="502">
      <c r="A502" s="55"/>
      <c r="B502" s="205"/>
      <c r="C502" s="55"/>
      <c r="D502" s="205"/>
      <c r="E502" s="172"/>
      <c r="F502" s="212"/>
      <c r="G502" s="172"/>
      <c r="H502" s="205"/>
      <c r="I502" s="149"/>
      <c r="J502" s="46"/>
      <c r="K502" s="46"/>
      <c r="L502" s="46"/>
      <c r="M502" s="46"/>
      <c r="N502" s="46"/>
      <c r="O502" s="46"/>
      <c r="P502" s="46"/>
      <c r="Q502" s="46"/>
      <c r="R502" s="46"/>
      <c r="S502" s="46"/>
      <c r="T502" s="46"/>
      <c r="U502" s="46"/>
      <c r="V502" s="46"/>
      <c r="W502" s="46"/>
    </row>
    <row r="503">
      <c r="A503" s="55"/>
      <c r="B503" s="205"/>
      <c r="C503" s="55"/>
      <c r="D503" s="205"/>
      <c r="E503" s="172"/>
      <c r="F503" s="212"/>
      <c r="G503" s="172"/>
      <c r="H503" s="205"/>
      <c r="I503" s="149"/>
      <c r="J503" s="46"/>
      <c r="K503" s="46"/>
      <c r="L503" s="46"/>
      <c r="M503" s="46"/>
      <c r="N503" s="46"/>
      <c r="O503" s="46"/>
      <c r="P503" s="46"/>
      <c r="Q503" s="46"/>
      <c r="R503" s="46"/>
      <c r="S503" s="46"/>
      <c r="T503" s="46"/>
      <c r="U503" s="46"/>
      <c r="V503" s="46"/>
      <c r="W503" s="46"/>
    </row>
    <row r="504">
      <c r="A504" s="55"/>
      <c r="B504" s="205"/>
      <c r="C504" s="55"/>
      <c r="D504" s="205"/>
      <c r="E504" s="172"/>
      <c r="F504" s="212"/>
      <c r="G504" s="172"/>
      <c r="H504" s="205"/>
      <c r="I504" s="149"/>
      <c r="J504" s="46"/>
      <c r="K504" s="46"/>
      <c r="L504" s="46"/>
      <c r="M504" s="46"/>
      <c r="N504" s="46"/>
      <c r="O504" s="46"/>
      <c r="P504" s="46"/>
      <c r="Q504" s="46"/>
      <c r="R504" s="46"/>
      <c r="S504" s="46"/>
      <c r="T504" s="46"/>
      <c r="U504" s="46"/>
      <c r="V504" s="46"/>
      <c r="W504" s="46"/>
    </row>
    <row r="505">
      <c r="A505" s="55"/>
      <c r="B505" s="205"/>
      <c r="C505" s="55"/>
      <c r="D505" s="205"/>
      <c r="E505" s="172"/>
      <c r="F505" s="212"/>
      <c r="G505" s="172"/>
      <c r="H505" s="205"/>
      <c r="I505" s="149"/>
      <c r="J505" s="46"/>
      <c r="K505" s="46"/>
      <c r="L505" s="46"/>
      <c r="M505" s="46"/>
      <c r="N505" s="46"/>
      <c r="O505" s="46"/>
      <c r="P505" s="46"/>
      <c r="Q505" s="46"/>
      <c r="R505" s="46"/>
      <c r="S505" s="46"/>
      <c r="T505" s="46"/>
      <c r="U505" s="46"/>
      <c r="V505" s="46"/>
      <c r="W505" s="46"/>
    </row>
    <row r="506">
      <c r="A506" s="55"/>
      <c r="B506" s="205"/>
      <c r="C506" s="55"/>
      <c r="D506" s="205"/>
      <c r="E506" s="172"/>
      <c r="F506" s="212"/>
      <c r="G506" s="172"/>
      <c r="H506" s="205"/>
      <c r="I506" s="149"/>
      <c r="J506" s="46"/>
      <c r="K506" s="46"/>
      <c r="L506" s="46"/>
      <c r="M506" s="46"/>
      <c r="N506" s="46"/>
      <c r="O506" s="46"/>
      <c r="P506" s="46"/>
      <c r="Q506" s="46"/>
      <c r="R506" s="46"/>
      <c r="S506" s="46"/>
      <c r="T506" s="46"/>
      <c r="U506" s="46"/>
      <c r="V506" s="46"/>
      <c r="W506" s="46"/>
    </row>
    <row r="507">
      <c r="A507" s="55"/>
      <c r="B507" s="205"/>
      <c r="C507" s="55"/>
      <c r="D507" s="205"/>
      <c r="E507" s="172"/>
      <c r="F507" s="212"/>
      <c r="G507" s="172"/>
      <c r="H507" s="205"/>
      <c r="I507" s="149"/>
      <c r="J507" s="46"/>
      <c r="K507" s="46"/>
      <c r="L507" s="46"/>
      <c r="M507" s="46"/>
      <c r="N507" s="46"/>
      <c r="O507" s="46"/>
      <c r="P507" s="46"/>
      <c r="Q507" s="46"/>
      <c r="R507" s="46"/>
      <c r="S507" s="46"/>
      <c r="T507" s="46"/>
      <c r="U507" s="46"/>
      <c r="V507" s="46"/>
      <c r="W507" s="46"/>
    </row>
    <row r="508">
      <c r="A508" s="55"/>
      <c r="B508" s="205"/>
      <c r="C508" s="55"/>
      <c r="D508" s="205"/>
      <c r="E508" s="172"/>
      <c r="F508" s="212"/>
      <c r="G508" s="172"/>
      <c r="H508" s="205"/>
      <c r="I508" s="149"/>
      <c r="J508" s="46"/>
      <c r="K508" s="46"/>
      <c r="L508" s="46"/>
      <c r="M508" s="46"/>
      <c r="N508" s="46"/>
      <c r="O508" s="46"/>
      <c r="P508" s="46"/>
      <c r="Q508" s="46"/>
      <c r="R508" s="46"/>
      <c r="S508" s="46"/>
      <c r="T508" s="46"/>
      <c r="U508" s="46"/>
      <c r="V508" s="46"/>
      <c r="W508" s="46"/>
    </row>
    <row r="509">
      <c r="A509" s="55"/>
      <c r="B509" s="205"/>
      <c r="C509" s="55"/>
      <c r="D509" s="205"/>
      <c r="E509" s="172"/>
      <c r="F509" s="212"/>
      <c r="G509" s="172"/>
      <c r="H509" s="205"/>
      <c r="I509" s="149"/>
      <c r="J509" s="46"/>
      <c r="K509" s="46"/>
      <c r="L509" s="46"/>
      <c r="M509" s="46"/>
      <c r="N509" s="46"/>
      <c r="O509" s="46"/>
      <c r="P509" s="46"/>
      <c r="Q509" s="46"/>
      <c r="R509" s="46"/>
      <c r="S509" s="46"/>
      <c r="T509" s="46"/>
      <c r="U509" s="46"/>
      <c r="V509" s="46"/>
      <c r="W509" s="46"/>
    </row>
    <row r="510">
      <c r="A510" s="55"/>
      <c r="B510" s="205"/>
      <c r="C510" s="55"/>
      <c r="D510" s="205"/>
      <c r="E510" s="172"/>
      <c r="F510" s="212"/>
      <c r="G510" s="172"/>
      <c r="H510" s="205"/>
      <c r="I510" s="149"/>
      <c r="J510" s="46"/>
      <c r="K510" s="46"/>
      <c r="L510" s="46"/>
      <c r="M510" s="46"/>
      <c r="N510" s="46"/>
      <c r="O510" s="46"/>
      <c r="P510" s="46"/>
      <c r="Q510" s="46"/>
      <c r="R510" s="46"/>
      <c r="S510" s="46"/>
      <c r="T510" s="46"/>
      <c r="U510" s="46"/>
      <c r="V510" s="46"/>
      <c r="W510" s="46"/>
    </row>
    <row r="511">
      <c r="A511" s="55"/>
      <c r="B511" s="205"/>
      <c r="C511" s="55"/>
      <c r="D511" s="205"/>
      <c r="E511" s="172"/>
      <c r="F511" s="212"/>
      <c r="G511" s="172"/>
      <c r="H511" s="205"/>
      <c r="I511" s="149"/>
      <c r="J511" s="46"/>
      <c r="K511" s="46"/>
      <c r="L511" s="46"/>
      <c r="M511" s="46"/>
      <c r="N511" s="46"/>
      <c r="O511" s="46"/>
      <c r="P511" s="46"/>
      <c r="Q511" s="46"/>
      <c r="R511" s="46"/>
      <c r="S511" s="46"/>
      <c r="T511" s="46"/>
      <c r="U511" s="46"/>
      <c r="V511" s="46"/>
      <c r="W511" s="46"/>
    </row>
    <row r="512">
      <c r="A512" s="55"/>
      <c r="B512" s="205"/>
      <c r="C512" s="55"/>
      <c r="D512" s="205"/>
      <c r="E512" s="172"/>
      <c r="F512" s="212"/>
      <c r="G512" s="172"/>
      <c r="H512" s="205"/>
      <c r="I512" s="149"/>
      <c r="J512" s="46"/>
      <c r="K512" s="46"/>
      <c r="L512" s="46"/>
      <c r="M512" s="46"/>
      <c r="N512" s="46"/>
      <c r="O512" s="46"/>
      <c r="P512" s="46"/>
      <c r="Q512" s="46"/>
      <c r="R512" s="46"/>
      <c r="S512" s="46"/>
      <c r="T512" s="46"/>
      <c r="U512" s="46"/>
      <c r="V512" s="46"/>
      <c r="W512" s="46"/>
    </row>
    <row r="513">
      <c r="A513" s="55"/>
      <c r="B513" s="205"/>
      <c r="C513" s="55"/>
      <c r="D513" s="205"/>
      <c r="E513" s="172"/>
      <c r="F513" s="212"/>
      <c r="G513" s="172"/>
      <c r="H513" s="205"/>
      <c r="I513" s="149"/>
      <c r="J513" s="46"/>
      <c r="K513" s="46"/>
      <c r="L513" s="46"/>
      <c r="M513" s="46"/>
      <c r="N513" s="46"/>
      <c r="O513" s="46"/>
      <c r="P513" s="46"/>
      <c r="Q513" s="46"/>
      <c r="R513" s="46"/>
      <c r="S513" s="46"/>
      <c r="T513" s="46"/>
      <c r="U513" s="46"/>
      <c r="V513" s="46"/>
      <c r="W513" s="46"/>
    </row>
    <row r="514">
      <c r="A514" s="55"/>
      <c r="B514" s="205"/>
      <c r="C514" s="55"/>
      <c r="D514" s="205"/>
      <c r="E514" s="172"/>
      <c r="F514" s="212"/>
      <c r="G514" s="172"/>
      <c r="H514" s="205"/>
      <c r="I514" s="149"/>
      <c r="J514" s="46"/>
      <c r="K514" s="46"/>
      <c r="L514" s="46"/>
      <c r="M514" s="46"/>
      <c r="N514" s="46"/>
      <c r="O514" s="46"/>
      <c r="P514" s="46"/>
      <c r="Q514" s="46"/>
      <c r="R514" s="46"/>
      <c r="S514" s="46"/>
      <c r="T514" s="46"/>
      <c r="U514" s="46"/>
      <c r="V514" s="46"/>
      <c r="W514" s="46"/>
    </row>
    <row r="515">
      <c r="A515" s="55"/>
      <c r="B515" s="205"/>
      <c r="C515" s="55"/>
      <c r="D515" s="205"/>
      <c r="E515" s="172"/>
      <c r="F515" s="212"/>
      <c r="G515" s="172"/>
      <c r="H515" s="205"/>
      <c r="I515" s="149"/>
      <c r="J515" s="46"/>
      <c r="K515" s="46"/>
      <c r="L515" s="46"/>
      <c r="M515" s="46"/>
      <c r="N515" s="46"/>
      <c r="O515" s="46"/>
      <c r="P515" s="46"/>
      <c r="Q515" s="46"/>
      <c r="R515" s="46"/>
      <c r="S515" s="46"/>
      <c r="T515" s="46"/>
      <c r="U515" s="46"/>
      <c r="V515" s="46"/>
      <c r="W515" s="46"/>
    </row>
    <row r="516">
      <c r="A516" s="55"/>
      <c r="B516" s="205"/>
      <c r="C516" s="55"/>
      <c r="D516" s="205"/>
      <c r="E516" s="172"/>
      <c r="F516" s="212"/>
      <c r="G516" s="172"/>
      <c r="H516" s="205"/>
      <c r="I516" s="149"/>
      <c r="J516" s="46"/>
      <c r="K516" s="46"/>
      <c r="L516" s="46"/>
      <c r="M516" s="46"/>
      <c r="N516" s="46"/>
      <c r="O516" s="46"/>
      <c r="P516" s="46"/>
      <c r="Q516" s="46"/>
      <c r="R516" s="46"/>
      <c r="S516" s="46"/>
      <c r="T516" s="46"/>
      <c r="U516" s="46"/>
      <c r="V516" s="46"/>
      <c r="W516" s="46"/>
    </row>
    <row r="517">
      <c r="A517" s="55"/>
      <c r="B517" s="205"/>
      <c r="C517" s="55"/>
      <c r="D517" s="205"/>
      <c r="E517" s="172"/>
      <c r="F517" s="212"/>
      <c r="G517" s="172"/>
      <c r="H517" s="205"/>
      <c r="I517" s="149"/>
      <c r="J517" s="46"/>
      <c r="K517" s="46"/>
      <c r="L517" s="46"/>
      <c r="M517" s="46"/>
      <c r="N517" s="46"/>
      <c r="O517" s="46"/>
      <c r="P517" s="46"/>
      <c r="Q517" s="46"/>
      <c r="R517" s="46"/>
      <c r="S517" s="46"/>
      <c r="T517" s="46"/>
      <c r="U517" s="46"/>
      <c r="V517" s="46"/>
      <c r="W517" s="46"/>
    </row>
    <row r="518">
      <c r="A518" s="55"/>
      <c r="B518" s="205"/>
      <c r="C518" s="55"/>
      <c r="D518" s="205"/>
      <c r="E518" s="172"/>
      <c r="F518" s="212"/>
      <c r="G518" s="172"/>
      <c r="H518" s="205"/>
      <c r="I518" s="149"/>
      <c r="J518" s="46"/>
      <c r="K518" s="46"/>
      <c r="L518" s="46"/>
      <c r="M518" s="46"/>
      <c r="N518" s="46"/>
      <c r="O518" s="46"/>
      <c r="P518" s="46"/>
      <c r="Q518" s="46"/>
      <c r="R518" s="46"/>
      <c r="S518" s="46"/>
      <c r="T518" s="46"/>
      <c r="U518" s="46"/>
      <c r="V518" s="46"/>
      <c r="W518" s="46"/>
    </row>
    <row r="519">
      <c r="A519" s="55"/>
      <c r="B519" s="205"/>
      <c r="C519" s="55"/>
      <c r="D519" s="205"/>
      <c r="E519" s="172"/>
      <c r="F519" s="212"/>
      <c r="G519" s="172"/>
      <c r="H519" s="205"/>
      <c r="I519" s="149"/>
      <c r="J519" s="46"/>
      <c r="K519" s="46"/>
      <c r="L519" s="46"/>
      <c r="M519" s="46"/>
      <c r="N519" s="46"/>
      <c r="O519" s="46"/>
      <c r="P519" s="46"/>
      <c r="Q519" s="46"/>
      <c r="R519" s="46"/>
      <c r="S519" s="46"/>
      <c r="T519" s="46"/>
      <c r="U519" s="46"/>
      <c r="V519" s="46"/>
      <c r="W519" s="46"/>
    </row>
    <row r="520">
      <c r="A520" s="55"/>
      <c r="B520" s="205"/>
      <c r="C520" s="55"/>
      <c r="D520" s="205"/>
      <c r="E520" s="172"/>
      <c r="F520" s="212"/>
      <c r="G520" s="172"/>
      <c r="H520" s="205"/>
      <c r="I520" s="149"/>
      <c r="J520" s="46"/>
      <c r="K520" s="46"/>
      <c r="L520" s="46"/>
      <c r="M520" s="46"/>
      <c r="N520" s="46"/>
      <c r="O520" s="46"/>
      <c r="P520" s="46"/>
      <c r="Q520" s="46"/>
      <c r="R520" s="46"/>
      <c r="S520" s="46"/>
      <c r="T520" s="46"/>
      <c r="U520" s="46"/>
      <c r="V520" s="46"/>
      <c r="W520" s="46"/>
    </row>
    <row r="521">
      <c r="A521" s="55"/>
      <c r="B521" s="205"/>
      <c r="C521" s="55"/>
      <c r="D521" s="205"/>
      <c r="E521" s="172"/>
      <c r="F521" s="212"/>
      <c r="G521" s="172"/>
      <c r="H521" s="205"/>
      <c r="I521" s="149"/>
      <c r="J521" s="46"/>
      <c r="K521" s="46"/>
      <c r="L521" s="46"/>
      <c r="M521" s="46"/>
      <c r="N521" s="46"/>
      <c r="O521" s="46"/>
      <c r="P521" s="46"/>
      <c r="Q521" s="46"/>
      <c r="R521" s="46"/>
      <c r="S521" s="46"/>
      <c r="T521" s="46"/>
      <c r="U521" s="46"/>
      <c r="V521" s="46"/>
      <c r="W521" s="46"/>
    </row>
    <row r="522">
      <c r="A522" s="55"/>
      <c r="B522" s="205"/>
      <c r="C522" s="55"/>
      <c r="D522" s="205"/>
      <c r="E522" s="172"/>
      <c r="F522" s="212"/>
      <c r="G522" s="172"/>
      <c r="H522" s="205"/>
      <c r="I522" s="149"/>
      <c r="J522" s="46"/>
      <c r="K522" s="46"/>
      <c r="L522" s="46"/>
      <c r="M522" s="46"/>
      <c r="N522" s="46"/>
      <c r="O522" s="46"/>
      <c r="P522" s="46"/>
      <c r="Q522" s="46"/>
      <c r="R522" s="46"/>
      <c r="S522" s="46"/>
      <c r="T522" s="46"/>
      <c r="U522" s="46"/>
      <c r="V522" s="46"/>
      <c r="W522" s="46"/>
    </row>
    <row r="523">
      <c r="A523" s="55"/>
      <c r="B523" s="205"/>
      <c r="C523" s="55"/>
      <c r="D523" s="205"/>
      <c r="E523" s="172"/>
      <c r="F523" s="212"/>
      <c r="G523" s="172"/>
      <c r="H523" s="205"/>
      <c r="I523" s="149"/>
      <c r="J523" s="46"/>
      <c r="K523" s="46"/>
      <c r="L523" s="46"/>
      <c r="M523" s="46"/>
      <c r="N523" s="46"/>
      <c r="O523" s="46"/>
      <c r="P523" s="46"/>
      <c r="Q523" s="46"/>
      <c r="R523" s="46"/>
      <c r="S523" s="46"/>
      <c r="T523" s="46"/>
      <c r="U523" s="46"/>
      <c r="V523" s="46"/>
      <c r="W523" s="46"/>
    </row>
    <row r="524">
      <c r="A524" s="55"/>
      <c r="B524" s="205"/>
      <c r="C524" s="55"/>
      <c r="D524" s="205"/>
      <c r="E524" s="172"/>
      <c r="F524" s="212"/>
      <c r="G524" s="172"/>
      <c r="H524" s="205"/>
      <c r="I524" s="149"/>
      <c r="J524" s="46"/>
      <c r="K524" s="46"/>
      <c r="L524" s="46"/>
      <c r="M524" s="46"/>
      <c r="N524" s="46"/>
      <c r="O524" s="46"/>
      <c r="P524" s="46"/>
      <c r="Q524" s="46"/>
      <c r="R524" s="46"/>
      <c r="S524" s="46"/>
      <c r="T524" s="46"/>
      <c r="U524" s="46"/>
      <c r="V524" s="46"/>
      <c r="W524" s="46"/>
    </row>
    <row r="525">
      <c r="A525" s="55"/>
      <c r="B525" s="205"/>
      <c r="C525" s="55"/>
      <c r="D525" s="205"/>
      <c r="E525" s="172"/>
      <c r="F525" s="212"/>
      <c r="G525" s="172"/>
      <c r="H525" s="205"/>
      <c r="I525" s="149"/>
      <c r="J525" s="46"/>
      <c r="K525" s="46"/>
      <c r="L525" s="46"/>
      <c r="M525" s="46"/>
      <c r="N525" s="46"/>
      <c r="O525" s="46"/>
      <c r="P525" s="46"/>
      <c r="Q525" s="46"/>
      <c r="R525" s="46"/>
      <c r="S525" s="46"/>
      <c r="T525" s="46"/>
      <c r="U525" s="46"/>
      <c r="V525" s="46"/>
      <c r="W525" s="46"/>
    </row>
    <row r="526">
      <c r="A526" s="55"/>
      <c r="B526" s="205"/>
      <c r="C526" s="55"/>
      <c r="D526" s="205"/>
      <c r="E526" s="172"/>
      <c r="F526" s="212"/>
      <c r="G526" s="172"/>
      <c r="H526" s="205"/>
      <c r="I526" s="149"/>
      <c r="J526" s="46"/>
      <c r="K526" s="46"/>
      <c r="L526" s="46"/>
      <c r="M526" s="46"/>
      <c r="N526" s="46"/>
      <c r="O526" s="46"/>
      <c r="P526" s="46"/>
      <c r="Q526" s="46"/>
      <c r="R526" s="46"/>
      <c r="S526" s="46"/>
      <c r="T526" s="46"/>
      <c r="U526" s="46"/>
      <c r="V526" s="46"/>
      <c r="W526" s="46"/>
    </row>
    <row r="527">
      <c r="A527" s="55"/>
      <c r="B527" s="205"/>
      <c r="C527" s="55"/>
      <c r="D527" s="205"/>
      <c r="E527" s="172"/>
      <c r="F527" s="212"/>
      <c r="G527" s="172"/>
      <c r="H527" s="205"/>
      <c r="I527" s="149"/>
      <c r="J527" s="46"/>
      <c r="K527" s="46"/>
      <c r="L527" s="46"/>
      <c r="M527" s="46"/>
      <c r="N527" s="46"/>
      <c r="O527" s="46"/>
      <c r="P527" s="46"/>
      <c r="Q527" s="46"/>
      <c r="R527" s="46"/>
      <c r="S527" s="46"/>
      <c r="T527" s="46"/>
      <c r="U527" s="46"/>
      <c r="V527" s="46"/>
      <c r="W527" s="46"/>
    </row>
    <row r="528">
      <c r="A528" s="55"/>
      <c r="B528" s="205"/>
      <c r="C528" s="55"/>
      <c r="D528" s="205"/>
      <c r="E528" s="172"/>
      <c r="F528" s="212"/>
      <c r="G528" s="172"/>
      <c r="H528" s="205"/>
      <c r="I528" s="149"/>
      <c r="J528" s="46"/>
      <c r="K528" s="46"/>
      <c r="L528" s="46"/>
      <c r="M528" s="46"/>
      <c r="N528" s="46"/>
      <c r="O528" s="46"/>
      <c r="P528" s="46"/>
      <c r="Q528" s="46"/>
      <c r="R528" s="46"/>
      <c r="S528" s="46"/>
      <c r="T528" s="46"/>
      <c r="U528" s="46"/>
      <c r="V528" s="46"/>
      <c r="W528" s="46"/>
    </row>
    <row r="529">
      <c r="A529" s="55"/>
      <c r="B529" s="205"/>
      <c r="C529" s="55"/>
      <c r="D529" s="205"/>
      <c r="E529" s="172"/>
      <c r="F529" s="212"/>
      <c r="G529" s="172"/>
      <c r="H529" s="205"/>
      <c r="I529" s="149"/>
      <c r="J529" s="46"/>
      <c r="K529" s="46"/>
      <c r="L529" s="46"/>
      <c r="M529" s="46"/>
      <c r="N529" s="46"/>
      <c r="O529" s="46"/>
      <c r="P529" s="46"/>
      <c r="Q529" s="46"/>
      <c r="R529" s="46"/>
      <c r="S529" s="46"/>
      <c r="T529" s="46"/>
      <c r="U529" s="46"/>
      <c r="V529" s="46"/>
      <c r="W529" s="46"/>
    </row>
    <row r="530">
      <c r="A530" s="55"/>
      <c r="B530" s="205"/>
      <c r="C530" s="55"/>
      <c r="D530" s="205"/>
      <c r="E530" s="172"/>
      <c r="F530" s="212"/>
      <c r="G530" s="172"/>
      <c r="H530" s="205"/>
      <c r="I530" s="149"/>
      <c r="J530" s="46"/>
      <c r="K530" s="46"/>
      <c r="L530" s="46"/>
      <c r="M530" s="46"/>
      <c r="N530" s="46"/>
      <c r="O530" s="46"/>
      <c r="P530" s="46"/>
      <c r="Q530" s="46"/>
      <c r="R530" s="46"/>
      <c r="S530" s="46"/>
      <c r="T530" s="46"/>
      <c r="U530" s="46"/>
      <c r="V530" s="46"/>
      <c r="W530" s="46"/>
    </row>
    <row r="531">
      <c r="A531" s="55"/>
      <c r="B531" s="205"/>
      <c r="C531" s="55"/>
      <c r="D531" s="205"/>
      <c r="E531" s="172"/>
      <c r="F531" s="212"/>
      <c r="G531" s="172"/>
      <c r="H531" s="205"/>
      <c r="I531" s="149"/>
      <c r="J531" s="46"/>
      <c r="K531" s="46"/>
      <c r="L531" s="46"/>
      <c r="M531" s="46"/>
      <c r="N531" s="46"/>
      <c r="O531" s="46"/>
      <c r="P531" s="46"/>
      <c r="Q531" s="46"/>
      <c r="R531" s="46"/>
      <c r="S531" s="46"/>
      <c r="T531" s="46"/>
      <c r="U531" s="46"/>
      <c r="V531" s="46"/>
      <c r="W531" s="46"/>
    </row>
    <row r="532">
      <c r="A532" s="55"/>
      <c r="B532" s="205"/>
      <c r="C532" s="55"/>
      <c r="D532" s="205"/>
      <c r="E532" s="172"/>
      <c r="F532" s="212"/>
      <c r="G532" s="172"/>
      <c r="H532" s="205"/>
      <c r="I532" s="149"/>
      <c r="J532" s="46"/>
      <c r="K532" s="46"/>
      <c r="L532" s="46"/>
      <c r="M532" s="46"/>
      <c r="N532" s="46"/>
      <c r="O532" s="46"/>
      <c r="P532" s="46"/>
      <c r="Q532" s="46"/>
      <c r="R532" s="46"/>
      <c r="S532" s="46"/>
      <c r="T532" s="46"/>
      <c r="U532" s="46"/>
      <c r="V532" s="46"/>
      <c r="W532" s="46"/>
    </row>
    <row r="533">
      <c r="A533" s="55"/>
      <c r="B533" s="205"/>
      <c r="C533" s="55"/>
      <c r="D533" s="205"/>
      <c r="E533" s="172"/>
      <c r="F533" s="212"/>
      <c r="G533" s="172"/>
      <c r="H533" s="205"/>
      <c r="I533" s="149"/>
      <c r="J533" s="46"/>
      <c r="K533" s="46"/>
      <c r="L533" s="46"/>
      <c r="M533" s="46"/>
      <c r="N533" s="46"/>
      <c r="O533" s="46"/>
      <c r="P533" s="46"/>
      <c r="Q533" s="46"/>
      <c r="R533" s="46"/>
      <c r="S533" s="46"/>
      <c r="T533" s="46"/>
      <c r="U533" s="46"/>
      <c r="V533" s="46"/>
      <c r="W533" s="46"/>
    </row>
    <row r="534">
      <c r="A534" s="55"/>
      <c r="B534" s="205"/>
      <c r="C534" s="55"/>
      <c r="D534" s="205"/>
      <c r="E534" s="172"/>
      <c r="F534" s="212"/>
      <c r="G534" s="172"/>
      <c r="H534" s="205"/>
      <c r="I534" s="149"/>
      <c r="J534" s="46"/>
      <c r="K534" s="46"/>
      <c r="L534" s="46"/>
      <c r="M534" s="46"/>
      <c r="N534" s="46"/>
      <c r="O534" s="46"/>
      <c r="P534" s="46"/>
      <c r="Q534" s="46"/>
      <c r="R534" s="46"/>
      <c r="S534" s="46"/>
      <c r="T534" s="46"/>
      <c r="U534" s="46"/>
      <c r="V534" s="46"/>
      <c r="W534" s="46"/>
    </row>
    <row r="535">
      <c r="A535" s="55"/>
      <c r="B535" s="205"/>
      <c r="C535" s="55"/>
      <c r="D535" s="205"/>
      <c r="E535" s="172"/>
      <c r="F535" s="212"/>
      <c r="G535" s="172"/>
      <c r="H535" s="205"/>
      <c r="I535" s="149"/>
      <c r="J535" s="46"/>
      <c r="K535" s="46"/>
      <c r="L535" s="46"/>
      <c r="M535" s="46"/>
      <c r="N535" s="46"/>
      <c r="O535" s="46"/>
      <c r="P535" s="46"/>
      <c r="Q535" s="46"/>
      <c r="R535" s="46"/>
      <c r="S535" s="46"/>
      <c r="T535" s="46"/>
      <c r="U535" s="46"/>
      <c r="V535" s="46"/>
      <c r="W535" s="46"/>
    </row>
    <row r="536">
      <c r="A536" s="55"/>
      <c r="B536" s="205"/>
      <c r="C536" s="55"/>
      <c r="D536" s="205"/>
      <c r="E536" s="172"/>
      <c r="F536" s="212"/>
      <c r="G536" s="172"/>
      <c r="H536" s="205"/>
      <c r="I536" s="149"/>
      <c r="J536" s="46"/>
      <c r="K536" s="46"/>
      <c r="L536" s="46"/>
      <c r="M536" s="46"/>
      <c r="N536" s="46"/>
      <c r="O536" s="46"/>
      <c r="P536" s="46"/>
      <c r="Q536" s="46"/>
      <c r="R536" s="46"/>
      <c r="S536" s="46"/>
      <c r="T536" s="46"/>
      <c r="U536" s="46"/>
      <c r="V536" s="46"/>
      <c r="W536" s="46"/>
    </row>
    <row r="537">
      <c r="A537" s="55"/>
      <c r="B537" s="205"/>
      <c r="C537" s="55"/>
      <c r="D537" s="205"/>
      <c r="E537" s="172"/>
      <c r="F537" s="212"/>
      <c r="G537" s="172"/>
      <c r="H537" s="205"/>
      <c r="I537" s="149"/>
      <c r="J537" s="46"/>
      <c r="K537" s="46"/>
      <c r="L537" s="46"/>
      <c r="M537" s="46"/>
      <c r="N537" s="46"/>
      <c r="O537" s="46"/>
      <c r="P537" s="46"/>
      <c r="Q537" s="46"/>
      <c r="R537" s="46"/>
      <c r="S537" s="46"/>
      <c r="T537" s="46"/>
      <c r="U537" s="46"/>
      <c r="V537" s="46"/>
      <c r="W537" s="46"/>
    </row>
    <row r="538">
      <c r="A538" s="55"/>
      <c r="B538" s="205"/>
      <c r="C538" s="55"/>
      <c r="D538" s="205"/>
      <c r="E538" s="172"/>
      <c r="F538" s="212"/>
      <c r="G538" s="172"/>
      <c r="H538" s="205"/>
      <c r="I538" s="149"/>
      <c r="J538" s="46"/>
      <c r="K538" s="46"/>
      <c r="L538" s="46"/>
      <c r="M538" s="46"/>
      <c r="N538" s="46"/>
      <c r="O538" s="46"/>
      <c r="P538" s="46"/>
      <c r="Q538" s="46"/>
      <c r="R538" s="46"/>
      <c r="S538" s="46"/>
      <c r="T538" s="46"/>
      <c r="U538" s="46"/>
      <c r="V538" s="46"/>
      <c r="W538" s="46"/>
    </row>
    <row r="539">
      <c r="A539" s="55"/>
      <c r="B539" s="205"/>
      <c r="C539" s="55"/>
      <c r="D539" s="205"/>
      <c r="E539" s="172"/>
      <c r="F539" s="212"/>
      <c r="G539" s="172"/>
      <c r="H539" s="205"/>
      <c r="I539" s="149"/>
      <c r="J539" s="46"/>
      <c r="K539" s="46"/>
      <c r="L539" s="46"/>
      <c r="M539" s="46"/>
      <c r="N539" s="46"/>
      <c r="O539" s="46"/>
      <c r="P539" s="46"/>
      <c r="Q539" s="46"/>
      <c r="R539" s="46"/>
      <c r="S539" s="46"/>
      <c r="T539" s="46"/>
      <c r="U539" s="46"/>
      <c r="V539" s="46"/>
      <c r="W539" s="46"/>
    </row>
    <row r="540">
      <c r="A540" s="55"/>
      <c r="B540" s="205"/>
      <c r="C540" s="55"/>
      <c r="D540" s="205"/>
      <c r="E540" s="172"/>
      <c r="F540" s="212"/>
      <c r="G540" s="172"/>
      <c r="H540" s="205"/>
      <c r="I540" s="149"/>
      <c r="J540" s="46"/>
      <c r="K540" s="46"/>
      <c r="L540" s="46"/>
      <c r="M540" s="46"/>
      <c r="N540" s="46"/>
      <c r="O540" s="46"/>
      <c r="P540" s="46"/>
      <c r="Q540" s="46"/>
      <c r="R540" s="46"/>
      <c r="S540" s="46"/>
      <c r="T540" s="46"/>
      <c r="U540" s="46"/>
      <c r="V540" s="46"/>
      <c r="W540" s="46"/>
    </row>
    <row r="541">
      <c r="A541" s="55"/>
      <c r="B541" s="205"/>
      <c r="C541" s="55"/>
      <c r="D541" s="205"/>
      <c r="E541" s="172"/>
      <c r="F541" s="212"/>
      <c r="G541" s="172"/>
      <c r="H541" s="205"/>
      <c r="I541" s="149"/>
      <c r="J541" s="46"/>
      <c r="K541" s="46"/>
      <c r="L541" s="46"/>
      <c r="M541" s="46"/>
      <c r="N541" s="46"/>
      <c r="O541" s="46"/>
      <c r="P541" s="46"/>
      <c r="Q541" s="46"/>
      <c r="R541" s="46"/>
      <c r="S541" s="46"/>
      <c r="T541" s="46"/>
      <c r="U541" s="46"/>
      <c r="V541" s="46"/>
      <c r="W541" s="46"/>
    </row>
    <row r="542">
      <c r="A542" s="55"/>
      <c r="B542" s="205"/>
      <c r="C542" s="55"/>
      <c r="D542" s="205"/>
      <c r="E542" s="172"/>
      <c r="F542" s="212"/>
      <c r="G542" s="172"/>
      <c r="H542" s="205"/>
      <c r="I542" s="149"/>
      <c r="J542" s="46"/>
      <c r="K542" s="46"/>
      <c r="L542" s="46"/>
      <c r="M542" s="46"/>
      <c r="N542" s="46"/>
      <c r="O542" s="46"/>
      <c r="P542" s="46"/>
      <c r="Q542" s="46"/>
      <c r="R542" s="46"/>
      <c r="S542" s="46"/>
      <c r="T542" s="46"/>
      <c r="U542" s="46"/>
      <c r="V542" s="46"/>
      <c r="W542" s="46"/>
    </row>
    <row r="543">
      <c r="A543" s="55"/>
      <c r="B543" s="205"/>
      <c r="C543" s="55"/>
      <c r="D543" s="205"/>
      <c r="E543" s="172"/>
      <c r="F543" s="212"/>
      <c r="G543" s="172"/>
      <c r="H543" s="205"/>
      <c r="I543" s="149"/>
      <c r="J543" s="46"/>
      <c r="K543" s="46"/>
      <c r="L543" s="46"/>
      <c r="M543" s="46"/>
      <c r="N543" s="46"/>
      <c r="O543" s="46"/>
      <c r="P543" s="46"/>
      <c r="Q543" s="46"/>
      <c r="R543" s="46"/>
      <c r="S543" s="46"/>
      <c r="T543" s="46"/>
      <c r="U543" s="46"/>
      <c r="V543" s="46"/>
      <c r="W543" s="46"/>
    </row>
    <row r="544">
      <c r="A544" s="55"/>
      <c r="B544" s="205"/>
      <c r="C544" s="55"/>
      <c r="D544" s="205"/>
      <c r="E544" s="172"/>
      <c r="F544" s="212"/>
      <c r="G544" s="172"/>
      <c r="H544" s="205"/>
      <c r="I544" s="149"/>
      <c r="J544" s="46"/>
      <c r="K544" s="46"/>
      <c r="L544" s="46"/>
      <c r="M544" s="46"/>
      <c r="N544" s="46"/>
      <c r="O544" s="46"/>
      <c r="P544" s="46"/>
      <c r="Q544" s="46"/>
      <c r="R544" s="46"/>
      <c r="S544" s="46"/>
      <c r="T544" s="46"/>
      <c r="U544" s="46"/>
      <c r="V544" s="46"/>
      <c r="W544" s="46"/>
    </row>
    <row r="545">
      <c r="A545" s="55"/>
      <c r="B545" s="205"/>
      <c r="C545" s="55"/>
      <c r="D545" s="205"/>
      <c r="E545" s="172"/>
      <c r="F545" s="212"/>
      <c r="G545" s="172"/>
      <c r="H545" s="205"/>
      <c r="I545" s="149"/>
      <c r="J545" s="46"/>
      <c r="K545" s="46"/>
      <c r="L545" s="46"/>
      <c r="M545" s="46"/>
      <c r="N545" s="46"/>
      <c r="O545" s="46"/>
      <c r="P545" s="46"/>
      <c r="Q545" s="46"/>
      <c r="R545" s="46"/>
      <c r="S545" s="46"/>
      <c r="T545" s="46"/>
      <c r="U545" s="46"/>
      <c r="V545" s="46"/>
      <c r="W545" s="46"/>
    </row>
    <row r="546">
      <c r="A546" s="55"/>
      <c r="B546" s="205"/>
      <c r="C546" s="55"/>
      <c r="D546" s="205"/>
      <c r="E546" s="172"/>
      <c r="F546" s="212"/>
      <c r="G546" s="172"/>
      <c r="H546" s="205"/>
      <c r="I546" s="149"/>
      <c r="J546" s="46"/>
      <c r="K546" s="46"/>
      <c r="L546" s="46"/>
      <c r="M546" s="46"/>
      <c r="N546" s="46"/>
      <c r="O546" s="46"/>
      <c r="P546" s="46"/>
      <c r="Q546" s="46"/>
      <c r="R546" s="46"/>
      <c r="S546" s="46"/>
      <c r="T546" s="46"/>
      <c r="U546" s="46"/>
      <c r="V546" s="46"/>
      <c r="W546" s="46"/>
    </row>
    <row r="547">
      <c r="A547" s="55"/>
      <c r="B547" s="205"/>
      <c r="C547" s="55"/>
      <c r="D547" s="205"/>
      <c r="E547" s="172"/>
      <c r="F547" s="212"/>
      <c r="G547" s="172"/>
      <c r="H547" s="205"/>
      <c r="I547" s="149"/>
      <c r="J547" s="46"/>
      <c r="K547" s="46"/>
      <c r="L547" s="46"/>
      <c r="M547" s="46"/>
      <c r="N547" s="46"/>
      <c r="O547" s="46"/>
      <c r="P547" s="46"/>
      <c r="Q547" s="46"/>
      <c r="R547" s="46"/>
      <c r="S547" s="46"/>
      <c r="T547" s="46"/>
      <c r="U547" s="46"/>
      <c r="V547" s="46"/>
      <c r="W547" s="46"/>
    </row>
    <row r="548">
      <c r="A548" s="55"/>
      <c r="B548" s="205"/>
      <c r="C548" s="55"/>
      <c r="D548" s="205"/>
      <c r="E548" s="172"/>
      <c r="F548" s="212"/>
      <c r="G548" s="172"/>
      <c r="H548" s="205"/>
      <c r="I548" s="149"/>
      <c r="J548" s="46"/>
      <c r="K548" s="46"/>
      <c r="L548" s="46"/>
      <c r="M548" s="46"/>
      <c r="N548" s="46"/>
      <c r="O548" s="46"/>
      <c r="P548" s="46"/>
      <c r="Q548" s="46"/>
      <c r="R548" s="46"/>
      <c r="S548" s="46"/>
      <c r="T548" s="46"/>
      <c r="U548" s="46"/>
      <c r="V548" s="46"/>
      <c r="W548" s="46"/>
    </row>
    <row r="549">
      <c r="A549" s="55"/>
      <c r="B549" s="205"/>
      <c r="C549" s="55"/>
      <c r="D549" s="205"/>
      <c r="E549" s="172"/>
      <c r="F549" s="212"/>
      <c r="G549" s="172"/>
      <c r="H549" s="205"/>
      <c r="I549" s="149"/>
      <c r="J549" s="46"/>
      <c r="K549" s="46"/>
      <c r="L549" s="46"/>
      <c r="M549" s="46"/>
      <c r="N549" s="46"/>
      <c r="O549" s="46"/>
      <c r="P549" s="46"/>
      <c r="Q549" s="46"/>
      <c r="R549" s="46"/>
      <c r="S549" s="46"/>
      <c r="T549" s="46"/>
      <c r="U549" s="46"/>
      <c r="V549" s="46"/>
      <c r="W549" s="46"/>
    </row>
    <row r="550">
      <c r="A550" s="55"/>
      <c r="B550" s="205"/>
      <c r="C550" s="55"/>
      <c r="D550" s="205"/>
      <c r="E550" s="172"/>
      <c r="F550" s="212"/>
      <c r="G550" s="172"/>
      <c r="H550" s="205"/>
      <c r="I550" s="149"/>
      <c r="J550" s="46"/>
      <c r="K550" s="46"/>
      <c r="L550" s="46"/>
      <c r="M550" s="46"/>
      <c r="N550" s="46"/>
      <c r="O550" s="46"/>
      <c r="P550" s="46"/>
      <c r="Q550" s="46"/>
      <c r="R550" s="46"/>
      <c r="S550" s="46"/>
      <c r="T550" s="46"/>
      <c r="U550" s="46"/>
      <c r="V550" s="46"/>
      <c r="W550" s="46"/>
    </row>
    <row r="551">
      <c r="A551" s="55"/>
      <c r="B551" s="205"/>
      <c r="C551" s="55"/>
      <c r="D551" s="205"/>
      <c r="E551" s="172"/>
      <c r="F551" s="212"/>
      <c r="G551" s="172"/>
      <c r="H551" s="205"/>
      <c r="I551" s="149"/>
      <c r="J551" s="46"/>
      <c r="K551" s="46"/>
      <c r="L551" s="46"/>
      <c r="M551" s="46"/>
      <c r="N551" s="46"/>
      <c r="O551" s="46"/>
      <c r="P551" s="46"/>
      <c r="Q551" s="46"/>
      <c r="R551" s="46"/>
      <c r="S551" s="46"/>
      <c r="T551" s="46"/>
      <c r="U551" s="46"/>
      <c r="V551" s="46"/>
      <c r="W551" s="46"/>
    </row>
    <row r="552">
      <c r="A552" s="55"/>
      <c r="B552" s="205"/>
      <c r="C552" s="55"/>
      <c r="D552" s="205"/>
      <c r="E552" s="172"/>
      <c r="F552" s="212"/>
      <c r="G552" s="172"/>
      <c r="H552" s="205"/>
      <c r="I552" s="149"/>
      <c r="J552" s="46"/>
      <c r="K552" s="46"/>
      <c r="L552" s="46"/>
      <c r="M552" s="46"/>
      <c r="N552" s="46"/>
      <c r="O552" s="46"/>
      <c r="P552" s="46"/>
      <c r="Q552" s="46"/>
      <c r="R552" s="46"/>
      <c r="S552" s="46"/>
      <c r="T552" s="46"/>
      <c r="U552" s="46"/>
      <c r="V552" s="46"/>
      <c r="W552" s="46"/>
    </row>
    <row r="553">
      <c r="A553" s="55"/>
      <c r="B553" s="205"/>
      <c r="C553" s="55"/>
      <c r="D553" s="205"/>
      <c r="E553" s="172"/>
      <c r="F553" s="212"/>
      <c r="G553" s="172"/>
      <c r="H553" s="205"/>
      <c r="I553" s="149"/>
      <c r="J553" s="46"/>
      <c r="K553" s="46"/>
      <c r="L553" s="46"/>
      <c r="M553" s="46"/>
      <c r="N553" s="46"/>
      <c r="O553" s="46"/>
      <c r="P553" s="46"/>
      <c r="Q553" s="46"/>
      <c r="R553" s="46"/>
      <c r="S553" s="46"/>
      <c r="T553" s="46"/>
      <c r="U553" s="46"/>
      <c r="V553" s="46"/>
      <c r="W553" s="46"/>
    </row>
    <row r="554">
      <c r="A554" s="55"/>
      <c r="B554" s="205"/>
      <c r="C554" s="55"/>
      <c r="D554" s="205"/>
      <c r="E554" s="172"/>
      <c r="F554" s="212"/>
      <c r="G554" s="172"/>
      <c r="H554" s="205"/>
      <c r="I554" s="149"/>
      <c r="J554" s="46"/>
      <c r="K554" s="46"/>
      <c r="L554" s="46"/>
      <c r="M554" s="46"/>
      <c r="N554" s="46"/>
      <c r="O554" s="46"/>
      <c r="P554" s="46"/>
      <c r="Q554" s="46"/>
      <c r="R554" s="46"/>
      <c r="S554" s="46"/>
      <c r="T554" s="46"/>
      <c r="U554" s="46"/>
      <c r="V554" s="46"/>
      <c r="W554" s="46"/>
    </row>
    <row r="555">
      <c r="A555" s="55"/>
      <c r="B555" s="205"/>
      <c r="C555" s="55"/>
      <c r="D555" s="205"/>
      <c r="E555" s="172"/>
      <c r="F555" s="212"/>
      <c r="G555" s="172"/>
      <c r="H555" s="205"/>
      <c r="I555" s="149"/>
      <c r="J555" s="46"/>
      <c r="K555" s="46"/>
      <c r="L555" s="46"/>
      <c r="M555" s="46"/>
      <c r="N555" s="46"/>
      <c r="O555" s="46"/>
      <c r="P555" s="46"/>
      <c r="Q555" s="46"/>
      <c r="R555" s="46"/>
      <c r="S555" s="46"/>
      <c r="T555" s="46"/>
      <c r="U555" s="46"/>
      <c r="V555" s="46"/>
      <c r="W555" s="46"/>
    </row>
    <row r="556">
      <c r="A556" s="55"/>
      <c r="B556" s="205"/>
      <c r="C556" s="55"/>
      <c r="D556" s="205"/>
      <c r="E556" s="172"/>
      <c r="F556" s="212"/>
      <c r="G556" s="172"/>
      <c r="H556" s="205"/>
      <c r="I556" s="149"/>
      <c r="J556" s="46"/>
      <c r="K556" s="46"/>
      <c r="L556" s="46"/>
      <c r="M556" s="46"/>
      <c r="N556" s="46"/>
      <c r="O556" s="46"/>
      <c r="P556" s="46"/>
      <c r="Q556" s="46"/>
      <c r="R556" s="46"/>
      <c r="S556" s="46"/>
      <c r="T556" s="46"/>
      <c r="U556" s="46"/>
      <c r="V556" s="46"/>
      <c r="W556" s="46"/>
    </row>
    <row r="557">
      <c r="A557" s="55"/>
      <c r="B557" s="205"/>
      <c r="C557" s="55"/>
      <c r="D557" s="205"/>
      <c r="E557" s="172"/>
      <c r="F557" s="212"/>
      <c r="G557" s="172"/>
      <c r="H557" s="205"/>
      <c r="I557" s="149"/>
      <c r="J557" s="46"/>
      <c r="K557" s="46"/>
      <c r="L557" s="46"/>
      <c r="M557" s="46"/>
      <c r="N557" s="46"/>
      <c r="O557" s="46"/>
      <c r="P557" s="46"/>
      <c r="Q557" s="46"/>
      <c r="R557" s="46"/>
      <c r="S557" s="46"/>
      <c r="T557" s="46"/>
      <c r="U557" s="46"/>
      <c r="V557" s="46"/>
      <c r="W557" s="46"/>
    </row>
    <row r="558">
      <c r="A558" s="55"/>
      <c r="B558" s="205"/>
      <c r="C558" s="55"/>
      <c r="D558" s="205"/>
      <c r="E558" s="172"/>
      <c r="F558" s="212"/>
      <c r="G558" s="172"/>
      <c r="H558" s="205"/>
      <c r="I558" s="149"/>
      <c r="J558" s="46"/>
      <c r="K558" s="46"/>
      <c r="L558" s="46"/>
      <c r="M558" s="46"/>
      <c r="N558" s="46"/>
      <c r="O558" s="46"/>
      <c r="P558" s="46"/>
      <c r="Q558" s="46"/>
      <c r="R558" s="46"/>
      <c r="S558" s="46"/>
      <c r="T558" s="46"/>
      <c r="U558" s="46"/>
      <c r="V558" s="46"/>
      <c r="W558" s="46"/>
    </row>
    <row r="559">
      <c r="A559" s="55"/>
      <c r="B559" s="205"/>
      <c r="C559" s="55"/>
      <c r="D559" s="205"/>
      <c r="E559" s="172"/>
      <c r="F559" s="212"/>
      <c r="G559" s="172"/>
      <c r="H559" s="205"/>
      <c r="I559" s="149"/>
      <c r="J559" s="46"/>
      <c r="K559" s="46"/>
      <c r="L559" s="46"/>
      <c r="M559" s="46"/>
      <c r="N559" s="46"/>
      <c r="O559" s="46"/>
      <c r="P559" s="46"/>
      <c r="Q559" s="46"/>
      <c r="R559" s="46"/>
      <c r="S559" s="46"/>
      <c r="T559" s="46"/>
      <c r="U559" s="46"/>
      <c r="V559" s="46"/>
      <c r="W559" s="46"/>
    </row>
    <row r="560">
      <c r="A560" s="55"/>
      <c r="B560" s="205"/>
      <c r="C560" s="55"/>
      <c r="D560" s="205"/>
      <c r="E560" s="172"/>
      <c r="F560" s="212"/>
      <c r="G560" s="172"/>
      <c r="H560" s="205"/>
      <c r="I560" s="149"/>
      <c r="J560" s="46"/>
      <c r="K560" s="46"/>
      <c r="L560" s="46"/>
      <c r="M560" s="46"/>
      <c r="N560" s="46"/>
      <c r="O560" s="46"/>
      <c r="P560" s="46"/>
      <c r="Q560" s="46"/>
      <c r="R560" s="46"/>
      <c r="S560" s="46"/>
      <c r="T560" s="46"/>
      <c r="U560" s="46"/>
      <c r="V560" s="46"/>
      <c r="W560" s="46"/>
    </row>
    <row r="561">
      <c r="A561" s="55"/>
      <c r="B561" s="205"/>
      <c r="C561" s="55"/>
      <c r="D561" s="205"/>
      <c r="E561" s="172"/>
      <c r="F561" s="212"/>
      <c r="G561" s="172"/>
      <c r="H561" s="205"/>
      <c r="I561" s="149"/>
      <c r="J561" s="46"/>
      <c r="K561" s="46"/>
      <c r="L561" s="46"/>
      <c r="M561" s="46"/>
      <c r="N561" s="46"/>
      <c r="O561" s="46"/>
      <c r="P561" s="46"/>
      <c r="Q561" s="46"/>
      <c r="R561" s="46"/>
      <c r="S561" s="46"/>
      <c r="T561" s="46"/>
      <c r="U561" s="46"/>
      <c r="V561" s="46"/>
      <c r="W561" s="46"/>
    </row>
    <row r="562">
      <c r="A562" s="55"/>
      <c r="B562" s="205"/>
      <c r="C562" s="55"/>
      <c r="D562" s="205"/>
      <c r="E562" s="172"/>
      <c r="F562" s="212"/>
      <c r="G562" s="172"/>
      <c r="H562" s="205"/>
      <c r="I562" s="149"/>
      <c r="J562" s="46"/>
      <c r="K562" s="46"/>
      <c r="L562" s="46"/>
      <c r="M562" s="46"/>
      <c r="N562" s="46"/>
      <c r="O562" s="46"/>
      <c r="P562" s="46"/>
      <c r="Q562" s="46"/>
      <c r="R562" s="46"/>
      <c r="S562" s="46"/>
      <c r="T562" s="46"/>
      <c r="U562" s="46"/>
      <c r="V562" s="46"/>
      <c r="W562" s="46"/>
    </row>
    <row r="563">
      <c r="A563" s="55"/>
      <c r="B563" s="205"/>
      <c r="C563" s="55"/>
      <c r="D563" s="205"/>
      <c r="E563" s="172"/>
      <c r="F563" s="212"/>
      <c r="G563" s="172"/>
      <c r="H563" s="205"/>
      <c r="I563" s="149"/>
      <c r="J563" s="46"/>
      <c r="K563" s="46"/>
      <c r="L563" s="46"/>
      <c r="M563" s="46"/>
      <c r="N563" s="46"/>
      <c r="O563" s="46"/>
      <c r="P563" s="46"/>
      <c r="Q563" s="46"/>
      <c r="R563" s="46"/>
      <c r="S563" s="46"/>
      <c r="T563" s="46"/>
      <c r="U563" s="46"/>
      <c r="V563" s="46"/>
      <c r="W563" s="46"/>
    </row>
    <row r="564">
      <c r="A564" s="55"/>
      <c r="B564" s="205"/>
      <c r="C564" s="55"/>
      <c r="D564" s="205"/>
      <c r="E564" s="172"/>
      <c r="F564" s="212"/>
      <c r="G564" s="172"/>
      <c r="H564" s="205"/>
      <c r="I564" s="149"/>
      <c r="J564" s="46"/>
      <c r="K564" s="46"/>
      <c r="L564" s="46"/>
      <c r="M564" s="46"/>
      <c r="N564" s="46"/>
      <c r="O564" s="46"/>
      <c r="P564" s="46"/>
      <c r="Q564" s="46"/>
      <c r="R564" s="46"/>
      <c r="S564" s="46"/>
      <c r="T564" s="46"/>
      <c r="U564" s="46"/>
      <c r="V564" s="46"/>
      <c r="W564" s="46"/>
    </row>
    <row r="565">
      <c r="A565" s="55"/>
      <c r="B565" s="205"/>
      <c r="C565" s="55"/>
      <c r="D565" s="205"/>
      <c r="E565" s="172"/>
      <c r="F565" s="212"/>
      <c r="G565" s="172"/>
      <c r="H565" s="205"/>
      <c r="I565" s="149"/>
      <c r="J565" s="46"/>
      <c r="K565" s="46"/>
      <c r="L565" s="46"/>
      <c r="M565" s="46"/>
      <c r="N565" s="46"/>
      <c r="O565" s="46"/>
      <c r="P565" s="46"/>
      <c r="Q565" s="46"/>
      <c r="R565" s="46"/>
      <c r="S565" s="46"/>
      <c r="T565" s="46"/>
      <c r="U565" s="46"/>
      <c r="V565" s="46"/>
      <c r="W565" s="46"/>
    </row>
    <row r="566">
      <c r="A566" s="55"/>
      <c r="B566" s="205"/>
      <c r="C566" s="55"/>
      <c r="D566" s="205"/>
      <c r="E566" s="172"/>
      <c r="F566" s="212"/>
      <c r="G566" s="172"/>
      <c r="H566" s="205"/>
      <c r="I566" s="149"/>
      <c r="J566" s="46"/>
      <c r="K566" s="46"/>
      <c r="L566" s="46"/>
      <c r="M566" s="46"/>
      <c r="N566" s="46"/>
      <c r="O566" s="46"/>
      <c r="P566" s="46"/>
      <c r="Q566" s="46"/>
      <c r="R566" s="46"/>
      <c r="S566" s="46"/>
      <c r="T566" s="46"/>
      <c r="U566" s="46"/>
      <c r="V566" s="46"/>
      <c r="W566" s="46"/>
    </row>
    <row r="567">
      <c r="A567" s="55"/>
      <c r="B567" s="205"/>
      <c r="C567" s="55"/>
      <c r="D567" s="205"/>
      <c r="E567" s="172"/>
      <c r="F567" s="212"/>
      <c r="G567" s="172"/>
      <c r="H567" s="205"/>
      <c r="I567" s="149"/>
      <c r="J567" s="46"/>
      <c r="K567" s="46"/>
      <c r="L567" s="46"/>
      <c r="M567" s="46"/>
      <c r="N567" s="46"/>
      <c r="O567" s="46"/>
      <c r="P567" s="46"/>
      <c r="Q567" s="46"/>
      <c r="R567" s="46"/>
      <c r="S567" s="46"/>
      <c r="T567" s="46"/>
      <c r="U567" s="46"/>
      <c r="V567" s="46"/>
      <c r="W567" s="46"/>
    </row>
    <row r="568">
      <c r="A568" s="55"/>
      <c r="B568" s="205"/>
      <c r="C568" s="55"/>
      <c r="D568" s="205"/>
      <c r="E568" s="172"/>
      <c r="F568" s="212"/>
      <c r="G568" s="172"/>
      <c r="H568" s="205"/>
      <c r="I568" s="149"/>
      <c r="J568" s="46"/>
      <c r="K568" s="46"/>
      <c r="L568" s="46"/>
      <c r="M568" s="46"/>
      <c r="N568" s="46"/>
      <c r="O568" s="46"/>
      <c r="P568" s="46"/>
      <c r="Q568" s="46"/>
      <c r="R568" s="46"/>
      <c r="S568" s="46"/>
      <c r="T568" s="46"/>
      <c r="U568" s="46"/>
      <c r="V568" s="46"/>
      <c r="W568" s="46"/>
    </row>
    <row r="569">
      <c r="A569" s="55"/>
      <c r="B569" s="205"/>
      <c r="C569" s="55"/>
      <c r="D569" s="205"/>
      <c r="E569" s="172"/>
      <c r="F569" s="212"/>
      <c r="G569" s="172"/>
      <c r="H569" s="205"/>
      <c r="I569" s="149"/>
      <c r="J569" s="46"/>
      <c r="K569" s="46"/>
      <c r="L569" s="46"/>
      <c r="M569" s="46"/>
      <c r="N569" s="46"/>
      <c r="O569" s="46"/>
      <c r="P569" s="46"/>
      <c r="Q569" s="46"/>
      <c r="R569" s="46"/>
      <c r="S569" s="46"/>
      <c r="T569" s="46"/>
      <c r="U569" s="46"/>
      <c r="V569" s="46"/>
      <c r="W569" s="46"/>
    </row>
    <row r="570">
      <c r="A570" s="55"/>
      <c r="B570" s="205"/>
      <c r="C570" s="55"/>
      <c r="D570" s="205"/>
      <c r="E570" s="172"/>
      <c r="F570" s="212"/>
      <c r="G570" s="172"/>
      <c r="H570" s="205"/>
      <c r="I570" s="149"/>
      <c r="J570" s="46"/>
      <c r="K570" s="46"/>
      <c r="L570" s="46"/>
      <c r="M570" s="46"/>
      <c r="N570" s="46"/>
      <c r="O570" s="46"/>
      <c r="P570" s="46"/>
      <c r="Q570" s="46"/>
      <c r="R570" s="46"/>
      <c r="S570" s="46"/>
      <c r="T570" s="46"/>
      <c r="U570" s="46"/>
      <c r="V570" s="46"/>
      <c r="W570" s="46"/>
    </row>
    <row r="571">
      <c r="A571" s="55"/>
      <c r="B571" s="205"/>
      <c r="C571" s="55"/>
      <c r="D571" s="205"/>
      <c r="E571" s="172"/>
      <c r="F571" s="212"/>
      <c r="G571" s="172"/>
      <c r="H571" s="205"/>
      <c r="I571" s="149"/>
      <c r="J571" s="46"/>
      <c r="K571" s="46"/>
      <c r="L571" s="46"/>
      <c r="M571" s="46"/>
      <c r="N571" s="46"/>
      <c r="O571" s="46"/>
      <c r="P571" s="46"/>
      <c r="Q571" s="46"/>
      <c r="R571" s="46"/>
      <c r="S571" s="46"/>
      <c r="T571" s="46"/>
      <c r="U571" s="46"/>
      <c r="V571" s="46"/>
      <c r="W571" s="46"/>
    </row>
    <row r="572">
      <c r="A572" s="55"/>
      <c r="B572" s="205"/>
      <c r="C572" s="55"/>
      <c r="D572" s="205"/>
      <c r="E572" s="172"/>
      <c r="F572" s="212"/>
      <c r="G572" s="172"/>
      <c r="H572" s="205"/>
      <c r="I572" s="149"/>
      <c r="J572" s="46"/>
      <c r="K572" s="46"/>
      <c r="L572" s="46"/>
      <c r="M572" s="46"/>
      <c r="N572" s="46"/>
      <c r="O572" s="46"/>
      <c r="P572" s="46"/>
      <c r="Q572" s="46"/>
      <c r="R572" s="46"/>
      <c r="S572" s="46"/>
      <c r="T572" s="46"/>
      <c r="U572" s="46"/>
      <c r="V572" s="46"/>
      <c r="W572" s="46"/>
    </row>
    <row r="573">
      <c r="A573" s="55"/>
      <c r="B573" s="205"/>
      <c r="C573" s="55"/>
      <c r="D573" s="205"/>
      <c r="E573" s="172"/>
      <c r="F573" s="212"/>
      <c r="G573" s="172"/>
      <c r="H573" s="205"/>
      <c r="I573" s="149"/>
      <c r="J573" s="46"/>
      <c r="K573" s="46"/>
      <c r="L573" s="46"/>
      <c r="M573" s="46"/>
      <c r="N573" s="46"/>
      <c r="O573" s="46"/>
      <c r="P573" s="46"/>
      <c r="Q573" s="46"/>
      <c r="R573" s="46"/>
      <c r="S573" s="46"/>
      <c r="T573" s="46"/>
      <c r="U573" s="46"/>
      <c r="V573" s="46"/>
      <c r="W573" s="46"/>
    </row>
    <row r="574">
      <c r="A574" s="55"/>
      <c r="B574" s="205"/>
      <c r="C574" s="55"/>
      <c r="D574" s="205"/>
      <c r="E574" s="172"/>
      <c r="F574" s="212"/>
      <c r="G574" s="172"/>
      <c r="H574" s="205"/>
      <c r="I574" s="149"/>
      <c r="J574" s="46"/>
      <c r="K574" s="46"/>
      <c r="L574" s="46"/>
      <c r="M574" s="46"/>
      <c r="N574" s="46"/>
      <c r="O574" s="46"/>
      <c r="P574" s="46"/>
      <c r="Q574" s="46"/>
      <c r="R574" s="46"/>
      <c r="S574" s="46"/>
      <c r="T574" s="46"/>
      <c r="U574" s="46"/>
      <c r="V574" s="46"/>
      <c r="W574" s="46"/>
    </row>
    <row r="575">
      <c r="A575" s="55"/>
      <c r="B575" s="205"/>
      <c r="C575" s="55"/>
      <c r="D575" s="205"/>
      <c r="E575" s="172"/>
      <c r="F575" s="212"/>
      <c r="G575" s="172"/>
      <c r="H575" s="205"/>
      <c r="I575" s="149"/>
      <c r="J575" s="46"/>
      <c r="K575" s="46"/>
      <c r="L575" s="46"/>
      <c r="M575" s="46"/>
      <c r="N575" s="46"/>
      <c r="O575" s="46"/>
      <c r="P575" s="46"/>
      <c r="Q575" s="46"/>
      <c r="R575" s="46"/>
      <c r="S575" s="46"/>
      <c r="T575" s="46"/>
      <c r="U575" s="46"/>
      <c r="V575" s="46"/>
      <c r="W575" s="46"/>
    </row>
    <row r="576">
      <c r="A576" s="55"/>
      <c r="B576" s="205"/>
      <c r="C576" s="55"/>
      <c r="D576" s="205"/>
      <c r="E576" s="172"/>
      <c r="F576" s="212"/>
      <c r="G576" s="172"/>
      <c r="H576" s="205"/>
      <c r="I576" s="149"/>
      <c r="J576" s="46"/>
      <c r="K576" s="46"/>
      <c r="L576" s="46"/>
      <c r="M576" s="46"/>
      <c r="N576" s="46"/>
      <c r="O576" s="46"/>
      <c r="P576" s="46"/>
      <c r="Q576" s="46"/>
      <c r="R576" s="46"/>
      <c r="S576" s="46"/>
      <c r="T576" s="46"/>
      <c r="U576" s="46"/>
      <c r="V576" s="46"/>
      <c r="W576" s="46"/>
    </row>
    <row r="577">
      <c r="A577" s="55"/>
      <c r="B577" s="205"/>
      <c r="C577" s="55"/>
      <c r="D577" s="205"/>
      <c r="E577" s="172"/>
      <c r="F577" s="212"/>
      <c r="G577" s="172"/>
      <c r="H577" s="205"/>
      <c r="I577" s="149"/>
      <c r="J577" s="46"/>
      <c r="K577" s="46"/>
      <c r="L577" s="46"/>
      <c r="M577" s="46"/>
      <c r="N577" s="46"/>
      <c r="O577" s="46"/>
      <c r="P577" s="46"/>
      <c r="Q577" s="46"/>
      <c r="R577" s="46"/>
      <c r="S577" s="46"/>
      <c r="T577" s="46"/>
      <c r="U577" s="46"/>
      <c r="V577" s="46"/>
      <c r="W577" s="46"/>
    </row>
    <row r="578">
      <c r="A578" s="55"/>
      <c r="B578" s="205"/>
      <c r="C578" s="55"/>
      <c r="D578" s="205"/>
      <c r="E578" s="172"/>
      <c r="F578" s="212"/>
      <c r="G578" s="172"/>
      <c r="H578" s="205"/>
      <c r="I578" s="149"/>
      <c r="J578" s="46"/>
      <c r="K578" s="46"/>
      <c r="L578" s="46"/>
      <c r="M578" s="46"/>
      <c r="N578" s="46"/>
      <c r="O578" s="46"/>
      <c r="P578" s="46"/>
      <c r="Q578" s="46"/>
      <c r="R578" s="46"/>
      <c r="S578" s="46"/>
      <c r="T578" s="46"/>
      <c r="U578" s="46"/>
      <c r="V578" s="46"/>
      <c r="W578" s="46"/>
    </row>
    <row r="579">
      <c r="A579" s="55"/>
      <c r="B579" s="205"/>
      <c r="C579" s="55"/>
      <c r="D579" s="205"/>
      <c r="E579" s="172"/>
      <c r="F579" s="212"/>
      <c r="G579" s="172"/>
      <c r="H579" s="205"/>
      <c r="I579" s="149"/>
      <c r="J579" s="46"/>
      <c r="K579" s="46"/>
      <c r="L579" s="46"/>
      <c r="M579" s="46"/>
      <c r="N579" s="46"/>
      <c r="O579" s="46"/>
      <c r="P579" s="46"/>
      <c r="Q579" s="46"/>
      <c r="R579" s="46"/>
      <c r="S579" s="46"/>
      <c r="T579" s="46"/>
      <c r="U579" s="46"/>
      <c r="V579" s="46"/>
      <c r="W579" s="46"/>
    </row>
    <row r="580">
      <c r="A580" s="55"/>
      <c r="B580" s="205"/>
      <c r="C580" s="55"/>
      <c r="D580" s="205"/>
      <c r="E580" s="172"/>
      <c r="F580" s="212"/>
      <c r="G580" s="172"/>
      <c r="H580" s="205"/>
      <c r="I580" s="149"/>
      <c r="J580" s="46"/>
      <c r="K580" s="46"/>
      <c r="L580" s="46"/>
      <c r="M580" s="46"/>
      <c r="N580" s="46"/>
      <c r="O580" s="46"/>
      <c r="P580" s="46"/>
      <c r="Q580" s="46"/>
      <c r="R580" s="46"/>
      <c r="S580" s="46"/>
      <c r="T580" s="46"/>
      <c r="U580" s="46"/>
      <c r="V580" s="46"/>
      <c r="W580" s="46"/>
    </row>
    <row r="581">
      <c r="A581" s="55"/>
      <c r="B581" s="205"/>
      <c r="C581" s="55"/>
      <c r="D581" s="205"/>
      <c r="E581" s="172"/>
      <c r="F581" s="212"/>
      <c r="G581" s="172"/>
      <c r="H581" s="205"/>
      <c r="I581" s="149"/>
      <c r="J581" s="46"/>
      <c r="K581" s="46"/>
      <c r="L581" s="46"/>
      <c r="M581" s="46"/>
      <c r="N581" s="46"/>
      <c r="O581" s="46"/>
      <c r="P581" s="46"/>
      <c r="Q581" s="46"/>
      <c r="R581" s="46"/>
      <c r="S581" s="46"/>
      <c r="T581" s="46"/>
      <c r="U581" s="46"/>
      <c r="V581" s="46"/>
      <c r="W581" s="46"/>
    </row>
    <row r="582">
      <c r="A582" s="55"/>
      <c r="B582" s="205"/>
      <c r="C582" s="55"/>
      <c r="D582" s="205"/>
      <c r="E582" s="172"/>
      <c r="F582" s="212"/>
      <c r="G582" s="172"/>
      <c r="H582" s="205"/>
      <c r="I582" s="149"/>
      <c r="J582" s="46"/>
      <c r="K582" s="46"/>
      <c r="L582" s="46"/>
      <c r="M582" s="46"/>
      <c r="N582" s="46"/>
      <c r="O582" s="46"/>
      <c r="P582" s="46"/>
      <c r="Q582" s="46"/>
      <c r="R582" s="46"/>
      <c r="S582" s="46"/>
      <c r="T582" s="46"/>
      <c r="U582" s="46"/>
      <c r="V582" s="46"/>
      <c r="W582" s="46"/>
    </row>
    <row r="583">
      <c r="A583" s="55"/>
      <c r="B583" s="205"/>
      <c r="C583" s="55"/>
      <c r="D583" s="205"/>
      <c r="E583" s="172"/>
      <c r="F583" s="212"/>
      <c r="G583" s="172"/>
      <c r="H583" s="205"/>
      <c r="I583" s="149"/>
      <c r="J583" s="46"/>
      <c r="K583" s="46"/>
      <c r="L583" s="46"/>
      <c r="M583" s="46"/>
      <c r="N583" s="46"/>
      <c r="O583" s="46"/>
      <c r="P583" s="46"/>
      <c r="Q583" s="46"/>
      <c r="R583" s="46"/>
      <c r="S583" s="46"/>
      <c r="T583" s="46"/>
      <c r="U583" s="46"/>
      <c r="V583" s="46"/>
      <c r="W583" s="46"/>
    </row>
    <row r="584">
      <c r="A584" s="55"/>
      <c r="B584" s="205"/>
      <c r="C584" s="55"/>
      <c r="D584" s="205"/>
      <c r="E584" s="172"/>
      <c r="F584" s="212"/>
      <c r="G584" s="172"/>
      <c r="H584" s="205"/>
      <c r="I584" s="149"/>
      <c r="J584" s="46"/>
      <c r="K584" s="46"/>
      <c r="L584" s="46"/>
      <c r="M584" s="46"/>
      <c r="N584" s="46"/>
      <c r="O584" s="46"/>
      <c r="P584" s="46"/>
      <c r="Q584" s="46"/>
      <c r="R584" s="46"/>
      <c r="S584" s="46"/>
      <c r="T584" s="46"/>
      <c r="U584" s="46"/>
      <c r="V584" s="46"/>
      <c r="W584" s="46"/>
    </row>
    <row r="585">
      <c r="A585" s="55"/>
      <c r="B585" s="205"/>
      <c r="C585" s="55"/>
      <c r="D585" s="205"/>
      <c r="E585" s="172"/>
      <c r="F585" s="212"/>
      <c r="G585" s="172"/>
      <c r="H585" s="205"/>
      <c r="I585" s="149"/>
      <c r="J585" s="46"/>
      <c r="K585" s="46"/>
      <c r="L585" s="46"/>
      <c r="M585" s="46"/>
      <c r="N585" s="46"/>
      <c r="O585" s="46"/>
      <c r="P585" s="46"/>
      <c r="Q585" s="46"/>
      <c r="R585" s="46"/>
      <c r="S585" s="46"/>
      <c r="T585" s="46"/>
      <c r="U585" s="46"/>
      <c r="V585" s="46"/>
      <c r="W585" s="46"/>
    </row>
    <row r="586">
      <c r="A586" s="55"/>
      <c r="B586" s="205"/>
      <c r="C586" s="55"/>
      <c r="D586" s="205"/>
      <c r="E586" s="172"/>
      <c r="F586" s="212"/>
      <c r="G586" s="172"/>
      <c r="H586" s="205"/>
      <c r="I586" s="149"/>
      <c r="J586" s="46"/>
      <c r="K586" s="46"/>
      <c r="L586" s="46"/>
      <c r="M586" s="46"/>
      <c r="N586" s="46"/>
      <c r="O586" s="46"/>
      <c r="P586" s="46"/>
      <c r="Q586" s="46"/>
      <c r="R586" s="46"/>
      <c r="S586" s="46"/>
      <c r="T586" s="46"/>
      <c r="U586" s="46"/>
      <c r="V586" s="46"/>
      <c r="W586" s="46"/>
    </row>
    <row r="587">
      <c r="A587" s="55"/>
      <c r="B587" s="205"/>
      <c r="C587" s="55"/>
      <c r="D587" s="205"/>
      <c r="E587" s="172"/>
      <c r="F587" s="212"/>
      <c r="G587" s="172"/>
      <c r="H587" s="205"/>
      <c r="I587" s="149"/>
      <c r="J587" s="46"/>
      <c r="K587" s="46"/>
      <c r="L587" s="46"/>
      <c r="M587" s="46"/>
      <c r="N587" s="46"/>
      <c r="O587" s="46"/>
      <c r="P587" s="46"/>
      <c r="Q587" s="46"/>
      <c r="R587" s="46"/>
      <c r="S587" s="46"/>
      <c r="T587" s="46"/>
      <c r="U587" s="46"/>
      <c r="V587" s="46"/>
      <c r="W587" s="46"/>
    </row>
    <row r="588">
      <c r="A588" s="55"/>
      <c r="B588" s="205"/>
      <c r="C588" s="55"/>
      <c r="D588" s="205"/>
      <c r="E588" s="172"/>
      <c r="F588" s="212"/>
      <c r="G588" s="172"/>
      <c r="H588" s="205"/>
      <c r="I588" s="149"/>
      <c r="J588" s="46"/>
      <c r="K588" s="46"/>
      <c r="L588" s="46"/>
      <c r="M588" s="46"/>
      <c r="N588" s="46"/>
      <c r="O588" s="46"/>
      <c r="P588" s="46"/>
      <c r="Q588" s="46"/>
      <c r="R588" s="46"/>
      <c r="S588" s="46"/>
      <c r="T588" s="46"/>
      <c r="U588" s="46"/>
      <c r="V588" s="46"/>
      <c r="W588" s="46"/>
    </row>
    <row r="589">
      <c r="A589" s="55"/>
      <c r="B589" s="205"/>
      <c r="C589" s="55"/>
      <c r="D589" s="205"/>
      <c r="E589" s="172"/>
      <c r="F589" s="212"/>
      <c r="G589" s="172"/>
      <c r="H589" s="205"/>
      <c r="I589" s="149"/>
      <c r="J589" s="46"/>
      <c r="K589" s="46"/>
      <c r="L589" s="46"/>
      <c r="M589" s="46"/>
      <c r="N589" s="46"/>
      <c r="O589" s="46"/>
      <c r="P589" s="46"/>
      <c r="Q589" s="46"/>
      <c r="R589" s="46"/>
      <c r="S589" s="46"/>
      <c r="T589" s="46"/>
      <c r="U589" s="46"/>
      <c r="V589" s="46"/>
      <c r="W589" s="46"/>
    </row>
    <row r="590">
      <c r="A590" s="55"/>
      <c r="B590" s="205"/>
      <c r="C590" s="55"/>
      <c r="D590" s="205"/>
      <c r="E590" s="172"/>
      <c r="F590" s="212"/>
      <c r="G590" s="172"/>
      <c r="H590" s="205"/>
      <c r="I590" s="149"/>
      <c r="J590" s="46"/>
      <c r="K590" s="46"/>
      <c r="L590" s="46"/>
      <c r="M590" s="46"/>
      <c r="N590" s="46"/>
      <c r="O590" s="46"/>
      <c r="P590" s="46"/>
      <c r="Q590" s="46"/>
      <c r="R590" s="46"/>
      <c r="S590" s="46"/>
      <c r="T590" s="46"/>
      <c r="U590" s="46"/>
      <c r="V590" s="46"/>
      <c r="W590" s="46"/>
    </row>
    <row r="591">
      <c r="A591" s="55"/>
      <c r="B591" s="205"/>
      <c r="C591" s="55"/>
      <c r="D591" s="205"/>
      <c r="E591" s="172"/>
      <c r="F591" s="212"/>
      <c r="G591" s="172"/>
      <c r="H591" s="205"/>
      <c r="I591" s="149"/>
      <c r="J591" s="46"/>
      <c r="K591" s="46"/>
      <c r="L591" s="46"/>
      <c r="M591" s="46"/>
      <c r="N591" s="46"/>
      <c r="O591" s="46"/>
      <c r="P591" s="46"/>
      <c r="Q591" s="46"/>
      <c r="R591" s="46"/>
      <c r="S591" s="46"/>
      <c r="T591" s="46"/>
      <c r="U591" s="46"/>
      <c r="V591" s="46"/>
      <c r="W591" s="46"/>
    </row>
    <row r="592">
      <c r="A592" s="55"/>
      <c r="B592" s="205"/>
      <c r="C592" s="55"/>
      <c r="D592" s="205"/>
      <c r="E592" s="172"/>
      <c r="F592" s="212"/>
      <c r="G592" s="172"/>
      <c r="H592" s="205"/>
      <c r="I592" s="149"/>
      <c r="J592" s="46"/>
      <c r="K592" s="46"/>
      <c r="L592" s="46"/>
      <c r="M592" s="46"/>
      <c r="N592" s="46"/>
      <c r="O592" s="46"/>
      <c r="P592" s="46"/>
      <c r="Q592" s="46"/>
      <c r="R592" s="46"/>
      <c r="S592" s="46"/>
      <c r="T592" s="46"/>
      <c r="U592" s="46"/>
      <c r="V592" s="46"/>
      <c r="W592" s="46"/>
    </row>
    <row r="593">
      <c r="A593" s="55"/>
      <c r="B593" s="205"/>
      <c r="C593" s="55"/>
      <c r="D593" s="205"/>
      <c r="E593" s="172"/>
      <c r="F593" s="212"/>
      <c r="G593" s="172"/>
      <c r="H593" s="205"/>
      <c r="I593" s="149"/>
      <c r="J593" s="46"/>
      <c r="K593" s="46"/>
      <c r="L593" s="46"/>
      <c r="M593" s="46"/>
      <c r="N593" s="46"/>
      <c r="O593" s="46"/>
      <c r="P593" s="46"/>
      <c r="Q593" s="46"/>
      <c r="R593" s="46"/>
      <c r="S593" s="46"/>
      <c r="T593" s="46"/>
      <c r="U593" s="46"/>
      <c r="V593" s="46"/>
      <c r="W593" s="46"/>
    </row>
    <row r="594">
      <c r="A594" s="55"/>
      <c r="B594" s="205"/>
      <c r="C594" s="55"/>
      <c r="D594" s="205"/>
      <c r="E594" s="172"/>
      <c r="F594" s="212"/>
      <c r="G594" s="172"/>
      <c r="H594" s="205"/>
      <c r="I594" s="149"/>
      <c r="J594" s="46"/>
      <c r="K594" s="46"/>
      <c r="L594" s="46"/>
      <c r="M594" s="46"/>
      <c r="N594" s="46"/>
      <c r="O594" s="46"/>
      <c r="P594" s="46"/>
      <c r="Q594" s="46"/>
      <c r="R594" s="46"/>
      <c r="S594" s="46"/>
      <c r="T594" s="46"/>
      <c r="U594" s="46"/>
      <c r="V594" s="46"/>
      <c r="W594" s="46"/>
    </row>
    <row r="595">
      <c r="A595" s="55"/>
      <c r="B595" s="205"/>
      <c r="C595" s="55"/>
      <c r="D595" s="205"/>
      <c r="E595" s="172"/>
      <c r="F595" s="212"/>
      <c r="G595" s="172"/>
      <c r="H595" s="205"/>
      <c r="I595" s="149"/>
      <c r="J595" s="46"/>
      <c r="K595" s="46"/>
      <c r="L595" s="46"/>
      <c r="M595" s="46"/>
      <c r="N595" s="46"/>
      <c r="O595" s="46"/>
      <c r="P595" s="46"/>
      <c r="Q595" s="46"/>
      <c r="R595" s="46"/>
      <c r="S595" s="46"/>
      <c r="T595" s="46"/>
      <c r="U595" s="46"/>
      <c r="V595" s="46"/>
      <c r="W595" s="46"/>
    </row>
    <row r="596">
      <c r="A596" s="55"/>
      <c r="B596" s="205"/>
      <c r="C596" s="55"/>
      <c r="D596" s="205"/>
      <c r="E596" s="172"/>
      <c r="F596" s="212"/>
      <c r="G596" s="172"/>
      <c r="H596" s="205"/>
      <c r="I596" s="149"/>
      <c r="J596" s="46"/>
      <c r="K596" s="46"/>
      <c r="L596" s="46"/>
      <c r="M596" s="46"/>
      <c r="N596" s="46"/>
      <c r="O596" s="46"/>
      <c r="P596" s="46"/>
      <c r="Q596" s="46"/>
      <c r="R596" s="46"/>
      <c r="S596" s="46"/>
      <c r="T596" s="46"/>
      <c r="U596" s="46"/>
      <c r="V596" s="46"/>
      <c r="W596" s="46"/>
    </row>
    <row r="597">
      <c r="A597" s="55"/>
      <c r="B597" s="205"/>
      <c r="C597" s="55"/>
      <c r="D597" s="205"/>
      <c r="E597" s="172"/>
      <c r="F597" s="212"/>
      <c r="G597" s="172"/>
      <c r="H597" s="205"/>
      <c r="I597" s="149"/>
      <c r="J597" s="46"/>
      <c r="K597" s="46"/>
      <c r="L597" s="46"/>
      <c r="M597" s="46"/>
      <c r="N597" s="46"/>
      <c r="O597" s="46"/>
      <c r="P597" s="46"/>
      <c r="Q597" s="46"/>
      <c r="R597" s="46"/>
      <c r="S597" s="46"/>
      <c r="T597" s="46"/>
      <c r="U597" s="46"/>
      <c r="V597" s="46"/>
      <c r="W597" s="46"/>
    </row>
    <row r="598">
      <c r="A598" s="55"/>
      <c r="B598" s="205"/>
      <c r="C598" s="55"/>
      <c r="D598" s="205"/>
      <c r="E598" s="172"/>
      <c r="F598" s="212"/>
      <c r="G598" s="172"/>
      <c r="H598" s="205"/>
      <c r="I598" s="149"/>
      <c r="J598" s="46"/>
      <c r="K598" s="46"/>
      <c r="L598" s="46"/>
      <c r="M598" s="46"/>
      <c r="N598" s="46"/>
      <c r="O598" s="46"/>
      <c r="P598" s="46"/>
      <c r="Q598" s="46"/>
      <c r="R598" s="46"/>
      <c r="S598" s="46"/>
      <c r="T598" s="46"/>
      <c r="U598" s="46"/>
      <c r="V598" s="46"/>
      <c r="W598" s="46"/>
    </row>
    <row r="599">
      <c r="A599" s="55"/>
      <c r="B599" s="205"/>
      <c r="C599" s="55"/>
      <c r="D599" s="205"/>
      <c r="E599" s="172"/>
      <c r="F599" s="212"/>
      <c r="G599" s="172"/>
      <c r="H599" s="205"/>
      <c r="I599" s="149"/>
      <c r="J599" s="46"/>
      <c r="K599" s="46"/>
      <c r="L599" s="46"/>
      <c r="M599" s="46"/>
      <c r="N599" s="46"/>
      <c r="O599" s="46"/>
      <c r="P599" s="46"/>
      <c r="Q599" s="46"/>
      <c r="R599" s="46"/>
      <c r="S599" s="46"/>
      <c r="T599" s="46"/>
      <c r="U599" s="46"/>
      <c r="V599" s="46"/>
      <c r="W599" s="46"/>
    </row>
    <row r="600">
      <c r="A600" s="55"/>
      <c r="B600" s="205"/>
      <c r="C600" s="55"/>
      <c r="D600" s="205"/>
      <c r="E600" s="172"/>
      <c r="F600" s="212"/>
      <c r="G600" s="172"/>
      <c r="H600" s="205"/>
      <c r="I600" s="149"/>
      <c r="J600" s="46"/>
      <c r="K600" s="46"/>
      <c r="L600" s="46"/>
      <c r="M600" s="46"/>
      <c r="N600" s="46"/>
      <c r="O600" s="46"/>
      <c r="P600" s="46"/>
      <c r="Q600" s="46"/>
      <c r="R600" s="46"/>
      <c r="S600" s="46"/>
      <c r="T600" s="46"/>
      <c r="U600" s="46"/>
      <c r="V600" s="46"/>
      <c r="W600" s="46"/>
    </row>
    <row r="601">
      <c r="A601" s="55"/>
      <c r="B601" s="205"/>
      <c r="C601" s="55"/>
      <c r="D601" s="205"/>
      <c r="E601" s="172"/>
      <c r="F601" s="212"/>
      <c r="G601" s="172"/>
      <c r="H601" s="205"/>
      <c r="I601" s="149"/>
      <c r="J601" s="46"/>
      <c r="K601" s="46"/>
      <c r="L601" s="46"/>
      <c r="M601" s="46"/>
      <c r="N601" s="46"/>
      <c r="O601" s="46"/>
      <c r="P601" s="46"/>
      <c r="Q601" s="46"/>
      <c r="R601" s="46"/>
      <c r="S601" s="46"/>
      <c r="T601" s="46"/>
      <c r="U601" s="46"/>
      <c r="V601" s="46"/>
      <c r="W601" s="46"/>
    </row>
    <row r="602">
      <c r="A602" s="55"/>
      <c r="B602" s="205"/>
      <c r="C602" s="55"/>
      <c r="D602" s="205"/>
      <c r="E602" s="172"/>
      <c r="F602" s="212"/>
      <c r="G602" s="172"/>
      <c r="H602" s="205"/>
      <c r="I602" s="149"/>
      <c r="J602" s="46"/>
      <c r="K602" s="46"/>
      <c r="L602" s="46"/>
      <c r="M602" s="46"/>
      <c r="N602" s="46"/>
      <c r="O602" s="46"/>
      <c r="P602" s="46"/>
      <c r="Q602" s="46"/>
      <c r="R602" s="46"/>
      <c r="S602" s="46"/>
      <c r="T602" s="46"/>
      <c r="U602" s="46"/>
      <c r="V602" s="46"/>
      <c r="W602" s="46"/>
    </row>
    <row r="603">
      <c r="A603" s="55"/>
      <c r="B603" s="205"/>
      <c r="C603" s="55"/>
      <c r="D603" s="205"/>
      <c r="E603" s="172"/>
      <c r="F603" s="212"/>
      <c r="G603" s="172"/>
      <c r="H603" s="205"/>
      <c r="I603" s="149"/>
      <c r="J603" s="46"/>
      <c r="K603" s="46"/>
      <c r="L603" s="46"/>
      <c r="M603" s="46"/>
      <c r="N603" s="46"/>
      <c r="O603" s="46"/>
      <c r="P603" s="46"/>
      <c r="Q603" s="46"/>
      <c r="R603" s="46"/>
      <c r="S603" s="46"/>
      <c r="T603" s="46"/>
      <c r="U603" s="46"/>
      <c r="V603" s="46"/>
      <c r="W603" s="46"/>
    </row>
    <row r="604">
      <c r="A604" s="55"/>
      <c r="B604" s="205"/>
      <c r="C604" s="55"/>
      <c r="D604" s="205"/>
      <c r="E604" s="172"/>
      <c r="F604" s="212"/>
      <c r="G604" s="172"/>
      <c r="H604" s="205"/>
      <c r="I604" s="149"/>
      <c r="J604" s="46"/>
      <c r="K604" s="46"/>
      <c r="L604" s="46"/>
      <c r="M604" s="46"/>
      <c r="N604" s="46"/>
      <c r="O604" s="46"/>
      <c r="P604" s="46"/>
      <c r="Q604" s="46"/>
      <c r="R604" s="46"/>
      <c r="S604" s="46"/>
      <c r="T604" s="46"/>
      <c r="U604" s="46"/>
      <c r="V604" s="46"/>
      <c r="W604" s="46"/>
    </row>
    <row r="605">
      <c r="A605" s="55"/>
      <c r="B605" s="205"/>
      <c r="C605" s="55"/>
      <c r="D605" s="205"/>
      <c r="E605" s="172"/>
      <c r="F605" s="212"/>
      <c r="G605" s="172"/>
      <c r="H605" s="205"/>
      <c r="I605" s="149"/>
      <c r="J605" s="46"/>
      <c r="K605" s="46"/>
      <c r="L605" s="46"/>
      <c r="M605" s="46"/>
      <c r="N605" s="46"/>
      <c r="O605" s="46"/>
      <c r="P605" s="46"/>
      <c r="Q605" s="46"/>
      <c r="R605" s="46"/>
      <c r="S605" s="46"/>
      <c r="T605" s="46"/>
      <c r="U605" s="46"/>
      <c r="V605" s="46"/>
      <c r="W605" s="46"/>
    </row>
    <row r="606">
      <c r="A606" s="55"/>
      <c r="B606" s="205"/>
      <c r="C606" s="55"/>
      <c r="D606" s="205"/>
      <c r="E606" s="172"/>
      <c r="F606" s="212"/>
      <c r="G606" s="172"/>
      <c r="H606" s="205"/>
      <c r="I606" s="149"/>
      <c r="J606" s="46"/>
      <c r="K606" s="46"/>
      <c r="L606" s="46"/>
      <c r="M606" s="46"/>
      <c r="N606" s="46"/>
      <c r="O606" s="46"/>
      <c r="P606" s="46"/>
      <c r="Q606" s="46"/>
      <c r="R606" s="46"/>
      <c r="S606" s="46"/>
      <c r="T606" s="46"/>
      <c r="U606" s="46"/>
      <c r="V606" s="46"/>
      <c r="W606" s="46"/>
    </row>
    <row r="607">
      <c r="A607" s="55"/>
      <c r="B607" s="205"/>
      <c r="C607" s="55"/>
      <c r="D607" s="205"/>
      <c r="E607" s="172"/>
      <c r="F607" s="212"/>
      <c r="G607" s="172"/>
      <c r="H607" s="205"/>
      <c r="I607" s="149"/>
      <c r="J607" s="46"/>
      <c r="K607" s="46"/>
      <c r="L607" s="46"/>
      <c r="M607" s="46"/>
      <c r="N607" s="46"/>
      <c r="O607" s="46"/>
      <c r="P607" s="46"/>
      <c r="Q607" s="46"/>
      <c r="R607" s="46"/>
      <c r="S607" s="46"/>
      <c r="T607" s="46"/>
      <c r="U607" s="46"/>
      <c r="V607" s="46"/>
      <c r="W607" s="46"/>
    </row>
    <row r="608">
      <c r="A608" s="55"/>
      <c r="B608" s="205"/>
      <c r="C608" s="55"/>
      <c r="D608" s="205"/>
      <c r="E608" s="172"/>
      <c r="F608" s="212"/>
      <c r="G608" s="172"/>
      <c r="H608" s="205"/>
      <c r="I608" s="149"/>
      <c r="J608" s="46"/>
      <c r="K608" s="46"/>
      <c r="L608" s="46"/>
      <c r="M608" s="46"/>
      <c r="N608" s="46"/>
      <c r="O608" s="46"/>
      <c r="P608" s="46"/>
      <c r="Q608" s="46"/>
      <c r="R608" s="46"/>
      <c r="S608" s="46"/>
      <c r="T608" s="46"/>
      <c r="U608" s="46"/>
      <c r="V608" s="46"/>
      <c r="W608" s="46"/>
    </row>
    <row r="609">
      <c r="A609" s="55"/>
      <c r="B609" s="205"/>
      <c r="C609" s="55"/>
      <c r="D609" s="205"/>
      <c r="E609" s="172"/>
      <c r="F609" s="212"/>
      <c r="G609" s="172"/>
      <c r="H609" s="205"/>
      <c r="I609" s="149"/>
      <c r="J609" s="46"/>
      <c r="K609" s="46"/>
      <c r="L609" s="46"/>
      <c r="M609" s="46"/>
      <c r="N609" s="46"/>
      <c r="O609" s="46"/>
      <c r="P609" s="46"/>
      <c r="Q609" s="46"/>
      <c r="R609" s="46"/>
      <c r="S609" s="46"/>
      <c r="T609" s="46"/>
      <c r="U609" s="46"/>
      <c r="V609" s="46"/>
      <c r="W609" s="46"/>
    </row>
    <row r="610">
      <c r="A610" s="55"/>
      <c r="B610" s="205"/>
      <c r="C610" s="55"/>
      <c r="D610" s="205"/>
      <c r="E610" s="172"/>
      <c r="F610" s="212"/>
      <c r="G610" s="172"/>
      <c r="H610" s="205"/>
      <c r="I610" s="149"/>
      <c r="J610" s="46"/>
      <c r="K610" s="46"/>
      <c r="L610" s="46"/>
      <c r="M610" s="46"/>
      <c r="N610" s="46"/>
      <c r="O610" s="46"/>
      <c r="P610" s="46"/>
      <c r="Q610" s="46"/>
      <c r="R610" s="46"/>
      <c r="S610" s="46"/>
      <c r="T610" s="46"/>
      <c r="U610" s="46"/>
      <c r="V610" s="46"/>
      <c r="W610" s="46"/>
    </row>
    <row r="611">
      <c r="A611" s="55"/>
      <c r="B611" s="205"/>
      <c r="C611" s="55"/>
      <c r="D611" s="205"/>
      <c r="E611" s="172"/>
      <c r="F611" s="212"/>
      <c r="G611" s="172"/>
      <c r="H611" s="205"/>
      <c r="I611" s="149"/>
      <c r="J611" s="46"/>
      <c r="K611" s="46"/>
      <c r="L611" s="46"/>
      <c r="M611" s="46"/>
      <c r="N611" s="46"/>
      <c r="O611" s="46"/>
      <c r="P611" s="46"/>
      <c r="Q611" s="46"/>
      <c r="R611" s="46"/>
      <c r="S611" s="46"/>
      <c r="T611" s="46"/>
      <c r="U611" s="46"/>
      <c r="V611" s="46"/>
      <c r="W611" s="46"/>
    </row>
    <row r="612">
      <c r="A612" s="55"/>
      <c r="B612" s="205"/>
      <c r="C612" s="55"/>
      <c r="D612" s="205"/>
      <c r="E612" s="172"/>
      <c r="F612" s="212"/>
      <c r="G612" s="172"/>
      <c r="H612" s="205"/>
      <c r="I612" s="149"/>
      <c r="J612" s="46"/>
      <c r="K612" s="46"/>
      <c r="L612" s="46"/>
      <c r="M612" s="46"/>
      <c r="N612" s="46"/>
      <c r="O612" s="46"/>
      <c r="P612" s="46"/>
      <c r="Q612" s="46"/>
      <c r="R612" s="46"/>
      <c r="S612" s="46"/>
      <c r="T612" s="46"/>
      <c r="U612" s="46"/>
      <c r="V612" s="46"/>
      <c r="W612" s="46"/>
    </row>
    <row r="613">
      <c r="A613" s="55"/>
      <c r="B613" s="205"/>
      <c r="C613" s="55"/>
      <c r="D613" s="205"/>
      <c r="E613" s="172"/>
      <c r="F613" s="212"/>
      <c r="G613" s="172"/>
      <c r="H613" s="205"/>
      <c r="I613" s="149"/>
      <c r="J613" s="46"/>
      <c r="K613" s="46"/>
      <c r="L613" s="46"/>
      <c r="M613" s="46"/>
      <c r="N613" s="46"/>
      <c r="O613" s="46"/>
      <c r="P613" s="46"/>
      <c r="Q613" s="46"/>
      <c r="R613" s="46"/>
      <c r="S613" s="46"/>
      <c r="T613" s="46"/>
      <c r="U613" s="46"/>
      <c r="V613" s="46"/>
      <c r="W613" s="46"/>
    </row>
    <row r="614">
      <c r="A614" s="55"/>
      <c r="B614" s="205"/>
      <c r="C614" s="55"/>
      <c r="D614" s="205"/>
      <c r="E614" s="172"/>
      <c r="F614" s="212"/>
      <c r="G614" s="172"/>
      <c r="H614" s="205"/>
      <c r="I614" s="149"/>
      <c r="J614" s="46"/>
      <c r="K614" s="46"/>
      <c r="L614" s="46"/>
      <c r="M614" s="46"/>
      <c r="N614" s="46"/>
      <c r="O614" s="46"/>
      <c r="P614" s="46"/>
      <c r="Q614" s="46"/>
      <c r="R614" s="46"/>
      <c r="S614" s="46"/>
      <c r="T614" s="46"/>
      <c r="U614" s="46"/>
      <c r="V614" s="46"/>
      <c r="W614" s="46"/>
    </row>
    <row r="615">
      <c r="A615" s="55"/>
      <c r="B615" s="205"/>
      <c r="C615" s="55"/>
      <c r="D615" s="205"/>
      <c r="E615" s="172"/>
      <c r="F615" s="212"/>
      <c r="G615" s="172"/>
      <c r="H615" s="205"/>
      <c r="I615" s="149"/>
      <c r="J615" s="46"/>
      <c r="K615" s="46"/>
      <c r="L615" s="46"/>
      <c r="M615" s="46"/>
      <c r="N615" s="46"/>
      <c r="O615" s="46"/>
      <c r="P615" s="46"/>
      <c r="Q615" s="46"/>
      <c r="R615" s="46"/>
      <c r="S615" s="46"/>
      <c r="T615" s="46"/>
      <c r="U615" s="46"/>
      <c r="V615" s="46"/>
      <c r="W615" s="46"/>
    </row>
    <row r="616">
      <c r="A616" s="55"/>
      <c r="B616" s="205"/>
      <c r="C616" s="55"/>
      <c r="D616" s="205"/>
      <c r="E616" s="172"/>
      <c r="F616" s="212"/>
      <c r="G616" s="172"/>
      <c r="H616" s="205"/>
      <c r="I616" s="149"/>
      <c r="J616" s="46"/>
      <c r="K616" s="46"/>
      <c r="L616" s="46"/>
      <c r="M616" s="46"/>
      <c r="N616" s="46"/>
      <c r="O616" s="46"/>
      <c r="P616" s="46"/>
      <c r="Q616" s="46"/>
      <c r="R616" s="46"/>
      <c r="S616" s="46"/>
      <c r="T616" s="46"/>
      <c r="U616" s="46"/>
      <c r="V616" s="46"/>
      <c r="W616" s="46"/>
    </row>
    <row r="617">
      <c r="A617" s="55"/>
      <c r="B617" s="205"/>
      <c r="C617" s="55"/>
      <c r="D617" s="205"/>
      <c r="E617" s="172"/>
      <c r="F617" s="212"/>
      <c r="G617" s="172"/>
      <c r="H617" s="205"/>
      <c r="I617" s="149"/>
      <c r="J617" s="46"/>
      <c r="K617" s="46"/>
      <c r="L617" s="46"/>
      <c r="M617" s="46"/>
      <c r="N617" s="46"/>
      <c r="O617" s="46"/>
      <c r="P617" s="46"/>
      <c r="Q617" s="46"/>
      <c r="R617" s="46"/>
      <c r="S617" s="46"/>
      <c r="T617" s="46"/>
      <c r="U617" s="46"/>
      <c r="V617" s="46"/>
      <c r="W617" s="46"/>
    </row>
    <row r="618">
      <c r="A618" s="55"/>
      <c r="B618" s="205"/>
      <c r="C618" s="55"/>
      <c r="D618" s="205"/>
      <c r="E618" s="172"/>
      <c r="F618" s="212"/>
      <c r="G618" s="172"/>
      <c r="H618" s="205"/>
      <c r="I618" s="149"/>
      <c r="J618" s="46"/>
      <c r="K618" s="46"/>
      <c r="L618" s="46"/>
      <c r="M618" s="46"/>
      <c r="N618" s="46"/>
      <c r="O618" s="46"/>
      <c r="P618" s="46"/>
      <c r="Q618" s="46"/>
      <c r="R618" s="46"/>
      <c r="S618" s="46"/>
      <c r="T618" s="46"/>
      <c r="U618" s="46"/>
      <c r="V618" s="46"/>
      <c r="W618" s="46"/>
    </row>
    <row r="619">
      <c r="A619" s="55"/>
      <c r="B619" s="205"/>
      <c r="C619" s="55"/>
      <c r="D619" s="205"/>
      <c r="E619" s="172"/>
      <c r="F619" s="212"/>
      <c r="G619" s="172"/>
      <c r="H619" s="205"/>
      <c r="I619" s="149"/>
      <c r="J619" s="46"/>
      <c r="K619" s="46"/>
      <c r="L619" s="46"/>
      <c r="M619" s="46"/>
      <c r="N619" s="46"/>
      <c r="O619" s="46"/>
      <c r="P619" s="46"/>
      <c r="Q619" s="46"/>
      <c r="R619" s="46"/>
      <c r="S619" s="46"/>
      <c r="T619" s="46"/>
      <c r="U619" s="46"/>
      <c r="V619" s="46"/>
      <c r="W619" s="46"/>
    </row>
    <row r="620">
      <c r="A620" s="55"/>
      <c r="B620" s="205"/>
      <c r="C620" s="55"/>
      <c r="D620" s="205"/>
      <c r="E620" s="172"/>
      <c r="F620" s="212"/>
      <c r="G620" s="172"/>
      <c r="H620" s="205"/>
      <c r="I620" s="149"/>
      <c r="J620" s="46"/>
      <c r="K620" s="46"/>
      <c r="L620" s="46"/>
      <c r="M620" s="46"/>
      <c r="N620" s="46"/>
      <c r="O620" s="46"/>
      <c r="P620" s="46"/>
      <c r="Q620" s="46"/>
      <c r="R620" s="46"/>
      <c r="S620" s="46"/>
      <c r="T620" s="46"/>
      <c r="U620" s="46"/>
      <c r="V620" s="46"/>
      <c r="W620" s="46"/>
    </row>
    <row r="621">
      <c r="A621" s="55"/>
      <c r="B621" s="205"/>
      <c r="C621" s="55"/>
      <c r="D621" s="205"/>
      <c r="E621" s="172"/>
      <c r="F621" s="212"/>
      <c r="G621" s="172"/>
      <c r="H621" s="205"/>
      <c r="I621" s="149"/>
      <c r="J621" s="46"/>
      <c r="K621" s="46"/>
      <c r="L621" s="46"/>
      <c r="M621" s="46"/>
      <c r="N621" s="46"/>
      <c r="O621" s="46"/>
      <c r="P621" s="46"/>
      <c r="Q621" s="46"/>
      <c r="R621" s="46"/>
      <c r="S621" s="46"/>
      <c r="T621" s="46"/>
      <c r="U621" s="46"/>
      <c r="V621" s="46"/>
      <c r="W621" s="46"/>
    </row>
    <row r="622">
      <c r="A622" s="55"/>
      <c r="B622" s="205"/>
      <c r="C622" s="55"/>
      <c r="D622" s="205"/>
      <c r="E622" s="172"/>
      <c r="F622" s="212"/>
      <c r="G622" s="172"/>
      <c r="H622" s="205"/>
      <c r="I622" s="149"/>
      <c r="J622" s="46"/>
      <c r="K622" s="46"/>
      <c r="L622" s="46"/>
      <c r="M622" s="46"/>
      <c r="N622" s="46"/>
      <c r="O622" s="46"/>
      <c r="P622" s="46"/>
      <c r="Q622" s="46"/>
      <c r="R622" s="46"/>
      <c r="S622" s="46"/>
      <c r="T622" s="46"/>
      <c r="U622" s="46"/>
      <c r="V622" s="46"/>
      <c r="W622" s="46"/>
    </row>
    <row r="623">
      <c r="A623" s="55"/>
      <c r="B623" s="205"/>
      <c r="C623" s="55"/>
      <c r="D623" s="205"/>
      <c r="E623" s="172"/>
      <c r="F623" s="212"/>
      <c r="G623" s="172"/>
      <c r="H623" s="205"/>
      <c r="I623" s="149"/>
      <c r="J623" s="46"/>
      <c r="K623" s="46"/>
      <c r="L623" s="46"/>
      <c r="M623" s="46"/>
      <c r="N623" s="46"/>
      <c r="O623" s="46"/>
      <c r="P623" s="46"/>
      <c r="Q623" s="46"/>
      <c r="R623" s="46"/>
      <c r="S623" s="46"/>
      <c r="T623" s="46"/>
      <c r="U623" s="46"/>
      <c r="V623" s="46"/>
      <c r="W623" s="46"/>
    </row>
    <row r="624">
      <c r="A624" s="55"/>
      <c r="B624" s="205"/>
      <c r="C624" s="55"/>
      <c r="D624" s="205"/>
      <c r="E624" s="172"/>
      <c r="F624" s="212"/>
      <c r="G624" s="172"/>
      <c r="H624" s="205"/>
      <c r="I624" s="149"/>
      <c r="J624" s="46"/>
      <c r="K624" s="46"/>
      <c r="L624" s="46"/>
      <c r="M624" s="46"/>
      <c r="N624" s="46"/>
      <c r="O624" s="46"/>
      <c r="P624" s="46"/>
      <c r="Q624" s="46"/>
      <c r="R624" s="46"/>
      <c r="S624" s="46"/>
      <c r="T624" s="46"/>
      <c r="U624" s="46"/>
      <c r="V624" s="46"/>
      <c r="W624" s="46"/>
    </row>
    <row r="625">
      <c r="A625" s="55"/>
      <c r="B625" s="205"/>
      <c r="C625" s="55"/>
      <c r="D625" s="205"/>
      <c r="E625" s="172"/>
      <c r="F625" s="212"/>
      <c r="G625" s="172"/>
      <c r="H625" s="205"/>
      <c r="I625" s="149"/>
      <c r="J625" s="46"/>
      <c r="K625" s="46"/>
      <c r="L625" s="46"/>
      <c r="M625" s="46"/>
      <c r="N625" s="46"/>
      <c r="O625" s="46"/>
      <c r="P625" s="46"/>
      <c r="Q625" s="46"/>
      <c r="R625" s="46"/>
      <c r="S625" s="46"/>
      <c r="T625" s="46"/>
      <c r="U625" s="46"/>
      <c r="V625" s="46"/>
      <c r="W625" s="46"/>
    </row>
    <row r="626">
      <c r="A626" s="55"/>
      <c r="B626" s="205"/>
      <c r="C626" s="55"/>
      <c r="D626" s="205"/>
      <c r="E626" s="172"/>
      <c r="F626" s="212"/>
      <c r="G626" s="172"/>
      <c r="H626" s="205"/>
      <c r="I626" s="149"/>
      <c r="J626" s="46"/>
      <c r="K626" s="46"/>
      <c r="L626" s="46"/>
      <c r="M626" s="46"/>
      <c r="N626" s="46"/>
      <c r="O626" s="46"/>
      <c r="P626" s="46"/>
      <c r="Q626" s="46"/>
      <c r="R626" s="46"/>
      <c r="S626" s="46"/>
      <c r="T626" s="46"/>
      <c r="U626" s="46"/>
      <c r="V626" s="46"/>
      <c r="W626" s="46"/>
    </row>
    <row r="627">
      <c r="A627" s="55"/>
      <c r="B627" s="205"/>
      <c r="C627" s="55"/>
      <c r="D627" s="205"/>
      <c r="E627" s="172"/>
      <c r="F627" s="212"/>
      <c r="G627" s="172"/>
      <c r="H627" s="205"/>
      <c r="I627" s="149"/>
      <c r="J627" s="46"/>
      <c r="K627" s="46"/>
      <c r="L627" s="46"/>
      <c r="M627" s="46"/>
      <c r="N627" s="46"/>
      <c r="O627" s="46"/>
      <c r="P627" s="46"/>
      <c r="Q627" s="46"/>
      <c r="R627" s="46"/>
      <c r="S627" s="46"/>
      <c r="T627" s="46"/>
      <c r="U627" s="46"/>
      <c r="V627" s="46"/>
      <c r="W627" s="46"/>
    </row>
    <row r="628">
      <c r="A628" s="55"/>
      <c r="B628" s="205"/>
      <c r="C628" s="55"/>
      <c r="D628" s="205"/>
      <c r="E628" s="172"/>
      <c r="F628" s="212"/>
      <c r="G628" s="172"/>
      <c r="H628" s="205"/>
      <c r="I628" s="149"/>
      <c r="J628" s="46"/>
      <c r="K628" s="46"/>
      <c r="L628" s="46"/>
      <c r="M628" s="46"/>
      <c r="N628" s="46"/>
      <c r="O628" s="46"/>
      <c r="P628" s="46"/>
      <c r="Q628" s="46"/>
      <c r="R628" s="46"/>
      <c r="S628" s="46"/>
      <c r="T628" s="46"/>
      <c r="U628" s="46"/>
      <c r="V628" s="46"/>
      <c r="W628" s="46"/>
    </row>
    <row r="629">
      <c r="A629" s="55"/>
      <c r="B629" s="205"/>
      <c r="C629" s="55"/>
      <c r="D629" s="205"/>
      <c r="E629" s="172"/>
      <c r="F629" s="212"/>
      <c r="G629" s="172"/>
      <c r="H629" s="205"/>
      <c r="I629" s="149"/>
      <c r="J629" s="46"/>
      <c r="K629" s="46"/>
      <c r="L629" s="46"/>
      <c r="M629" s="46"/>
      <c r="N629" s="46"/>
      <c r="O629" s="46"/>
      <c r="P629" s="46"/>
      <c r="Q629" s="46"/>
      <c r="R629" s="46"/>
      <c r="S629" s="46"/>
      <c r="T629" s="46"/>
      <c r="U629" s="46"/>
      <c r="V629" s="46"/>
      <c r="W629" s="46"/>
    </row>
    <row r="630">
      <c r="A630" s="55"/>
      <c r="B630" s="205"/>
      <c r="C630" s="55"/>
      <c r="D630" s="205"/>
      <c r="E630" s="172"/>
      <c r="F630" s="212"/>
      <c r="G630" s="172"/>
      <c r="H630" s="205"/>
      <c r="I630" s="149"/>
      <c r="J630" s="46"/>
      <c r="K630" s="46"/>
      <c r="L630" s="46"/>
      <c r="M630" s="46"/>
      <c r="N630" s="46"/>
      <c r="O630" s="46"/>
      <c r="P630" s="46"/>
      <c r="Q630" s="46"/>
      <c r="R630" s="46"/>
      <c r="S630" s="46"/>
      <c r="T630" s="46"/>
      <c r="U630" s="46"/>
      <c r="V630" s="46"/>
      <c r="W630" s="46"/>
    </row>
    <row r="631">
      <c r="A631" s="55"/>
      <c r="B631" s="205"/>
      <c r="C631" s="55"/>
      <c r="D631" s="205"/>
      <c r="E631" s="172"/>
      <c r="F631" s="212"/>
      <c r="G631" s="172"/>
      <c r="H631" s="205"/>
      <c r="I631" s="149"/>
      <c r="J631" s="46"/>
      <c r="K631" s="46"/>
      <c r="L631" s="46"/>
      <c r="M631" s="46"/>
      <c r="N631" s="46"/>
      <c r="O631" s="46"/>
      <c r="P631" s="46"/>
      <c r="Q631" s="46"/>
      <c r="R631" s="46"/>
      <c r="S631" s="46"/>
      <c r="T631" s="46"/>
      <c r="U631" s="46"/>
      <c r="V631" s="46"/>
      <c r="W631" s="46"/>
    </row>
    <row r="632">
      <c r="A632" s="55"/>
      <c r="B632" s="205"/>
      <c r="C632" s="55"/>
      <c r="D632" s="205"/>
      <c r="E632" s="172"/>
      <c r="F632" s="212"/>
      <c r="G632" s="172"/>
      <c r="H632" s="205"/>
      <c r="I632" s="149"/>
      <c r="J632" s="46"/>
      <c r="K632" s="46"/>
      <c r="L632" s="46"/>
      <c r="M632" s="46"/>
      <c r="N632" s="46"/>
      <c r="O632" s="46"/>
      <c r="P632" s="46"/>
      <c r="Q632" s="46"/>
      <c r="R632" s="46"/>
      <c r="S632" s="46"/>
      <c r="T632" s="46"/>
      <c r="U632" s="46"/>
      <c r="V632" s="46"/>
      <c r="W632" s="46"/>
    </row>
    <row r="633">
      <c r="A633" s="55"/>
      <c r="B633" s="205"/>
      <c r="C633" s="55"/>
      <c r="D633" s="205"/>
      <c r="E633" s="172"/>
      <c r="F633" s="212"/>
      <c r="G633" s="172"/>
      <c r="H633" s="205"/>
      <c r="I633" s="149"/>
      <c r="J633" s="46"/>
      <c r="K633" s="46"/>
      <c r="L633" s="46"/>
      <c r="M633" s="46"/>
      <c r="N633" s="46"/>
      <c r="O633" s="46"/>
      <c r="P633" s="46"/>
      <c r="Q633" s="46"/>
      <c r="R633" s="46"/>
      <c r="S633" s="46"/>
      <c r="T633" s="46"/>
      <c r="U633" s="46"/>
      <c r="V633" s="46"/>
      <c r="W633" s="46"/>
    </row>
    <row r="634">
      <c r="A634" s="55"/>
      <c r="B634" s="205"/>
      <c r="C634" s="55"/>
      <c r="D634" s="205"/>
      <c r="E634" s="172"/>
      <c r="F634" s="212"/>
      <c r="G634" s="172"/>
      <c r="H634" s="205"/>
      <c r="I634" s="149"/>
      <c r="J634" s="46"/>
      <c r="K634" s="46"/>
      <c r="L634" s="46"/>
      <c r="M634" s="46"/>
      <c r="N634" s="46"/>
      <c r="O634" s="46"/>
      <c r="P634" s="46"/>
      <c r="Q634" s="46"/>
      <c r="R634" s="46"/>
      <c r="S634" s="46"/>
      <c r="T634" s="46"/>
      <c r="U634" s="46"/>
      <c r="V634" s="46"/>
      <c r="W634" s="46"/>
    </row>
    <row r="635">
      <c r="A635" s="55"/>
      <c r="B635" s="205"/>
      <c r="C635" s="55"/>
      <c r="D635" s="205"/>
      <c r="E635" s="172"/>
      <c r="F635" s="212"/>
      <c r="G635" s="172"/>
      <c r="H635" s="205"/>
      <c r="I635" s="149"/>
      <c r="J635" s="46"/>
      <c r="K635" s="46"/>
      <c r="L635" s="46"/>
      <c r="M635" s="46"/>
      <c r="N635" s="46"/>
      <c r="O635" s="46"/>
      <c r="P635" s="46"/>
      <c r="Q635" s="46"/>
      <c r="R635" s="46"/>
      <c r="S635" s="46"/>
      <c r="T635" s="46"/>
      <c r="U635" s="46"/>
      <c r="V635" s="46"/>
      <c r="W635" s="46"/>
    </row>
    <row r="636">
      <c r="A636" s="55"/>
      <c r="B636" s="205"/>
      <c r="C636" s="55"/>
      <c r="D636" s="205"/>
      <c r="E636" s="172"/>
      <c r="F636" s="212"/>
      <c r="G636" s="172"/>
      <c r="H636" s="205"/>
      <c r="I636" s="149"/>
      <c r="J636" s="46"/>
      <c r="K636" s="46"/>
      <c r="L636" s="46"/>
      <c r="M636" s="46"/>
      <c r="N636" s="46"/>
      <c r="O636" s="46"/>
      <c r="P636" s="46"/>
      <c r="Q636" s="46"/>
      <c r="R636" s="46"/>
      <c r="S636" s="46"/>
      <c r="T636" s="46"/>
      <c r="U636" s="46"/>
      <c r="V636" s="46"/>
      <c r="W636" s="46"/>
    </row>
    <row r="637">
      <c r="A637" s="55"/>
      <c r="B637" s="205"/>
      <c r="C637" s="55"/>
      <c r="D637" s="205"/>
      <c r="E637" s="172"/>
      <c r="F637" s="212"/>
      <c r="G637" s="172"/>
      <c r="H637" s="205"/>
      <c r="I637" s="149"/>
      <c r="J637" s="46"/>
      <c r="K637" s="46"/>
      <c r="L637" s="46"/>
      <c r="M637" s="46"/>
      <c r="N637" s="46"/>
      <c r="O637" s="46"/>
      <c r="P637" s="46"/>
      <c r="Q637" s="46"/>
      <c r="R637" s="46"/>
      <c r="S637" s="46"/>
      <c r="T637" s="46"/>
      <c r="U637" s="46"/>
      <c r="V637" s="46"/>
      <c r="W637" s="46"/>
    </row>
    <row r="638">
      <c r="A638" s="55"/>
      <c r="B638" s="205"/>
      <c r="C638" s="55"/>
      <c r="D638" s="205"/>
      <c r="E638" s="172"/>
      <c r="F638" s="212"/>
      <c r="G638" s="172"/>
      <c r="H638" s="205"/>
      <c r="I638" s="149"/>
      <c r="J638" s="46"/>
      <c r="K638" s="46"/>
      <c r="L638" s="46"/>
      <c r="M638" s="46"/>
      <c r="N638" s="46"/>
      <c r="O638" s="46"/>
      <c r="P638" s="46"/>
      <c r="Q638" s="46"/>
      <c r="R638" s="46"/>
      <c r="S638" s="46"/>
      <c r="T638" s="46"/>
      <c r="U638" s="46"/>
      <c r="V638" s="46"/>
      <c r="W638" s="46"/>
    </row>
    <row r="639">
      <c r="A639" s="55"/>
      <c r="B639" s="205"/>
      <c r="C639" s="55"/>
      <c r="D639" s="205"/>
      <c r="E639" s="172"/>
      <c r="F639" s="212"/>
      <c r="G639" s="172"/>
      <c r="H639" s="205"/>
      <c r="I639" s="149"/>
      <c r="J639" s="46"/>
      <c r="K639" s="46"/>
      <c r="L639" s="46"/>
      <c r="M639" s="46"/>
      <c r="N639" s="46"/>
      <c r="O639" s="46"/>
      <c r="P639" s="46"/>
      <c r="Q639" s="46"/>
      <c r="R639" s="46"/>
      <c r="S639" s="46"/>
      <c r="T639" s="46"/>
      <c r="U639" s="46"/>
      <c r="V639" s="46"/>
      <c r="W639" s="46"/>
    </row>
    <row r="640">
      <c r="A640" s="55"/>
      <c r="B640" s="205"/>
      <c r="C640" s="55"/>
      <c r="D640" s="205"/>
      <c r="E640" s="172"/>
      <c r="F640" s="212"/>
      <c r="G640" s="172"/>
      <c r="H640" s="205"/>
      <c r="I640" s="149"/>
      <c r="J640" s="46"/>
      <c r="K640" s="46"/>
      <c r="L640" s="46"/>
      <c r="M640" s="46"/>
      <c r="N640" s="46"/>
      <c r="O640" s="46"/>
      <c r="P640" s="46"/>
      <c r="Q640" s="46"/>
      <c r="R640" s="46"/>
      <c r="S640" s="46"/>
      <c r="T640" s="46"/>
      <c r="U640" s="46"/>
      <c r="V640" s="46"/>
      <c r="W640" s="46"/>
    </row>
    <row r="641">
      <c r="A641" s="55"/>
      <c r="B641" s="205"/>
      <c r="C641" s="55"/>
      <c r="D641" s="205"/>
      <c r="E641" s="172"/>
      <c r="F641" s="212"/>
      <c r="G641" s="172"/>
      <c r="H641" s="205"/>
      <c r="I641" s="149"/>
      <c r="J641" s="46"/>
      <c r="K641" s="46"/>
      <c r="L641" s="46"/>
      <c r="M641" s="46"/>
      <c r="N641" s="46"/>
      <c r="O641" s="46"/>
      <c r="P641" s="46"/>
      <c r="Q641" s="46"/>
      <c r="R641" s="46"/>
      <c r="S641" s="46"/>
      <c r="T641" s="46"/>
      <c r="U641" s="46"/>
      <c r="V641" s="46"/>
      <c r="W641" s="46"/>
    </row>
    <row r="642">
      <c r="A642" s="55"/>
      <c r="B642" s="205"/>
      <c r="C642" s="55"/>
      <c r="D642" s="205"/>
      <c r="E642" s="172"/>
      <c r="F642" s="212"/>
      <c r="G642" s="172"/>
      <c r="H642" s="205"/>
      <c r="I642" s="149"/>
      <c r="J642" s="46"/>
      <c r="K642" s="46"/>
      <c r="L642" s="46"/>
      <c r="M642" s="46"/>
      <c r="N642" s="46"/>
      <c r="O642" s="46"/>
      <c r="P642" s="46"/>
      <c r="Q642" s="46"/>
      <c r="R642" s="46"/>
      <c r="S642" s="46"/>
      <c r="T642" s="46"/>
      <c r="U642" s="46"/>
      <c r="V642" s="46"/>
      <c r="W642" s="46"/>
    </row>
    <row r="643">
      <c r="A643" s="55"/>
      <c r="B643" s="205"/>
      <c r="C643" s="55"/>
      <c r="D643" s="205"/>
      <c r="E643" s="172"/>
      <c r="F643" s="212"/>
      <c r="G643" s="172"/>
      <c r="H643" s="205"/>
      <c r="I643" s="149"/>
      <c r="J643" s="46"/>
      <c r="K643" s="46"/>
      <c r="L643" s="46"/>
      <c r="M643" s="46"/>
      <c r="N643" s="46"/>
      <c r="O643" s="46"/>
      <c r="P643" s="46"/>
      <c r="Q643" s="46"/>
      <c r="R643" s="46"/>
      <c r="S643" s="46"/>
      <c r="T643" s="46"/>
      <c r="U643" s="46"/>
      <c r="V643" s="46"/>
      <c r="W643" s="46"/>
    </row>
    <row r="644">
      <c r="A644" s="55"/>
      <c r="B644" s="205"/>
      <c r="C644" s="55"/>
      <c r="D644" s="205"/>
      <c r="E644" s="172"/>
      <c r="F644" s="212"/>
      <c r="G644" s="172"/>
      <c r="H644" s="205"/>
      <c r="I644" s="149"/>
      <c r="J644" s="46"/>
      <c r="K644" s="46"/>
      <c r="L644" s="46"/>
      <c r="M644" s="46"/>
      <c r="N644" s="46"/>
      <c r="O644" s="46"/>
      <c r="P644" s="46"/>
      <c r="Q644" s="46"/>
      <c r="R644" s="46"/>
      <c r="S644" s="46"/>
      <c r="T644" s="46"/>
      <c r="U644" s="46"/>
      <c r="V644" s="46"/>
      <c r="W644" s="46"/>
    </row>
    <row r="645">
      <c r="A645" s="55"/>
      <c r="B645" s="205"/>
      <c r="C645" s="55"/>
      <c r="D645" s="205"/>
      <c r="E645" s="172"/>
      <c r="F645" s="212"/>
      <c r="G645" s="172"/>
      <c r="H645" s="205"/>
      <c r="I645" s="149"/>
      <c r="J645" s="46"/>
      <c r="K645" s="46"/>
      <c r="L645" s="46"/>
      <c r="M645" s="46"/>
      <c r="N645" s="46"/>
      <c r="O645" s="46"/>
      <c r="P645" s="46"/>
      <c r="Q645" s="46"/>
      <c r="R645" s="46"/>
      <c r="S645" s="46"/>
      <c r="T645" s="46"/>
      <c r="U645" s="46"/>
      <c r="V645" s="46"/>
      <c r="W645" s="46"/>
    </row>
    <row r="646">
      <c r="A646" s="55"/>
      <c r="B646" s="205"/>
      <c r="C646" s="55"/>
      <c r="D646" s="205"/>
      <c r="E646" s="172"/>
      <c r="F646" s="212"/>
      <c r="G646" s="172"/>
      <c r="H646" s="205"/>
      <c r="I646" s="149"/>
      <c r="J646" s="46"/>
      <c r="K646" s="46"/>
      <c r="L646" s="46"/>
      <c r="M646" s="46"/>
      <c r="N646" s="46"/>
      <c r="O646" s="46"/>
      <c r="P646" s="46"/>
      <c r="Q646" s="46"/>
      <c r="R646" s="46"/>
      <c r="S646" s="46"/>
      <c r="T646" s="46"/>
      <c r="U646" s="46"/>
      <c r="V646" s="46"/>
      <c r="W646" s="46"/>
    </row>
    <row r="647">
      <c r="A647" s="55"/>
      <c r="B647" s="205"/>
      <c r="C647" s="55"/>
      <c r="D647" s="205"/>
      <c r="E647" s="172"/>
      <c r="F647" s="212"/>
      <c r="G647" s="172"/>
      <c r="H647" s="205"/>
      <c r="I647" s="149"/>
      <c r="J647" s="46"/>
      <c r="K647" s="46"/>
      <c r="L647" s="46"/>
      <c r="M647" s="46"/>
      <c r="N647" s="46"/>
      <c r="O647" s="46"/>
      <c r="P647" s="46"/>
      <c r="Q647" s="46"/>
      <c r="R647" s="46"/>
      <c r="S647" s="46"/>
      <c r="T647" s="46"/>
      <c r="U647" s="46"/>
      <c r="V647" s="46"/>
      <c r="W647" s="46"/>
    </row>
    <row r="648">
      <c r="A648" s="55"/>
      <c r="B648" s="205"/>
      <c r="C648" s="55"/>
      <c r="D648" s="205"/>
      <c r="E648" s="172"/>
      <c r="F648" s="212"/>
      <c r="G648" s="172"/>
      <c r="H648" s="205"/>
      <c r="I648" s="149"/>
      <c r="J648" s="46"/>
      <c r="K648" s="46"/>
      <c r="L648" s="46"/>
      <c r="M648" s="46"/>
      <c r="N648" s="46"/>
      <c r="O648" s="46"/>
      <c r="P648" s="46"/>
      <c r="Q648" s="46"/>
      <c r="R648" s="46"/>
      <c r="S648" s="46"/>
      <c r="T648" s="46"/>
      <c r="U648" s="46"/>
      <c r="V648" s="46"/>
      <c r="W648" s="46"/>
    </row>
    <row r="649">
      <c r="A649" s="55"/>
      <c r="B649" s="205"/>
      <c r="C649" s="55"/>
      <c r="D649" s="205"/>
      <c r="E649" s="172"/>
      <c r="F649" s="212"/>
      <c r="G649" s="172"/>
      <c r="H649" s="205"/>
      <c r="I649" s="149"/>
      <c r="J649" s="46"/>
      <c r="K649" s="46"/>
      <c r="L649" s="46"/>
      <c r="M649" s="46"/>
      <c r="N649" s="46"/>
      <c r="O649" s="46"/>
      <c r="P649" s="46"/>
      <c r="Q649" s="46"/>
      <c r="R649" s="46"/>
      <c r="S649" s="46"/>
      <c r="T649" s="46"/>
      <c r="U649" s="46"/>
      <c r="V649" s="46"/>
      <c r="W649" s="46"/>
    </row>
    <row r="650">
      <c r="A650" s="55"/>
      <c r="B650" s="205"/>
      <c r="C650" s="55"/>
      <c r="D650" s="205"/>
      <c r="E650" s="172"/>
      <c r="F650" s="212"/>
      <c r="G650" s="172"/>
      <c r="H650" s="205"/>
      <c r="I650" s="149"/>
      <c r="J650" s="46"/>
      <c r="K650" s="46"/>
      <c r="L650" s="46"/>
      <c r="M650" s="46"/>
      <c r="N650" s="46"/>
      <c r="O650" s="46"/>
      <c r="P650" s="46"/>
      <c r="Q650" s="46"/>
      <c r="R650" s="46"/>
      <c r="S650" s="46"/>
      <c r="T650" s="46"/>
      <c r="U650" s="46"/>
      <c r="V650" s="46"/>
      <c r="W650" s="46"/>
    </row>
    <row r="651">
      <c r="A651" s="55"/>
      <c r="B651" s="205"/>
      <c r="C651" s="55"/>
      <c r="D651" s="205"/>
      <c r="E651" s="172"/>
      <c r="F651" s="212"/>
      <c r="G651" s="172"/>
      <c r="H651" s="205"/>
      <c r="I651" s="149"/>
      <c r="J651" s="46"/>
      <c r="K651" s="46"/>
      <c r="L651" s="46"/>
      <c r="M651" s="46"/>
      <c r="N651" s="46"/>
      <c r="O651" s="46"/>
      <c r="P651" s="46"/>
      <c r="Q651" s="46"/>
      <c r="R651" s="46"/>
      <c r="S651" s="46"/>
      <c r="T651" s="46"/>
      <c r="U651" s="46"/>
      <c r="V651" s="46"/>
      <c r="W651" s="46"/>
    </row>
    <row r="652">
      <c r="A652" s="55"/>
      <c r="B652" s="205"/>
      <c r="C652" s="55"/>
      <c r="D652" s="205"/>
      <c r="E652" s="172"/>
      <c r="F652" s="212"/>
      <c r="G652" s="172"/>
      <c r="H652" s="205"/>
      <c r="I652" s="149"/>
      <c r="J652" s="46"/>
      <c r="K652" s="46"/>
      <c r="L652" s="46"/>
      <c r="M652" s="46"/>
      <c r="N652" s="46"/>
      <c r="O652" s="46"/>
      <c r="P652" s="46"/>
      <c r="Q652" s="46"/>
      <c r="R652" s="46"/>
      <c r="S652" s="46"/>
      <c r="T652" s="46"/>
      <c r="U652" s="46"/>
      <c r="V652" s="46"/>
      <c r="W652" s="46"/>
    </row>
    <row r="653">
      <c r="A653" s="55"/>
      <c r="B653" s="205"/>
      <c r="C653" s="55"/>
      <c r="D653" s="205"/>
      <c r="E653" s="172"/>
      <c r="F653" s="212"/>
      <c r="G653" s="172"/>
      <c r="H653" s="205"/>
      <c r="I653" s="149"/>
      <c r="J653" s="46"/>
      <c r="K653" s="46"/>
      <c r="L653" s="46"/>
      <c r="M653" s="46"/>
      <c r="N653" s="46"/>
      <c r="O653" s="46"/>
      <c r="P653" s="46"/>
      <c r="Q653" s="46"/>
      <c r="R653" s="46"/>
      <c r="S653" s="46"/>
      <c r="T653" s="46"/>
      <c r="U653" s="46"/>
      <c r="V653" s="46"/>
      <c r="W653" s="46"/>
    </row>
    <row r="654">
      <c r="A654" s="55"/>
      <c r="B654" s="205"/>
      <c r="C654" s="55"/>
      <c r="D654" s="205"/>
      <c r="E654" s="172"/>
      <c r="F654" s="212"/>
      <c r="G654" s="172"/>
      <c r="H654" s="205"/>
      <c r="I654" s="149"/>
      <c r="J654" s="46"/>
      <c r="K654" s="46"/>
      <c r="L654" s="46"/>
      <c r="M654" s="46"/>
      <c r="N654" s="46"/>
      <c r="O654" s="46"/>
      <c r="P654" s="46"/>
      <c r="Q654" s="46"/>
      <c r="R654" s="46"/>
      <c r="S654" s="46"/>
      <c r="T654" s="46"/>
      <c r="U654" s="46"/>
      <c r="V654" s="46"/>
      <c r="W654" s="46"/>
    </row>
    <row r="655">
      <c r="A655" s="55"/>
      <c r="B655" s="205"/>
      <c r="C655" s="55"/>
      <c r="D655" s="205"/>
      <c r="E655" s="172"/>
      <c r="F655" s="212"/>
      <c r="G655" s="172"/>
      <c r="H655" s="205"/>
      <c r="I655" s="149"/>
      <c r="J655" s="46"/>
      <c r="K655" s="46"/>
      <c r="L655" s="46"/>
      <c r="M655" s="46"/>
      <c r="N655" s="46"/>
      <c r="O655" s="46"/>
      <c r="P655" s="46"/>
      <c r="Q655" s="46"/>
      <c r="R655" s="46"/>
      <c r="S655" s="46"/>
      <c r="T655" s="46"/>
      <c r="U655" s="46"/>
      <c r="V655" s="46"/>
      <c r="W655" s="46"/>
    </row>
    <row r="656">
      <c r="A656" s="55"/>
      <c r="B656" s="205"/>
      <c r="C656" s="55"/>
      <c r="D656" s="205"/>
      <c r="E656" s="172"/>
      <c r="F656" s="212"/>
      <c r="G656" s="172"/>
      <c r="H656" s="205"/>
      <c r="I656" s="149"/>
      <c r="J656" s="46"/>
      <c r="K656" s="46"/>
      <c r="L656" s="46"/>
      <c r="M656" s="46"/>
      <c r="N656" s="46"/>
      <c r="O656" s="46"/>
      <c r="P656" s="46"/>
      <c r="Q656" s="46"/>
      <c r="R656" s="46"/>
      <c r="S656" s="46"/>
      <c r="T656" s="46"/>
      <c r="U656" s="46"/>
      <c r="V656" s="46"/>
      <c r="W656" s="46"/>
    </row>
    <row r="657">
      <c r="A657" s="55"/>
      <c r="B657" s="205"/>
      <c r="C657" s="55"/>
      <c r="D657" s="205"/>
      <c r="E657" s="172"/>
      <c r="F657" s="212"/>
      <c r="G657" s="172"/>
      <c r="H657" s="205"/>
      <c r="I657" s="149"/>
      <c r="J657" s="46"/>
      <c r="K657" s="46"/>
      <c r="L657" s="46"/>
      <c r="M657" s="46"/>
      <c r="N657" s="46"/>
      <c r="O657" s="46"/>
      <c r="P657" s="46"/>
      <c r="Q657" s="46"/>
      <c r="R657" s="46"/>
      <c r="S657" s="46"/>
      <c r="T657" s="46"/>
      <c r="U657" s="46"/>
      <c r="V657" s="46"/>
      <c r="W657" s="46"/>
    </row>
    <row r="658">
      <c r="A658" s="55"/>
      <c r="B658" s="205"/>
      <c r="C658" s="55"/>
      <c r="D658" s="205"/>
      <c r="E658" s="172"/>
      <c r="F658" s="212"/>
      <c r="G658" s="172"/>
      <c r="H658" s="205"/>
      <c r="I658" s="149"/>
      <c r="J658" s="46"/>
      <c r="K658" s="46"/>
      <c r="L658" s="46"/>
      <c r="M658" s="46"/>
      <c r="N658" s="46"/>
      <c r="O658" s="46"/>
      <c r="P658" s="46"/>
      <c r="Q658" s="46"/>
      <c r="R658" s="46"/>
      <c r="S658" s="46"/>
      <c r="T658" s="46"/>
      <c r="U658" s="46"/>
      <c r="V658" s="46"/>
      <c r="W658" s="46"/>
    </row>
    <row r="659">
      <c r="A659" s="55"/>
      <c r="B659" s="205"/>
      <c r="C659" s="55"/>
      <c r="D659" s="205"/>
      <c r="E659" s="172"/>
      <c r="F659" s="212"/>
      <c r="G659" s="172"/>
      <c r="H659" s="205"/>
      <c r="I659" s="149"/>
      <c r="J659" s="46"/>
      <c r="K659" s="46"/>
      <c r="L659" s="46"/>
      <c r="M659" s="46"/>
      <c r="N659" s="46"/>
      <c r="O659" s="46"/>
      <c r="P659" s="46"/>
      <c r="Q659" s="46"/>
      <c r="R659" s="46"/>
      <c r="S659" s="46"/>
      <c r="T659" s="46"/>
      <c r="U659" s="46"/>
      <c r="V659" s="46"/>
      <c r="W659" s="46"/>
    </row>
    <row r="660">
      <c r="A660" s="55"/>
      <c r="B660" s="205"/>
      <c r="C660" s="55"/>
      <c r="D660" s="205"/>
      <c r="E660" s="172"/>
      <c r="F660" s="212"/>
      <c r="G660" s="172"/>
      <c r="H660" s="205"/>
      <c r="I660" s="149"/>
      <c r="J660" s="46"/>
      <c r="K660" s="46"/>
      <c r="L660" s="46"/>
      <c r="M660" s="46"/>
      <c r="N660" s="46"/>
      <c r="O660" s="46"/>
      <c r="P660" s="46"/>
      <c r="Q660" s="46"/>
      <c r="R660" s="46"/>
      <c r="S660" s="46"/>
      <c r="T660" s="46"/>
      <c r="U660" s="46"/>
      <c r="V660" s="46"/>
      <c r="W660" s="46"/>
    </row>
    <row r="661">
      <c r="A661" s="55"/>
      <c r="B661" s="205"/>
      <c r="C661" s="55"/>
      <c r="D661" s="205"/>
      <c r="E661" s="172"/>
      <c r="F661" s="212"/>
      <c r="G661" s="172"/>
      <c r="H661" s="205"/>
      <c r="I661" s="149"/>
      <c r="J661" s="46"/>
      <c r="K661" s="46"/>
      <c r="L661" s="46"/>
      <c r="M661" s="46"/>
      <c r="N661" s="46"/>
      <c r="O661" s="46"/>
      <c r="P661" s="46"/>
      <c r="Q661" s="46"/>
      <c r="R661" s="46"/>
      <c r="S661" s="46"/>
      <c r="T661" s="46"/>
      <c r="U661" s="46"/>
      <c r="V661" s="46"/>
      <c r="W661" s="46"/>
    </row>
    <row r="662">
      <c r="A662" s="55"/>
      <c r="B662" s="205"/>
      <c r="C662" s="55"/>
      <c r="D662" s="205"/>
      <c r="E662" s="172"/>
      <c r="F662" s="212"/>
      <c r="G662" s="172"/>
      <c r="H662" s="205"/>
      <c r="I662" s="149"/>
      <c r="J662" s="46"/>
      <c r="K662" s="46"/>
      <c r="L662" s="46"/>
      <c r="M662" s="46"/>
      <c r="N662" s="46"/>
      <c r="O662" s="46"/>
      <c r="P662" s="46"/>
      <c r="Q662" s="46"/>
      <c r="R662" s="46"/>
      <c r="S662" s="46"/>
      <c r="T662" s="46"/>
      <c r="U662" s="46"/>
      <c r="V662" s="46"/>
      <c r="W662" s="46"/>
    </row>
    <row r="663">
      <c r="A663" s="55"/>
      <c r="B663" s="205"/>
      <c r="C663" s="55"/>
      <c r="D663" s="205"/>
      <c r="E663" s="172"/>
      <c r="F663" s="212"/>
      <c r="G663" s="172"/>
      <c r="H663" s="205"/>
      <c r="I663" s="149"/>
      <c r="J663" s="46"/>
      <c r="K663" s="46"/>
      <c r="L663" s="46"/>
      <c r="M663" s="46"/>
      <c r="N663" s="46"/>
      <c r="O663" s="46"/>
      <c r="P663" s="46"/>
      <c r="Q663" s="46"/>
      <c r="R663" s="46"/>
      <c r="S663" s="46"/>
      <c r="T663" s="46"/>
      <c r="U663" s="46"/>
      <c r="V663" s="46"/>
      <c r="W663" s="46"/>
    </row>
    <row r="664">
      <c r="A664" s="55"/>
      <c r="B664" s="205"/>
      <c r="C664" s="55"/>
      <c r="D664" s="205"/>
      <c r="E664" s="172"/>
      <c r="F664" s="212"/>
      <c r="G664" s="172"/>
      <c r="H664" s="205"/>
      <c r="I664" s="149"/>
      <c r="J664" s="46"/>
      <c r="K664" s="46"/>
      <c r="L664" s="46"/>
      <c r="M664" s="46"/>
      <c r="N664" s="46"/>
      <c r="O664" s="46"/>
      <c r="P664" s="46"/>
      <c r="Q664" s="46"/>
      <c r="R664" s="46"/>
      <c r="S664" s="46"/>
      <c r="T664" s="46"/>
      <c r="U664" s="46"/>
      <c r="V664" s="46"/>
      <c r="W664" s="46"/>
    </row>
    <row r="665">
      <c r="A665" s="55"/>
      <c r="B665" s="205"/>
      <c r="C665" s="55"/>
      <c r="D665" s="205"/>
      <c r="E665" s="172"/>
      <c r="F665" s="212"/>
      <c r="G665" s="172"/>
      <c r="H665" s="205"/>
      <c r="I665" s="149"/>
      <c r="J665" s="46"/>
      <c r="K665" s="46"/>
      <c r="L665" s="46"/>
      <c r="M665" s="46"/>
      <c r="N665" s="46"/>
      <c r="O665" s="46"/>
      <c r="P665" s="46"/>
      <c r="Q665" s="46"/>
      <c r="R665" s="46"/>
      <c r="S665" s="46"/>
      <c r="T665" s="46"/>
      <c r="U665" s="46"/>
      <c r="V665" s="46"/>
      <c r="W665" s="46"/>
    </row>
    <row r="666">
      <c r="A666" s="55"/>
      <c r="B666" s="205"/>
      <c r="C666" s="55"/>
      <c r="D666" s="205"/>
      <c r="E666" s="172"/>
      <c r="F666" s="212"/>
      <c r="G666" s="172"/>
      <c r="H666" s="205"/>
      <c r="I666" s="149"/>
      <c r="J666" s="46"/>
      <c r="K666" s="46"/>
      <c r="L666" s="46"/>
      <c r="M666" s="46"/>
      <c r="N666" s="46"/>
      <c r="O666" s="46"/>
      <c r="P666" s="46"/>
      <c r="Q666" s="46"/>
      <c r="R666" s="46"/>
      <c r="S666" s="46"/>
      <c r="T666" s="46"/>
      <c r="U666" s="46"/>
      <c r="V666" s="46"/>
      <c r="W666" s="46"/>
    </row>
    <row r="667">
      <c r="A667" s="55"/>
      <c r="B667" s="205"/>
      <c r="C667" s="55"/>
      <c r="D667" s="205"/>
      <c r="E667" s="172"/>
      <c r="F667" s="212"/>
      <c r="G667" s="172"/>
      <c r="H667" s="205"/>
      <c r="I667" s="149"/>
      <c r="J667" s="46"/>
      <c r="K667" s="46"/>
      <c r="L667" s="46"/>
      <c r="M667" s="46"/>
      <c r="N667" s="46"/>
      <c r="O667" s="46"/>
      <c r="P667" s="46"/>
      <c r="Q667" s="46"/>
      <c r="R667" s="46"/>
      <c r="S667" s="46"/>
      <c r="T667" s="46"/>
      <c r="U667" s="46"/>
      <c r="V667" s="46"/>
      <c r="W667" s="46"/>
    </row>
    <row r="668">
      <c r="A668" s="55"/>
      <c r="B668" s="205"/>
      <c r="C668" s="55"/>
      <c r="D668" s="205"/>
      <c r="E668" s="172"/>
      <c r="F668" s="212"/>
      <c r="G668" s="172"/>
      <c r="H668" s="205"/>
      <c r="I668" s="149"/>
      <c r="J668" s="46"/>
      <c r="K668" s="46"/>
      <c r="L668" s="46"/>
      <c r="M668" s="46"/>
      <c r="N668" s="46"/>
      <c r="O668" s="46"/>
      <c r="P668" s="46"/>
      <c r="Q668" s="46"/>
      <c r="R668" s="46"/>
      <c r="S668" s="46"/>
      <c r="T668" s="46"/>
      <c r="U668" s="46"/>
      <c r="V668" s="46"/>
      <c r="W668" s="46"/>
    </row>
    <row r="669">
      <c r="A669" s="55"/>
      <c r="B669" s="205"/>
      <c r="C669" s="55"/>
      <c r="D669" s="205"/>
      <c r="E669" s="172"/>
      <c r="F669" s="212"/>
      <c r="G669" s="172"/>
      <c r="H669" s="205"/>
      <c r="I669" s="149"/>
      <c r="J669" s="46"/>
      <c r="K669" s="46"/>
      <c r="L669" s="46"/>
      <c r="M669" s="46"/>
      <c r="N669" s="46"/>
      <c r="O669" s="46"/>
      <c r="P669" s="46"/>
      <c r="Q669" s="46"/>
      <c r="R669" s="46"/>
      <c r="S669" s="46"/>
      <c r="T669" s="46"/>
      <c r="U669" s="46"/>
      <c r="V669" s="46"/>
      <c r="W669" s="46"/>
    </row>
    <row r="670">
      <c r="A670" s="55"/>
      <c r="B670" s="205"/>
      <c r="C670" s="55"/>
      <c r="D670" s="205"/>
      <c r="E670" s="172"/>
      <c r="F670" s="212"/>
      <c r="G670" s="172"/>
      <c r="H670" s="205"/>
      <c r="I670" s="149"/>
      <c r="J670" s="46"/>
      <c r="K670" s="46"/>
      <c r="L670" s="46"/>
      <c r="M670" s="46"/>
      <c r="N670" s="46"/>
      <c r="O670" s="46"/>
      <c r="P670" s="46"/>
      <c r="Q670" s="46"/>
      <c r="R670" s="46"/>
      <c r="S670" s="46"/>
      <c r="T670" s="46"/>
      <c r="U670" s="46"/>
      <c r="V670" s="46"/>
      <c r="W670" s="46"/>
    </row>
    <row r="671">
      <c r="A671" s="55"/>
      <c r="B671" s="205"/>
      <c r="C671" s="55"/>
      <c r="D671" s="205"/>
      <c r="E671" s="172"/>
      <c r="F671" s="212"/>
      <c r="G671" s="172"/>
      <c r="H671" s="205"/>
      <c r="I671" s="149"/>
      <c r="J671" s="46"/>
      <c r="K671" s="46"/>
      <c r="L671" s="46"/>
      <c r="M671" s="46"/>
      <c r="N671" s="46"/>
      <c r="O671" s="46"/>
      <c r="P671" s="46"/>
      <c r="Q671" s="46"/>
      <c r="R671" s="46"/>
      <c r="S671" s="46"/>
      <c r="T671" s="46"/>
      <c r="U671" s="46"/>
      <c r="V671" s="46"/>
      <c r="W671" s="46"/>
    </row>
    <row r="672">
      <c r="A672" s="55"/>
      <c r="B672" s="205"/>
      <c r="C672" s="55"/>
      <c r="D672" s="205"/>
      <c r="E672" s="172"/>
      <c r="F672" s="212"/>
      <c r="G672" s="172"/>
      <c r="H672" s="205"/>
      <c r="I672" s="149"/>
      <c r="J672" s="46"/>
      <c r="K672" s="46"/>
      <c r="L672" s="46"/>
      <c r="M672" s="46"/>
      <c r="N672" s="46"/>
      <c r="O672" s="46"/>
      <c r="P672" s="46"/>
      <c r="Q672" s="46"/>
      <c r="R672" s="46"/>
      <c r="S672" s="46"/>
      <c r="T672" s="46"/>
      <c r="U672" s="46"/>
      <c r="V672" s="46"/>
      <c r="W672" s="46"/>
    </row>
    <row r="673">
      <c r="A673" s="55"/>
      <c r="B673" s="205"/>
      <c r="C673" s="55"/>
      <c r="D673" s="205"/>
      <c r="E673" s="172"/>
      <c r="F673" s="212"/>
      <c r="G673" s="172"/>
      <c r="H673" s="205"/>
      <c r="I673" s="149"/>
      <c r="J673" s="46"/>
      <c r="K673" s="46"/>
      <c r="L673" s="46"/>
      <c r="M673" s="46"/>
      <c r="N673" s="46"/>
      <c r="O673" s="46"/>
      <c r="P673" s="46"/>
      <c r="Q673" s="46"/>
      <c r="R673" s="46"/>
      <c r="S673" s="46"/>
      <c r="T673" s="46"/>
      <c r="U673" s="46"/>
      <c r="V673" s="46"/>
      <c r="W673" s="46"/>
    </row>
    <row r="674">
      <c r="A674" s="55"/>
      <c r="B674" s="205"/>
      <c r="C674" s="55"/>
      <c r="D674" s="205"/>
      <c r="E674" s="172"/>
      <c r="F674" s="212"/>
      <c r="G674" s="172"/>
      <c r="H674" s="205"/>
      <c r="I674" s="149"/>
      <c r="J674" s="46"/>
      <c r="K674" s="46"/>
      <c r="L674" s="46"/>
      <c r="M674" s="46"/>
      <c r="N674" s="46"/>
      <c r="O674" s="46"/>
      <c r="P674" s="46"/>
      <c r="Q674" s="46"/>
      <c r="R674" s="46"/>
      <c r="S674" s="46"/>
      <c r="T674" s="46"/>
      <c r="U674" s="46"/>
      <c r="V674" s="46"/>
      <c r="W674" s="46"/>
    </row>
    <row r="675">
      <c r="A675" s="55"/>
      <c r="B675" s="205"/>
      <c r="C675" s="55"/>
      <c r="D675" s="205"/>
      <c r="E675" s="172"/>
      <c r="F675" s="212"/>
      <c r="G675" s="172"/>
      <c r="H675" s="205"/>
      <c r="I675" s="149"/>
      <c r="J675" s="46"/>
      <c r="K675" s="46"/>
      <c r="L675" s="46"/>
      <c r="M675" s="46"/>
      <c r="N675" s="46"/>
      <c r="O675" s="46"/>
      <c r="P675" s="46"/>
      <c r="Q675" s="46"/>
      <c r="R675" s="46"/>
      <c r="S675" s="46"/>
      <c r="T675" s="46"/>
      <c r="U675" s="46"/>
      <c r="V675" s="46"/>
      <c r="W675" s="46"/>
    </row>
    <row r="676">
      <c r="A676" s="55"/>
      <c r="B676" s="205"/>
      <c r="C676" s="55"/>
      <c r="D676" s="205"/>
      <c r="E676" s="172"/>
      <c r="F676" s="212"/>
      <c r="G676" s="172"/>
      <c r="H676" s="205"/>
      <c r="I676" s="149"/>
      <c r="J676" s="46"/>
      <c r="K676" s="46"/>
      <c r="L676" s="46"/>
      <c r="M676" s="46"/>
      <c r="N676" s="46"/>
      <c r="O676" s="46"/>
      <c r="P676" s="46"/>
      <c r="Q676" s="46"/>
      <c r="R676" s="46"/>
      <c r="S676" s="46"/>
      <c r="T676" s="46"/>
      <c r="U676" s="46"/>
      <c r="V676" s="46"/>
      <c r="W676" s="46"/>
    </row>
    <row r="677">
      <c r="A677" s="55"/>
      <c r="B677" s="205"/>
      <c r="C677" s="55"/>
      <c r="D677" s="205"/>
      <c r="E677" s="172"/>
      <c r="F677" s="212"/>
      <c r="G677" s="172"/>
      <c r="H677" s="205"/>
      <c r="I677" s="149"/>
      <c r="J677" s="46"/>
      <c r="K677" s="46"/>
      <c r="L677" s="46"/>
      <c r="M677" s="46"/>
      <c r="N677" s="46"/>
      <c r="O677" s="46"/>
      <c r="P677" s="46"/>
      <c r="Q677" s="46"/>
      <c r="R677" s="46"/>
      <c r="S677" s="46"/>
      <c r="T677" s="46"/>
      <c r="U677" s="46"/>
      <c r="V677" s="46"/>
      <c r="W677" s="46"/>
    </row>
    <row r="678">
      <c r="A678" s="55"/>
      <c r="B678" s="205"/>
      <c r="C678" s="55"/>
      <c r="D678" s="205"/>
      <c r="E678" s="172"/>
      <c r="F678" s="212"/>
      <c r="G678" s="172"/>
      <c r="H678" s="205"/>
      <c r="I678" s="149"/>
      <c r="J678" s="46"/>
      <c r="K678" s="46"/>
      <c r="L678" s="46"/>
      <c r="M678" s="46"/>
      <c r="N678" s="46"/>
      <c r="O678" s="46"/>
      <c r="P678" s="46"/>
      <c r="Q678" s="46"/>
      <c r="R678" s="46"/>
      <c r="S678" s="46"/>
      <c r="T678" s="46"/>
      <c r="U678" s="46"/>
      <c r="V678" s="46"/>
      <c r="W678" s="46"/>
    </row>
    <row r="679">
      <c r="A679" s="55"/>
      <c r="B679" s="205"/>
      <c r="C679" s="55"/>
      <c r="D679" s="205"/>
      <c r="E679" s="172"/>
      <c r="F679" s="212"/>
      <c r="G679" s="172"/>
      <c r="H679" s="205"/>
      <c r="I679" s="149"/>
      <c r="J679" s="46"/>
      <c r="K679" s="46"/>
      <c r="L679" s="46"/>
      <c r="M679" s="46"/>
      <c r="N679" s="46"/>
      <c r="O679" s="46"/>
      <c r="P679" s="46"/>
      <c r="Q679" s="46"/>
      <c r="R679" s="46"/>
      <c r="S679" s="46"/>
      <c r="T679" s="46"/>
      <c r="U679" s="46"/>
      <c r="V679" s="46"/>
      <c r="W679" s="46"/>
    </row>
    <row r="680">
      <c r="A680" s="55"/>
      <c r="B680" s="205"/>
      <c r="C680" s="55"/>
      <c r="D680" s="205"/>
      <c r="E680" s="172"/>
      <c r="F680" s="212"/>
      <c r="G680" s="172"/>
      <c r="H680" s="205"/>
      <c r="I680" s="149"/>
      <c r="J680" s="46"/>
      <c r="K680" s="46"/>
      <c r="L680" s="46"/>
      <c r="M680" s="46"/>
      <c r="N680" s="46"/>
      <c r="O680" s="46"/>
      <c r="P680" s="46"/>
      <c r="Q680" s="46"/>
      <c r="R680" s="46"/>
      <c r="S680" s="46"/>
      <c r="T680" s="46"/>
      <c r="U680" s="46"/>
      <c r="V680" s="46"/>
      <c r="W680" s="46"/>
    </row>
    <row r="681">
      <c r="A681" s="55"/>
      <c r="B681" s="205"/>
      <c r="C681" s="55"/>
      <c r="D681" s="205"/>
      <c r="E681" s="172"/>
      <c r="F681" s="212"/>
      <c r="G681" s="172"/>
      <c r="H681" s="205"/>
      <c r="I681" s="149"/>
      <c r="J681" s="46"/>
      <c r="K681" s="46"/>
      <c r="L681" s="46"/>
      <c r="M681" s="46"/>
      <c r="N681" s="46"/>
      <c r="O681" s="46"/>
      <c r="P681" s="46"/>
      <c r="Q681" s="46"/>
      <c r="R681" s="46"/>
      <c r="S681" s="46"/>
      <c r="T681" s="46"/>
      <c r="U681" s="46"/>
      <c r="V681" s="46"/>
      <c r="W681" s="46"/>
    </row>
    <row r="682">
      <c r="A682" s="55"/>
      <c r="B682" s="205"/>
      <c r="C682" s="55"/>
      <c r="D682" s="205"/>
      <c r="E682" s="172"/>
      <c r="F682" s="212"/>
      <c r="G682" s="172"/>
      <c r="H682" s="205"/>
      <c r="I682" s="149"/>
      <c r="J682" s="46"/>
      <c r="K682" s="46"/>
      <c r="L682" s="46"/>
      <c r="M682" s="46"/>
      <c r="N682" s="46"/>
      <c r="O682" s="46"/>
      <c r="P682" s="46"/>
      <c r="Q682" s="46"/>
      <c r="R682" s="46"/>
      <c r="S682" s="46"/>
      <c r="T682" s="46"/>
      <c r="U682" s="46"/>
      <c r="V682" s="46"/>
      <c r="W682" s="46"/>
    </row>
    <row r="683">
      <c r="A683" s="55"/>
      <c r="B683" s="205"/>
      <c r="C683" s="55"/>
      <c r="D683" s="205"/>
      <c r="E683" s="172"/>
      <c r="F683" s="212"/>
      <c r="G683" s="172"/>
      <c r="H683" s="205"/>
      <c r="I683" s="149"/>
      <c r="J683" s="46"/>
      <c r="K683" s="46"/>
      <c r="L683" s="46"/>
      <c r="M683" s="46"/>
      <c r="N683" s="46"/>
      <c r="O683" s="46"/>
      <c r="P683" s="46"/>
      <c r="Q683" s="46"/>
      <c r="R683" s="46"/>
      <c r="S683" s="46"/>
      <c r="T683" s="46"/>
      <c r="U683" s="46"/>
      <c r="V683" s="46"/>
      <c r="W683" s="46"/>
    </row>
    <row r="684">
      <c r="A684" s="55"/>
      <c r="B684" s="205"/>
      <c r="C684" s="55"/>
      <c r="D684" s="205"/>
      <c r="E684" s="172"/>
      <c r="F684" s="212"/>
      <c r="G684" s="172"/>
      <c r="H684" s="205"/>
      <c r="I684" s="149"/>
      <c r="J684" s="46"/>
      <c r="K684" s="46"/>
      <c r="L684" s="46"/>
      <c r="M684" s="46"/>
      <c r="N684" s="46"/>
      <c r="O684" s="46"/>
      <c r="P684" s="46"/>
      <c r="Q684" s="46"/>
      <c r="R684" s="46"/>
      <c r="S684" s="46"/>
      <c r="T684" s="46"/>
      <c r="U684" s="46"/>
      <c r="V684" s="46"/>
      <c r="W684" s="46"/>
    </row>
    <row r="685">
      <c r="A685" s="55"/>
      <c r="B685" s="205"/>
      <c r="C685" s="55"/>
      <c r="D685" s="205"/>
      <c r="E685" s="172"/>
      <c r="F685" s="212"/>
      <c r="G685" s="172"/>
      <c r="H685" s="205"/>
      <c r="I685" s="149"/>
      <c r="J685" s="46"/>
      <c r="K685" s="46"/>
      <c r="L685" s="46"/>
      <c r="M685" s="46"/>
      <c r="N685" s="46"/>
      <c r="O685" s="46"/>
      <c r="P685" s="46"/>
      <c r="Q685" s="46"/>
      <c r="R685" s="46"/>
      <c r="S685" s="46"/>
      <c r="T685" s="46"/>
      <c r="U685" s="46"/>
      <c r="V685" s="46"/>
      <c r="W685" s="46"/>
    </row>
    <row r="686">
      <c r="A686" s="55"/>
      <c r="B686" s="205"/>
      <c r="C686" s="55"/>
      <c r="D686" s="205"/>
      <c r="E686" s="172"/>
      <c r="F686" s="212"/>
      <c r="G686" s="172"/>
      <c r="H686" s="205"/>
      <c r="I686" s="149"/>
      <c r="J686" s="46"/>
      <c r="K686" s="46"/>
      <c r="L686" s="46"/>
      <c r="M686" s="46"/>
      <c r="N686" s="46"/>
      <c r="O686" s="46"/>
      <c r="P686" s="46"/>
      <c r="Q686" s="46"/>
      <c r="R686" s="46"/>
      <c r="S686" s="46"/>
      <c r="T686" s="46"/>
      <c r="U686" s="46"/>
      <c r="V686" s="46"/>
      <c r="W686" s="46"/>
    </row>
    <row r="687">
      <c r="A687" s="55"/>
      <c r="B687" s="205"/>
      <c r="C687" s="55"/>
      <c r="D687" s="205"/>
      <c r="E687" s="172"/>
      <c r="F687" s="212"/>
      <c r="G687" s="172"/>
      <c r="H687" s="205"/>
      <c r="I687" s="149"/>
      <c r="J687" s="46"/>
      <c r="K687" s="46"/>
      <c r="L687" s="46"/>
      <c r="M687" s="46"/>
      <c r="N687" s="46"/>
      <c r="O687" s="46"/>
      <c r="P687" s="46"/>
      <c r="Q687" s="46"/>
      <c r="R687" s="46"/>
      <c r="S687" s="46"/>
      <c r="T687" s="46"/>
      <c r="U687" s="46"/>
      <c r="V687" s="46"/>
      <c r="W687" s="46"/>
    </row>
    <row r="688">
      <c r="A688" s="55"/>
      <c r="B688" s="205"/>
      <c r="C688" s="55"/>
      <c r="D688" s="205"/>
      <c r="E688" s="172"/>
      <c r="F688" s="212"/>
      <c r="G688" s="172"/>
      <c r="H688" s="205"/>
      <c r="I688" s="149"/>
      <c r="J688" s="46"/>
      <c r="K688" s="46"/>
      <c r="L688" s="46"/>
      <c r="M688" s="46"/>
      <c r="N688" s="46"/>
      <c r="O688" s="46"/>
      <c r="P688" s="46"/>
      <c r="Q688" s="46"/>
      <c r="R688" s="46"/>
      <c r="S688" s="46"/>
      <c r="T688" s="46"/>
      <c r="U688" s="46"/>
      <c r="V688" s="46"/>
      <c r="W688" s="46"/>
    </row>
    <row r="689">
      <c r="A689" s="55"/>
      <c r="B689" s="205"/>
      <c r="C689" s="55"/>
      <c r="D689" s="205"/>
      <c r="E689" s="172"/>
      <c r="F689" s="212"/>
      <c r="G689" s="172"/>
      <c r="H689" s="205"/>
      <c r="I689" s="149"/>
      <c r="J689" s="46"/>
      <c r="K689" s="46"/>
      <c r="L689" s="46"/>
      <c r="M689" s="46"/>
      <c r="N689" s="46"/>
      <c r="O689" s="46"/>
      <c r="P689" s="46"/>
      <c r="Q689" s="46"/>
      <c r="R689" s="46"/>
      <c r="S689" s="46"/>
      <c r="T689" s="46"/>
      <c r="U689" s="46"/>
      <c r="V689" s="46"/>
      <c r="W689" s="46"/>
    </row>
    <row r="690">
      <c r="A690" s="55"/>
      <c r="B690" s="205"/>
      <c r="C690" s="55"/>
      <c r="D690" s="205"/>
      <c r="E690" s="172"/>
      <c r="F690" s="212"/>
      <c r="G690" s="172"/>
      <c r="H690" s="205"/>
      <c r="I690" s="149"/>
      <c r="J690" s="46"/>
      <c r="K690" s="46"/>
      <c r="L690" s="46"/>
      <c r="M690" s="46"/>
      <c r="N690" s="46"/>
      <c r="O690" s="46"/>
      <c r="P690" s="46"/>
      <c r="Q690" s="46"/>
      <c r="R690" s="46"/>
      <c r="S690" s="46"/>
      <c r="T690" s="46"/>
      <c r="U690" s="46"/>
      <c r="V690" s="46"/>
      <c r="W690" s="46"/>
    </row>
    <row r="691">
      <c r="A691" s="55"/>
      <c r="B691" s="205"/>
      <c r="C691" s="55"/>
      <c r="D691" s="205"/>
      <c r="E691" s="172"/>
      <c r="F691" s="212"/>
      <c r="G691" s="172"/>
      <c r="H691" s="205"/>
      <c r="I691" s="149"/>
      <c r="J691" s="46"/>
      <c r="K691" s="46"/>
      <c r="L691" s="46"/>
      <c r="M691" s="46"/>
      <c r="N691" s="46"/>
      <c r="O691" s="46"/>
      <c r="P691" s="46"/>
      <c r="Q691" s="46"/>
      <c r="R691" s="46"/>
      <c r="S691" s="46"/>
      <c r="T691" s="46"/>
      <c r="U691" s="46"/>
      <c r="V691" s="46"/>
      <c r="W691" s="46"/>
    </row>
    <row r="692">
      <c r="A692" s="55"/>
      <c r="B692" s="205"/>
      <c r="C692" s="55"/>
      <c r="D692" s="205"/>
      <c r="E692" s="172"/>
      <c r="F692" s="212"/>
      <c r="G692" s="172"/>
      <c r="H692" s="205"/>
      <c r="I692" s="149"/>
      <c r="J692" s="46"/>
      <c r="K692" s="46"/>
      <c r="L692" s="46"/>
      <c r="M692" s="46"/>
      <c r="N692" s="46"/>
      <c r="O692" s="46"/>
      <c r="P692" s="46"/>
      <c r="Q692" s="46"/>
      <c r="R692" s="46"/>
      <c r="S692" s="46"/>
      <c r="T692" s="46"/>
      <c r="U692" s="46"/>
      <c r="V692" s="46"/>
      <c r="W692" s="46"/>
    </row>
    <row r="693">
      <c r="A693" s="55"/>
      <c r="B693" s="205"/>
      <c r="C693" s="55"/>
      <c r="D693" s="205"/>
      <c r="E693" s="172"/>
      <c r="F693" s="212"/>
      <c r="G693" s="172"/>
      <c r="H693" s="205"/>
      <c r="I693" s="149"/>
      <c r="J693" s="46"/>
      <c r="K693" s="46"/>
      <c r="L693" s="46"/>
      <c r="M693" s="46"/>
      <c r="N693" s="46"/>
      <c r="O693" s="46"/>
      <c r="P693" s="46"/>
      <c r="Q693" s="46"/>
      <c r="R693" s="46"/>
      <c r="S693" s="46"/>
      <c r="T693" s="46"/>
      <c r="U693" s="46"/>
      <c r="V693" s="46"/>
      <c r="W693" s="46"/>
    </row>
    <row r="694">
      <c r="A694" s="55"/>
      <c r="B694" s="205"/>
      <c r="C694" s="55"/>
      <c r="D694" s="205"/>
      <c r="E694" s="172"/>
      <c r="F694" s="212"/>
      <c r="G694" s="172"/>
      <c r="H694" s="205"/>
      <c r="I694" s="149"/>
      <c r="J694" s="46"/>
      <c r="K694" s="46"/>
      <c r="L694" s="46"/>
      <c r="M694" s="46"/>
      <c r="N694" s="46"/>
      <c r="O694" s="46"/>
      <c r="P694" s="46"/>
      <c r="Q694" s="46"/>
      <c r="R694" s="46"/>
      <c r="S694" s="46"/>
      <c r="T694" s="46"/>
      <c r="U694" s="46"/>
      <c r="V694" s="46"/>
      <c r="W694" s="46"/>
    </row>
    <row r="695">
      <c r="A695" s="55"/>
      <c r="B695" s="205"/>
      <c r="C695" s="55"/>
      <c r="D695" s="205"/>
      <c r="E695" s="172"/>
      <c r="F695" s="212"/>
      <c r="G695" s="172"/>
      <c r="H695" s="205"/>
      <c r="I695" s="149"/>
      <c r="J695" s="46"/>
      <c r="K695" s="46"/>
      <c r="L695" s="46"/>
      <c r="M695" s="46"/>
      <c r="N695" s="46"/>
      <c r="O695" s="46"/>
      <c r="P695" s="46"/>
      <c r="Q695" s="46"/>
      <c r="R695" s="46"/>
      <c r="S695" s="46"/>
      <c r="T695" s="46"/>
      <c r="U695" s="46"/>
      <c r="V695" s="46"/>
      <c r="W695" s="46"/>
    </row>
    <row r="696">
      <c r="A696" s="55"/>
      <c r="B696" s="205"/>
      <c r="C696" s="55"/>
      <c r="D696" s="205"/>
      <c r="E696" s="172"/>
      <c r="F696" s="212"/>
      <c r="G696" s="172"/>
      <c r="H696" s="205"/>
      <c r="I696" s="149"/>
      <c r="J696" s="46"/>
      <c r="K696" s="46"/>
      <c r="L696" s="46"/>
      <c r="M696" s="46"/>
      <c r="N696" s="46"/>
      <c r="O696" s="46"/>
      <c r="P696" s="46"/>
      <c r="Q696" s="46"/>
      <c r="R696" s="46"/>
      <c r="S696" s="46"/>
      <c r="T696" s="46"/>
      <c r="U696" s="46"/>
      <c r="V696" s="46"/>
      <c r="W696" s="46"/>
    </row>
    <row r="697">
      <c r="A697" s="55"/>
      <c r="B697" s="205"/>
      <c r="C697" s="55"/>
      <c r="D697" s="205"/>
      <c r="E697" s="172"/>
      <c r="F697" s="212"/>
      <c r="G697" s="172"/>
      <c r="H697" s="205"/>
      <c r="I697" s="149"/>
      <c r="J697" s="46"/>
      <c r="K697" s="46"/>
      <c r="L697" s="46"/>
      <c r="M697" s="46"/>
      <c r="N697" s="46"/>
      <c r="O697" s="46"/>
      <c r="P697" s="46"/>
      <c r="Q697" s="46"/>
      <c r="R697" s="46"/>
      <c r="S697" s="46"/>
      <c r="T697" s="46"/>
      <c r="U697" s="46"/>
      <c r="V697" s="46"/>
      <c r="W697" s="46"/>
    </row>
    <row r="698">
      <c r="A698" s="55"/>
      <c r="B698" s="205"/>
      <c r="C698" s="55"/>
      <c r="D698" s="205"/>
      <c r="E698" s="172"/>
      <c r="F698" s="212"/>
      <c r="G698" s="172"/>
      <c r="H698" s="205"/>
      <c r="I698" s="149"/>
      <c r="J698" s="46"/>
      <c r="K698" s="46"/>
      <c r="L698" s="46"/>
      <c r="M698" s="46"/>
      <c r="N698" s="46"/>
      <c r="O698" s="46"/>
      <c r="P698" s="46"/>
      <c r="Q698" s="46"/>
      <c r="R698" s="46"/>
      <c r="S698" s="46"/>
      <c r="T698" s="46"/>
      <c r="U698" s="46"/>
      <c r="V698" s="46"/>
      <c r="W698" s="46"/>
    </row>
    <row r="699">
      <c r="A699" s="55"/>
      <c r="B699" s="205"/>
      <c r="C699" s="55"/>
      <c r="D699" s="205"/>
      <c r="E699" s="172"/>
      <c r="F699" s="212"/>
      <c r="G699" s="172"/>
      <c r="H699" s="205"/>
      <c r="I699" s="149"/>
      <c r="J699" s="46"/>
      <c r="K699" s="46"/>
      <c r="L699" s="46"/>
      <c r="M699" s="46"/>
      <c r="N699" s="46"/>
      <c r="O699" s="46"/>
      <c r="P699" s="46"/>
      <c r="Q699" s="46"/>
      <c r="R699" s="46"/>
      <c r="S699" s="46"/>
      <c r="T699" s="46"/>
      <c r="U699" s="46"/>
      <c r="V699" s="46"/>
      <c r="W699" s="46"/>
    </row>
    <row r="700">
      <c r="A700" s="55"/>
      <c r="B700" s="205"/>
      <c r="C700" s="55"/>
      <c r="D700" s="205"/>
      <c r="E700" s="172"/>
      <c r="F700" s="212"/>
      <c r="G700" s="172"/>
      <c r="H700" s="205"/>
      <c r="I700" s="149"/>
      <c r="J700" s="46"/>
      <c r="K700" s="46"/>
      <c r="L700" s="46"/>
      <c r="M700" s="46"/>
      <c r="N700" s="46"/>
      <c r="O700" s="46"/>
      <c r="P700" s="46"/>
      <c r="Q700" s="46"/>
      <c r="R700" s="46"/>
      <c r="S700" s="46"/>
      <c r="T700" s="46"/>
      <c r="U700" s="46"/>
      <c r="V700" s="46"/>
      <c r="W700" s="46"/>
    </row>
    <row r="701">
      <c r="A701" s="55"/>
      <c r="B701" s="205"/>
      <c r="C701" s="55"/>
      <c r="D701" s="205"/>
      <c r="E701" s="172"/>
      <c r="F701" s="212"/>
      <c r="G701" s="172"/>
      <c r="H701" s="205"/>
      <c r="I701" s="149"/>
      <c r="J701" s="46"/>
      <c r="K701" s="46"/>
      <c r="L701" s="46"/>
      <c r="M701" s="46"/>
      <c r="N701" s="46"/>
      <c r="O701" s="46"/>
      <c r="P701" s="46"/>
      <c r="Q701" s="46"/>
      <c r="R701" s="46"/>
      <c r="S701" s="46"/>
      <c r="T701" s="46"/>
      <c r="U701" s="46"/>
      <c r="V701" s="46"/>
      <c r="W701" s="46"/>
    </row>
    <row r="702">
      <c r="A702" s="55"/>
      <c r="B702" s="205"/>
      <c r="C702" s="55"/>
      <c r="D702" s="205"/>
      <c r="E702" s="172"/>
      <c r="F702" s="212"/>
      <c r="G702" s="172"/>
      <c r="H702" s="205"/>
      <c r="I702" s="149"/>
      <c r="J702" s="46"/>
      <c r="K702" s="46"/>
      <c r="L702" s="46"/>
      <c r="M702" s="46"/>
      <c r="N702" s="46"/>
      <c r="O702" s="46"/>
      <c r="P702" s="46"/>
      <c r="Q702" s="46"/>
      <c r="R702" s="46"/>
      <c r="S702" s="46"/>
      <c r="T702" s="46"/>
      <c r="U702" s="46"/>
      <c r="V702" s="46"/>
      <c r="W702" s="46"/>
    </row>
    <row r="703">
      <c r="A703" s="55"/>
      <c r="B703" s="205"/>
      <c r="C703" s="55"/>
      <c r="D703" s="205"/>
      <c r="E703" s="172"/>
      <c r="F703" s="212"/>
      <c r="G703" s="172"/>
      <c r="H703" s="205"/>
      <c r="I703" s="149"/>
      <c r="J703" s="46"/>
      <c r="K703" s="46"/>
      <c r="L703" s="46"/>
      <c r="M703" s="46"/>
      <c r="N703" s="46"/>
      <c r="O703" s="46"/>
      <c r="P703" s="46"/>
      <c r="Q703" s="46"/>
      <c r="R703" s="46"/>
      <c r="S703" s="46"/>
      <c r="T703" s="46"/>
      <c r="U703" s="46"/>
      <c r="V703" s="46"/>
      <c r="W703" s="46"/>
    </row>
    <row r="704">
      <c r="A704" s="55"/>
      <c r="B704" s="205"/>
      <c r="C704" s="55"/>
      <c r="D704" s="205"/>
      <c r="E704" s="172"/>
      <c r="F704" s="212"/>
      <c r="G704" s="172"/>
      <c r="H704" s="205"/>
      <c r="I704" s="149"/>
      <c r="J704" s="46"/>
      <c r="K704" s="46"/>
      <c r="L704" s="46"/>
      <c r="M704" s="46"/>
      <c r="N704" s="46"/>
      <c r="O704" s="46"/>
      <c r="P704" s="46"/>
      <c r="Q704" s="46"/>
      <c r="R704" s="46"/>
      <c r="S704" s="46"/>
      <c r="T704" s="46"/>
      <c r="U704" s="46"/>
      <c r="V704" s="46"/>
      <c r="W704" s="46"/>
    </row>
    <row r="705">
      <c r="A705" s="55"/>
      <c r="B705" s="205"/>
      <c r="C705" s="55"/>
      <c r="D705" s="205"/>
      <c r="E705" s="172"/>
      <c r="F705" s="212"/>
      <c r="G705" s="172"/>
      <c r="H705" s="205"/>
      <c r="I705" s="149"/>
      <c r="J705" s="46"/>
      <c r="K705" s="46"/>
      <c r="L705" s="46"/>
      <c r="M705" s="46"/>
      <c r="N705" s="46"/>
      <c r="O705" s="46"/>
      <c r="P705" s="46"/>
      <c r="Q705" s="46"/>
      <c r="R705" s="46"/>
      <c r="S705" s="46"/>
      <c r="T705" s="46"/>
      <c r="U705" s="46"/>
      <c r="V705" s="46"/>
      <c r="W705" s="46"/>
    </row>
    <row r="706">
      <c r="A706" s="55"/>
      <c r="B706" s="205"/>
      <c r="C706" s="55"/>
      <c r="D706" s="205"/>
      <c r="E706" s="172"/>
      <c r="F706" s="212"/>
      <c r="G706" s="172"/>
      <c r="H706" s="205"/>
      <c r="I706" s="149"/>
      <c r="J706" s="46"/>
      <c r="K706" s="46"/>
      <c r="L706" s="46"/>
      <c r="M706" s="46"/>
      <c r="N706" s="46"/>
      <c r="O706" s="46"/>
      <c r="P706" s="46"/>
      <c r="Q706" s="46"/>
      <c r="R706" s="46"/>
      <c r="S706" s="46"/>
      <c r="T706" s="46"/>
      <c r="U706" s="46"/>
      <c r="V706" s="46"/>
      <c r="W706" s="46"/>
    </row>
    <row r="707">
      <c r="A707" s="55"/>
      <c r="B707" s="205"/>
      <c r="C707" s="55"/>
      <c r="D707" s="205"/>
      <c r="E707" s="172"/>
      <c r="F707" s="212"/>
      <c r="G707" s="172"/>
      <c r="H707" s="205"/>
      <c r="I707" s="149"/>
      <c r="J707" s="46"/>
      <c r="K707" s="46"/>
      <c r="L707" s="46"/>
      <c r="M707" s="46"/>
      <c r="N707" s="46"/>
      <c r="O707" s="46"/>
      <c r="P707" s="46"/>
      <c r="Q707" s="46"/>
      <c r="R707" s="46"/>
      <c r="S707" s="46"/>
      <c r="T707" s="46"/>
      <c r="U707" s="46"/>
      <c r="V707" s="46"/>
      <c r="W707" s="46"/>
    </row>
    <row r="708">
      <c r="A708" s="55"/>
      <c r="B708" s="205"/>
      <c r="C708" s="55"/>
      <c r="D708" s="205"/>
      <c r="E708" s="172"/>
      <c r="F708" s="212"/>
      <c r="G708" s="172"/>
      <c r="H708" s="205"/>
      <c r="I708" s="149"/>
      <c r="J708" s="46"/>
      <c r="K708" s="46"/>
      <c r="L708" s="46"/>
      <c r="M708" s="46"/>
      <c r="N708" s="46"/>
      <c r="O708" s="46"/>
      <c r="P708" s="46"/>
      <c r="Q708" s="46"/>
      <c r="R708" s="46"/>
      <c r="S708" s="46"/>
      <c r="T708" s="46"/>
      <c r="U708" s="46"/>
      <c r="V708" s="46"/>
      <c r="W708" s="46"/>
    </row>
    <row r="709">
      <c r="A709" s="55"/>
      <c r="B709" s="205"/>
      <c r="C709" s="55"/>
      <c r="D709" s="205"/>
      <c r="E709" s="172"/>
      <c r="F709" s="212"/>
      <c r="G709" s="172"/>
      <c r="H709" s="205"/>
      <c r="I709" s="149"/>
      <c r="J709" s="46"/>
      <c r="K709" s="46"/>
      <c r="L709" s="46"/>
      <c r="M709" s="46"/>
      <c r="N709" s="46"/>
      <c r="O709" s="46"/>
      <c r="P709" s="46"/>
      <c r="Q709" s="46"/>
      <c r="R709" s="46"/>
      <c r="S709" s="46"/>
      <c r="T709" s="46"/>
      <c r="U709" s="46"/>
      <c r="V709" s="46"/>
      <c r="W709" s="46"/>
    </row>
    <row r="710">
      <c r="A710" s="55"/>
      <c r="B710" s="205"/>
      <c r="C710" s="55"/>
      <c r="D710" s="205"/>
      <c r="E710" s="172"/>
      <c r="F710" s="212"/>
      <c r="G710" s="172"/>
      <c r="H710" s="205"/>
      <c r="I710" s="149"/>
      <c r="J710" s="46"/>
      <c r="K710" s="46"/>
      <c r="L710" s="46"/>
      <c r="M710" s="46"/>
      <c r="N710" s="46"/>
      <c r="O710" s="46"/>
      <c r="P710" s="46"/>
      <c r="Q710" s="46"/>
      <c r="R710" s="46"/>
      <c r="S710" s="46"/>
      <c r="T710" s="46"/>
      <c r="U710" s="46"/>
      <c r="V710" s="46"/>
      <c r="W710" s="46"/>
    </row>
    <row r="711">
      <c r="A711" s="55"/>
      <c r="B711" s="205"/>
      <c r="C711" s="55"/>
      <c r="D711" s="205"/>
      <c r="E711" s="172"/>
      <c r="F711" s="212"/>
      <c r="G711" s="172"/>
      <c r="H711" s="205"/>
      <c r="I711" s="149"/>
      <c r="J711" s="46"/>
      <c r="K711" s="46"/>
      <c r="L711" s="46"/>
      <c r="M711" s="46"/>
      <c r="N711" s="46"/>
      <c r="O711" s="46"/>
      <c r="P711" s="46"/>
      <c r="Q711" s="46"/>
      <c r="R711" s="46"/>
      <c r="S711" s="46"/>
      <c r="T711" s="46"/>
      <c r="U711" s="46"/>
      <c r="V711" s="46"/>
      <c r="W711" s="46"/>
    </row>
    <row r="712">
      <c r="A712" s="55"/>
      <c r="B712" s="205"/>
      <c r="C712" s="55"/>
      <c r="D712" s="205"/>
      <c r="E712" s="172"/>
      <c r="F712" s="212"/>
      <c r="G712" s="172"/>
      <c r="H712" s="205"/>
      <c r="I712" s="149"/>
      <c r="J712" s="46"/>
      <c r="K712" s="46"/>
      <c r="L712" s="46"/>
      <c r="M712" s="46"/>
      <c r="N712" s="46"/>
      <c r="O712" s="46"/>
      <c r="P712" s="46"/>
      <c r="Q712" s="46"/>
      <c r="R712" s="46"/>
      <c r="S712" s="46"/>
      <c r="T712" s="46"/>
      <c r="U712" s="46"/>
      <c r="V712" s="46"/>
      <c r="W712" s="46"/>
    </row>
    <row r="713">
      <c r="A713" s="55"/>
      <c r="B713" s="205"/>
      <c r="C713" s="55"/>
      <c r="D713" s="205"/>
      <c r="E713" s="172"/>
      <c r="F713" s="212"/>
      <c r="G713" s="172"/>
      <c r="H713" s="205"/>
      <c r="I713" s="149"/>
      <c r="J713" s="46"/>
      <c r="K713" s="46"/>
      <c r="L713" s="46"/>
      <c r="M713" s="46"/>
      <c r="N713" s="46"/>
      <c r="O713" s="46"/>
      <c r="P713" s="46"/>
      <c r="Q713" s="46"/>
      <c r="R713" s="46"/>
      <c r="S713" s="46"/>
      <c r="T713" s="46"/>
      <c r="U713" s="46"/>
      <c r="V713" s="46"/>
      <c r="W713" s="46"/>
    </row>
    <row r="714">
      <c r="A714" s="55"/>
      <c r="B714" s="205"/>
      <c r="C714" s="55"/>
      <c r="D714" s="205"/>
      <c r="E714" s="172"/>
      <c r="F714" s="212"/>
      <c r="G714" s="172"/>
      <c r="H714" s="205"/>
      <c r="I714" s="149"/>
      <c r="J714" s="46"/>
      <c r="K714" s="46"/>
      <c r="L714" s="46"/>
      <c r="M714" s="46"/>
      <c r="N714" s="46"/>
      <c r="O714" s="46"/>
      <c r="P714" s="46"/>
      <c r="Q714" s="46"/>
      <c r="R714" s="46"/>
      <c r="S714" s="46"/>
      <c r="T714" s="46"/>
      <c r="U714" s="46"/>
      <c r="V714" s="46"/>
      <c r="W714" s="46"/>
    </row>
    <row r="715">
      <c r="A715" s="55"/>
      <c r="B715" s="205"/>
      <c r="C715" s="55"/>
      <c r="D715" s="205"/>
      <c r="E715" s="172"/>
      <c r="F715" s="212"/>
      <c r="G715" s="172"/>
      <c r="H715" s="205"/>
      <c r="I715" s="149"/>
      <c r="J715" s="46"/>
      <c r="K715" s="46"/>
      <c r="L715" s="46"/>
      <c r="M715" s="46"/>
      <c r="N715" s="46"/>
      <c r="O715" s="46"/>
      <c r="P715" s="46"/>
      <c r="Q715" s="46"/>
      <c r="R715" s="46"/>
      <c r="S715" s="46"/>
      <c r="T715" s="46"/>
      <c r="U715" s="46"/>
      <c r="V715" s="46"/>
      <c r="W715" s="46"/>
    </row>
    <row r="716">
      <c r="A716" s="55"/>
      <c r="B716" s="205"/>
      <c r="C716" s="55"/>
      <c r="D716" s="205"/>
      <c r="E716" s="172"/>
      <c r="F716" s="212"/>
      <c r="G716" s="172"/>
      <c r="H716" s="205"/>
      <c r="I716" s="149"/>
      <c r="J716" s="46"/>
      <c r="K716" s="46"/>
      <c r="L716" s="46"/>
      <c r="M716" s="46"/>
      <c r="N716" s="46"/>
      <c r="O716" s="46"/>
      <c r="P716" s="46"/>
      <c r="Q716" s="46"/>
      <c r="R716" s="46"/>
      <c r="S716" s="46"/>
      <c r="T716" s="46"/>
      <c r="U716" s="46"/>
      <c r="V716" s="46"/>
      <c r="W716" s="46"/>
    </row>
    <row r="717">
      <c r="A717" s="55"/>
      <c r="B717" s="205"/>
      <c r="C717" s="55"/>
      <c r="D717" s="205"/>
      <c r="E717" s="172"/>
      <c r="F717" s="212"/>
      <c r="G717" s="172"/>
      <c r="H717" s="205"/>
      <c r="I717" s="149"/>
      <c r="J717" s="46"/>
      <c r="K717" s="46"/>
      <c r="L717" s="46"/>
      <c r="M717" s="46"/>
      <c r="N717" s="46"/>
      <c r="O717" s="46"/>
      <c r="P717" s="46"/>
      <c r="Q717" s="46"/>
      <c r="R717" s="46"/>
      <c r="S717" s="46"/>
      <c r="T717" s="46"/>
      <c r="U717" s="46"/>
      <c r="V717" s="46"/>
      <c r="W717" s="46"/>
    </row>
    <row r="718">
      <c r="A718" s="55"/>
      <c r="B718" s="205"/>
      <c r="C718" s="55"/>
      <c r="D718" s="205"/>
      <c r="E718" s="172"/>
      <c r="F718" s="212"/>
      <c r="G718" s="172"/>
      <c r="H718" s="205"/>
      <c r="I718" s="149"/>
      <c r="J718" s="46"/>
      <c r="K718" s="46"/>
      <c r="L718" s="46"/>
      <c r="M718" s="46"/>
      <c r="N718" s="46"/>
      <c r="O718" s="46"/>
      <c r="P718" s="46"/>
      <c r="Q718" s="46"/>
      <c r="R718" s="46"/>
      <c r="S718" s="46"/>
      <c r="T718" s="46"/>
      <c r="U718" s="46"/>
      <c r="V718" s="46"/>
      <c r="W718" s="46"/>
    </row>
    <row r="719">
      <c r="A719" s="55"/>
      <c r="B719" s="205"/>
      <c r="C719" s="55"/>
      <c r="D719" s="205"/>
      <c r="E719" s="172"/>
      <c r="F719" s="212"/>
      <c r="G719" s="172"/>
      <c r="H719" s="205"/>
      <c r="I719" s="149"/>
      <c r="J719" s="46"/>
      <c r="K719" s="46"/>
      <c r="L719" s="46"/>
      <c r="M719" s="46"/>
      <c r="N719" s="46"/>
      <c r="O719" s="46"/>
      <c r="P719" s="46"/>
      <c r="Q719" s="46"/>
      <c r="R719" s="46"/>
      <c r="S719" s="46"/>
      <c r="T719" s="46"/>
      <c r="U719" s="46"/>
      <c r="V719" s="46"/>
      <c r="W719" s="46"/>
    </row>
    <row r="720">
      <c r="A720" s="55"/>
      <c r="B720" s="205"/>
      <c r="C720" s="55"/>
      <c r="D720" s="205"/>
      <c r="E720" s="172"/>
      <c r="F720" s="212"/>
      <c r="G720" s="172"/>
      <c r="H720" s="205"/>
      <c r="I720" s="149"/>
      <c r="J720" s="46"/>
      <c r="K720" s="46"/>
      <c r="L720" s="46"/>
      <c r="M720" s="46"/>
      <c r="N720" s="46"/>
      <c r="O720" s="46"/>
      <c r="P720" s="46"/>
      <c r="Q720" s="46"/>
      <c r="R720" s="46"/>
      <c r="S720" s="46"/>
      <c r="T720" s="46"/>
      <c r="U720" s="46"/>
      <c r="V720" s="46"/>
      <c r="W720" s="46"/>
    </row>
    <row r="721">
      <c r="A721" s="55"/>
      <c r="B721" s="205"/>
      <c r="C721" s="55"/>
      <c r="D721" s="205"/>
      <c r="E721" s="172"/>
      <c r="F721" s="212"/>
      <c r="G721" s="172"/>
      <c r="H721" s="205"/>
      <c r="I721" s="149"/>
      <c r="J721" s="46"/>
      <c r="K721" s="46"/>
      <c r="L721" s="46"/>
      <c r="M721" s="46"/>
      <c r="N721" s="46"/>
      <c r="O721" s="46"/>
      <c r="P721" s="46"/>
      <c r="Q721" s="46"/>
      <c r="R721" s="46"/>
      <c r="S721" s="46"/>
      <c r="T721" s="46"/>
      <c r="U721" s="46"/>
      <c r="V721" s="46"/>
      <c r="W721" s="46"/>
    </row>
    <row r="722">
      <c r="A722" s="55"/>
      <c r="B722" s="205"/>
      <c r="C722" s="55"/>
      <c r="D722" s="205"/>
      <c r="E722" s="172"/>
      <c r="F722" s="212"/>
      <c r="G722" s="172"/>
      <c r="H722" s="205"/>
      <c r="I722" s="149"/>
      <c r="J722" s="46"/>
      <c r="K722" s="46"/>
      <c r="L722" s="46"/>
      <c r="M722" s="46"/>
      <c r="N722" s="46"/>
      <c r="O722" s="46"/>
      <c r="P722" s="46"/>
      <c r="Q722" s="46"/>
      <c r="R722" s="46"/>
      <c r="S722" s="46"/>
      <c r="T722" s="46"/>
      <c r="U722" s="46"/>
      <c r="V722" s="46"/>
      <c r="W722" s="46"/>
    </row>
    <row r="723">
      <c r="A723" s="55"/>
      <c r="B723" s="205"/>
      <c r="C723" s="55"/>
      <c r="D723" s="205"/>
      <c r="E723" s="172"/>
      <c r="F723" s="212"/>
      <c r="G723" s="172"/>
      <c r="H723" s="205"/>
      <c r="I723" s="149"/>
      <c r="J723" s="46"/>
      <c r="K723" s="46"/>
      <c r="L723" s="46"/>
      <c r="M723" s="46"/>
      <c r="N723" s="46"/>
      <c r="O723" s="46"/>
      <c r="P723" s="46"/>
      <c r="Q723" s="46"/>
      <c r="R723" s="46"/>
      <c r="S723" s="46"/>
      <c r="T723" s="46"/>
      <c r="U723" s="46"/>
      <c r="V723" s="46"/>
      <c r="W723" s="46"/>
    </row>
    <row r="724">
      <c r="A724" s="55"/>
      <c r="B724" s="205"/>
      <c r="C724" s="55"/>
      <c r="D724" s="205"/>
      <c r="E724" s="172"/>
      <c r="F724" s="212"/>
      <c r="G724" s="172"/>
      <c r="H724" s="205"/>
      <c r="I724" s="149"/>
      <c r="J724" s="46"/>
      <c r="K724" s="46"/>
      <c r="L724" s="46"/>
      <c r="M724" s="46"/>
      <c r="N724" s="46"/>
      <c r="O724" s="46"/>
      <c r="P724" s="46"/>
      <c r="Q724" s="46"/>
      <c r="R724" s="46"/>
      <c r="S724" s="46"/>
      <c r="T724" s="46"/>
      <c r="U724" s="46"/>
      <c r="V724" s="46"/>
      <c r="W724" s="46"/>
    </row>
    <row r="725">
      <c r="A725" s="55"/>
      <c r="B725" s="205"/>
      <c r="C725" s="55"/>
      <c r="D725" s="205"/>
      <c r="E725" s="172"/>
      <c r="F725" s="212"/>
      <c r="G725" s="172"/>
      <c r="H725" s="205"/>
      <c r="I725" s="149"/>
      <c r="J725" s="46"/>
      <c r="K725" s="46"/>
      <c r="L725" s="46"/>
      <c r="M725" s="46"/>
      <c r="N725" s="46"/>
      <c r="O725" s="46"/>
      <c r="P725" s="46"/>
      <c r="Q725" s="46"/>
      <c r="R725" s="46"/>
      <c r="S725" s="46"/>
      <c r="T725" s="46"/>
      <c r="U725" s="46"/>
      <c r="V725" s="46"/>
      <c r="W725" s="46"/>
    </row>
    <row r="726">
      <c r="A726" s="55"/>
      <c r="B726" s="205"/>
      <c r="C726" s="55"/>
      <c r="D726" s="205"/>
      <c r="E726" s="172"/>
      <c r="F726" s="212"/>
      <c r="G726" s="172"/>
      <c r="H726" s="205"/>
      <c r="I726" s="149"/>
      <c r="J726" s="46"/>
      <c r="K726" s="46"/>
      <c r="L726" s="46"/>
      <c r="M726" s="46"/>
      <c r="N726" s="46"/>
      <c r="O726" s="46"/>
      <c r="P726" s="46"/>
      <c r="Q726" s="46"/>
      <c r="R726" s="46"/>
      <c r="S726" s="46"/>
      <c r="T726" s="46"/>
      <c r="U726" s="46"/>
      <c r="V726" s="46"/>
      <c r="W726" s="46"/>
    </row>
    <row r="727">
      <c r="A727" s="55"/>
      <c r="B727" s="205"/>
      <c r="C727" s="55"/>
      <c r="D727" s="205"/>
      <c r="E727" s="172"/>
      <c r="F727" s="212"/>
      <c r="G727" s="172"/>
      <c r="H727" s="205"/>
      <c r="I727" s="149"/>
      <c r="J727" s="46"/>
      <c r="K727" s="46"/>
      <c r="L727" s="46"/>
      <c r="M727" s="46"/>
      <c r="N727" s="46"/>
      <c r="O727" s="46"/>
      <c r="P727" s="46"/>
      <c r="Q727" s="46"/>
      <c r="R727" s="46"/>
      <c r="S727" s="46"/>
      <c r="T727" s="46"/>
      <c r="U727" s="46"/>
      <c r="V727" s="46"/>
      <c r="W727" s="46"/>
    </row>
    <row r="728">
      <c r="A728" s="55"/>
      <c r="B728" s="205"/>
      <c r="C728" s="55"/>
      <c r="D728" s="205"/>
      <c r="E728" s="172"/>
      <c r="F728" s="212"/>
      <c r="G728" s="172"/>
      <c r="H728" s="205"/>
      <c r="I728" s="149"/>
      <c r="J728" s="46"/>
      <c r="K728" s="46"/>
      <c r="L728" s="46"/>
      <c r="M728" s="46"/>
      <c r="N728" s="46"/>
      <c r="O728" s="46"/>
      <c r="P728" s="46"/>
      <c r="Q728" s="46"/>
      <c r="R728" s="46"/>
      <c r="S728" s="46"/>
      <c r="T728" s="46"/>
      <c r="U728" s="46"/>
      <c r="V728" s="46"/>
      <c r="W728" s="46"/>
    </row>
    <row r="729">
      <c r="A729" s="55"/>
      <c r="B729" s="205"/>
      <c r="C729" s="55"/>
      <c r="D729" s="205"/>
      <c r="E729" s="172"/>
      <c r="F729" s="212"/>
      <c r="G729" s="172"/>
      <c r="H729" s="205"/>
      <c r="I729" s="149"/>
      <c r="J729" s="46"/>
      <c r="K729" s="46"/>
      <c r="L729" s="46"/>
      <c r="M729" s="46"/>
      <c r="N729" s="46"/>
      <c r="O729" s="46"/>
      <c r="P729" s="46"/>
      <c r="Q729" s="46"/>
      <c r="R729" s="46"/>
      <c r="S729" s="46"/>
      <c r="T729" s="46"/>
      <c r="U729" s="46"/>
      <c r="V729" s="46"/>
      <c r="W729" s="46"/>
    </row>
    <row r="730">
      <c r="A730" s="55"/>
      <c r="B730" s="205"/>
      <c r="C730" s="55"/>
      <c r="D730" s="205"/>
      <c r="E730" s="172"/>
      <c r="F730" s="212"/>
      <c r="G730" s="172"/>
      <c r="H730" s="205"/>
      <c r="I730" s="149"/>
      <c r="J730" s="46"/>
      <c r="K730" s="46"/>
      <c r="L730" s="46"/>
      <c r="M730" s="46"/>
      <c r="N730" s="46"/>
      <c r="O730" s="46"/>
      <c r="P730" s="46"/>
      <c r="Q730" s="46"/>
      <c r="R730" s="46"/>
      <c r="S730" s="46"/>
      <c r="T730" s="46"/>
      <c r="U730" s="46"/>
      <c r="V730" s="46"/>
      <c r="W730" s="46"/>
    </row>
    <row r="731">
      <c r="A731" s="55"/>
      <c r="B731" s="205"/>
      <c r="C731" s="55"/>
      <c r="D731" s="205"/>
      <c r="E731" s="172"/>
      <c r="F731" s="212"/>
      <c r="G731" s="172"/>
      <c r="H731" s="205"/>
      <c r="I731" s="149"/>
      <c r="J731" s="46"/>
      <c r="K731" s="46"/>
      <c r="L731" s="46"/>
      <c r="M731" s="46"/>
      <c r="N731" s="46"/>
      <c r="O731" s="46"/>
      <c r="P731" s="46"/>
      <c r="Q731" s="46"/>
      <c r="R731" s="46"/>
      <c r="S731" s="46"/>
      <c r="T731" s="46"/>
      <c r="U731" s="46"/>
      <c r="V731" s="46"/>
      <c r="W731" s="46"/>
    </row>
    <row r="732">
      <c r="A732" s="55"/>
      <c r="B732" s="205"/>
      <c r="C732" s="55"/>
      <c r="D732" s="205"/>
      <c r="E732" s="172"/>
      <c r="F732" s="212"/>
      <c r="G732" s="172"/>
      <c r="H732" s="205"/>
      <c r="I732" s="149"/>
      <c r="J732" s="46"/>
      <c r="K732" s="46"/>
      <c r="L732" s="46"/>
      <c r="M732" s="46"/>
      <c r="N732" s="46"/>
      <c r="O732" s="46"/>
      <c r="P732" s="46"/>
      <c r="Q732" s="46"/>
      <c r="R732" s="46"/>
      <c r="S732" s="46"/>
      <c r="T732" s="46"/>
      <c r="U732" s="46"/>
      <c r="V732" s="46"/>
      <c r="W732" s="46"/>
    </row>
    <row r="733">
      <c r="A733" s="55"/>
      <c r="B733" s="205"/>
      <c r="C733" s="55"/>
      <c r="D733" s="205"/>
      <c r="E733" s="172"/>
      <c r="F733" s="212"/>
      <c r="G733" s="172"/>
      <c r="H733" s="205"/>
      <c r="I733" s="149"/>
      <c r="J733" s="46"/>
      <c r="K733" s="46"/>
      <c r="L733" s="46"/>
      <c r="M733" s="46"/>
      <c r="N733" s="46"/>
      <c r="O733" s="46"/>
      <c r="P733" s="46"/>
      <c r="Q733" s="46"/>
      <c r="R733" s="46"/>
      <c r="S733" s="46"/>
      <c r="T733" s="46"/>
      <c r="U733" s="46"/>
      <c r="V733" s="46"/>
      <c r="W733" s="46"/>
    </row>
    <row r="734">
      <c r="A734" s="55"/>
      <c r="B734" s="205"/>
      <c r="C734" s="55"/>
      <c r="D734" s="205"/>
      <c r="E734" s="172"/>
      <c r="F734" s="212"/>
      <c r="G734" s="172"/>
      <c r="H734" s="205"/>
      <c r="I734" s="149"/>
      <c r="J734" s="46"/>
      <c r="K734" s="46"/>
      <c r="L734" s="46"/>
      <c r="M734" s="46"/>
      <c r="N734" s="46"/>
      <c r="O734" s="46"/>
      <c r="P734" s="46"/>
      <c r="Q734" s="46"/>
      <c r="R734" s="46"/>
      <c r="S734" s="46"/>
      <c r="T734" s="46"/>
      <c r="U734" s="46"/>
      <c r="V734" s="46"/>
      <c r="W734" s="46"/>
    </row>
    <row r="735">
      <c r="A735" s="55"/>
      <c r="B735" s="205"/>
      <c r="C735" s="55"/>
      <c r="D735" s="205"/>
      <c r="E735" s="172"/>
      <c r="F735" s="212"/>
      <c r="G735" s="172"/>
      <c r="H735" s="205"/>
      <c r="I735" s="149"/>
      <c r="J735" s="46"/>
      <c r="K735" s="46"/>
      <c r="L735" s="46"/>
      <c r="M735" s="46"/>
      <c r="N735" s="46"/>
      <c r="O735" s="46"/>
      <c r="P735" s="46"/>
      <c r="Q735" s="46"/>
      <c r="R735" s="46"/>
      <c r="S735" s="46"/>
      <c r="T735" s="46"/>
      <c r="U735" s="46"/>
      <c r="V735" s="46"/>
      <c r="W735" s="46"/>
    </row>
    <row r="736">
      <c r="A736" s="55"/>
      <c r="B736" s="205"/>
      <c r="C736" s="55"/>
      <c r="D736" s="205"/>
      <c r="E736" s="172"/>
      <c r="F736" s="212"/>
      <c r="G736" s="172"/>
      <c r="H736" s="205"/>
      <c r="I736" s="149"/>
      <c r="J736" s="46"/>
      <c r="K736" s="46"/>
      <c r="L736" s="46"/>
      <c r="M736" s="46"/>
      <c r="N736" s="46"/>
      <c r="O736" s="46"/>
      <c r="P736" s="46"/>
      <c r="Q736" s="46"/>
      <c r="R736" s="46"/>
      <c r="S736" s="46"/>
      <c r="T736" s="46"/>
      <c r="U736" s="46"/>
      <c r="V736" s="46"/>
      <c r="W736" s="46"/>
    </row>
    <row r="737">
      <c r="A737" s="55"/>
      <c r="B737" s="205"/>
      <c r="C737" s="55"/>
      <c r="D737" s="205"/>
      <c r="E737" s="172"/>
      <c r="F737" s="212"/>
      <c r="G737" s="172"/>
      <c r="H737" s="205"/>
      <c r="I737" s="149"/>
      <c r="J737" s="46"/>
      <c r="K737" s="46"/>
      <c r="L737" s="46"/>
      <c r="M737" s="46"/>
      <c r="N737" s="46"/>
      <c r="O737" s="46"/>
      <c r="P737" s="46"/>
      <c r="Q737" s="46"/>
      <c r="R737" s="46"/>
      <c r="S737" s="46"/>
      <c r="T737" s="46"/>
      <c r="U737" s="46"/>
      <c r="V737" s="46"/>
      <c r="W737" s="46"/>
    </row>
    <row r="738">
      <c r="A738" s="55"/>
      <c r="B738" s="205"/>
      <c r="C738" s="55"/>
      <c r="D738" s="205"/>
      <c r="E738" s="172"/>
      <c r="F738" s="212"/>
      <c r="G738" s="172"/>
      <c r="H738" s="205"/>
      <c r="I738" s="149"/>
      <c r="J738" s="46"/>
      <c r="K738" s="46"/>
      <c r="L738" s="46"/>
      <c r="M738" s="46"/>
      <c r="N738" s="46"/>
      <c r="O738" s="46"/>
      <c r="P738" s="46"/>
      <c r="Q738" s="46"/>
      <c r="R738" s="46"/>
      <c r="S738" s="46"/>
      <c r="T738" s="46"/>
      <c r="U738" s="46"/>
      <c r="V738" s="46"/>
      <c r="W738" s="46"/>
    </row>
    <row r="739">
      <c r="A739" s="55"/>
      <c r="B739" s="205"/>
      <c r="C739" s="55"/>
      <c r="D739" s="205"/>
      <c r="E739" s="172"/>
      <c r="F739" s="212"/>
      <c r="G739" s="172"/>
      <c r="H739" s="205"/>
      <c r="I739" s="149"/>
      <c r="J739" s="46"/>
      <c r="K739" s="46"/>
      <c r="L739" s="46"/>
      <c r="M739" s="46"/>
      <c r="N739" s="46"/>
      <c r="O739" s="46"/>
      <c r="P739" s="46"/>
      <c r="Q739" s="46"/>
      <c r="R739" s="46"/>
      <c r="S739" s="46"/>
      <c r="T739" s="46"/>
      <c r="U739" s="46"/>
      <c r="V739" s="46"/>
      <c r="W739" s="46"/>
    </row>
    <row r="740">
      <c r="A740" s="55"/>
      <c r="B740" s="205"/>
      <c r="C740" s="55"/>
      <c r="D740" s="205"/>
      <c r="E740" s="172"/>
      <c r="F740" s="212"/>
      <c r="G740" s="172"/>
      <c r="H740" s="205"/>
      <c r="I740" s="149"/>
      <c r="J740" s="46"/>
      <c r="K740" s="46"/>
      <c r="L740" s="46"/>
      <c r="M740" s="46"/>
      <c r="N740" s="46"/>
      <c r="O740" s="46"/>
      <c r="P740" s="46"/>
      <c r="Q740" s="46"/>
      <c r="R740" s="46"/>
      <c r="S740" s="46"/>
      <c r="T740" s="46"/>
      <c r="U740" s="46"/>
      <c r="V740" s="46"/>
      <c r="W740" s="46"/>
    </row>
    <row r="741">
      <c r="A741" s="55"/>
      <c r="B741" s="205"/>
      <c r="C741" s="55"/>
      <c r="D741" s="205"/>
      <c r="E741" s="172"/>
      <c r="F741" s="212"/>
      <c r="G741" s="172"/>
      <c r="H741" s="205"/>
      <c r="I741" s="149"/>
      <c r="J741" s="46"/>
      <c r="K741" s="46"/>
      <c r="L741" s="46"/>
      <c r="M741" s="46"/>
      <c r="N741" s="46"/>
      <c r="O741" s="46"/>
      <c r="P741" s="46"/>
      <c r="Q741" s="46"/>
      <c r="R741" s="46"/>
      <c r="S741" s="46"/>
      <c r="T741" s="46"/>
      <c r="U741" s="46"/>
      <c r="V741" s="46"/>
      <c r="W741" s="46"/>
    </row>
    <row r="742">
      <c r="A742" s="55"/>
      <c r="B742" s="205"/>
      <c r="C742" s="55"/>
      <c r="D742" s="205"/>
      <c r="E742" s="172"/>
      <c r="F742" s="212"/>
      <c r="G742" s="172"/>
      <c r="H742" s="205"/>
      <c r="I742" s="149"/>
      <c r="J742" s="46"/>
      <c r="K742" s="46"/>
      <c r="L742" s="46"/>
      <c r="M742" s="46"/>
      <c r="N742" s="46"/>
      <c r="O742" s="46"/>
      <c r="P742" s="46"/>
      <c r="Q742" s="46"/>
      <c r="R742" s="46"/>
      <c r="S742" s="46"/>
      <c r="T742" s="46"/>
      <c r="U742" s="46"/>
      <c r="V742" s="46"/>
      <c r="W742" s="46"/>
    </row>
    <row r="743">
      <c r="A743" s="55"/>
      <c r="B743" s="205"/>
      <c r="C743" s="55"/>
      <c r="D743" s="205"/>
      <c r="E743" s="172"/>
      <c r="F743" s="212"/>
      <c r="G743" s="172"/>
      <c r="H743" s="205"/>
      <c r="I743" s="149"/>
      <c r="J743" s="46"/>
      <c r="K743" s="46"/>
      <c r="L743" s="46"/>
      <c r="M743" s="46"/>
      <c r="N743" s="46"/>
      <c r="O743" s="46"/>
      <c r="P743" s="46"/>
      <c r="Q743" s="46"/>
      <c r="R743" s="46"/>
      <c r="S743" s="46"/>
      <c r="T743" s="46"/>
      <c r="U743" s="46"/>
      <c r="V743" s="46"/>
      <c r="W743" s="46"/>
    </row>
    <row r="744">
      <c r="A744" s="55"/>
      <c r="B744" s="205"/>
      <c r="C744" s="55"/>
      <c r="D744" s="205"/>
      <c r="E744" s="172"/>
      <c r="F744" s="212"/>
      <c r="G744" s="172"/>
      <c r="H744" s="205"/>
      <c r="I744" s="149"/>
      <c r="J744" s="46"/>
      <c r="K744" s="46"/>
      <c r="L744" s="46"/>
      <c r="M744" s="46"/>
      <c r="N744" s="46"/>
      <c r="O744" s="46"/>
      <c r="P744" s="46"/>
      <c r="Q744" s="46"/>
      <c r="R744" s="46"/>
      <c r="S744" s="46"/>
      <c r="T744" s="46"/>
      <c r="U744" s="46"/>
      <c r="V744" s="46"/>
      <c r="W744" s="46"/>
    </row>
    <row r="745">
      <c r="A745" s="55"/>
      <c r="B745" s="205"/>
      <c r="C745" s="55"/>
      <c r="D745" s="205"/>
      <c r="E745" s="172"/>
      <c r="F745" s="212"/>
      <c r="G745" s="172"/>
      <c r="H745" s="205"/>
      <c r="I745" s="149"/>
      <c r="J745" s="46"/>
      <c r="K745" s="46"/>
      <c r="L745" s="46"/>
      <c r="M745" s="46"/>
      <c r="N745" s="46"/>
      <c r="O745" s="46"/>
      <c r="P745" s="46"/>
      <c r="Q745" s="46"/>
      <c r="R745" s="46"/>
      <c r="S745" s="46"/>
      <c r="T745" s="46"/>
      <c r="U745" s="46"/>
      <c r="V745" s="46"/>
      <c r="W745" s="46"/>
    </row>
    <row r="746">
      <c r="A746" s="55"/>
      <c r="B746" s="205"/>
      <c r="C746" s="55"/>
      <c r="D746" s="205"/>
      <c r="E746" s="172"/>
      <c r="F746" s="212"/>
      <c r="G746" s="172"/>
      <c r="H746" s="205"/>
      <c r="I746" s="149"/>
      <c r="J746" s="46"/>
      <c r="K746" s="46"/>
      <c r="L746" s="46"/>
      <c r="M746" s="46"/>
      <c r="N746" s="46"/>
      <c r="O746" s="46"/>
      <c r="P746" s="46"/>
      <c r="Q746" s="46"/>
      <c r="R746" s="46"/>
      <c r="S746" s="46"/>
      <c r="T746" s="46"/>
      <c r="U746" s="46"/>
      <c r="V746" s="46"/>
      <c r="W746" s="46"/>
    </row>
    <row r="747">
      <c r="A747" s="55"/>
      <c r="B747" s="205"/>
      <c r="C747" s="55"/>
      <c r="D747" s="205"/>
      <c r="E747" s="172"/>
      <c r="F747" s="212"/>
      <c r="G747" s="172"/>
      <c r="H747" s="205"/>
      <c r="I747" s="149"/>
      <c r="J747" s="46"/>
      <c r="K747" s="46"/>
      <c r="L747" s="46"/>
      <c r="M747" s="46"/>
      <c r="N747" s="46"/>
      <c r="O747" s="46"/>
      <c r="P747" s="46"/>
      <c r="Q747" s="46"/>
      <c r="R747" s="46"/>
      <c r="S747" s="46"/>
      <c r="T747" s="46"/>
      <c r="U747" s="46"/>
      <c r="V747" s="46"/>
      <c r="W747" s="46"/>
    </row>
    <row r="748">
      <c r="A748" s="55"/>
      <c r="B748" s="205"/>
      <c r="C748" s="55"/>
      <c r="D748" s="205"/>
      <c r="E748" s="172"/>
      <c r="F748" s="212"/>
      <c r="G748" s="172"/>
      <c r="H748" s="205"/>
      <c r="I748" s="149"/>
      <c r="J748" s="46"/>
      <c r="K748" s="46"/>
      <c r="L748" s="46"/>
      <c r="M748" s="46"/>
      <c r="N748" s="46"/>
      <c r="O748" s="46"/>
      <c r="P748" s="46"/>
      <c r="Q748" s="46"/>
      <c r="R748" s="46"/>
      <c r="S748" s="46"/>
      <c r="T748" s="46"/>
      <c r="U748" s="46"/>
      <c r="V748" s="46"/>
      <c r="W748" s="46"/>
    </row>
    <row r="749">
      <c r="A749" s="55"/>
      <c r="B749" s="205"/>
      <c r="C749" s="55"/>
      <c r="D749" s="205"/>
      <c r="E749" s="172"/>
      <c r="F749" s="212"/>
      <c r="G749" s="172"/>
      <c r="H749" s="205"/>
      <c r="I749" s="149"/>
      <c r="J749" s="46"/>
      <c r="K749" s="46"/>
      <c r="L749" s="46"/>
      <c r="M749" s="46"/>
      <c r="N749" s="46"/>
      <c r="O749" s="46"/>
      <c r="P749" s="46"/>
      <c r="Q749" s="46"/>
      <c r="R749" s="46"/>
      <c r="S749" s="46"/>
      <c r="T749" s="46"/>
      <c r="U749" s="46"/>
      <c r="V749" s="46"/>
      <c r="W749" s="46"/>
    </row>
    <row r="750">
      <c r="A750" s="55"/>
      <c r="B750" s="205"/>
      <c r="C750" s="55"/>
      <c r="D750" s="205"/>
      <c r="E750" s="172"/>
      <c r="F750" s="212"/>
      <c r="G750" s="172"/>
      <c r="H750" s="205"/>
      <c r="I750" s="149"/>
      <c r="J750" s="46"/>
      <c r="K750" s="46"/>
      <c r="L750" s="46"/>
      <c r="M750" s="46"/>
      <c r="N750" s="46"/>
      <c r="O750" s="46"/>
      <c r="P750" s="46"/>
      <c r="Q750" s="46"/>
      <c r="R750" s="46"/>
      <c r="S750" s="46"/>
      <c r="T750" s="46"/>
      <c r="U750" s="46"/>
      <c r="V750" s="46"/>
      <c r="W750" s="46"/>
    </row>
    <row r="751">
      <c r="A751" s="55"/>
      <c r="B751" s="205"/>
      <c r="C751" s="55"/>
      <c r="D751" s="205"/>
      <c r="E751" s="172"/>
      <c r="F751" s="212"/>
      <c r="G751" s="172"/>
      <c r="H751" s="205"/>
      <c r="I751" s="149"/>
      <c r="J751" s="46"/>
      <c r="K751" s="46"/>
      <c r="L751" s="46"/>
      <c r="M751" s="46"/>
      <c r="N751" s="46"/>
      <c r="O751" s="46"/>
      <c r="P751" s="46"/>
      <c r="Q751" s="46"/>
      <c r="R751" s="46"/>
      <c r="S751" s="46"/>
      <c r="T751" s="46"/>
      <c r="U751" s="46"/>
      <c r="V751" s="46"/>
      <c r="W751" s="46"/>
    </row>
    <row r="752">
      <c r="A752" s="55"/>
      <c r="B752" s="205"/>
      <c r="C752" s="55"/>
      <c r="D752" s="205"/>
      <c r="E752" s="172"/>
      <c r="F752" s="212"/>
      <c r="G752" s="172"/>
      <c r="H752" s="205"/>
      <c r="I752" s="149"/>
      <c r="J752" s="46"/>
      <c r="K752" s="46"/>
      <c r="L752" s="46"/>
      <c r="M752" s="46"/>
      <c r="N752" s="46"/>
      <c r="O752" s="46"/>
      <c r="P752" s="46"/>
      <c r="Q752" s="46"/>
      <c r="R752" s="46"/>
      <c r="S752" s="46"/>
      <c r="T752" s="46"/>
      <c r="U752" s="46"/>
      <c r="V752" s="46"/>
      <c r="W752" s="46"/>
    </row>
    <row r="753">
      <c r="A753" s="55"/>
      <c r="B753" s="205"/>
      <c r="C753" s="55"/>
      <c r="D753" s="205"/>
      <c r="E753" s="172"/>
      <c r="F753" s="212"/>
      <c r="G753" s="172"/>
      <c r="H753" s="205"/>
      <c r="I753" s="149"/>
      <c r="J753" s="46"/>
      <c r="K753" s="46"/>
      <c r="L753" s="46"/>
      <c r="M753" s="46"/>
      <c r="N753" s="46"/>
      <c r="O753" s="46"/>
      <c r="P753" s="46"/>
      <c r="Q753" s="46"/>
      <c r="R753" s="46"/>
      <c r="S753" s="46"/>
      <c r="T753" s="46"/>
      <c r="U753" s="46"/>
      <c r="V753" s="46"/>
      <c r="W753" s="46"/>
    </row>
    <row r="754">
      <c r="A754" s="55"/>
      <c r="B754" s="205"/>
      <c r="C754" s="55"/>
      <c r="D754" s="205"/>
      <c r="E754" s="172"/>
      <c r="F754" s="212"/>
      <c r="G754" s="172"/>
      <c r="H754" s="205"/>
      <c r="I754" s="149"/>
      <c r="J754" s="46"/>
      <c r="K754" s="46"/>
      <c r="L754" s="46"/>
      <c r="M754" s="46"/>
      <c r="N754" s="46"/>
      <c r="O754" s="46"/>
      <c r="P754" s="46"/>
      <c r="Q754" s="46"/>
      <c r="R754" s="46"/>
      <c r="S754" s="46"/>
      <c r="T754" s="46"/>
      <c r="U754" s="46"/>
      <c r="V754" s="46"/>
      <c r="W754" s="46"/>
    </row>
    <row r="755">
      <c r="A755" s="55"/>
      <c r="B755" s="205"/>
      <c r="C755" s="55"/>
      <c r="D755" s="205"/>
      <c r="E755" s="172"/>
      <c r="F755" s="212"/>
      <c r="G755" s="172"/>
      <c r="H755" s="205"/>
      <c r="I755" s="149"/>
      <c r="J755" s="46"/>
      <c r="K755" s="46"/>
      <c r="L755" s="46"/>
      <c r="M755" s="46"/>
      <c r="N755" s="46"/>
      <c r="O755" s="46"/>
      <c r="P755" s="46"/>
      <c r="Q755" s="46"/>
      <c r="R755" s="46"/>
      <c r="S755" s="46"/>
      <c r="T755" s="46"/>
      <c r="U755" s="46"/>
      <c r="V755" s="46"/>
      <c r="W755" s="46"/>
    </row>
    <row r="756">
      <c r="A756" s="55"/>
      <c r="B756" s="205"/>
      <c r="C756" s="55"/>
      <c r="D756" s="205"/>
      <c r="E756" s="172"/>
      <c r="F756" s="212"/>
      <c r="G756" s="172"/>
      <c r="H756" s="205"/>
      <c r="I756" s="149"/>
      <c r="J756" s="46"/>
      <c r="K756" s="46"/>
      <c r="L756" s="46"/>
      <c r="M756" s="46"/>
      <c r="N756" s="46"/>
      <c r="O756" s="46"/>
      <c r="P756" s="46"/>
      <c r="Q756" s="46"/>
      <c r="R756" s="46"/>
      <c r="S756" s="46"/>
      <c r="T756" s="46"/>
      <c r="U756" s="46"/>
      <c r="V756" s="46"/>
      <c r="W756" s="46"/>
    </row>
    <row r="757">
      <c r="A757" s="55"/>
      <c r="B757" s="205"/>
      <c r="C757" s="55"/>
      <c r="D757" s="205"/>
      <c r="E757" s="172"/>
      <c r="F757" s="212"/>
      <c r="G757" s="172"/>
      <c r="H757" s="205"/>
      <c r="I757" s="149"/>
      <c r="J757" s="46"/>
      <c r="K757" s="46"/>
      <c r="L757" s="46"/>
      <c r="M757" s="46"/>
      <c r="N757" s="46"/>
      <c r="O757" s="46"/>
      <c r="P757" s="46"/>
      <c r="Q757" s="46"/>
      <c r="R757" s="46"/>
      <c r="S757" s="46"/>
      <c r="T757" s="46"/>
      <c r="U757" s="46"/>
      <c r="V757" s="46"/>
      <c r="W757" s="46"/>
    </row>
    <row r="758">
      <c r="A758" s="55"/>
      <c r="B758" s="205"/>
      <c r="C758" s="55"/>
      <c r="D758" s="205"/>
      <c r="E758" s="172"/>
      <c r="F758" s="212"/>
      <c r="G758" s="172"/>
      <c r="H758" s="205"/>
      <c r="I758" s="149"/>
      <c r="J758" s="46"/>
      <c r="K758" s="46"/>
      <c r="L758" s="46"/>
      <c r="M758" s="46"/>
      <c r="N758" s="46"/>
      <c r="O758" s="46"/>
      <c r="P758" s="46"/>
      <c r="Q758" s="46"/>
      <c r="R758" s="46"/>
      <c r="S758" s="46"/>
      <c r="T758" s="46"/>
      <c r="U758" s="46"/>
      <c r="V758" s="46"/>
      <c r="W758" s="46"/>
    </row>
    <row r="759">
      <c r="A759" s="55"/>
      <c r="B759" s="205"/>
      <c r="C759" s="55"/>
      <c r="D759" s="205"/>
      <c r="E759" s="172"/>
      <c r="F759" s="212"/>
      <c r="G759" s="172"/>
      <c r="H759" s="205"/>
      <c r="I759" s="149"/>
      <c r="J759" s="46"/>
      <c r="K759" s="46"/>
      <c r="L759" s="46"/>
      <c r="M759" s="46"/>
      <c r="N759" s="46"/>
      <c r="O759" s="46"/>
      <c r="P759" s="46"/>
      <c r="Q759" s="46"/>
      <c r="R759" s="46"/>
      <c r="S759" s="46"/>
      <c r="T759" s="46"/>
      <c r="U759" s="46"/>
      <c r="V759" s="46"/>
      <c r="W759" s="46"/>
    </row>
    <row r="760">
      <c r="A760" s="55"/>
      <c r="B760" s="205"/>
      <c r="C760" s="55"/>
      <c r="D760" s="205"/>
      <c r="E760" s="172"/>
      <c r="F760" s="212"/>
      <c r="G760" s="172"/>
      <c r="H760" s="205"/>
      <c r="I760" s="149"/>
      <c r="J760" s="46"/>
      <c r="K760" s="46"/>
      <c r="L760" s="46"/>
      <c r="M760" s="46"/>
      <c r="N760" s="46"/>
      <c r="O760" s="46"/>
      <c r="P760" s="46"/>
      <c r="Q760" s="46"/>
      <c r="R760" s="46"/>
      <c r="S760" s="46"/>
      <c r="T760" s="46"/>
      <c r="U760" s="46"/>
      <c r="V760" s="46"/>
      <c r="W760" s="46"/>
    </row>
    <row r="761">
      <c r="A761" s="55"/>
      <c r="B761" s="205"/>
      <c r="C761" s="55"/>
      <c r="D761" s="205"/>
      <c r="E761" s="172"/>
      <c r="F761" s="212"/>
      <c r="G761" s="172"/>
      <c r="H761" s="205"/>
      <c r="I761" s="149"/>
      <c r="J761" s="46"/>
      <c r="K761" s="46"/>
      <c r="L761" s="46"/>
      <c r="M761" s="46"/>
      <c r="N761" s="46"/>
      <c r="O761" s="46"/>
      <c r="P761" s="46"/>
      <c r="Q761" s="46"/>
      <c r="R761" s="46"/>
      <c r="S761" s="46"/>
      <c r="T761" s="46"/>
      <c r="U761" s="46"/>
      <c r="V761" s="46"/>
      <c r="W761" s="46"/>
    </row>
    <row r="762">
      <c r="A762" s="55"/>
      <c r="B762" s="205"/>
      <c r="C762" s="55"/>
      <c r="D762" s="205"/>
      <c r="E762" s="172"/>
      <c r="F762" s="212"/>
      <c r="G762" s="172"/>
      <c r="H762" s="205"/>
      <c r="I762" s="149"/>
      <c r="J762" s="46"/>
      <c r="K762" s="46"/>
      <c r="L762" s="46"/>
      <c r="M762" s="46"/>
      <c r="N762" s="46"/>
      <c r="O762" s="46"/>
      <c r="P762" s="46"/>
      <c r="Q762" s="46"/>
      <c r="R762" s="46"/>
      <c r="S762" s="46"/>
      <c r="T762" s="46"/>
      <c r="U762" s="46"/>
      <c r="V762" s="46"/>
      <c r="W762" s="46"/>
    </row>
    <row r="763">
      <c r="A763" s="55"/>
      <c r="B763" s="205"/>
      <c r="C763" s="55"/>
      <c r="D763" s="205"/>
      <c r="E763" s="172"/>
      <c r="F763" s="212"/>
      <c r="G763" s="172"/>
      <c r="H763" s="205"/>
      <c r="I763" s="149"/>
      <c r="J763" s="46"/>
      <c r="K763" s="46"/>
      <c r="L763" s="46"/>
      <c r="M763" s="46"/>
      <c r="N763" s="46"/>
      <c r="O763" s="46"/>
      <c r="P763" s="46"/>
      <c r="Q763" s="46"/>
      <c r="R763" s="46"/>
      <c r="S763" s="46"/>
      <c r="T763" s="46"/>
      <c r="U763" s="46"/>
      <c r="V763" s="46"/>
      <c r="W763" s="46"/>
    </row>
    <row r="764">
      <c r="A764" s="55"/>
      <c r="B764" s="205"/>
      <c r="C764" s="55"/>
      <c r="D764" s="205"/>
      <c r="E764" s="172"/>
      <c r="F764" s="212"/>
      <c r="G764" s="172"/>
      <c r="H764" s="205"/>
      <c r="I764" s="149"/>
      <c r="J764" s="46"/>
      <c r="K764" s="46"/>
      <c r="L764" s="46"/>
      <c r="M764" s="46"/>
      <c r="N764" s="46"/>
      <c r="O764" s="46"/>
      <c r="P764" s="46"/>
      <c r="Q764" s="46"/>
      <c r="R764" s="46"/>
      <c r="S764" s="46"/>
      <c r="T764" s="46"/>
      <c r="U764" s="46"/>
      <c r="V764" s="46"/>
      <c r="W764" s="46"/>
    </row>
    <row r="765">
      <c r="A765" s="55"/>
      <c r="B765" s="205"/>
      <c r="C765" s="55"/>
      <c r="D765" s="205"/>
      <c r="E765" s="172"/>
      <c r="F765" s="212"/>
      <c r="G765" s="172"/>
      <c r="H765" s="205"/>
      <c r="I765" s="149"/>
      <c r="J765" s="46"/>
      <c r="K765" s="46"/>
      <c r="L765" s="46"/>
      <c r="M765" s="46"/>
      <c r="N765" s="46"/>
      <c r="O765" s="46"/>
      <c r="P765" s="46"/>
      <c r="Q765" s="46"/>
      <c r="R765" s="46"/>
      <c r="S765" s="46"/>
      <c r="T765" s="46"/>
      <c r="U765" s="46"/>
      <c r="V765" s="46"/>
      <c r="W765" s="46"/>
    </row>
    <row r="766">
      <c r="A766" s="55"/>
      <c r="B766" s="205"/>
      <c r="C766" s="55"/>
      <c r="D766" s="205"/>
      <c r="E766" s="172"/>
      <c r="F766" s="212"/>
      <c r="G766" s="172"/>
      <c r="H766" s="205"/>
      <c r="I766" s="149"/>
      <c r="J766" s="46"/>
      <c r="K766" s="46"/>
      <c r="L766" s="46"/>
      <c r="M766" s="46"/>
      <c r="N766" s="46"/>
      <c r="O766" s="46"/>
      <c r="P766" s="46"/>
      <c r="Q766" s="46"/>
      <c r="R766" s="46"/>
      <c r="S766" s="46"/>
      <c r="T766" s="46"/>
      <c r="U766" s="46"/>
      <c r="V766" s="46"/>
      <c r="W766" s="46"/>
    </row>
    <row r="767">
      <c r="A767" s="55"/>
      <c r="B767" s="205"/>
      <c r="C767" s="55"/>
      <c r="D767" s="205"/>
      <c r="E767" s="172"/>
      <c r="F767" s="212"/>
      <c r="G767" s="172"/>
      <c r="H767" s="205"/>
      <c r="I767" s="149"/>
      <c r="J767" s="46"/>
      <c r="K767" s="46"/>
      <c r="L767" s="46"/>
      <c r="M767" s="46"/>
      <c r="N767" s="46"/>
      <c r="O767" s="46"/>
      <c r="P767" s="46"/>
      <c r="Q767" s="46"/>
      <c r="R767" s="46"/>
      <c r="S767" s="46"/>
      <c r="T767" s="46"/>
      <c r="U767" s="46"/>
      <c r="V767" s="46"/>
      <c r="W767" s="46"/>
    </row>
    <row r="768">
      <c r="A768" s="55"/>
      <c r="B768" s="205"/>
      <c r="C768" s="55"/>
      <c r="D768" s="205"/>
      <c r="E768" s="172"/>
      <c r="F768" s="212"/>
      <c r="G768" s="172"/>
      <c r="H768" s="205"/>
      <c r="I768" s="149"/>
      <c r="J768" s="46"/>
      <c r="K768" s="46"/>
      <c r="L768" s="46"/>
      <c r="M768" s="46"/>
      <c r="N768" s="46"/>
      <c r="O768" s="46"/>
      <c r="P768" s="46"/>
      <c r="Q768" s="46"/>
      <c r="R768" s="46"/>
      <c r="S768" s="46"/>
      <c r="T768" s="46"/>
      <c r="U768" s="46"/>
      <c r="V768" s="46"/>
      <c r="W768" s="46"/>
    </row>
    <row r="769">
      <c r="A769" s="55"/>
      <c r="B769" s="205"/>
      <c r="C769" s="55"/>
      <c r="D769" s="205"/>
      <c r="E769" s="172"/>
      <c r="F769" s="212"/>
      <c r="G769" s="172"/>
      <c r="H769" s="205"/>
      <c r="I769" s="149"/>
      <c r="J769" s="46"/>
      <c r="K769" s="46"/>
      <c r="L769" s="46"/>
      <c r="M769" s="46"/>
      <c r="N769" s="46"/>
      <c r="O769" s="46"/>
      <c r="P769" s="46"/>
      <c r="Q769" s="46"/>
      <c r="R769" s="46"/>
      <c r="S769" s="46"/>
      <c r="T769" s="46"/>
      <c r="U769" s="46"/>
      <c r="V769" s="46"/>
      <c r="W769" s="46"/>
    </row>
    <row r="770">
      <c r="A770" s="55"/>
      <c r="B770" s="205"/>
      <c r="C770" s="55"/>
      <c r="D770" s="205"/>
      <c r="E770" s="172"/>
      <c r="F770" s="212"/>
      <c r="G770" s="172"/>
      <c r="H770" s="205"/>
      <c r="I770" s="149"/>
      <c r="J770" s="46"/>
      <c r="K770" s="46"/>
      <c r="L770" s="46"/>
      <c r="M770" s="46"/>
      <c r="N770" s="46"/>
      <c r="O770" s="46"/>
      <c r="P770" s="46"/>
      <c r="Q770" s="46"/>
      <c r="R770" s="46"/>
      <c r="S770" s="46"/>
      <c r="T770" s="46"/>
      <c r="U770" s="46"/>
      <c r="V770" s="46"/>
      <c r="W770" s="46"/>
    </row>
    <row r="771">
      <c r="A771" s="55"/>
      <c r="B771" s="205"/>
      <c r="C771" s="55"/>
      <c r="D771" s="205"/>
      <c r="E771" s="172"/>
      <c r="F771" s="212"/>
      <c r="G771" s="172"/>
      <c r="H771" s="205"/>
      <c r="I771" s="149"/>
      <c r="J771" s="46"/>
      <c r="K771" s="46"/>
      <c r="L771" s="46"/>
      <c r="M771" s="46"/>
      <c r="N771" s="46"/>
      <c r="O771" s="46"/>
      <c r="P771" s="46"/>
      <c r="Q771" s="46"/>
      <c r="R771" s="46"/>
      <c r="S771" s="46"/>
      <c r="T771" s="46"/>
      <c r="U771" s="46"/>
      <c r="V771" s="46"/>
      <c r="W771" s="46"/>
    </row>
    <row r="772">
      <c r="A772" s="55"/>
      <c r="B772" s="205"/>
      <c r="C772" s="55"/>
      <c r="D772" s="205"/>
      <c r="E772" s="172"/>
      <c r="F772" s="212"/>
      <c r="G772" s="172"/>
      <c r="H772" s="205"/>
      <c r="I772" s="149"/>
      <c r="J772" s="46"/>
      <c r="K772" s="46"/>
      <c r="L772" s="46"/>
      <c r="M772" s="46"/>
      <c r="N772" s="46"/>
      <c r="O772" s="46"/>
      <c r="P772" s="46"/>
      <c r="Q772" s="46"/>
      <c r="R772" s="46"/>
      <c r="S772" s="46"/>
      <c r="T772" s="46"/>
      <c r="U772" s="46"/>
      <c r="V772" s="46"/>
      <c r="W772" s="46"/>
    </row>
    <row r="773">
      <c r="A773" s="55"/>
      <c r="B773" s="205"/>
      <c r="C773" s="55"/>
      <c r="D773" s="205"/>
      <c r="E773" s="172"/>
      <c r="F773" s="212"/>
      <c r="G773" s="172"/>
      <c r="H773" s="205"/>
      <c r="I773" s="149"/>
      <c r="J773" s="46"/>
      <c r="K773" s="46"/>
      <c r="L773" s="46"/>
      <c r="M773" s="46"/>
      <c r="N773" s="46"/>
      <c r="O773" s="46"/>
      <c r="P773" s="46"/>
      <c r="Q773" s="46"/>
      <c r="R773" s="46"/>
      <c r="S773" s="46"/>
      <c r="T773" s="46"/>
      <c r="U773" s="46"/>
      <c r="V773" s="46"/>
      <c r="W773" s="46"/>
    </row>
    <row r="774">
      <c r="A774" s="55"/>
      <c r="B774" s="205"/>
      <c r="C774" s="55"/>
      <c r="D774" s="205"/>
      <c r="E774" s="172"/>
      <c r="F774" s="212"/>
      <c r="G774" s="172"/>
      <c r="H774" s="205"/>
      <c r="I774" s="149"/>
      <c r="J774" s="46"/>
      <c r="K774" s="46"/>
      <c r="L774" s="46"/>
      <c r="M774" s="46"/>
      <c r="N774" s="46"/>
      <c r="O774" s="46"/>
      <c r="P774" s="46"/>
      <c r="Q774" s="46"/>
      <c r="R774" s="46"/>
      <c r="S774" s="46"/>
      <c r="T774" s="46"/>
      <c r="U774" s="46"/>
      <c r="V774" s="46"/>
      <c r="W774" s="46"/>
    </row>
    <row r="775">
      <c r="A775" s="55"/>
      <c r="B775" s="205"/>
      <c r="C775" s="55"/>
      <c r="D775" s="205"/>
      <c r="E775" s="172"/>
      <c r="F775" s="212"/>
      <c r="G775" s="172"/>
      <c r="H775" s="205"/>
      <c r="I775" s="149"/>
      <c r="J775" s="46"/>
      <c r="K775" s="46"/>
      <c r="L775" s="46"/>
      <c r="M775" s="46"/>
      <c r="N775" s="46"/>
      <c r="O775" s="46"/>
      <c r="P775" s="46"/>
      <c r="Q775" s="46"/>
      <c r="R775" s="46"/>
      <c r="S775" s="46"/>
      <c r="T775" s="46"/>
      <c r="U775" s="46"/>
      <c r="V775" s="46"/>
      <c r="W775" s="46"/>
    </row>
    <row r="776">
      <c r="A776" s="55"/>
      <c r="B776" s="205"/>
      <c r="C776" s="55"/>
      <c r="D776" s="205"/>
      <c r="E776" s="172"/>
      <c r="F776" s="212"/>
      <c r="G776" s="172"/>
      <c r="H776" s="205"/>
      <c r="I776" s="149"/>
      <c r="J776" s="46"/>
      <c r="K776" s="46"/>
      <c r="L776" s="46"/>
      <c r="M776" s="46"/>
      <c r="N776" s="46"/>
      <c r="O776" s="46"/>
      <c r="P776" s="46"/>
      <c r="Q776" s="46"/>
      <c r="R776" s="46"/>
      <c r="S776" s="46"/>
      <c r="T776" s="46"/>
      <c r="U776" s="46"/>
      <c r="V776" s="46"/>
      <c r="W776" s="46"/>
    </row>
    <row r="777">
      <c r="A777" s="55"/>
      <c r="B777" s="205"/>
      <c r="C777" s="55"/>
      <c r="D777" s="205"/>
      <c r="E777" s="172"/>
      <c r="F777" s="212"/>
      <c r="G777" s="172"/>
      <c r="H777" s="205"/>
      <c r="I777" s="149"/>
      <c r="J777" s="46"/>
      <c r="K777" s="46"/>
      <c r="L777" s="46"/>
      <c r="M777" s="46"/>
      <c r="N777" s="46"/>
      <c r="O777" s="46"/>
      <c r="P777" s="46"/>
      <c r="Q777" s="46"/>
      <c r="R777" s="46"/>
      <c r="S777" s="46"/>
      <c r="T777" s="46"/>
      <c r="U777" s="46"/>
      <c r="V777" s="46"/>
      <c r="W777" s="46"/>
    </row>
    <row r="778">
      <c r="A778" s="55"/>
      <c r="B778" s="205"/>
      <c r="C778" s="55"/>
      <c r="D778" s="205"/>
      <c r="E778" s="172"/>
      <c r="F778" s="212"/>
      <c r="G778" s="172"/>
      <c r="H778" s="205"/>
      <c r="I778" s="149"/>
      <c r="J778" s="46"/>
      <c r="K778" s="46"/>
      <c r="L778" s="46"/>
      <c r="M778" s="46"/>
      <c r="N778" s="46"/>
      <c r="O778" s="46"/>
      <c r="P778" s="46"/>
      <c r="Q778" s="46"/>
      <c r="R778" s="46"/>
      <c r="S778" s="46"/>
      <c r="T778" s="46"/>
      <c r="U778" s="46"/>
      <c r="V778" s="46"/>
      <c r="W778" s="46"/>
    </row>
    <row r="779">
      <c r="A779" s="55"/>
      <c r="B779" s="205"/>
      <c r="C779" s="55"/>
      <c r="D779" s="205"/>
      <c r="E779" s="172"/>
      <c r="F779" s="212"/>
      <c r="G779" s="172"/>
      <c r="H779" s="205"/>
      <c r="I779" s="149"/>
      <c r="J779" s="46"/>
      <c r="K779" s="46"/>
      <c r="L779" s="46"/>
      <c r="M779" s="46"/>
      <c r="N779" s="46"/>
      <c r="O779" s="46"/>
      <c r="P779" s="46"/>
      <c r="Q779" s="46"/>
      <c r="R779" s="46"/>
      <c r="S779" s="46"/>
      <c r="T779" s="46"/>
      <c r="U779" s="46"/>
      <c r="V779" s="46"/>
      <c r="W779" s="46"/>
    </row>
    <row r="780">
      <c r="A780" s="55"/>
      <c r="B780" s="205"/>
      <c r="C780" s="55"/>
      <c r="D780" s="205"/>
      <c r="E780" s="172"/>
      <c r="F780" s="212"/>
      <c r="G780" s="172"/>
      <c r="H780" s="205"/>
      <c r="I780" s="149"/>
      <c r="J780" s="46"/>
      <c r="K780" s="46"/>
      <c r="L780" s="46"/>
      <c r="M780" s="46"/>
      <c r="N780" s="46"/>
      <c r="O780" s="46"/>
      <c r="P780" s="46"/>
      <c r="Q780" s="46"/>
      <c r="R780" s="46"/>
      <c r="S780" s="46"/>
      <c r="T780" s="46"/>
      <c r="U780" s="46"/>
      <c r="V780" s="46"/>
      <c r="W780" s="46"/>
    </row>
    <row r="781">
      <c r="A781" s="55"/>
      <c r="B781" s="205"/>
      <c r="C781" s="55"/>
      <c r="D781" s="205"/>
      <c r="E781" s="172"/>
      <c r="F781" s="212"/>
      <c r="G781" s="172"/>
      <c r="H781" s="205"/>
      <c r="I781" s="149"/>
      <c r="J781" s="46"/>
      <c r="K781" s="46"/>
      <c r="L781" s="46"/>
      <c r="M781" s="46"/>
      <c r="N781" s="46"/>
      <c r="O781" s="46"/>
      <c r="P781" s="46"/>
      <c r="Q781" s="46"/>
      <c r="R781" s="46"/>
      <c r="S781" s="46"/>
      <c r="T781" s="46"/>
      <c r="U781" s="46"/>
      <c r="V781" s="46"/>
      <c r="W781" s="46"/>
    </row>
    <row r="782">
      <c r="A782" s="55"/>
      <c r="B782" s="205"/>
      <c r="C782" s="55"/>
      <c r="D782" s="205"/>
      <c r="E782" s="172"/>
      <c r="F782" s="212"/>
      <c r="G782" s="172"/>
      <c r="H782" s="205"/>
      <c r="I782" s="149"/>
      <c r="J782" s="46"/>
      <c r="K782" s="46"/>
      <c r="L782" s="46"/>
      <c r="M782" s="46"/>
      <c r="N782" s="46"/>
      <c r="O782" s="46"/>
      <c r="P782" s="46"/>
      <c r="Q782" s="46"/>
      <c r="R782" s="46"/>
      <c r="S782" s="46"/>
      <c r="T782" s="46"/>
      <c r="U782" s="46"/>
      <c r="V782" s="46"/>
      <c r="W782" s="46"/>
    </row>
    <row r="783">
      <c r="A783" s="55"/>
      <c r="B783" s="205"/>
      <c r="C783" s="55"/>
      <c r="D783" s="205"/>
      <c r="E783" s="172"/>
      <c r="F783" s="212"/>
      <c r="G783" s="172"/>
      <c r="H783" s="205"/>
      <c r="I783" s="149"/>
      <c r="J783" s="46"/>
      <c r="K783" s="46"/>
      <c r="L783" s="46"/>
      <c r="M783" s="46"/>
      <c r="N783" s="46"/>
      <c r="O783" s="46"/>
      <c r="P783" s="46"/>
      <c r="Q783" s="46"/>
      <c r="R783" s="46"/>
      <c r="S783" s="46"/>
      <c r="T783" s="46"/>
      <c r="U783" s="46"/>
      <c r="V783" s="46"/>
      <c r="W783" s="46"/>
    </row>
    <row r="784">
      <c r="A784" s="55"/>
      <c r="B784" s="205"/>
      <c r="C784" s="55"/>
      <c r="D784" s="205"/>
      <c r="E784" s="172"/>
      <c r="F784" s="212"/>
      <c r="G784" s="172"/>
      <c r="H784" s="205"/>
      <c r="I784" s="149"/>
      <c r="J784" s="46"/>
      <c r="K784" s="46"/>
      <c r="L784" s="46"/>
      <c r="M784" s="46"/>
      <c r="N784" s="46"/>
      <c r="O784" s="46"/>
      <c r="P784" s="46"/>
      <c r="Q784" s="46"/>
      <c r="R784" s="46"/>
      <c r="S784" s="46"/>
      <c r="T784" s="46"/>
      <c r="U784" s="46"/>
      <c r="V784" s="46"/>
      <c r="W784" s="46"/>
    </row>
    <row r="785">
      <c r="A785" s="55"/>
      <c r="B785" s="205"/>
      <c r="C785" s="55"/>
      <c r="D785" s="205"/>
      <c r="E785" s="172"/>
      <c r="F785" s="212"/>
      <c r="G785" s="172"/>
      <c r="H785" s="205"/>
      <c r="I785" s="149"/>
      <c r="J785" s="46"/>
      <c r="K785" s="46"/>
      <c r="L785" s="46"/>
      <c r="M785" s="46"/>
      <c r="N785" s="46"/>
      <c r="O785" s="46"/>
      <c r="P785" s="46"/>
      <c r="Q785" s="46"/>
      <c r="R785" s="46"/>
      <c r="S785" s="46"/>
      <c r="T785" s="46"/>
      <c r="U785" s="46"/>
      <c r="V785" s="46"/>
      <c r="W785" s="46"/>
    </row>
    <row r="786">
      <c r="A786" s="55"/>
      <c r="B786" s="205"/>
      <c r="C786" s="55"/>
      <c r="D786" s="205"/>
      <c r="E786" s="172"/>
      <c r="F786" s="212"/>
      <c r="G786" s="172"/>
      <c r="H786" s="205"/>
      <c r="I786" s="149"/>
      <c r="J786" s="46"/>
      <c r="K786" s="46"/>
      <c r="L786" s="46"/>
      <c r="M786" s="46"/>
      <c r="N786" s="46"/>
      <c r="O786" s="46"/>
      <c r="P786" s="46"/>
      <c r="Q786" s="46"/>
      <c r="R786" s="46"/>
      <c r="S786" s="46"/>
      <c r="T786" s="46"/>
      <c r="U786" s="46"/>
      <c r="V786" s="46"/>
      <c r="W786" s="46"/>
    </row>
    <row r="787">
      <c r="A787" s="55"/>
      <c r="B787" s="205"/>
      <c r="C787" s="55"/>
      <c r="D787" s="205"/>
      <c r="E787" s="172"/>
      <c r="F787" s="212"/>
      <c r="G787" s="172"/>
      <c r="H787" s="205"/>
      <c r="I787" s="149"/>
      <c r="J787" s="46"/>
      <c r="K787" s="46"/>
      <c r="L787" s="46"/>
      <c r="M787" s="46"/>
      <c r="N787" s="46"/>
      <c r="O787" s="46"/>
      <c r="P787" s="46"/>
      <c r="Q787" s="46"/>
      <c r="R787" s="46"/>
      <c r="S787" s="46"/>
      <c r="T787" s="46"/>
      <c r="U787" s="46"/>
      <c r="V787" s="46"/>
      <c r="W787" s="46"/>
    </row>
    <row r="788">
      <c r="A788" s="55"/>
      <c r="B788" s="205"/>
      <c r="C788" s="55"/>
      <c r="D788" s="205"/>
      <c r="E788" s="172"/>
      <c r="F788" s="212"/>
      <c r="G788" s="172"/>
      <c r="H788" s="205"/>
      <c r="I788" s="149"/>
      <c r="J788" s="46"/>
      <c r="K788" s="46"/>
      <c r="L788" s="46"/>
      <c r="M788" s="46"/>
      <c r="N788" s="46"/>
      <c r="O788" s="46"/>
      <c r="P788" s="46"/>
      <c r="Q788" s="46"/>
      <c r="R788" s="46"/>
      <c r="S788" s="46"/>
      <c r="T788" s="46"/>
      <c r="U788" s="46"/>
      <c r="V788" s="46"/>
      <c r="W788" s="46"/>
    </row>
    <row r="789">
      <c r="A789" s="55"/>
      <c r="B789" s="205"/>
      <c r="C789" s="55"/>
      <c r="D789" s="205"/>
      <c r="E789" s="172"/>
      <c r="F789" s="212"/>
      <c r="G789" s="172"/>
      <c r="H789" s="205"/>
      <c r="I789" s="149"/>
      <c r="J789" s="46"/>
      <c r="K789" s="46"/>
      <c r="L789" s="46"/>
      <c r="M789" s="46"/>
      <c r="N789" s="46"/>
      <c r="O789" s="46"/>
      <c r="P789" s="46"/>
      <c r="Q789" s="46"/>
      <c r="R789" s="46"/>
      <c r="S789" s="46"/>
      <c r="T789" s="46"/>
      <c r="U789" s="46"/>
      <c r="V789" s="46"/>
      <c r="W789" s="46"/>
    </row>
    <row r="790">
      <c r="A790" s="55"/>
      <c r="B790" s="205"/>
      <c r="C790" s="55"/>
      <c r="D790" s="205"/>
      <c r="E790" s="172"/>
      <c r="F790" s="212"/>
      <c r="G790" s="172"/>
      <c r="H790" s="205"/>
      <c r="I790" s="149"/>
      <c r="J790" s="46"/>
      <c r="K790" s="46"/>
      <c r="L790" s="46"/>
      <c r="M790" s="46"/>
      <c r="N790" s="46"/>
      <c r="O790" s="46"/>
      <c r="P790" s="46"/>
      <c r="Q790" s="46"/>
      <c r="R790" s="46"/>
      <c r="S790" s="46"/>
      <c r="T790" s="46"/>
      <c r="U790" s="46"/>
      <c r="V790" s="46"/>
      <c r="W790" s="46"/>
    </row>
    <row r="791">
      <c r="A791" s="55"/>
      <c r="B791" s="205"/>
      <c r="C791" s="55"/>
      <c r="D791" s="205"/>
      <c r="E791" s="172"/>
      <c r="F791" s="212"/>
      <c r="G791" s="172"/>
      <c r="H791" s="205"/>
      <c r="I791" s="149"/>
      <c r="J791" s="46"/>
      <c r="K791" s="46"/>
      <c r="L791" s="46"/>
      <c r="M791" s="46"/>
      <c r="N791" s="46"/>
      <c r="O791" s="46"/>
      <c r="P791" s="46"/>
      <c r="Q791" s="46"/>
      <c r="R791" s="46"/>
      <c r="S791" s="46"/>
      <c r="T791" s="46"/>
      <c r="U791" s="46"/>
      <c r="V791" s="46"/>
      <c r="W791" s="46"/>
    </row>
    <row r="792">
      <c r="A792" s="55"/>
      <c r="B792" s="205"/>
      <c r="C792" s="55"/>
      <c r="D792" s="205"/>
      <c r="E792" s="172"/>
      <c r="F792" s="212"/>
      <c r="G792" s="172"/>
      <c r="H792" s="205"/>
      <c r="I792" s="149"/>
      <c r="J792" s="46"/>
      <c r="K792" s="46"/>
      <c r="L792" s="46"/>
      <c r="M792" s="46"/>
      <c r="N792" s="46"/>
      <c r="O792" s="46"/>
      <c r="P792" s="46"/>
      <c r="Q792" s="46"/>
      <c r="R792" s="46"/>
      <c r="S792" s="46"/>
      <c r="T792" s="46"/>
      <c r="U792" s="46"/>
      <c r="V792" s="46"/>
      <c r="W792" s="46"/>
    </row>
    <row r="793">
      <c r="A793" s="55"/>
      <c r="B793" s="205"/>
      <c r="C793" s="55"/>
      <c r="D793" s="205"/>
      <c r="E793" s="172"/>
      <c r="F793" s="212"/>
      <c r="G793" s="172"/>
      <c r="H793" s="205"/>
      <c r="I793" s="149"/>
      <c r="J793" s="46"/>
      <c r="K793" s="46"/>
      <c r="L793" s="46"/>
      <c r="M793" s="46"/>
      <c r="N793" s="46"/>
      <c r="O793" s="46"/>
      <c r="P793" s="46"/>
      <c r="Q793" s="46"/>
      <c r="R793" s="46"/>
      <c r="S793" s="46"/>
      <c r="T793" s="46"/>
      <c r="U793" s="46"/>
      <c r="V793" s="46"/>
      <c r="W793" s="46"/>
    </row>
    <row r="794">
      <c r="A794" s="55"/>
      <c r="B794" s="205"/>
      <c r="C794" s="55"/>
      <c r="D794" s="205"/>
      <c r="E794" s="172"/>
      <c r="F794" s="212"/>
      <c r="G794" s="172"/>
      <c r="H794" s="205"/>
      <c r="I794" s="149"/>
      <c r="J794" s="46"/>
      <c r="K794" s="46"/>
      <c r="L794" s="46"/>
      <c r="M794" s="46"/>
      <c r="N794" s="46"/>
      <c r="O794" s="46"/>
      <c r="P794" s="46"/>
      <c r="Q794" s="46"/>
      <c r="R794" s="46"/>
      <c r="S794" s="46"/>
      <c r="T794" s="46"/>
      <c r="U794" s="46"/>
      <c r="V794" s="46"/>
      <c r="W794" s="46"/>
    </row>
    <row r="795">
      <c r="A795" s="55"/>
      <c r="B795" s="205"/>
      <c r="C795" s="55"/>
      <c r="D795" s="205"/>
      <c r="E795" s="172"/>
      <c r="F795" s="212"/>
      <c r="G795" s="172"/>
      <c r="H795" s="205"/>
      <c r="I795" s="149"/>
      <c r="J795" s="46"/>
      <c r="K795" s="46"/>
      <c r="L795" s="46"/>
      <c r="M795" s="46"/>
      <c r="N795" s="46"/>
      <c r="O795" s="46"/>
      <c r="P795" s="46"/>
      <c r="Q795" s="46"/>
      <c r="R795" s="46"/>
      <c r="S795" s="46"/>
      <c r="T795" s="46"/>
      <c r="U795" s="46"/>
      <c r="V795" s="46"/>
      <c r="W795" s="46"/>
    </row>
    <row r="796">
      <c r="A796" s="55"/>
      <c r="B796" s="205"/>
      <c r="C796" s="55"/>
      <c r="D796" s="205"/>
      <c r="E796" s="172"/>
      <c r="F796" s="212"/>
      <c r="G796" s="172"/>
      <c r="H796" s="205"/>
      <c r="I796" s="149"/>
      <c r="J796" s="46"/>
      <c r="K796" s="46"/>
      <c r="L796" s="46"/>
      <c r="M796" s="46"/>
      <c r="N796" s="46"/>
      <c r="O796" s="46"/>
      <c r="P796" s="46"/>
      <c r="Q796" s="46"/>
      <c r="R796" s="46"/>
      <c r="S796" s="46"/>
      <c r="T796" s="46"/>
      <c r="U796" s="46"/>
      <c r="V796" s="46"/>
      <c r="W796" s="46"/>
    </row>
    <row r="797">
      <c r="A797" s="55"/>
      <c r="B797" s="205"/>
      <c r="C797" s="55"/>
      <c r="D797" s="205"/>
      <c r="E797" s="172"/>
      <c r="F797" s="212"/>
      <c r="G797" s="172"/>
      <c r="H797" s="205"/>
      <c r="I797" s="149"/>
      <c r="J797" s="46"/>
      <c r="K797" s="46"/>
      <c r="L797" s="46"/>
      <c r="M797" s="46"/>
      <c r="N797" s="46"/>
      <c r="O797" s="46"/>
      <c r="P797" s="46"/>
      <c r="Q797" s="46"/>
      <c r="R797" s="46"/>
      <c r="S797" s="46"/>
      <c r="T797" s="46"/>
      <c r="U797" s="46"/>
      <c r="V797" s="46"/>
      <c r="W797" s="46"/>
    </row>
    <row r="798">
      <c r="A798" s="55"/>
      <c r="B798" s="205"/>
      <c r="C798" s="55"/>
      <c r="D798" s="205"/>
      <c r="E798" s="172"/>
      <c r="F798" s="212"/>
      <c r="G798" s="172"/>
      <c r="H798" s="205"/>
      <c r="I798" s="149"/>
      <c r="J798" s="46"/>
      <c r="K798" s="46"/>
      <c r="L798" s="46"/>
      <c r="M798" s="46"/>
      <c r="N798" s="46"/>
      <c r="O798" s="46"/>
      <c r="P798" s="46"/>
      <c r="Q798" s="46"/>
      <c r="R798" s="46"/>
      <c r="S798" s="46"/>
      <c r="T798" s="46"/>
      <c r="U798" s="46"/>
      <c r="V798" s="46"/>
      <c r="W798" s="46"/>
    </row>
    <row r="799">
      <c r="A799" s="55"/>
      <c r="B799" s="205"/>
      <c r="C799" s="55"/>
      <c r="D799" s="205"/>
      <c r="E799" s="172"/>
      <c r="F799" s="212"/>
      <c r="G799" s="172"/>
      <c r="H799" s="205"/>
      <c r="I799" s="149"/>
      <c r="J799" s="46"/>
      <c r="K799" s="46"/>
      <c r="L799" s="46"/>
      <c r="M799" s="46"/>
      <c r="N799" s="46"/>
      <c r="O799" s="46"/>
      <c r="P799" s="46"/>
      <c r="Q799" s="46"/>
      <c r="R799" s="46"/>
      <c r="S799" s="46"/>
      <c r="T799" s="46"/>
      <c r="U799" s="46"/>
      <c r="V799" s="46"/>
      <c r="W799" s="46"/>
    </row>
    <row r="800">
      <c r="A800" s="55"/>
      <c r="B800" s="205"/>
      <c r="C800" s="55"/>
      <c r="D800" s="205"/>
      <c r="E800" s="172"/>
      <c r="F800" s="212"/>
      <c r="G800" s="172"/>
      <c r="H800" s="205"/>
      <c r="I800" s="149"/>
      <c r="J800" s="46"/>
      <c r="K800" s="46"/>
      <c r="L800" s="46"/>
      <c r="M800" s="46"/>
      <c r="N800" s="46"/>
      <c r="O800" s="46"/>
      <c r="P800" s="46"/>
      <c r="Q800" s="46"/>
      <c r="R800" s="46"/>
      <c r="S800" s="46"/>
      <c r="T800" s="46"/>
      <c r="U800" s="46"/>
      <c r="V800" s="46"/>
      <c r="W800" s="46"/>
    </row>
    <row r="801">
      <c r="A801" s="55"/>
      <c r="B801" s="205"/>
      <c r="C801" s="55"/>
      <c r="D801" s="205"/>
      <c r="E801" s="172"/>
      <c r="F801" s="212"/>
      <c r="G801" s="172"/>
      <c r="H801" s="205"/>
      <c r="I801" s="149"/>
      <c r="J801" s="46"/>
      <c r="K801" s="46"/>
      <c r="L801" s="46"/>
      <c r="M801" s="46"/>
      <c r="N801" s="46"/>
      <c r="O801" s="46"/>
      <c r="P801" s="46"/>
      <c r="Q801" s="46"/>
      <c r="R801" s="46"/>
      <c r="S801" s="46"/>
      <c r="T801" s="46"/>
      <c r="U801" s="46"/>
      <c r="V801" s="46"/>
      <c r="W801" s="46"/>
    </row>
    <row r="802">
      <c r="A802" s="55"/>
      <c r="B802" s="205"/>
      <c r="C802" s="55"/>
      <c r="D802" s="205"/>
      <c r="E802" s="172"/>
      <c r="F802" s="212"/>
      <c r="G802" s="172"/>
      <c r="H802" s="205"/>
      <c r="I802" s="149"/>
      <c r="J802" s="46"/>
      <c r="K802" s="46"/>
      <c r="L802" s="46"/>
      <c r="M802" s="46"/>
      <c r="N802" s="46"/>
      <c r="O802" s="46"/>
      <c r="P802" s="46"/>
      <c r="Q802" s="46"/>
      <c r="R802" s="46"/>
      <c r="S802" s="46"/>
      <c r="T802" s="46"/>
      <c r="U802" s="46"/>
      <c r="V802" s="46"/>
      <c r="W802" s="46"/>
    </row>
    <row r="803">
      <c r="A803" s="55"/>
      <c r="B803" s="205"/>
      <c r="C803" s="55"/>
      <c r="D803" s="205"/>
      <c r="E803" s="172"/>
      <c r="F803" s="212"/>
      <c r="G803" s="172"/>
      <c r="H803" s="205"/>
      <c r="I803" s="149"/>
      <c r="J803" s="46"/>
      <c r="K803" s="46"/>
      <c r="L803" s="46"/>
      <c r="M803" s="46"/>
      <c r="N803" s="46"/>
      <c r="O803" s="46"/>
      <c r="P803" s="46"/>
      <c r="Q803" s="46"/>
      <c r="R803" s="46"/>
      <c r="S803" s="46"/>
      <c r="T803" s="46"/>
      <c r="U803" s="46"/>
      <c r="V803" s="46"/>
      <c r="W803" s="46"/>
    </row>
    <row r="804">
      <c r="A804" s="55"/>
      <c r="B804" s="205"/>
      <c r="C804" s="55"/>
      <c r="D804" s="205"/>
      <c r="E804" s="172"/>
      <c r="F804" s="212"/>
      <c r="G804" s="172"/>
      <c r="H804" s="205"/>
      <c r="I804" s="149"/>
      <c r="J804" s="46"/>
      <c r="K804" s="46"/>
      <c r="L804" s="46"/>
      <c r="M804" s="46"/>
      <c r="N804" s="46"/>
      <c r="O804" s="46"/>
      <c r="P804" s="46"/>
      <c r="Q804" s="46"/>
      <c r="R804" s="46"/>
      <c r="S804" s="46"/>
      <c r="T804" s="46"/>
      <c r="U804" s="46"/>
      <c r="V804" s="46"/>
      <c r="W804" s="46"/>
    </row>
    <row r="805">
      <c r="A805" s="55"/>
      <c r="B805" s="205"/>
      <c r="C805" s="55"/>
      <c r="D805" s="205"/>
      <c r="E805" s="172"/>
      <c r="F805" s="212"/>
      <c r="G805" s="172"/>
      <c r="H805" s="205"/>
      <c r="I805" s="149"/>
      <c r="J805" s="46"/>
      <c r="K805" s="46"/>
      <c r="L805" s="46"/>
      <c r="M805" s="46"/>
      <c r="N805" s="46"/>
      <c r="O805" s="46"/>
      <c r="P805" s="46"/>
      <c r="Q805" s="46"/>
      <c r="R805" s="46"/>
      <c r="S805" s="46"/>
      <c r="T805" s="46"/>
      <c r="U805" s="46"/>
      <c r="V805" s="46"/>
      <c r="W805" s="46"/>
    </row>
    <row r="806">
      <c r="A806" s="55"/>
      <c r="B806" s="205"/>
      <c r="C806" s="55"/>
      <c r="D806" s="205"/>
      <c r="E806" s="172"/>
      <c r="F806" s="212"/>
      <c r="G806" s="172"/>
      <c r="H806" s="205"/>
      <c r="I806" s="149"/>
      <c r="J806" s="46"/>
      <c r="K806" s="46"/>
      <c r="L806" s="46"/>
      <c r="M806" s="46"/>
      <c r="N806" s="46"/>
      <c r="O806" s="46"/>
      <c r="P806" s="46"/>
      <c r="Q806" s="46"/>
      <c r="R806" s="46"/>
      <c r="S806" s="46"/>
      <c r="T806" s="46"/>
      <c r="U806" s="46"/>
      <c r="V806" s="46"/>
      <c r="W806" s="46"/>
    </row>
    <row r="807">
      <c r="A807" s="55"/>
      <c r="B807" s="205"/>
      <c r="C807" s="55"/>
      <c r="D807" s="205"/>
      <c r="E807" s="172"/>
      <c r="F807" s="212"/>
      <c r="G807" s="172"/>
      <c r="H807" s="205"/>
      <c r="I807" s="149"/>
      <c r="J807" s="46"/>
      <c r="K807" s="46"/>
      <c r="L807" s="46"/>
      <c r="M807" s="46"/>
      <c r="N807" s="46"/>
      <c r="O807" s="46"/>
      <c r="P807" s="46"/>
      <c r="Q807" s="46"/>
      <c r="R807" s="46"/>
      <c r="S807" s="46"/>
      <c r="T807" s="46"/>
      <c r="U807" s="46"/>
      <c r="V807" s="46"/>
      <c r="W807" s="46"/>
    </row>
    <row r="808">
      <c r="A808" s="55"/>
      <c r="B808" s="205"/>
      <c r="C808" s="55"/>
      <c r="D808" s="205"/>
      <c r="E808" s="172"/>
      <c r="F808" s="212"/>
      <c r="G808" s="172"/>
      <c r="H808" s="205"/>
      <c r="I808" s="149"/>
      <c r="J808" s="46"/>
      <c r="K808" s="46"/>
      <c r="L808" s="46"/>
      <c r="M808" s="46"/>
      <c r="N808" s="46"/>
      <c r="O808" s="46"/>
      <c r="P808" s="46"/>
      <c r="Q808" s="46"/>
      <c r="R808" s="46"/>
      <c r="S808" s="46"/>
      <c r="T808" s="46"/>
      <c r="U808" s="46"/>
      <c r="V808" s="46"/>
      <c r="W808" s="46"/>
    </row>
    <row r="809">
      <c r="A809" s="55"/>
      <c r="B809" s="205"/>
      <c r="C809" s="55"/>
      <c r="D809" s="205"/>
      <c r="E809" s="172"/>
      <c r="F809" s="212"/>
      <c r="G809" s="172"/>
      <c r="H809" s="205"/>
      <c r="I809" s="149"/>
      <c r="J809" s="46"/>
      <c r="K809" s="46"/>
      <c r="L809" s="46"/>
      <c r="M809" s="46"/>
      <c r="N809" s="46"/>
      <c r="O809" s="46"/>
      <c r="P809" s="46"/>
      <c r="Q809" s="46"/>
      <c r="R809" s="46"/>
      <c r="S809" s="46"/>
      <c r="T809" s="46"/>
      <c r="U809" s="46"/>
      <c r="V809" s="46"/>
      <c r="W809" s="46"/>
    </row>
    <row r="810">
      <c r="A810" s="55"/>
      <c r="B810" s="205"/>
      <c r="C810" s="55"/>
      <c r="D810" s="205"/>
      <c r="E810" s="172"/>
      <c r="F810" s="212"/>
      <c r="G810" s="172"/>
      <c r="H810" s="205"/>
      <c r="I810" s="149"/>
      <c r="J810" s="46"/>
      <c r="K810" s="46"/>
      <c r="L810" s="46"/>
      <c r="M810" s="46"/>
      <c r="N810" s="46"/>
      <c r="O810" s="46"/>
      <c r="P810" s="46"/>
      <c r="Q810" s="46"/>
      <c r="R810" s="46"/>
      <c r="S810" s="46"/>
      <c r="T810" s="46"/>
      <c r="U810" s="46"/>
      <c r="V810" s="46"/>
      <c r="W810" s="46"/>
    </row>
    <row r="811">
      <c r="A811" s="55"/>
      <c r="B811" s="205"/>
      <c r="C811" s="55"/>
      <c r="D811" s="205"/>
      <c r="E811" s="172"/>
      <c r="F811" s="212"/>
      <c r="G811" s="172"/>
      <c r="H811" s="205"/>
      <c r="I811" s="149"/>
      <c r="J811" s="46"/>
      <c r="K811" s="46"/>
      <c r="L811" s="46"/>
      <c r="M811" s="46"/>
      <c r="N811" s="46"/>
      <c r="O811" s="46"/>
      <c r="P811" s="46"/>
      <c r="Q811" s="46"/>
      <c r="R811" s="46"/>
      <c r="S811" s="46"/>
      <c r="T811" s="46"/>
      <c r="U811" s="46"/>
      <c r="V811" s="46"/>
      <c r="W811" s="46"/>
    </row>
    <row r="812">
      <c r="A812" s="55"/>
      <c r="B812" s="205"/>
      <c r="C812" s="55"/>
      <c r="D812" s="205"/>
      <c r="E812" s="172"/>
      <c r="F812" s="212"/>
      <c r="G812" s="172"/>
      <c r="H812" s="205"/>
      <c r="I812" s="149"/>
      <c r="J812" s="46"/>
      <c r="K812" s="46"/>
      <c r="L812" s="46"/>
      <c r="M812" s="46"/>
      <c r="N812" s="46"/>
      <c r="O812" s="46"/>
      <c r="P812" s="46"/>
      <c r="Q812" s="46"/>
      <c r="R812" s="46"/>
      <c r="S812" s="46"/>
      <c r="T812" s="46"/>
      <c r="U812" s="46"/>
      <c r="V812" s="46"/>
      <c r="W812" s="46"/>
    </row>
    <row r="813">
      <c r="A813" s="55"/>
      <c r="B813" s="205"/>
      <c r="C813" s="55"/>
      <c r="D813" s="205"/>
      <c r="E813" s="172"/>
      <c r="F813" s="212"/>
      <c r="G813" s="172"/>
      <c r="H813" s="205"/>
      <c r="I813" s="149"/>
      <c r="J813" s="46"/>
      <c r="K813" s="46"/>
      <c r="L813" s="46"/>
      <c r="M813" s="46"/>
      <c r="N813" s="46"/>
      <c r="O813" s="46"/>
      <c r="P813" s="46"/>
      <c r="Q813" s="46"/>
      <c r="R813" s="46"/>
      <c r="S813" s="46"/>
      <c r="T813" s="46"/>
      <c r="U813" s="46"/>
      <c r="V813" s="46"/>
      <c r="W813" s="46"/>
    </row>
    <row r="814">
      <c r="A814" s="55"/>
      <c r="B814" s="205"/>
      <c r="C814" s="55"/>
      <c r="D814" s="205"/>
      <c r="E814" s="172"/>
      <c r="F814" s="212"/>
      <c r="G814" s="172"/>
      <c r="H814" s="205"/>
      <c r="I814" s="149"/>
      <c r="J814" s="46"/>
      <c r="K814" s="46"/>
      <c r="L814" s="46"/>
      <c r="M814" s="46"/>
      <c r="N814" s="46"/>
      <c r="O814" s="46"/>
      <c r="P814" s="46"/>
      <c r="Q814" s="46"/>
      <c r="R814" s="46"/>
      <c r="S814" s="46"/>
      <c r="T814" s="46"/>
      <c r="U814" s="46"/>
      <c r="V814" s="46"/>
      <c r="W814" s="46"/>
    </row>
    <row r="815">
      <c r="A815" s="55"/>
      <c r="B815" s="205"/>
      <c r="C815" s="55"/>
      <c r="D815" s="205"/>
      <c r="E815" s="172"/>
      <c r="F815" s="212"/>
      <c r="G815" s="172"/>
      <c r="H815" s="205"/>
      <c r="I815" s="149"/>
      <c r="J815" s="46"/>
      <c r="K815" s="46"/>
      <c r="L815" s="46"/>
      <c r="M815" s="46"/>
      <c r="N815" s="46"/>
      <c r="O815" s="46"/>
      <c r="P815" s="46"/>
      <c r="Q815" s="46"/>
      <c r="R815" s="46"/>
      <c r="S815" s="46"/>
      <c r="T815" s="46"/>
      <c r="U815" s="46"/>
      <c r="V815" s="46"/>
      <c r="W815" s="46"/>
    </row>
    <row r="816">
      <c r="A816" s="55"/>
      <c r="B816" s="205"/>
      <c r="C816" s="55"/>
      <c r="D816" s="205"/>
      <c r="E816" s="172"/>
      <c r="F816" s="212"/>
      <c r="G816" s="172"/>
      <c r="H816" s="205"/>
      <c r="I816" s="149"/>
      <c r="J816" s="46"/>
      <c r="K816" s="46"/>
      <c r="L816" s="46"/>
      <c r="M816" s="46"/>
      <c r="N816" s="46"/>
      <c r="O816" s="46"/>
      <c r="P816" s="46"/>
      <c r="Q816" s="46"/>
      <c r="R816" s="46"/>
      <c r="S816" s="46"/>
      <c r="T816" s="46"/>
      <c r="U816" s="46"/>
      <c r="V816" s="46"/>
      <c r="W816" s="46"/>
    </row>
    <row r="817">
      <c r="A817" s="55"/>
      <c r="B817" s="205"/>
      <c r="C817" s="55"/>
      <c r="D817" s="205"/>
      <c r="E817" s="172"/>
      <c r="F817" s="212"/>
      <c r="G817" s="172"/>
      <c r="H817" s="205"/>
      <c r="I817" s="149"/>
      <c r="J817" s="46"/>
      <c r="K817" s="46"/>
      <c r="L817" s="46"/>
      <c r="M817" s="46"/>
      <c r="N817" s="46"/>
      <c r="O817" s="46"/>
      <c r="P817" s="46"/>
      <c r="Q817" s="46"/>
      <c r="R817" s="46"/>
      <c r="S817" s="46"/>
      <c r="T817" s="46"/>
      <c r="U817" s="46"/>
      <c r="V817" s="46"/>
      <c r="W817" s="46"/>
    </row>
    <row r="818">
      <c r="A818" s="55"/>
      <c r="B818" s="205"/>
      <c r="C818" s="55"/>
      <c r="D818" s="205"/>
      <c r="E818" s="172"/>
      <c r="F818" s="212"/>
      <c r="G818" s="172"/>
      <c r="H818" s="205"/>
      <c r="I818" s="149"/>
      <c r="J818" s="46"/>
      <c r="K818" s="46"/>
      <c r="L818" s="46"/>
      <c r="M818" s="46"/>
      <c r="N818" s="46"/>
      <c r="O818" s="46"/>
      <c r="P818" s="46"/>
      <c r="Q818" s="46"/>
      <c r="R818" s="46"/>
      <c r="S818" s="46"/>
      <c r="T818" s="46"/>
      <c r="U818" s="46"/>
      <c r="V818" s="46"/>
      <c r="W818" s="46"/>
    </row>
    <row r="819">
      <c r="A819" s="55"/>
      <c r="B819" s="205"/>
      <c r="C819" s="55"/>
      <c r="D819" s="205"/>
      <c r="E819" s="172"/>
      <c r="F819" s="212"/>
      <c r="G819" s="172"/>
      <c r="H819" s="205"/>
      <c r="I819" s="149"/>
      <c r="J819" s="46"/>
      <c r="K819" s="46"/>
      <c r="L819" s="46"/>
      <c r="M819" s="46"/>
      <c r="N819" s="46"/>
      <c r="O819" s="46"/>
      <c r="P819" s="46"/>
      <c r="Q819" s="46"/>
      <c r="R819" s="46"/>
      <c r="S819" s="46"/>
      <c r="T819" s="46"/>
      <c r="U819" s="46"/>
      <c r="V819" s="46"/>
      <c r="W819" s="46"/>
    </row>
    <row r="820">
      <c r="A820" s="55"/>
      <c r="B820" s="205"/>
      <c r="C820" s="55"/>
      <c r="D820" s="205"/>
      <c r="E820" s="172"/>
      <c r="F820" s="212"/>
      <c r="G820" s="172"/>
      <c r="H820" s="205"/>
      <c r="I820" s="149"/>
      <c r="J820" s="46"/>
      <c r="K820" s="46"/>
      <c r="L820" s="46"/>
      <c r="M820" s="46"/>
      <c r="N820" s="46"/>
      <c r="O820" s="46"/>
      <c r="P820" s="46"/>
      <c r="Q820" s="46"/>
      <c r="R820" s="46"/>
      <c r="S820" s="46"/>
      <c r="T820" s="46"/>
      <c r="U820" s="46"/>
      <c r="V820" s="46"/>
      <c r="W820" s="46"/>
    </row>
    <row r="821">
      <c r="A821" s="55"/>
      <c r="B821" s="205"/>
      <c r="C821" s="55"/>
      <c r="D821" s="205"/>
      <c r="E821" s="172"/>
      <c r="F821" s="212"/>
      <c r="G821" s="172"/>
      <c r="H821" s="205"/>
      <c r="I821" s="149"/>
      <c r="J821" s="46"/>
      <c r="K821" s="46"/>
      <c r="L821" s="46"/>
      <c r="M821" s="46"/>
      <c r="N821" s="46"/>
      <c r="O821" s="46"/>
      <c r="P821" s="46"/>
      <c r="Q821" s="46"/>
      <c r="R821" s="46"/>
      <c r="S821" s="46"/>
      <c r="T821" s="46"/>
      <c r="U821" s="46"/>
      <c r="V821" s="46"/>
      <c r="W821" s="46"/>
    </row>
    <row r="822">
      <c r="A822" s="55"/>
      <c r="B822" s="205"/>
      <c r="C822" s="55"/>
      <c r="D822" s="205"/>
      <c r="E822" s="172"/>
      <c r="F822" s="212"/>
      <c r="G822" s="172"/>
      <c r="H822" s="205"/>
      <c r="I822" s="149"/>
      <c r="J822" s="46"/>
      <c r="K822" s="46"/>
      <c r="L822" s="46"/>
      <c r="M822" s="46"/>
      <c r="N822" s="46"/>
      <c r="O822" s="46"/>
      <c r="P822" s="46"/>
      <c r="Q822" s="46"/>
      <c r="R822" s="46"/>
      <c r="S822" s="46"/>
      <c r="T822" s="46"/>
      <c r="U822" s="46"/>
      <c r="V822" s="46"/>
      <c r="W822" s="46"/>
    </row>
    <row r="823">
      <c r="A823" s="55"/>
      <c r="B823" s="205"/>
      <c r="C823" s="55"/>
      <c r="D823" s="205"/>
      <c r="E823" s="172"/>
      <c r="F823" s="212"/>
      <c r="G823" s="172"/>
      <c r="H823" s="205"/>
      <c r="I823" s="149"/>
      <c r="J823" s="46"/>
      <c r="K823" s="46"/>
      <c r="L823" s="46"/>
      <c r="M823" s="46"/>
      <c r="N823" s="46"/>
      <c r="O823" s="46"/>
      <c r="P823" s="46"/>
      <c r="Q823" s="46"/>
      <c r="R823" s="46"/>
      <c r="S823" s="46"/>
      <c r="T823" s="46"/>
      <c r="U823" s="46"/>
      <c r="V823" s="46"/>
      <c r="W823" s="46"/>
    </row>
    <row r="824">
      <c r="A824" s="55"/>
      <c r="B824" s="205"/>
      <c r="C824" s="55"/>
      <c r="D824" s="205"/>
      <c r="E824" s="172"/>
      <c r="F824" s="212"/>
      <c r="G824" s="172"/>
      <c r="H824" s="205"/>
      <c r="I824" s="149"/>
      <c r="J824" s="46"/>
      <c r="K824" s="46"/>
      <c r="L824" s="46"/>
      <c r="M824" s="46"/>
      <c r="N824" s="46"/>
      <c r="O824" s="46"/>
      <c r="P824" s="46"/>
      <c r="Q824" s="46"/>
      <c r="R824" s="46"/>
      <c r="S824" s="46"/>
      <c r="T824" s="46"/>
      <c r="U824" s="46"/>
      <c r="V824" s="46"/>
      <c r="W824" s="46"/>
    </row>
    <row r="825">
      <c r="A825" s="55"/>
      <c r="B825" s="205"/>
      <c r="C825" s="55"/>
      <c r="D825" s="205"/>
      <c r="E825" s="172"/>
      <c r="F825" s="212"/>
      <c r="G825" s="172"/>
      <c r="H825" s="205"/>
      <c r="I825" s="149"/>
      <c r="J825" s="46"/>
      <c r="K825" s="46"/>
      <c r="L825" s="46"/>
      <c r="M825" s="46"/>
      <c r="N825" s="46"/>
      <c r="O825" s="46"/>
      <c r="P825" s="46"/>
      <c r="Q825" s="46"/>
      <c r="R825" s="46"/>
      <c r="S825" s="46"/>
      <c r="T825" s="46"/>
      <c r="U825" s="46"/>
      <c r="V825" s="46"/>
      <c r="W825" s="46"/>
    </row>
    <row r="826">
      <c r="A826" s="55"/>
      <c r="B826" s="205"/>
      <c r="C826" s="55"/>
      <c r="D826" s="205"/>
      <c r="E826" s="172"/>
      <c r="F826" s="212"/>
      <c r="G826" s="172"/>
      <c r="H826" s="205"/>
      <c r="I826" s="149"/>
      <c r="J826" s="46"/>
      <c r="K826" s="46"/>
      <c r="L826" s="46"/>
      <c r="M826" s="46"/>
      <c r="N826" s="46"/>
      <c r="O826" s="46"/>
      <c r="P826" s="46"/>
      <c r="Q826" s="46"/>
      <c r="R826" s="46"/>
      <c r="S826" s="46"/>
      <c r="T826" s="46"/>
      <c r="U826" s="46"/>
      <c r="V826" s="46"/>
      <c r="W826" s="46"/>
    </row>
    <row r="827">
      <c r="A827" s="55"/>
      <c r="B827" s="205"/>
      <c r="C827" s="55"/>
      <c r="D827" s="205"/>
      <c r="E827" s="172"/>
      <c r="F827" s="212"/>
      <c r="G827" s="172"/>
      <c r="H827" s="205"/>
      <c r="I827" s="149"/>
      <c r="J827" s="46"/>
      <c r="K827" s="46"/>
      <c r="L827" s="46"/>
      <c r="M827" s="46"/>
      <c r="N827" s="46"/>
      <c r="O827" s="46"/>
      <c r="P827" s="46"/>
      <c r="Q827" s="46"/>
      <c r="R827" s="46"/>
      <c r="S827" s="46"/>
      <c r="T827" s="46"/>
      <c r="U827" s="46"/>
      <c r="V827" s="46"/>
      <c r="W827" s="46"/>
    </row>
    <row r="828">
      <c r="A828" s="55"/>
      <c r="B828" s="205"/>
      <c r="C828" s="55"/>
      <c r="D828" s="205"/>
      <c r="E828" s="172"/>
      <c r="F828" s="212"/>
      <c r="G828" s="172"/>
      <c r="H828" s="205"/>
      <c r="I828" s="149"/>
      <c r="J828" s="46"/>
      <c r="K828" s="46"/>
      <c r="L828" s="46"/>
      <c r="M828" s="46"/>
      <c r="N828" s="46"/>
      <c r="O828" s="46"/>
      <c r="P828" s="46"/>
      <c r="Q828" s="46"/>
      <c r="R828" s="46"/>
      <c r="S828" s="46"/>
      <c r="T828" s="46"/>
      <c r="U828" s="46"/>
      <c r="V828" s="46"/>
      <c r="W828" s="46"/>
    </row>
    <row r="829">
      <c r="A829" s="55"/>
      <c r="B829" s="205"/>
      <c r="C829" s="55"/>
      <c r="D829" s="205"/>
      <c r="E829" s="172"/>
      <c r="F829" s="212"/>
      <c r="G829" s="172"/>
      <c r="H829" s="205"/>
      <c r="I829" s="149"/>
      <c r="J829" s="46"/>
      <c r="K829" s="46"/>
      <c r="L829" s="46"/>
      <c r="M829" s="46"/>
      <c r="N829" s="46"/>
      <c r="O829" s="46"/>
      <c r="P829" s="46"/>
      <c r="Q829" s="46"/>
      <c r="R829" s="46"/>
      <c r="S829" s="46"/>
      <c r="T829" s="46"/>
      <c r="U829" s="46"/>
      <c r="V829" s="46"/>
      <c r="W829" s="46"/>
    </row>
    <row r="830">
      <c r="A830" s="55"/>
      <c r="B830" s="205"/>
      <c r="C830" s="55"/>
      <c r="D830" s="205"/>
      <c r="E830" s="172"/>
      <c r="F830" s="212"/>
      <c r="G830" s="172"/>
      <c r="H830" s="205"/>
      <c r="I830" s="149"/>
      <c r="J830" s="46"/>
      <c r="K830" s="46"/>
      <c r="L830" s="46"/>
      <c r="M830" s="46"/>
      <c r="N830" s="46"/>
      <c r="O830" s="46"/>
      <c r="P830" s="46"/>
      <c r="Q830" s="46"/>
      <c r="R830" s="46"/>
      <c r="S830" s="46"/>
      <c r="T830" s="46"/>
      <c r="U830" s="46"/>
      <c r="V830" s="46"/>
      <c r="W830" s="46"/>
    </row>
    <row r="831">
      <c r="A831" s="55"/>
      <c r="B831" s="205"/>
      <c r="C831" s="55"/>
      <c r="D831" s="205"/>
      <c r="E831" s="172"/>
      <c r="F831" s="212"/>
      <c r="G831" s="172"/>
      <c r="H831" s="205"/>
      <c r="I831" s="149"/>
      <c r="J831" s="46"/>
      <c r="K831" s="46"/>
      <c r="L831" s="46"/>
      <c r="M831" s="46"/>
      <c r="N831" s="46"/>
      <c r="O831" s="46"/>
      <c r="P831" s="46"/>
      <c r="Q831" s="46"/>
      <c r="R831" s="46"/>
      <c r="S831" s="46"/>
      <c r="T831" s="46"/>
      <c r="U831" s="46"/>
      <c r="V831" s="46"/>
      <c r="W831" s="46"/>
    </row>
    <row r="832">
      <c r="A832" s="55"/>
      <c r="B832" s="205"/>
      <c r="C832" s="55"/>
      <c r="D832" s="205"/>
      <c r="E832" s="172"/>
      <c r="F832" s="212"/>
      <c r="G832" s="172"/>
      <c r="H832" s="205"/>
      <c r="I832" s="149"/>
      <c r="J832" s="46"/>
      <c r="K832" s="46"/>
      <c r="L832" s="46"/>
      <c r="M832" s="46"/>
      <c r="N832" s="46"/>
      <c r="O832" s="46"/>
      <c r="P832" s="46"/>
      <c r="Q832" s="46"/>
      <c r="R832" s="46"/>
      <c r="S832" s="46"/>
      <c r="T832" s="46"/>
      <c r="U832" s="46"/>
      <c r="V832" s="46"/>
      <c r="W832" s="46"/>
    </row>
    <row r="833">
      <c r="A833" s="55"/>
      <c r="B833" s="205"/>
      <c r="C833" s="55"/>
      <c r="D833" s="205"/>
      <c r="E833" s="172"/>
      <c r="F833" s="212"/>
      <c r="G833" s="172"/>
      <c r="H833" s="205"/>
      <c r="I833" s="149"/>
      <c r="J833" s="46"/>
      <c r="K833" s="46"/>
      <c r="L833" s="46"/>
      <c r="M833" s="46"/>
      <c r="N833" s="46"/>
      <c r="O833" s="46"/>
      <c r="P833" s="46"/>
      <c r="Q833" s="46"/>
      <c r="R833" s="46"/>
      <c r="S833" s="46"/>
      <c r="T833" s="46"/>
      <c r="U833" s="46"/>
      <c r="V833" s="46"/>
      <c r="W833" s="46"/>
    </row>
    <row r="834">
      <c r="A834" s="55"/>
      <c r="B834" s="205"/>
      <c r="C834" s="55"/>
      <c r="D834" s="205"/>
      <c r="E834" s="172"/>
      <c r="F834" s="212"/>
      <c r="G834" s="172"/>
      <c r="H834" s="205"/>
      <c r="I834" s="149"/>
      <c r="J834" s="46"/>
      <c r="K834" s="46"/>
      <c r="L834" s="46"/>
      <c r="M834" s="46"/>
      <c r="N834" s="46"/>
      <c r="O834" s="46"/>
      <c r="P834" s="46"/>
      <c r="Q834" s="46"/>
      <c r="R834" s="46"/>
      <c r="S834" s="46"/>
      <c r="T834" s="46"/>
      <c r="U834" s="46"/>
      <c r="V834" s="46"/>
      <c r="W834" s="46"/>
    </row>
    <row r="835">
      <c r="A835" s="55"/>
      <c r="B835" s="205"/>
      <c r="C835" s="55"/>
      <c r="D835" s="205"/>
      <c r="E835" s="172"/>
      <c r="F835" s="212"/>
      <c r="G835" s="172"/>
      <c r="H835" s="205"/>
      <c r="I835" s="149"/>
      <c r="J835" s="46"/>
      <c r="K835" s="46"/>
      <c r="L835" s="46"/>
      <c r="M835" s="46"/>
      <c r="N835" s="46"/>
      <c r="O835" s="46"/>
      <c r="P835" s="46"/>
      <c r="Q835" s="46"/>
      <c r="R835" s="46"/>
      <c r="S835" s="46"/>
      <c r="T835" s="46"/>
      <c r="U835" s="46"/>
      <c r="V835" s="46"/>
      <c r="W835" s="46"/>
    </row>
    <row r="836">
      <c r="A836" s="55"/>
      <c r="B836" s="205"/>
      <c r="C836" s="55"/>
      <c r="D836" s="205"/>
      <c r="E836" s="172"/>
      <c r="F836" s="212"/>
      <c r="G836" s="172"/>
      <c r="H836" s="205"/>
      <c r="I836" s="149"/>
      <c r="J836" s="46"/>
      <c r="K836" s="46"/>
      <c r="L836" s="46"/>
      <c r="M836" s="46"/>
      <c r="N836" s="46"/>
      <c r="O836" s="46"/>
      <c r="P836" s="46"/>
      <c r="Q836" s="46"/>
      <c r="R836" s="46"/>
      <c r="S836" s="46"/>
      <c r="T836" s="46"/>
      <c r="U836" s="46"/>
      <c r="V836" s="46"/>
      <c r="W836" s="46"/>
    </row>
    <row r="837">
      <c r="A837" s="55"/>
      <c r="B837" s="205"/>
      <c r="C837" s="55"/>
      <c r="D837" s="205"/>
      <c r="E837" s="172"/>
      <c r="F837" s="212"/>
      <c r="G837" s="172"/>
      <c r="H837" s="205"/>
      <c r="I837" s="149"/>
      <c r="J837" s="46"/>
      <c r="K837" s="46"/>
      <c r="L837" s="46"/>
      <c r="M837" s="46"/>
      <c r="N837" s="46"/>
      <c r="O837" s="46"/>
      <c r="P837" s="46"/>
      <c r="Q837" s="46"/>
      <c r="R837" s="46"/>
      <c r="S837" s="46"/>
      <c r="T837" s="46"/>
      <c r="U837" s="46"/>
      <c r="V837" s="46"/>
      <c r="W837" s="46"/>
    </row>
    <row r="838">
      <c r="A838" s="55"/>
      <c r="B838" s="205"/>
      <c r="C838" s="55"/>
      <c r="D838" s="205"/>
      <c r="E838" s="172"/>
      <c r="F838" s="212"/>
      <c r="G838" s="172"/>
      <c r="H838" s="205"/>
      <c r="I838" s="149"/>
      <c r="J838" s="46"/>
      <c r="K838" s="46"/>
      <c r="L838" s="46"/>
      <c r="M838" s="46"/>
      <c r="N838" s="46"/>
      <c r="O838" s="46"/>
      <c r="P838" s="46"/>
      <c r="Q838" s="46"/>
      <c r="R838" s="46"/>
      <c r="S838" s="46"/>
      <c r="T838" s="46"/>
      <c r="U838" s="46"/>
      <c r="V838" s="46"/>
      <c r="W838" s="46"/>
    </row>
    <row r="839">
      <c r="A839" s="55"/>
      <c r="B839" s="205"/>
      <c r="C839" s="55"/>
      <c r="D839" s="205"/>
      <c r="E839" s="172"/>
      <c r="F839" s="212"/>
      <c r="G839" s="172"/>
      <c r="H839" s="205"/>
      <c r="I839" s="149"/>
      <c r="J839" s="46"/>
      <c r="K839" s="46"/>
      <c r="L839" s="46"/>
      <c r="M839" s="46"/>
      <c r="N839" s="46"/>
      <c r="O839" s="46"/>
      <c r="P839" s="46"/>
      <c r="Q839" s="46"/>
      <c r="R839" s="46"/>
      <c r="S839" s="46"/>
      <c r="T839" s="46"/>
      <c r="U839" s="46"/>
      <c r="V839" s="46"/>
      <c r="W839" s="46"/>
    </row>
    <row r="840">
      <c r="A840" s="55"/>
      <c r="B840" s="205"/>
      <c r="C840" s="55"/>
      <c r="D840" s="205"/>
      <c r="E840" s="172"/>
      <c r="F840" s="212"/>
      <c r="G840" s="172"/>
      <c r="H840" s="205"/>
      <c r="I840" s="149"/>
      <c r="J840" s="46"/>
      <c r="K840" s="46"/>
      <c r="L840" s="46"/>
      <c r="M840" s="46"/>
      <c r="N840" s="46"/>
      <c r="O840" s="46"/>
      <c r="P840" s="46"/>
      <c r="Q840" s="46"/>
      <c r="R840" s="46"/>
      <c r="S840" s="46"/>
      <c r="T840" s="46"/>
      <c r="U840" s="46"/>
      <c r="V840" s="46"/>
      <c r="W840" s="46"/>
    </row>
    <row r="841">
      <c r="A841" s="55"/>
      <c r="B841" s="205"/>
      <c r="C841" s="55"/>
      <c r="D841" s="205"/>
      <c r="E841" s="172"/>
      <c r="F841" s="212"/>
      <c r="G841" s="172"/>
      <c r="H841" s="205"/>
      <c r="I841" s="149"/>
      <c r="J841" s="46"/>
      <c r="K841" s="46"/>
      <c r="L841" s="46"/>
      <c r="M841" s="46"/>
      <c r="N841" s="46"/>
      <c r="O841" s="46"/>
      <c r="P841" s="46"/>
      <c r="Q841" s="46"/>
      <c r="R841" s="46"/>
      <c r="S841" s="46"/>
      <c r="T841" s="46"/>
      <c r="U841" s="46"/>
      <c r="V841" s="46"/>
      <c r="W841" s="46"/>
    </row>
    <row r="842">
      <c r="A842" s="55"/>
      <c r="B842" s="205"/>
      <c r="C842" s="55"/>
      <c r="D842" s="205"/>
      <c r="E842" s="172"/>
      <c r="F842" s="212"/>
      <c r="G842" s="172"/>
      <c r="H842" s="205"/>
      <c r="I842" s="149"/>
      <c r="J842" s="46"/>
      <c r="K842" s="46"/>
      <c r="L842" s="46"/>
      <c r="M842" s="46"/>
      <c r="N842" s="46"/>
      <c r="O842" s="46"/>
      <c r="P842" s="46"/>
      <c r="Q842" s="46"/>
      <c r="R842" s="46"/>
      <c r="S842" s="46"/>
      <c r="T842" s="46"/>
      <c r="U842" s="46"/>
      <c r="V842" s="46"/>
      <c r="W842" s="46"/>
    </row>
    <row r="843">
      <c r="A843" s="55"/>
      <c r="B843" s="205"/>
      <c r="C843" s="55"/>
      <c r="D843" s="205"/>
      <c r="E843" s="172"/>
      <c r="F843" s="212"/>
      <c r="G843" s="172"/>
      <c r="H843" s="205"/>
      <c r="I843" s="149"/>
      <c r="J843" s="46"/>
      <c r="K843" s="46"/>
      <c r="L843" s="46"/>
      <c r="M843" s="46"/>
      <c r="N843" s="46"/>
      <c r="O843" s="46"/>
      <c r="P843" s="46"/>
      <c r="Q843" s="46"/>
      <c r="R843" s="46"/>
      <c r="S843" s="46"/>
      <c r="T843" s="46"/>
      <c r="U843" s="46"/>
      <c r="V843" s="46"/>
      <c r="W843" s="46"/>
    </row>
    <row r="844">
      <c r="A844" s="55"/>
      <c r="B844" s="205"/>
      <c r="C844" s="55"/>
      <c r="D844" s="205"/>
      <c r="E844" s="172"/>
      <c r="F844" s="212"/>
      <c r="G844" s="172"/>
      <c r="H844" s="205"/>
      <c r="I844" s="149"/>
      <c r="J844" s="46"/>
      <c r="K844" s="46"/>
      <c r="L844" s="46"/>
      <c r="M844" s="46"/>
      <c r="N844" s="46"/>
      <c r="O844" s="46"/>
      <c r="P844" s="46"/>
      <c r="Q844" s="46"/>
      <c r="R844" s="46"/>
      <c r="S844" s="46"/>
      <c r="T844" s="46"/>
      <c r="U844" s="46"/>
      <c r="V844" s="46"/>
      <c r="W844" s="46"/>
    </row>
    <row r="845">
      <c r="A845" s="55"/>
      <c r="B845" s="205"/>
      <c r="C845" s="55"/>
      <c r="D845" s="205"/>
      <c r="E845" s="172"/>
      <c r="F845" s="212"/>
      <c r="G845" s="172"/>
      <c r="H845" s="205"/>
      <c r="I845" s="149"/>
      <c r="J845" s="46"/>
      <c r="K845" s="46"/>
      <c r="L845" s="46"/>
      <c r="M845" s="46"/>
      <c r="N845" s="46"/>
      <c r="O845" s="46"/>
      <c r="P845" s="46"/>
      <c r="Q845" s="46"/>
      <c r="R845" s="46"/>
      <c r="S845" s="46"/>
      <c r="T845" s="46"/>
      <c r="U845" s="46"/>
      <c r="V845" s="46"/>
      <c r="W845" s="46"/>
    </row>
    <row r="846">
      <c r="A846" s="55"/>
      <c r="B846" s="205"/>
      <c r="C846" s="55"/>
      <c r="D846" s="205"/>
      <c r="E846" s="172"/>
      <c r="F846" s="212"/>
      <c r="G846" s="172"/>
      <c r="H846" s="205"/>
      <c r="I846" s="149"/>
      <c r="J846" s="46"/>
      <c r="K846" s="46"/>
      <c r="L846" s="46"/>
      <c r="M846" s="46"/>
      <c r="N846" s="46"/>
      <c r="O846" s="46"/>
      <c r="P846" s="46"/>
      <c r="Q846" s="46"/>
      <c r="R846" s="46"/>
      <c r="S846" s="46"/>
      <c r="T846" s="46"/>
      <c r="U846" s="46"/>
      <c r="V846" s="46"/>
      <c r="W846" s="46"/>
    </row>
    <row r="847">
      <c r="A847" s="55"/>
      <c r="B847" s="205"/>
      <c r="C847" s="55"/>
      <c r="D847" s="205"/>
      <c r="E847" s="172"/>
      <c r="F847" s="212"/>
      <c r="G847" s="172"/>
      <c r="H847" s="205"/>
      <c r="I847" s="149"/>
      <c r="J847" s="46"/>
      <c r="K847" s="46"/>
      <c r="L847" s="46"/>
      <c r="M847" s="46"/>
      <c r="N847" s="46"/>
      <c r="O847" s="46"/>
      <c r="P847" s="46"/>
      <c r="Q847" s="46"/>
      <c r="R847" s="46"/>
      <c r="S847" s="46"/>
      <c r="T847" s="46"/>
      <c r="U847" s="46"/>
      <c r="V847" s="46"/>
      <c r="W847" s="46"/>
    </row>
    <row r="848">
      <c r="A848" s="55"/>
      <c r="B848" s="205"/>
      <c r="C848" s="55"/>
      <c r="D848" s="205"/>
      <c r="E848" s="172"/>
      <c r="F848" s="212"/>
      <c r="G848" s="172"/>
      <c r="H848" s="205"/>
      <c r="I848" s="149"/>
      <c r="J848" s="46"/>
      <c r="K848" s="46"/>
      <c r="L848" s="46"/>
      <c r="M848" s="46"/>
      <c r="N848" s="46"/>
      <c r="O848" s="46"/>
      <c r="P848" s="46"/>
      <c r="Q848" s="46"/>
      <c r="R848" s="46"/>
      <c r="S848" s="46"/>
      <c r="T848" s="46"/>
      <c r="U848" s="46"/>
      <c r="V848" s="46"/>
      <c r="W848" s="46"/>
    </row>
    <row r="849">
      <c r="A849" s="55"/>
      <c r="B849" s="205"/>
      <c r="C849" s="55"/>
      <c r="D849" s="205"/>
      <c r="E849" s="172"/>
      <c r="F849" s="212"/>
      <c r="G849" s="172"/>
      <c r="H849" s="205"/>
      <c r="I849" s="149"/>
      <c r="J849" s="46"/>
      <c r="K849" s="46"/>
      <c r="L849" s="46"/>
      <c r="M849" s="46"/>
      <c r="N849" s="46"/>
      <c r="O849" s="46"/>
      <c r="P849" s="46"/>
      <c r="Q849" s="46"/>
      <c r="R849" s="46"/>
      <c r="S849" s="46"/>
      <c r="T849" s="46"/>
      <c r="U849" s="46"/>
      <c r="V849" s="46"/>
      <c r="W849" s="46"/>
    </row>
    <row r="850">
      <c r="A850" s="55"/>
      <c r="B850" s="205"/>
      <c r="C850" s="55"/>
      <c r="D850" s="205"/>
      <c r="E850" s="172"/>
      <c r="F850" s="212"/>
      <c r="G850" s="172"/>
      <c r="H850" s="205"/>
      <c r="I850" s="149"/>
      <c r="J850" s="46"/>
      <c r="K850" s="46"/>
      <c r="L850" s="46"/>
      <c r="M850" s="46"/>
      <c r="N850" s="46"/>
      <c r="O850" s="46"/>
      <c r="P850" s="46"/>
      <c r="Q850" s="46"/>
      <c r="R850" s="46"/>
      <c r="S850" s="46"/>
      <c r="T850" s="46"/>
      <c r="U850" s="46"/>
      <c r="V850" s="46"/>
      <c r="W850" s="46"/>
    </row>
    <row r="851">
      <c r="A851" s="55"/>
      <c r="B851" s="205"/>
      <c r="C851" s="55"/>
      <c r="D851" s="205"/>
      <c r="E851" s="172"/>
      <c r="F851" s="212"/>
      <c r="G851" s="172"/>
      <c r="H851" s="205"/>
      <c r="I851" s="149"/>
      <c r="J851" s="46"/>
      <c r="K851" s="46"/>
      <c r="L851" s="46"/>
      <c r="M851" s="46"/>
      <c r="N851" s="46"/>
      <c r="O851" s="46"/>
      <c r="P851" s="46"/>
      <c r="Q851" s="46"/>
      <c r="R851" s="46"/>
      <c r="S851" s="46"/>
      <c r="T851" s="46"/>
      <c r="U851" s="46"/>
      <c r="V851" s="46"/>
      <c r="W851" s="46"/>
    </row>
    <row r="852">
      <c r="A852" s="55"/>
      <c r="B852" s="205"/>
      <c r="C852" s="55"/>
      <c r="D852" s="205"/>
      <c r="E852" s="172"/>
      <c r="F852" s="212"/>
      <c r="G852" s="172"/>
      <c r="H852" s="205"/>
      <c r="I852" s="149"/>
      <c r="J852" s="46"/>
      <c r="K852" s="46"/>
      <c r="L852" s="46"/>
      <c r="M852" s="46"/>
      <c r="N852" s="46"/>
      <c r="O852" s="46"/>
      <c r="P852" s="46"/>
      <c r="Q852" s="46"/>
      <c r="R852" s="46"/>
      <c r="S852" s="46"/>
      <c r="T852" s="46"/>
      <c r="U852" s="46"/>
      <c r="V852" s="46"/>
      <c r="W852" s="46"/>
    </row>
    <row r="853">
      <c r="A853" s="55"/>
      <c r="B853" s="205"/>
      <c r="C853" s="55"/>
      <c r="D853" s="205"/>
      <c r="E853" s="172"/>
      <c r="F853" s="212"/>
      <c r="G853" s="172"/>
      <c r="H853" s="205"/>
      <c r="I853" s="149"/>
      <c r="J853" s="46"/>
      <c r="K853" s="46"/>
      <c r="L853" s="46"/>
      <c r="M853" s="46"/>
      <c r="N853" s="46"/>
      <c r="O853" s="46"/>
      <c r="P853" s="46"/>
      <c r="Q853" s="46"/>
      <c r="R853" s="46"/>
      <c r="S853" s="46"/>
      <c r="T853" s="46"/>
      <c r="U853" s="46"/>
      <c r="V853" s="46"/>
      <c r="W853" s="46"/>
    </row>
    <row r="854">
      <c r="A854" s="55"/>
      <c r="B854" s="205"/>
      <c r="C854" s="55"/>
      <c r="D854" s="205"/>
      <c r="E854" s="172"/>
      <c r="F854" s="212"/>
      <c r="G854" s="172"/>
      <c r="H854" s="205"/>
      <c r="I854" s="149"/>
      <c r="J854" s="46"/>
      <c r="K854" s="46"/>
      <c r="L854" s="46"/>
      <c r="M854" s="46"/>
      <c r="N854" s="46"/>
      <c r="O854" s="46"/>
      <c r="P854" s="46"/>
      <c r="Q854" s="46"/>
      <c r="R854" s="46"/>
      <c r="S854" s="46"/>
      <c r="T854" s="46"/>
      <c r="U854" s="46"/>
      <c r="V854" s="46"/>
      <c r="W854" s="46"/>
    </row>
    <row r="855">
      <c r="A855" s="55"/>
      <c r="B855" s="205"/>
      <c r="C855" s="55"/>
      <c r="D855" s="205"/>
      <c r="E855" s="172"/>
      <c r="F855" s="212"/>
      <c r="G855" s="172"/>
      <c r="H855" s="205"/>
      <c r="I855" s="149"/>
      <c r="J855" s="46"/>
      <c r="K855" s="46"/>
      <c r="L855" s="46"/>
      <c r="M855" s="46"/>
      <c r="N855" s="46"/>
      <c r="O855" s="46"/>
      <c r="P855" s="46"/>
      <c r="Q855" s="46"/>
      <c r="R855" s="46"/>
      <c r="S855" s="46"/>
      <c r="T855" s="46"/>
      <c r="U855" s="46"/>
      <c r="V855" s="46"/>
      <c r="W855" s="46"/>
    </row>
    <row r="856">
      <c r="A856" s="55"/>
      <c r="B856" s="205"/>
      <c r="C856" s="55"/>
      <c r="D856" s="205"/>
      <c r="E856" s="172"/>
      <c r="F856" s="212"/>
      <c r="G856" s="172"/>
      <c r="H856" s="205"/>
      <c r="I856" s="149"/>
      <c r="J856" s="46"/>
      <c r="K856" s="46"/>
      <c r="L856" s="46"/>
      <c r="M856" s="46"/>
      <c r="N856" s="46"/>
      <c r="O856" s="46"/>
      <c r="P856" s="46"/>
      <c r="Q856" s="46"/>
      <c r="R856" s="46"/>
      <c r="S856" s="46"/>
      <c r="T856" s="46"/>
      <c r="U856" s="46"/>
      <c r="V856" s="46"/>
      <c r="W856" s="46"/>
    </row>
    <row r="857">
      <c r="A857" s="55"/>
      <c r="B857" s="205"/>
      <c r="C857" s="55"/>
      <c r="D857" s="205"/>
      <c r="E857" s="172"/>
      <c r="F857" s="212"/>
      <c r="G857" s="172"/>
      <c r="H857" s="205"/>
      <c r="I857" s="149"/>
      <c r="J857" s="46"/>
      <c r="K857" s="46"/>
      <c r="L857" s="46"/>
      <c r="M857" s="46"/>
      <c r="N857" s="46"/>
      <c r="O857" s="46"/>
      <c r="P857" s="46"/>
      <c r="Q857" s="46"/>
      <c r="R857" s="46"/>
      <c r="S857" s="46"/>
      <c r="T857" s="46"/>
      <c r="U857" s="46"/>
      <c r="V857" s="46"/>
      <c r="W857" s="46"/>
    </row>
    <row r="858">
      <c r="A858" s="55"/>
      <c r="B858" s="205"/>
      <c r="C858" s="55"/>
      <c r="D858" s="205"/>
      <c r="E858" s="172"/>
      <c r="F858" s="212"/>
      <c r="G858" s="172"/>
      <c r="H858" s="205"/>
      <c r="I858" s="149"/>
      <c r="J858" s="46"/>
      <c r="K858" s="46"/>
      <c r="L858" s="46"/>
      <c r="M858" s="46"/>
      <c r="N858" s="46"/>
      <c r="O858" s="46"/>
      <c r="P858" s="46"/>
      <c r="Q858" s="46"/>
      <c r="R858" s="46"/>
      <c r="S858" s="46"/>
      <c r="T858" s="46"/>
      <c r="U858" s="46"/>
      <c r="V858" s="46"/>
      <c r="W858" s="46"/>
    </row>
    <row r="859">
      <c r="A859" s="55"/>
      <c r="B859" s="205"/>
      <c r="C859" s="55"/>
      <c r="D859" s="205"/>
      <c r="E859" s="172"/>
      <c r="F859" s="212"/>
      <c r="G859" s="172"/>
      <c r="H859" s="205"/>
      <c r="I859" s="149"/>
      <c r="J859" s="46"/>
      <c r="K859" s="46"/>
      <c r="L859" s="46"/>
      <c r="M859" s="46"/>
      <c r="N859" s="46"/>
      <c r="O859" s="46"/>
      <c r="P859" s="46"/>
      <c r="Q859" s="46"/>
      <c r="R859" s="46"/>
      <c r="S859" s="46"/>
      <c r="T859" s="46"/>
      <c r="U859" s="46"/>
      <c r="V859" s="46"/>
      <c r="W859" s="46"/>
    </row>
    <row r="860">
      <c r="A860" s="55"/>
      <c r="B860" s="205"/>
      <c r="C860" s="55"/>
      <c r="D860" s="205"/>
      <c r="E860" s="172"/>
      <c r="F860" s="212"/>
      <c r="G860" s="172"/>
      <c r="H860" s="205"/>
      <c r="I860" s="149"/>
      <c r="J860" s="46"/>
      <c r="K860" s="46"/>
      <c r="L860" s="46"/>
      <c r="M860" s="46"/>
      <c r="N860" s="46"/>
      <c r="O860" s="46"/>
      <c r="P860" s="46"/>
      <c r="Q860" s="46"/>
      <c r="R860" s="46"/>
      <c r="S860" s="46"/>
      <c r="T860" s="46"/>
      <c r="U860" s="46"/>
      <c r="V860" s="46"/>
      <c r="W860" s="46"/>
    </row>
    <row r="861">
      <c r="A861" s="55"/>
      <c r="B861" s="205"/>
      <c r="C861" s="55"/>
      <c r="D861" s="205"/>
      <c r="E861" s="172"/>
      <c r="F861" s="212"/>
      <c r="G861" s="172"/>
      <c r="H861" s="205"/>
      <c r="I861" s="149"/>
      <c r="J861" s="46"/>
      <c r="K861" s="46"/>
      <c r="L861" s="46"/>
      <c r="M861" s="46"/>
      <c r="N861" s="46"/>
      <c r="O861" s="46"/>
      <c r="P861" s="46"/>
      <c r="Q861" s="46"/>
      <c r="R861" s="46"/>
      <c r="S861" s="46"/>
      <c r="T861" s="46"/>
      <c r="U861" s="46"/>
      <c r="V861" s="46"/>
      <c r="W861" s="46"/>
    </row>
    <row r="862">
      <c r="A862" s="55"/>
      <c r="B862" s="205"/>
      <c r="C862" s="55"/>
      <c r="D862" s="205"/>
      <c r="E862" s="172"/>
      <c r="F862" s="212"/>
      <c r="G862" s="172"/>
      <c r="H862" s="205"/>
      <c r="I862" s="149"/>
      <c r="J862" s="46"/>
      <c r="K862" s="46"/>
      <c r="L862" s="46"/>
      <c r="M862" s="46"/>
      <c r="N862" s="46"/>
      <c r="O862" s="46"/>
      <c r="P862" s="46"/>
      <c r="Q862" s="46"/>
      <c r="R862" s="46"/>
      <c r="S862" s="46"/>
      <c r="T862" s="46"/>
      <c r="U862" s="46"/>
      <c r="V862" s="46"/>
      <c r="W862" s="46"/>
    </row>
    <row r="863">
      <c r="A863" s="55"/>
      <c r="B863" s="205"/>
      <c r="C863" s="55"/>
      <c r="D863" s="205"/>
      <c r="E863" s="172"/>
      <c r="F863" s="212"/>
      <c r="G863" s="172"/>
      <c r="H863" s="205"/>
      <c r="I863" s="149"/>
      <c r="J863" s="46"/>
      <c r="K863" s="46"/>
      <c r="L863" s="46"/>
      <c r="M863" s="46"/>
      <c r="N863" s="46"/>
      <c r="O863" s="46"/>
      <c r="P863" s="46"/>
      <c r="Q863" s="46"/>
      <c r="R863" s="46"/>
      <c r="S863" s="46"/>
      <c r="T863" s="46"/>
      <c r="U863" s="46"/>
      <c r="V863" s="46"/>
      <c r="W863" s="46"/>
    </row>
    <row r="864">
      <c r="A864" s="55"/>
      <c r="B864" s="205"/>
      <c r="C864" s="55"/>
      <c r="D864" s="205"/>
      <c r="E864" s="172"/>
      <c r="F864" s="212"/>
      <c r="G864" s="172"/>
      <c r="H864" s="205"/>
      <c r="I864" s="149"/>
      <c r="J864" s="46"/>
      <c r="K864" s="46"/>
      <c r="L864" s="46"/>
      <c r="M864" s="46"/>
      <c r="N864" s="46"/>
      <c r="O864" s="46"/>
      <c r="P864" s="46"/>
      <c r="Q864" s="46"/>
      <c r="R864" s="46"/>
      <c r="S864" s="46"/>
      <c r="T864" s="46"/>
      <c r="U864" s="46"/>
      <c r="V864" s="46"/>
      <c r="W864" s="46"/>
    </row>
    <row r="865">
      <c r="A865" s="55"/>
      <c r="B865" s="205"/>
      <c r="C865" s="55"/>
      <c r="D865" s="205"/>
      <c r="E865" s="172"/>
      <c r="F865" s="212"/>
      <c r="G865" s="172"/>
      <c r="H865" s="205"/>
      <c r="I865" s="149"/>
      <c r="J865" s="46"/>
      <c r="K865" s="46"/>
      <c r="L865" s="46"/>
      <c r="M865" s="46"/>
      <c r="N865" s="46"/>
      <c r="O865" s="46"/>
      <c r="P865" s="46"/>
      <c r="Q865" s="46"/>
      <c r="R865" s="46"/>
      <c r="S865" s="46"/>
      <c r="T865" s="46"/>
      <c r="U865" s="46"/>
      <c r="V865" s="46"/>
      <c r="W865" s="46"/>
    </row>
    <row r="866">
      <c r="A866" s="55"/>
      <c r="B866" s="205"/>
      <c r="C866" s="55"/>
      <c r="D866" s="205"/>
      <c r="E866" s="172"/>
      <c r="F866" s="212"/>
      <c r="G866" s="172"/>
      <c r="H866" s="205"/>
      <c r="I866" s="149"/>
      <c r="J866" s="46"/>
      <c r="K866" s="46"/>
      <c r="L866" s="46"/>
      <c r="M866" s="46"/>
      <c r="N866" s="46"/>
      <c r="O866" s="46"/>
      <c r="P866" s="46"/>
      <c r="Q866" s="46"/>
      <c r="R866" s="46"/>
      <c r="S866" s="46"/>
      <c r="T866" s="46"/>
      <c r="U866" s="46"/>
      <c r="V866" s="46"/>
      <c r="W866" s="46"/>
    </row>
    <row r="867">
      <c r="A867" s="55"/>
      <c r="B867" s="205"/>
      <c r="C867" s="55"/>
      <c r="D867" s="205"/>
      <c r="E867" s="172"/>
      <c r="F867" s="212"/>
      <c r="G867" s="172"/>
      <c r="H867" s="205"/>
      <c r="I867" s="149"/>
      <c r="J867" s="46"/>
      <c r="K867" s="46"/>
      <c r="L867" s="46"/>
      <c r="M867" s="46"/>
      <c r="N867" s="46"/>
      <c r="O867" s="46"/>
      <c r="P867" s="46"/>
      <c r="Q867" s="46"/>
      <c r="R867" s="46"/>
      <c r="S867" s="46"/>
      <c r="T867" s="46"/>
      <c r="U867" s="46"/>
      <c r="V867" s="46"/>
      <c r="W867" s="46"/>
    </row>
    <row r="868">
      <c r="A868" s="55"/>
      <c r="B868" s="205"/>
      <c r="C868" s="55"/>
      <c r="D868" s="205"/>
      <c r="E868" s="172"/>
      <c r="F868" s="212"/>
      <c r="G868" s="172"/>
      <c r="H868" s="205"/>
      <c r="I868" s="149"/>
      <c r="J868" s="46"/>
      <c r="K868" s="46"/>
      <c r="L868" s="46"/>
      <c r="M868" s="46"/>
      <c r="N868" s="46"/>
      <c r="O868" s="46"/>
      <c r="P868" s="46"/>
      <c r="Q868" s="46"/>
      <c r="R868" s="46"/>
      <c r="S868" s="46"/>
      <c r="T868" s="46"/>
      <c r="U868" s="46"/>
      <c r="V868" s="46"/>
      <c r="W868" s="46"/>
    </row>
    <row r="869">
      <c r="A869" s="55"/>
      <c r="B869" s="205"/>
      <c r="C869" s="55"/>
      <c r="D869" s="205"/>
      <c r="E869" s="172"/>
      <c r="F869" s="212"/>
      <c r="G869" s="172"/>
      <c r="H869" s="205"/>
      <c r="I869" s="149"/>
      <c r="J869" s="46"/>
      <c r="K869" s="46"/>
      <c r="L869" s="46"/>
      <c r="M869" s="46"/>
      <c r="N869" s="46"/>
      <c r="O869" s="46"/>
      <c r="P869" s="46"/>
      <c r="Q869" s="46"/>
      <c r="R869" s="46"/>
      <c r="S869" s="46"/>
      <c r="T869" s="46"/>
      <c r="U869" s="46"/>
      <c r="V869" s="46"/>
      <c r="W869" s="46"/>
    </row>
    <row r="870">
      <c r="A870" s="55"/>
      <c r="B870" s="205"/>
      <c r="C870" s="55"/>
      <c r="D870" s="205"/>
      <c r="E870" s="172"/>
      <c r="F870" s="212"/>
      <c r="G870" s="172"/>
      <c r="H870" s="205"/>
      <c r="I870" s="149"/>
      <c r="J870" s="46"/>
      <c r="K870" s="46"/>
      <c r="L870" s="46"/>
      <c r="M870" s="46"/>
      <c r="N870" s="46"/>
      <c r="O870" s="46"/>
      <c r="P870" s="46"/>
      <c r="Q870" s="46"/>
      <c r="R870" s="46"/>
      <c r="S870" s="46"/>
      <c r="T870" s="46"/>
      <c r="U870" s="46"/>
      <c r="V870" s="46"/>
      <c r="W870" s="46"/>
    </row>
    <row r="871">
      <c r="A871" s="55"/>
      <c r="B871" s="205"/>
      <c r="C871" s="55"/>
      <c r="D871" s="205"/>
      <c r="E871" s="172"/>
      <c r="F871" s="212"/>
      <c r="G871" s="172"/>
      <c r="H871" s="205"/>
      <c r="I871" s="149"/>
      <c r="J871" s="46"/>
      <c r="K871" s="46"/>
      <c r="L871" s="46"/>
      <c r="M871" s="46"/>
      <c r="N871" s="46"/>
      <c r="O871" s="46"/>
      <c r="P871" s="46"/>
      <c r="Q871" s="46"/>
      <c r="R871" s="46"/>
      <c r="S871" s="46"/>
      <c r="T871" s="46"/>
      <c r="U871" s="46"/>
      <c r="V871" s="46"/>
      <c r="W871" s="46"/>
    </row>
    <row r="872">
      <c r="A872" s="55"/>
      <c r="B872" s="205"/>
      <c r="C872" s="55"/>
      <c r="D872" s="205"/>
      <c r="E872" s="172"/>
      <c r="F872" s="212"/>
      <c r="G872" s="172"/>
      <c r="H872" s="205"/>
      <c r="I872" s="149"/>
      <c r="J872" s="46"/>
      <c r="K872" s="46"/>
      <c r="L872" s="46"/>
      <c r="M872" s="46"/>
      <c r="N872" s="46"/>
      <c r="O872" s="46"/>
      <c r="P872" s="46"/>
      <c r="Q872" s="46"/>
      <c r="R872" s="46"/>
      <c r="S872" s="46"/>
      <c r="T872" s="46"/>
      <c r="U872" s="46"/>
      <c r="V872" s="46"/>
      <c r="W872" s="46"/>
    </row>
    <row r="873">
      <c r="A873" s="55"/>
      <c r="B873" s="205"/>
      <c r="C873" s="55"/>
      <c r="D873" s="205"/>
      <c r="E873" s="172"/>
      <c r="F873" s="212"/>
      <c r="G873" s="172"/>
      <c r="H873" s="205"/>
      <c r="I873" s="149"/>
      <c r="J873" s="46"/>
      <c r="K873" s="46"/>
      <c r="L873" s="46"/>
      <c r="M873" s="46"/>
      <c r="N873" s="46"/>
      <c r="O873" s="46"/>
      <c r="P873" s="46"/>
      <c r="Q873" s="46"/>
      <c r="R873" s="46"/>
      <c r="S873" s="46"/>
      <c r="T873" s="46"/>
      <c r="U873" s="46"/>
      <c r="V873" s="46"/>
      <c r="W873" s="46"/>
    </row>
    <row r="874">
      <c r="A874" s="55"/>
      <c r="B874" s="205"/>
      <c r="C874" s="55"/>
      <c r="D874" s="205"/>
      <c r="E874" s="172"/>
      <c r="F874" s="212"/>
      <c r="G874" s="172"/>
      <c r="H874" s="205"/>
      <c r="I874" s="149"/>
      <c r="J874" s="46"/>
      <c r="K874" s="46"/>
      <c r="L874" s="46"/>
      <c r="M874" s="46"/>
      <c r="N874" s="46"/>
      <c r="O874" s="46"/>
      <c r="P874" s="46"/>
      <c r="Q874" s="46"/>
      <c r="R874" s="46"/>
      <c r="S874" s="46"/>
      <c r="T874" s="46"/>
      <c r="U874" s="46"/>
      <c r="V874" s="46"/>
      <c r="W874" s="46"/>
    </row>
    <row r="875">
      <c r="A875" s="55"/>
      <c r="B875" s="205"/>
      <c r="C875" s="55"/>
      <c r="D875" s="205"/>
      <c r="E875" s="172"/>
      <c r="F875" s="212"/>
      <c r="G875" s="172"/>
      <c r="H875" s="205"/>
      <c r="I875" s="149"/>
      <c r="J875" s="46"/>
      <c r="K875" s="46"/>
      <c r="L875" s="46"/>
      <c r="M875" s="46"/>
      <c r="N875" s="46"/>
      <c r="O875" s="46"/>
      <c r="P875" s="46"/>
      <c r="Q875" s="46"/>
      <c r="R875" s="46"/>
      <c r="S875" s="46"/>
      <c r="T875" s="46"/>
      <c r="U875" s="46"/>
      <c r="V875" s="46"/>
      <c r="W875" s="46"/>
    </row>
    <row r="876">
      <c r="A876" s="55"/>
      <c r="B876" s="205"/>
      <c r="C876" s="55"/>
      <c r="D876" s="205"/>
      <c r="E876" s="172"/>
      <c r="F876" s="212"/>
      <c r="G876" s="172"/>
      <c r="H876" s="205"/>
      <c r="I876" s="149"/>
      <c r="J876" s="46"/>
      <c r="K876" s="46"/>
      <c r="L876" s="46"/>
      <c r="M876" s="46"/>
      <c r="N876" s="46"/>
      <c r="O876" s="46"/>
      <c r="P876" s="46"/>
      <c r="Q876" s="46"/>
      <c r="R876" s="46"/>
      <c r="S876" s="46"/>
      <c r="T876" s="46"/>
      <c r="U876" s="46"/>
      <c r="V876" s="46"/>
      <c r="W876" s="46"/>
    </row>
    <row r="877">
      <c r="A877" s="55"/>
      <c r="B877" s="205"/>
      <c r="C877" s="55"/>
      <c r="D877" s="205"/>
      <c r="E877" s="172"/>
      <c r="F877" s="212"/>
      <c r="G877" s="172"/>
      <c r="H877" s="205"/>
      <c r="I877" s="149"/>
      <c r="J877" s="46"/>
      <c r="K877" s="46"/>
      <c r="L877" s="46"/>
      <c r="M877" s="46"/>
      <c r="N877" s="46"/>
      <c r="O877" s="46"/>
      <c r="P877" s="46"/>
      <c r="Q877" s="46"/>
      <c r="R877" s="46"/>
      <c r="S877" s="46"/>
      <c r="T877" s="46"/>
      <c r="U877" s="46"/>
      <c r="V877" s="46"/>
      <c r="W877" s="46"/>
    </row>
    <row r="878">
      <c r="A878" s="55"/>
      <c r="B878" s="205"/>
      <c r="C878" s="55"/>
      <c r="D878" s="205"/>
      <c r="E878" s="172"/>
      <c r="F878" s="212"/>
      <c r="G878" s="172"/>
      <c r="H878" s="205"/>
      <c r="I878" s="149"/>
      <c r="J878" s="46"/>
      <c r="K878" s="46"/>
      <c r="L878" s="46"/>
      <c r="M878" s="46"/>
      <c r="N878" s="46"/>
      <c r="O878" s="46"/>
      <c r="P878" s="46"/>
      <c r="Q878" s="46"/>
      <c r="R878" s="46"/>
      <c r="S878" s="46"/>
      <c r="T878" s="46"/>
      <c r="U878" s="46"/>
      <c r="V878" s="46"/>
      <c r="W878" s="46"/>
    </row>
    <row r="879">
      <c r="A879" s="55"/>
      <c r="B879" s="205"/>
      <c r="C879" s="55"/>
      <c r="D879" s="205"/>
      <c r="E879" s="172"/>
      <c r="F879" s="212"/>
      <c r="G879" s="172"/>
      <c r="H879" s="205"/>
      <c r="I879" s="149"/>
      <c r="J879" s="46"/>
      <c r="K879" s="46"/>
      <c r="L879" s="46"/>
      <c r="M879" s="46"/>
      <c r="N879" s="46"/>
      <c r="O879" s="46"/>
      <c r="P879" s="46"/>
      <c r="Q879" s="46"/>
      <c r="R879" s="46"/>
      <c r="S879" s="46"/>
      <c r="T879" s="46"/>
      <c r="U879" s="46"/>
      <c r="V879" s="46"/>
      <c r="W879" s="46"/>
    </row>
    <row r="880">
      <c r="A880" s="55"/>
      <c r="B880" s="205"/>
      <c r="C880" s="55"/>
      <c r="D880" s="205"/>
      <c r="E880" s="172"/>
      <c r="F880" s="212"/>
      <c r="G880" s="172"/>
      <c r="H880" s="205"/>
      <c r="I880" s="149"/>
      <c r="J880" s="46"/>
      <c r="K880" s="46"/>
      <c r="L880" s="46"/>
      <c r="M880" s="46"/>
      <c r="N880" s="46"/>
      <c r="O880" s="46"/>
      <c r="P880" s="46"/>
      <c r="Q880" s="46"/>
      <c r="R880" s="46"/>
      <c r="S880" s="46"/>
      <c r="T880" s="46"/>
      <c r="U880" s="46"/>
      <c r="V880" s="46"/>
      <c r="W880" s="46"/>
    </row>
    <row r="881">
      <c r="A881" s="55"/>
      <c r="B881" s="205"/>
      <c r="C881" s="55"/>
      <c r="D881" s="205"/>
      <c r="E881" s="172"/>
      <c r="F881" s="212"/>
      <c r="G881" s="172"/>
      <c r="H881" s="205"/>
      <c r="I881" s="149"/>
      <c r="J881" s="46"/>
      <c r="K881" s="46"/>
      <c r="L881" s="46"/>
      <c r="M881" s="46"/>
      <c r="N881" s="46"/>
      <c r="O881" s="46"/>
      <c r="P881" s="46"/>
      <c r="Q881" s="46"/>
      <c r="R881" s="46"/>
      <c r="S881" s="46"/>
      <c r="T881" s="46"/>
      <c r="U881" s="46"/>
      <c r="V881" s="46"/>
      <c r="W881" s="46"/>
    </row>
    <row r="882">
      <c r="A882" s="55"/>
      <c r="B882" s="205"/>
      <c r="C882" s="55"/>
      <c r="D882" s="205"/>
      <c r="E882" s="172"/>
      <c r="F882" s="212"/>
      <c r="G882" s="172"/>
      <c r="H882" s="205"/>
      <c r="I882" s="149"/>
      <c r="J882" s="46"/>
      <c r="K882" s="46"/>
      <c r="L882" s="46"/>
      <c r="M882" s="46"/>
      <c r="N882" s="46"/>
      <c r="O882" s="46"/>
      <c r="P882" s="46"/>
      <c r="Q882" s="46"/>
      <c r="R882" s="46"/>
      <c r="S882" s="46"/>
      <c r="T882" s="46"/>
      <c r="U882" s="46"/>
      <c r="V882" s="46"/>
      <c r="W882" s="46"/>
    </row>
    <row r="883">
      <c r="A883" s="55"/>
      <c r="B883" s="205"/>
      <c r="C883" s="55"/>
      <c r="D883" s="205"/>
      <c r="E883" s="172"/>
      <c r="F883" s="212"/>
      <c r="G883" s="172"/>
      <c r="H883" s="205"/>
      <c r="I883" s="149"/>
      <c r="J883" s="46"/>
      <c r="K883" s="46"/>
      <c r="L883" s="46"/>
      <c r="M883" s="46"/>
      <c r="N883" s="46"/>
      <c r="O883" s="46"/>
      <c r="P883" s="46"/>
      <c r="Q883" s="46"/>
      <c r="R883" s="46"/>
      <c r="S883" s="46"/>
      <c r="T883" s="46"/>
      <c r="U883" s="46"/>
      <c r="V883" s="46"/>
      <c r="W883" s="46"/>
    </row>
    <row r="884">
      <c r="A884" s="55"/>
      <c r="B884" s="205"/>
      <c r="C884" s="55"/>
      <c r="D884" s="205"/>
      <c r="E884" s="172"/>
      <c r="F884" s="212"/>
      <c r="G884" s="172"/>
      <c r="H884" s="205"/>
      <c r="I884" s="149"/>
      <c r="J884" s="46"/>
      <c r="K884" s="46"/>
      <c r="L884" s="46"/>
      <c r="M884" s="46"/>
      <c r="N884" s="46"/>
      <c r="O884" s="46"/>
      <c r="P884" s="46"/>
      <c r="Q884" s="46"/>
      <c r="R884" s="46"/>
      <c r="S884" s="46"/>
      <c r="T884" s="46"/>
      <c r="U884" s="46"/>
      <c r="V884" s="46"/>
      <c r="W884" s="46"/>
    </row>
    <row r="885">
      <c r="A885" s="55"/>
      <c r="B885" s="205"/>
      <c r="C885" s="55"/>
      <c r="D885" s="205"/>
      <c r="E885" s="172"/>
      <c r="F885" s="212"/>
      <c r="G885" s="172"/>
      <c r="H885" s="205"/>
      <c r="I885" s="149"/>
      <c r="J885" s="46"/>
      <c r="K885" s="46"/>
      <c r="L885" s="46"/>
      <c r="M885" s="46"/>
      <c r="N885" s="46"/>
      <c r="O885" s="46"/>
      <c r="P885" s="46"/>
      <c r="Q885" s="46"/>
      <c r="R885" s="46"/>
      <c r="S885" s="46"/>
      <c r="T885" s="46"/>
      <c r="U885" s="46"/>
      <c r="V885" s="46"/>
      <c r="W885" s="46"/>
    </row>
    <row r="886">
      <c r="A886" s="55"/>
      <c r="B886" s="205"/>
      <c r="C886" s="55"/>
      <c r="D886" s="205"/>
      <c r="E886" s="172"/>
      <c r="F886" s="212"/>
      <c r="G886" s="172"/>
      <c r="H886" s="205"/>
      <c r="I886" s="149"/>
      <c r="J886" s="46"/>
      <c r="K886" s="46"/>
      <c r="L886" s="46"/>
      <c r="M886" s="46"/>
      <c r="N886" s="46"/>
      <c r="O886" s="46"/>
      <c r="P886" s="46"/>
      <c r="Q886" s="46"/>
      <c r="R886" s="46"/>
      <c r="S886" s="46"/>
      <c r="T886" s="46"/>
      <c r="U886" s="46"/>
      <c r="V886" s="46"/>
      <c r="W886" s="46"/>
    </row>
    <row r="887">
      <c r="A887" s="55"/>
      <c r="B887" s="205"/>
      <c r="C887" s="55"/>
      <c r="D887" s="205"/>
      <c r="E887" s="172"/>
      <c r="F887" s="212"/>
      <c r="G887" s="172"/>
      <c r="H887" s="205"/>
      <c r="I887" s="149"/>
      <c r="J887" s="46"/>
      <c r="K887" s="46"/>
      <c r="L887" s="46"/>
      <c r="M887" s="46"/>
      <c r="N887" s="46"/>
      <c r="O887" s="46"/>
      <c r="P887" s="46"/>
      <c r="Q887" s="46"/>
      <c r="R887" s="46"/>
      <c r="S887" s="46"/>
      <c r="T887" s="46"/>
      <c r="U887" s="46"/>
      <c r="V887" s="46"/>
      <c r="W887" s="46"/>
    </row>
    <row r="888">
      <c r="A888" s="55"/>
      <c r="B888" s="205"/>
      <c r="C888" s="55"/>
      <c r="D888" s="205"/>
      <c r="E888" s="172"/>
      <c r="F888" s="212"/>
      <c r="G888" s="172"/>
      <c r="H888" s="205"/>
      <c r="I888" s="149"/>
      <c r="J888" s="46"/>
      <c r="K888" s="46"/>
      <c r="L888" s="46"/>
      <c r="M888" s="46"/>
      <c r="N888" s="46"/>
      <c r="O888" s="46"/>
      <c r="P888" s="46"/>
      <c r="Q888" s="46"/>
      <c r="R888" s="46"/>
      <c r="S888" s="46"/>
      <c r="T888" s="46"/>
      <c r="U888" s="46"/>
      <c r="V888" s="46"/>
      <c r="W888" s="46"/>
    </row>
    <row r="889">
      <c r="A889" s="55"/>
      <c r="B889" s="205"/>
      <c r="C889" s="55"/>
      <c r="D889" s="205"/>
      <c r="E889" s="172"/>
      <c r="F889" s="212"/>
      <c r="G889" s="172"/>
      <c r="H889" s="205"/>
      <c r="I889" s="149"/>
      <c r="J889" s="46"/>
      <c r="K889" s="46"/>
      <c r="L889" s="46"/>
      <c r="M889" s="46"/>
      <c r="N889" s="46"/>
      <c r="O889" s="46"/>
      <c r="P889" s="46"/>
      <c r="Q889" s="46"/>
      <c r="R889" s="46"/>
      <c r="S889" s="46"/>
      <c r="T889" s="46"/>
      <c r="U889" s="46"/>
      <c r="V889" s="46"/>
      <c r="W889" s="46"/>
    </row>
    <row r="890">
      <c r="A890" s="55"/>
      <c r="B890" s="205"/>
      <c r="C890" s="55"/>
      <c r="D890" s="205"/>
      <c r="E890" s="172"/>
      <c r="F890" s="212"/>
      <c r="G890" s="172"/>
      <c r="H890" s="205"/>
      <c r="I890" s="149"/>
      <c r="J890" s="46"/>
      <c r="K890" s="46"/>
      <c r="L890" s="46"/>
      <c r="M890" s="46"/>
      <c r="N890" s="46"/>
      <c r="O890" s="46"/>
      <c r="P890" s="46"/>
      <c r="Q890" s="46"/>
      <c r="R890" s="46"/>
      <c r="S890" s="46"/>
      <c r="T890" s="46"/>
      <c r="U890" s="46"/>
      <c r="V890" s="46"/>
      <c r="W890" s="46"/>
    </row>
    <row r="891">
      <c r="A891" s="55"/>
      <c r="B891" s="205"/>
      <c r="C891" s="55"/>
      <c r="D891" s="205"/>
      <c r="E891" s="172"/>
      <c r="F891" s="212"/>
      <c r="G891" s="172"/>
      <c r="H891" s="205"/>
      <c r="I891" s="149"/>
      <c r="J891" s="46"/>
      <c r="K891" s="46"/>
      <c r="L891" s="46"/>
      <c r="M891" s="46"/>
      <c r="N891" s="46"/>
      <c r="O891" s="46"/>
      <c r="P891" s="46"/>
      <c r="Q891" s="46"/>
      <c r="R891" s="46"/>
      <c r="S891" s="46"/>
      <c r="T891" s="46"/>
      <c r="U891" s="46"/>
      <c r="V891" s="46"/>
      <c r="W891" s="46"/>
    </row>
    <row r="892">
      <c r="A892" s="55"/>
      <c r="B892" s="205"/>
      <c r="C892" s="55"/>
      <c r="D892" s="205"/>
      <c r="E892" s="172"/>
      <c r="F892" s="212"/>
      <c r="G892" s="172"/>
      <c r="H892" s="205"/>
      <c r="I892" s="149"/>
      <c r="J892" s="46"/>
      <c r="K892" s="46"/>
      <c r="L892" s="46"/>
      <c r="M892" s="46"/>
      <c r="N892" s="46"/>
      <c r="O892" s="46"/>
      <c r="P892" s="46"/>
      <c r="Q892" s="46"/>
      <c r="R892" s="46"/>
      <c r="S892" s="46"/>
      <c r="T892" s="46"/>
      <c r="U892" s="46"/>
      <c r="V892" s="46"/>
      <c r="W892" s="46"/>
    </row>
    <row r="893">
      <c r="A893" s="55"/>
      <c r="B893" s="205"/>
      <c r="C893" s="55"/>
      <c r="D893" s="205"/>
      <c r="E893" s="172"/>
      <c r="F893" s="212"/>
      <c r="G893" s="172"/>
      <c r="H893" s="205"/>
      <c r="I893" s="149"/>
      <c r="J893" s="46"/>
      <c r="K893" s="46"/>
      <c r="L893" s="46"/>
      <c r="M893" s="46"/>
      <c r="N893" s="46"/>
      <c r="O893" s="46"/>
      <c r="P893" s="46"/>
      <c r="Q893" s="46"/>
      <c r="R893" s="46"/>
      <c r="S893" s="46"/>
      <c r="T893" s="46"/>
      <c r="U893" s="46"/>
      <c r="V893" s="46"/>
      <c r="W893" s="46"/>
    </row>
    <row r="894">
      <c r="A894" s="55"/>
      <c r="B894" s="205"/>
      <c r="C894" s="55"/>
      <c r="D894" s="205"/>
      <c r="E894" s="172"/>
      <c r="F894" s="212"/>
      <c r="G894" s="172"/>
      <c r="H894" s="205"/>
      <c r="I894" s="149"/>
      <c r="J894" s="46"/>
      <c r="K894" s="46"/>
      <c r="L894" s="46"/>
      <c r="M894" s="46"/>
      <c r="N894" s="46"/>
      <c r="O894" s="46"/>
      <c r="P894" s="46"/>
      <c r="Q894" s="46"/>
      <c r="R894" s="46"/>
      <c r="S894" s="46"/>
      <c r="T894" s="46"/>
      <c r="U894" s="46"/>
      <c r="V894" s="46"/>
      <c r="W894" s="46"/>
    </row>
    <row r="895">
      <c r="A895" s="55"/>
      <c r="B895" s="205"/>
      <c r="C895" s="55"/>
      <c r="D895" s="205"/>
      <c r="E895" s="172"/>
      <c r="F895" s="212"/>
      <c r="G895" s="172"/>
      <c r="H895" s="205"/>
      <c r="I895" s="149"/>
      <c r="J895" s="46"/>
      <c r="K895" s="46"/>
      <c r="L895" s="46"/>
      <c r="M895" s="46"/>
      <c r="N895" s="46"/>
      <c r="O895" s="46"/>
      <c r="P895" s="46"/>
      <c r="Q895" s="46"/>
      <c r="R895" s="46"/>
      <c r="S895" s="46"/>
      <c r="T895" s="46"/>
      <c r="U895" s="46"/>
      <c r="V895" s="46"/>
      <c r="W895" s="46"/>
    </row>
    <row r="896">
      <c r="A896" s="55"/>
      <c r="B896" s="205"/>
      <c r="C896" s="55"/>
      <c r="D896" s="205"/>
      <c r="E896" s="172"/>
      <c r="F896" s="212"/>
      <c r="G896" s="172"/>
      <c r="H896" s="205"/>
      <c r="I896" s="149"/>
      <c r="J896" s="46"/>
      <c r="K896" s="46"/>
      <c r="L896" s="46"/>
      <c r="M896" s="46"/>
      <c r="N896" s="46"/>
      <c r="O896" s="46"/>
      <c r="P896" s="46"/>
      <c r="Q896" s="46"/>
      <c r="R896" s="46"/>
      <c r="S896" s="46"/>
      <c r="T896" s="46"/>
      <c r="U896" s="46"/>
      <c r="V896" s="46"/>
      <c r="W896" s="46"/>
    </row>
    <row r="897">
      <c r="A897" s="55"/>
      <c r="B897" s="205"/>
      <c r="C897" s="55"/>
      <c r="D897" s="205"/>
      <c r="E897" s="172"/>
      <c r="F897" s="212"/>
      <c r="G897" s="172"/>
      <c r="H897" s="205"/>
      <c r="I897" s="149"/>
      <c r="J897" s="46"/>
      <c r="K897" s="46"/>
      <c r="L897" s="46"/>
      <c r="M897" s="46"/>
      <c r="N897" s="46"/>
      <c r="O897" s="46"/>
      <c r="P897" s="46"/>
      <c r="Q897" s="46"/>
      <c r="R897" s="46"/>
      <c r="S897" s="46"/>
      <c r="T897" s="46"/>
      <c r="U897" s="46"/>
      <c r="V897" s="46"/>
      <c r="W897" s="46"/>
    </row>
    <row r="898">
      <c r="A898" s="55"/>
      <c r="B898" s="205"/>
      <c r="C898" s="55"/>
      <c r="D898" s="205"/>
      <c r="E898" s="172"/>
      <c r="F898" s="212"/>
      <c r="G898" s="172"/>
      <c r="H898" s="205"/>
      <c r="I898" s="149"/>
      <c r="J898" s="46"/>
      <c r="K898" s="46"/>
      <c r="L898" s="46"/>
      <c r="M898" s="46"/>
      <c r="N898" s="46"/>
      <c r="O898" s="46"/>
      <c r="P898" s="46"/>
      <c r="Q898" s="46"/>
      <c r="R898" s="46"/>
      <c r="S898" s="46"/>
      <c r="T898" s="46"/>
      <c r="U898" s="46"/>
      <c r="V898" s="46"/>
      <c r="W898" s="46"/>
    </row>
    <row r="899">
      <c r="A899" s="55"/>
      <c r="B899" s="205"/>
      <c r="C899" s="55"/>
      <c r="D899" s="205"/>
      <c r="E899" s="172"/>
      <c r="F899" s="212"/>
      <c r="G899" s="172"/>
      <c r="H899" s="205"/>
      <c r="I899" s="149"/>
      <c r="J899" s="46"/>
      <c r="K899" s="46"/>
      <c r="L899" s="46"/>
      <c r="M899" s="46"/>
      <c r="N899" s="46"/>
      <c r="O899" s="46"/>
      <c r="P899" s="46"/>
      <c r="Q899" s="46"/>
      <c r="R899" s="46"/>
      <c r="S899" s="46"/>
      <c r="T899" s="46"/>
      <c r="U899" s="46"/>
      <c r="V899" s="46"/>
      <c r="W899" s="46"/>
    </row>
    <row r="900">
      <c r="A900" s="55"/>
      <c r="B900" s="205"/>
      <c r="C900" s="55"/>
      <c r="D900" s="205"/>
      <c r="E900" s="172"/>
      <c r="F900" s="212"/>
      <c r="G900" s="172"/>
      <c r="H900" s="205"/>
      <c r="I900" s="149"/>
      <c r="J900" s="46"/>
      <c r="K900" s="46"/>
      <c r="L900" s="46"/>
      <c r="M900" s="46"/>
      <c r="N900" s="46"/>
      <c r="O900" s="46"/>
      <c r="P900" s="46"/>
      <c r="Q900" s="46"/>
      <c r="R900" s="46"/>
      <c r="S900" s="46"/>
      <c r="T900" s="46"/>
      <c r="U900" s="46"/>
      <c r="V900" s="46"/>
      <c r="W900" s="46"/>
    </row>
    <row r="901">
      <c r="A901" s="55"/>
      <c r="B901" s="205"/>
      <c r="C901" s="55"/>
      <c r="D901" s="205"/>
      <c r="E901" s="172"/>
      <c r="F901" s="212"/>
      <c r="G901" s="172"/>
      <c r="H901" s="205"/>
      <c r="I901" s="149"/>
      <c r="J901" s="46"/>
      <c r="K901" s="46"/>
      <c r="L901" s="46"/>
      <c r="M901" s="46"/>
      <c r="N901" s="46"/>
      <c r="O901" s="46"/>
      <c r="P901" s="46"/>
      <c r="Q901" s="46"/>
      <c r="R901" s="46"/>
      <c r="S901" s="46"/>
      <c r="T901" s="46"/>
      <c r="U901" s="46"/>
      <c r="V901" s="46"/>
      <c r="W901" s="46"/>
    </row>
    <row r="902">
      <c r="A902" s="55"/>
      <c r="B902" s="205"/>
      <c r="C902" s="55"/>
      <c r="D902" s="205"/>
      <c r="E902" s="172"/>
      <c r="F902" s="212"/>
      <c r="G902" s="172"/>
      <c r="H902" s="205"/>
      <c r="I902" s="149"/>
      <c r="J902" s="46"/>
      <c r="K902" s="46"/>
      <c r="L902" s="46"/>
      <c r="M902" s="46"/>
      <c r="N902" s="46"/>
      <c r="O902" s="46"/>
      <c r="P902" s="46"/>
      <c r="Q902" s="46"/>
      <c r="R902" s="46"/>
      <c r="S902" s="46"/>
      <c r="T902" s="46"/>
      <c r="U902" s="46"/>
      <c r="V902" s="46"/>
      <c r="W902" s="46"/>
    </row>
    <row r="903">
      <c r="A903" s="55"/>
      <c r="B903" s="205"/>
      <c r="C903" s="55"/>
      <c r="D903" s="205"/>
      <c r="E903" s="172"/>
      <c r="F903" s="212"/>
      <c r="G903" s="172"/>
      <c r="H903" s="205"/>
      <c r="I903" s="149"/>
      <c r="J903" s="46"/>
      <c r="K903" s="46"/>
      <c r="L903" s="46"/>
      <c r="M903" s="46"/>
      <c r="N903" s="46"/>
      <c r="O903" s="46"/>
      <c r="P903" s="46"/>
      <c r="Q903" s="46"/>
      <c r="R903" s="46"/>
      <c r="S903" s="46"/>
      <c r="T903" s="46"/>
      <c r="U903" s="46"/>
      <c r="V903" s="46"/>
      <c r="W903" s="46"/>
    </row>
    <row r="904">
      <c r="A904" s="55"/>
      <c r="B904" s="205"/>
      <c r="C904" s="55"/>
      <c r="D904" s="205"/>
      <c r="E904" s="172"/>
      <c r="F904" s="212"/>
      <c r="G904" s="172"/>
      <c r="H904" s="205"/>
      <c r="I904" s="149"/>
      <c r="J904" s="46"/>
      <c r="K904" s="46"/>
      <c r="L904" s="46"/>
      <c r="M904" s="46"/>
      <c r="N904" s="46"/>
      <c r="O904" s="46"/>
      <c r="P904" s="46"/>
      <c r="Q904" s="46"/>
      <c r="R904" s="46"/>
      <c r="S904" s="46"/>
      <c r="T904" s="46"/>
      <c r="U904" s="46"/>
      <c r="V904" s="46"/>
      <c r="W904" s="46"/>
    </row>
    <row r="905">
      <c r="A905" s="55"/>
      <c r="B905" s="205"/>
      <c r="C905" s="55"/>
      <c r="D905" s="205"/>
      <c r="E905" s="172"/>
      <c r="F905" s="212"/>
      <c r="G905" s="172"/>
      <c r="H905" s="205"/>
      <c r="I905" s="149"/>
      <c r="J905" s="46"/>
      <c r="K905" s="46"/>
      <c r="L905" s="46"/>
      <c r="M905" s="46"/>
      <c r="N905" s="46"/>
      <c r="O905" s="46"/>
      <c r="P905" s="46"/>
      <c r="Q905" s="46"/>
      <c r="R905" s="46"/>
      <c r="S905" s="46"/>
      <c r="T905" s="46"/>
      <c r="U905" s="46"/>
      <c r="V905" s="46"/>
      <c r="W905" s="46"/>
    </row>
    <row r="906">
      <c r="A906" s="55"/>
      <c r="B906" s="205"/>
      <c r="C906" s="55"/>
      <c r="D906" s="205"/>
      <c r="E906" s="172"/>
      <c r="F906" s="212"/>
      <c r="G906" s="172"/>
      <c r="H906" s="205"/>
      <c r="I906" s="149"/>
      <c r="J906" s="46"/>
      <c r="K906" s="46"/>
      <c r="L906" s="46"/>
      <c r="M906" s="46"/>
      <c r="N906" s="46"/>
      <c r="O906" s="46"/>
      <c r="P906" s="46"/>
      <c r="Q906" s="46"/>
      <c r="R906" s="46"/>
      <c r="S906" s="46"/>
      <c r="T906" s="46"/>
      <c r="U906" s="46"/>
      <c r="V906" s="46"/>
      <c r="W906" s="46"/>
    </row>
    <row r="907">
      <c r="A907" s="55"/>
      <c r="B907" s="205"/>
      <c r="C907" s="55"/>
      <c r="D907" s="205"/>
      <c r="E907" s="172"/>
      <c r="F907" s="212"/>
      <c r="G907" s="172"/>
      <c r="H907" s="205"/>
      <c r="I907" s="149"/>
      <c r="J907" s="46"/>
      <c r="K907" s="46"/>
      <c r="L907" s="46"/>
      <c r="M907" s="46"/>
      <c r="N907" s="46"/>
      <c r="O907" s="46"/>
      <c r="P907" s="46"/>
      <c r="Q907" s="46"/>
      <c r="R907" s="46"/>
      <c r="S907" s="46"/>
      <c r="T907" s="46"/>
      <c r="U907" s="46"/>
      <c r="V907" s="46"/>
      <c r="W907" s="46"/>
    </row>
    <row r="908">
      <c r="A908" s="55"/>
      <c r="B908" s="205"/>
      <c r="C908" s="55"/>
      <c r="D908" s="205"/>
      <c r="E908" s="172"/>
      <c r="F908" s="212"/>
      <c r="G908" s="172"/>
      <c r="H908" s="205"/>
      <c r="I908" s="149"/>
      <c r="J908" s="46"/>
      <c r="K908" s="46"/>
      <c r="L908" s="46"/>
      <c r="M908" s="46"/>
      <c r="N908" s="46"/>
      <c r="O908" s="46"/>
      <c r="P908" s="46"/>
      <c r="Q908" s="46"/>
      <c r="R908" s="46"/>
      <c r="S908" s="46"/>
      <c r="T908" s="46"/>
      <c r="U908" s="46"/>
      <c r="V908" s="46"/>
      <c r="W908" s="46"/>
    </row>
    <row r="909">
      <c r="A909" s="55"/>
      <c r="B909" s="205"/>
      <c r="C909" s="55"/>
      <c r="D909" s="205"/>
      <c r="E909" s="172"/>
      <c r="F909" s="212"/>
      <c r="G909" s="172"/>
      <c r="H909" s="205"/>
      <c r="I909" s="149"/>
      <c r="J909" s="46"/>
      <c r="K909" s="46"/>
      <c r="L909" s="46"/>
      <c r="M909" s="46"/>
      <c r="N909" s="46"/>
      <c r="O909" s="46"/>
      <c r="P909" s="46"/>
      <c r="Q909" s="46"/>
      <c r="R909" s="46"/>
      <c r="S909" s="46"/>
      <c r="T909" s="46"/>
      <c r="U909" s="46"/>
      <c r="V909" s="46"/>
      <c r="W909" s="46"/>
    </row>
    <row r="910">
      <c r="A910" s="55"/>
      <c r="B910" s="205"/>
      <c r="C910" s="55"/>
      <c r="D910" s="205"/>
      <c r="E910" s="172"/>
      <c r="F910" s="212"/>
      <c r="G910" s="172"/>
      <c r="H910" s="205"/>
      <c r="I910" s="149"/>
      <c r="J910" s="46"/>
      <c r="K910" s="46"/>
      <c r="L910" s="46"/>
      <c r="M910" s="46"/>
      <c r="N910" s="46"/>
      <c r="O910" s="46"/>
      <c r="P910" s="46"/>
      <c r="Q910" s="46"/>
      <c r="R910" s="46"/>
      <c r="S910" s="46"/>
      <c r="T910" s="46"/>
      <c r="U910" s="46"/>
      <c r="V910" s="46"/>
      <c r="W910" s="46"/>
    </row>
    <row r="911">
      <c r="A911" s="55"/>
      <c r="B911" s="205"/>
      <c r="C911" s="55"/>
      <c r="D911" s="205"/>
      <c r="E911" s="172"/>
      <c r="F911" s="212"/>
      <c r="G911" s="172"/>
      <c r="H911" s="205"/>
      <c r="I911" s="149"/>
      <c r="J911" s="46"/>
      <c r="K911" s="46"/>
      <c r="L911" s="46"/>
      <c r="M911" s="46"/>
      <c r="N911" s="46"/>
      <c r="O911" s="46"/>
      <c r="P911" s="46"/>
      <c r="Q911" s="46"/>
      <c r="R911" s="46"/>
      <c r="S911" s="46"/>
      <c r="T911" s="46"/>
      <c r="U911" s="46"/>
      <c r="V911" s="46"/>
      <c r="W911" s="46"/>
    </row>
    <row r="912">
      <c r="A912" s="55"/>
      <c r="B912" s="205"/>
      <c r="C912" s="55"/>
      <c r="D912" s="205"/>
      <c r="E912" s="172"/>
      <c r="F912" s="212"/>
      <c r="G912" s="172"/>
      <c r="H912" s="205"/>
      <c r="I912" s="149"/>
      <c r="J912" s="46"/>
      <c r="K912" s="46"/>
      <c r="L912" s="46"/>
      <c r="M912" s="46"/>
      <c r="N912" s="46"/>
      <c r="O912" s="46"/>
      <c r="P912" s="46"/>
      <c r="Q912" s="46"/>
      <c r="R912" s="46"/>
      <c r="S912" s="46"/>
      <c r="T912" s="46"/>
      <c r="U912" s="46"/>
      <c r="V912" s="46"/>
      <c r="W912" s="46"/>
    </row>
    <row r="913">
      <c r="A913" s="55"/>
      <c r="B913" s="205"/>
      <c r="C913" s="55"/>
      <c r="D913" s="205"/>
      <c r="E913" s="172"/>
      <c r="F913" s="212"/>
      <c r="G913" s="172"/>
      <c r="H913" s="205"/>
      <c r="I913" s="149"/>
      <c r="J913" s="46"/>
      <c r="K913" s="46"/>
      <c r="L913" s="46"/>
      <c r="M913" s="46"/>
      <c r="N913" s="46"/>
      <c r="O913" s="46"/>
      <c r="P913" s="46"/>
      <c r="Q913" s="46"/>
      <c r="R913" s="46"/>
      <c r="S913" s="46"/>
      <c r="T913" s="46"/>
      <c r="U913" s="46"/>
      <c r="V913" s="46"/>
      <c r="W913" s="46"/>
    </row>
    <row r="914">
      <c r="A914" s="55"/>
      <c r="B914" s="205"/>
      <c r="C914" s="55"/>
      <c r="D914" s="205"/>
      <c r="E914" s="172"/>
      <c r="F914" s="212"/>
      <c r="G914" s="172"/>
      <c r="H914" s="205"/>
      <c r="I914" s="149"/>
      <c r="J914" s="46"/>
      <c r="K914" s="46"/>
      <c r="L914" s="46"/>
      <c r="M914" s="46"/>
      <c r="N914" s="46"/>
      <c r="O914" s="46"/>
      <c r="P914" s="46"/>
      <c r="Q914" s="46"/>
      <c r="R914" s="46"/>
      <c r="S914" s="46"/>
      <c r="T914" s="46"/>
      <c r="U914" s="46"/>
      <c r="V914" s="46"/>
      <c r="W914" s="46"/>
    </row>
    <row r="915">
      <c r="A915" s="55"/>
      <c r="B915" s="205"/>
      <c r="C915" s="55"/>
      <c r="D915" s="205"/>
      <c r="E915" s="172"/>
      <c r="F915" s="212"/>
      <c r="G915" s="172"/>
      <c r="H915" s="205"/>
      <c r="I915" s="149"/>
      <c r="J915" s="46"/>
      <c r="K915" s="46"/>
      <c r="L915" s="46"/>
      <c r="M915" s="46"/>
      <c r="N915" s="46"/>
      <c r="O915" s="46"/>
      <c r="P915" s="46"/>
      <c r="Q915" s="46"/>
      <c r="R915" s="46"/>
      <c r="S915" s="46"/>
      <c r="T915" s="46"/>
      <c r="U915" s="46"/>
      <c r="V915" s="46"/>
      <c r="W915" s="46"/>
    </row>
    <row r="916">
      <c r="A916" s="55"/>
      <c r="B916" s="205"/>
      <c r="C916" s="55"/>
      <c r="D916" s="205"/>
      <c r="E916" s="172"/>
      <c r="F916" s="212"/>
      <c r="G916" s="172"/>
      <c r="H916" s="205"/>
      <c r="I916" s="149"/>
      <c r="J916" s="46"/>
      <c r="K916" s="46"/>
      <c r="L916" s="46"/>
      <c r="M916" s="46"/>
      <c r="N916" s="46"/>
      <c r="O916" s="46"/>
      <c r="P916" s="46"/>
      <c r="Q916" s="46"/>
      <c r="R916" s="46"/>
      <c r="S916" s="46"/>
      <c r="T916" s="46"/>
      <c r="U916" s="46"/>
      <c r="V916" s="46"/>
      <c r="W916" s="46"/>
    </row>
    <row r="917">
      <c r="A917" s="55"/>
      <c r="B917" s="205"/>
      <c r="C917" s="55"/>
      <c r="D917" s="205"/>
      <c r="E917" s="172"/>
      <c r="F917" s="212"/>
      <c r="G917" s="172"/>
      <c r="H917" s="205"/>
      <c r="I917" s="149"/>
      <c r="J917" s="46"/>
      <c r="K917" s="46"/>
      <c r="L917" s="46"/>
      <c r="M917" s="46"/>
      <c r="N917" s="46"/>
      <c r="O917" s="46"/>
      <c r="P917" s="46"/>
      <c r="Q917" s="46"/>
      <c r="R917" s="46"/>
      <c r="S917" s="46"/>
      <c r="T917" s="46"/>
      <c r="U917" s="46"/>
      <c r="V917" s="46"/>
      <c r="W917" s="46"/>
    </row>
    <row r="918">
      <c r="A918" s="55"/>
      <c r="B918" s="205"/>
      <c r="C918" s="55"/>
      <c r="D918" s="205"/>
      <c r="E918" s="172"/>
      <c r="F918" s="212"/>
      <c r="G918" s="172"/>
      <c r="H918" s="205"/>
      <c r="I918" s="149"/>
      <c r="J918" s="46"/>
      <c r="K918" s="46"/>
      <c r="L918" s="46"/>
      <c r="M918" s="46"/>
      <c r="N918" s="46"/>
      <c r="O918" s="46"/>
      <c r="P918" s="46"/>
      <c r="Q918" s="46"/>
      <c r="R918" s="46"/>
      <c r="S918" s="46"/>
      <c r="T918" s="46"/>
      <c r="U918" s="46"/>
      <c r="V918" s="46"/>
      <c r="W918" s="46"/>
    </row>
    <row r="919">
      <c r="A919" s="55"/>
      <c r="B919" s="205"/>
      <c r="C919" s="55"/>
      <c r="D919" s="205"/>
      <c r="E919" s="172"/>
      <c r="F919" s="212"/>
      <c r="G919" s="172"/>
      <c r="H919" s="205"/>
      <c r="I919" s="149"/>
      <c r="J919" s="46"/>
      <c r="K919" s="46"/>
      <c r="L919" s="46"/>
      <c r="M919" s="46"/>
      <c r="N919" s="46"/>
      <c r="O919" s="46"/>
      <c r="P919" s="46"/>
      <c r="Q919" s="46"/>
      <c r="R919" s="46"/>
      <c r="S919" s="46"/>
      <c r="T919" s="46"/>
      <c r="U919" s="46"/>
      <c r="V919" s="46"/>
      <c r="W919" s="46"/>
    </row>
    <row r="920">
      <c r="A920" s="55"/>
      <c r="B920" s="205"/>
      <c r="C920" s="55"/>
      <c r="D920" s="205"/>
      <c r="E920" s="172"/>
      <c r="F920" s="212"/>
      <c r="G920" s="172"/>
      <c r="H920" s="205"/>
      <c r="I920" s="149"/>
      <c r="J920" s="46"/>
      <c r="K920" s="46"/>
      <c r="L920" s="46"/>
      <c r="M920" s="46"/>
      <c r="N920" s="46"/>
      <c r="O920" s="46"/>
      <c r="P920" s="46"/>
      <c r="Q920" s="46"/>
      <c r="R920" s="46"/>
      <c r="S920" s="46"/>
      <c r="T920" s="46"/>
      <c r="U920" s="46"/>
      <c r="V920" s="46"/>
      <c r="W920" s="46"/>
    </row>
    <row r="921">
      <c r="A921" s="55"/>
      <c r="B921" s="205"/>
      <c r="C921" s="55"/>
      <c r="D921" s="205"/>
      <c r="E921" s="172"/>
      <c r="F921" s="212"/>
      <c r="G921" s="172"/>
      <c r="H921" s="205"/>
      <c r="I921" s="149"/>
      <c r="J921" s="46"/>
      <c r="K921" s="46"/>
      <c r="L921" s="46"/>
      <c r="M921" s="46"/>
      <c r="N921" s="46"/>
      <c r="O921" s="46"/>
      <c r="P921" s="46"/>
      <c r="Q921" s="46"/>
      <c r="R921" s="46"/>
      <c r="S921" s="46"/>
      <c r="T921" s="46"/>
      <c r="U921" s="46"/>
      <c r="V921" s="46"/>
      <c r="W921" s="46"/>
    </row>
    <row r="922">
      <c r="A922" s="55"/>
      <c r="B922" s="205"/>
      <c r="C922" s="55"/>
      <c r="D922" s="205"/>
      <c r="E922" s="172"/>
      <c r="F922" s="212"/>
      <c r="G922" s="172"/>
      <c r="H922" s="205"/>
      <c r="I922" s="149"/>
      <c r="J922" s="46"/>
      <c r="K922" s="46"/>
      <c r="L922" s="46"/>
      <c r="M922" s="46"/>
      <c r="N922" s="46"/>
      <c r="O922" s="46"/>
      <c r="P922" s="46"/>
      <c r="Q922" s="46"/>
      <c r="R922" s="46"/>
      <c r="S922" s="46"/>
      <c r="T922" s="46"/>
      <c r="U922" s="46"/>
      <c r="V922" s="46"/>
      <c r="W922" s="46"/>
    </row>
    <row r="923">
      <c r="A923" s="55"/>
      <c r="B923" s="205"/>
      <c r="C923" s="55"/>
      <c r="D923" s="205"/>
      <c r="E923" s="172"/>
      <c r="F923" s="212"/>
      <c r="G923" s="172"/>
      <c r="H923" s="205"/>
      <c r="I923" s="149"/>
      <c r="J923" s="46"/>
      <c r="K923" s="46"/>
      <c r="L923" s="46"/>
      <c r="M923" s="46"/>
      <c r="N923" s="46"/>
      <c r="O923" s="46"/>
      <c r="P923" s="46"/>
      <c r="Q923" s="46"/>
      <c r="R923" s="46"/>
      <c r="S923" s="46"/>
      <c r="T923" s="46"/>
      <c r="U923" s="46"/>
      <c r="V923" s="46"/>
      <c r="W923" s="46"/>
    </row>
    <row r="924">
      <c r="A924" s="55"/>
      <c r="B924" s="205"/>
      <c r="C924" s="55"/>
      <c r="D924" s="205"/>
      <c r="E924" s="172"/>
      <c r="F924" s="212"/>
      <c r="G924" s="172"/>
      <c r="H924" s="205"/>
      <c r="I924" s="149"/>
      <c r="J924" s="46"/>
      <c r="K924" s="46"/>
      <c r="L924" s="46"/>
      <c r="M924" s="46"/>
      <c r="N924" s="46"/>
      <c r="O924" s="46"/>
      <c r="P924" s="46"/>
      <c r="Q924" s="46"/>
      <c r="R924" s="46"/>
      <c r="S924" s="46"/>
      <c r="T924" s="46"/>
      <c r="U924" s="46"/>
      <c r="V924" s="46"/>
      <c r="W924" s="46"/>
    </row>
    <row r="925">
      <c r="A925" s="55"/>
      <c r="B925" s="205"/>
      <c r="C925" s="55"/>
      <c r="D925" s="205"/>
      <c r="E925" s="172"/>
      <c r="F925" s="212"/>
      <c r="G925" s="172"/>
      <c r="H925" s="205"/>
      <c r="I925" s="149"/>
      <c r="J925" s="46"/>
      <c r="K925" s="46"/>
      <c r="L925" s="46"/>
      <c r="M925" s="46"/>
      <c r="N925" s="46"/>
      <c r="O925" s="46"/>
      <c r="P925" s="46"/>
      <c r="Q925" s="46"/>
      <c r="R925" s="46"/>
      <c r="S925" s="46"/>
      <c r="T925" s="46"/>
      <c r="U925" s="46"/>
      <c r="V925" s="46"/>
      <c r="W925" s="46"/>
    </row>
    <row r="926">
      <c r="A926" s="55"/>
      <c r="B926" s="205"/>
      <c r="C926" s="55"/>
      <c r="D926" s="205"/>
      <c r="E926" s="172"/>
      <c r="F926" s="212"/>
      <c r="G926" s="172"/>
      <c r="H926" s="205"/>
      <c r="I926" s="149"/>
      <c r="J926" s="46"/>
      <c r="K926" s="46"/>
      <c r="L926" s="46"/>
      <c r="M926" s="46"/>
      <c r="N926" s="46"/>
      <c r="O926" s="46"/>
      <c r="P926" s="46"/>
      <c r="Q926" s="46"/>
      <c r="R926" s="46"/>
      <c r="S926" s="46"/>
      <c r="T926" s="46"/>
      <c r="U926" s="46"/>
      <c r="V926" s="46"/>
      <c r="W926" s="46"/>
    </row>
    <row r="927">
      <c r="A927" s="55"/>
      <c r="B927" s="205"/>
      <c r="C927" s="55"/>
      <c r="D927" s="205"/>
      <c r="E927" s="172"/>
      <c r="F927" s="212"/>
      <c r="G927" s="172"/>
      <c r="H927" s="205"/>
      <c r="I927" s="149"/>
      <c r="J927" s="46"/>
      <c r="K927" s="46"/>
      <c r="L927" s="46"/>
      <c r="M927" s="46"/>
      <c r="N927" s="46"/>
      <c r="O927" s="46"/>
      <c r="P927" s="46"/>
      <c r="Q927" s="46"/>
      <c r="R927" s="46"/>
      <c r="S927" s="46"/>
      <c r="T927" s="46"/>
      <c r="U927" s="46"/>
      <c r="V927" s="46"/>
      <c r="W927" s="46"/>
    </row>
    <row r="928">
      <c r="A928" s="55"/>
      <c r="B928" s="205"/>
      <c r="C928" s="55"/>
      <c r="D928" s="205"/>
      <c r="E928" s="172"/>
      <c r="F928" s="212"/>
      <c r="G928" s="172"/>
      <c r="H928" s="205"/>
      <c r="I928" s="149"/>
      <c r="J928" s="46"/>
      <c r="K928" s="46"/>
      <c r="L928" s="46"/>
      <c r="M928" s="46"/>
      <c r="N928" s="46"/>
      <c r="O928" s="46"/>
      <c r="P928" s="46"/>
      <c r="Q928" s="46"/>
      <c r="R928" s="46"/>
      <c r="S928" s="46"/>
      <c r="T928" s="46"/>
      <c r="U928" s="46"/>
      <c r="V928" s="46"/>
      <c r="W928" s="46"/>
    </row>
    <row r="929">
      <c r="A929" s="55"/>
      <c r="B929" s="205"/>
      <c r="C929" s="55"/>
      <c r="D929" s="205"/>
      <c r="E929" s="172"/>
      <c r="F929" s="212"/>
      <c r="G929" s="172"/>
      <c r="H929" s="205"/>
      <c r="I929" s="149"/>
      <c r="J929" s="46"/>
      <c r="K929" s="46"/>
      <c r="L929" s="46"/>
      <c r="M929" s="46"/>
      <c r="N929" s="46"/>
      <c r="O929" s="46"/>
      <c r="P929" s="46"/>
      <c r="Q929" s="46"/>
      <c r="R929" s="46"/>
      <c r="S929" s="46"/>
      <c r="T929" s="46"/>
      <c r="U929" s="46"/>
      <c r="V929" s="46"/>
      <c r="W929" s="46"/>
    </row>
    <row r="930">
      <c r="A930" s="55"/>
      <c r="B930" s="205"/>
      <c r="C930" s="55"/>
      <c r="D930" s="205"/>
      <c r="E930" s="172"/>
      <c r="F930" s="212"/>
      <c r="G930" s="172"/>
      <c r="H930" s="205"/>
      <c r="I930" s="149"/>
      <c r="J930" s="46"/>
      <c r="K930" s="46"/>
      <c r="L930" s="46"/>
      <c r="M930" s="46"/>
      <c r="N930" s="46"/>
      <c r="O930" s="46"/>
      <c r="P930" s="46"/>
      <c r="Q930" s="46"/>
      <c r="R930" s="46"/>
      <c r="S930" s="46"/>
      <c r="T930" s="46"/>
      <c r="U930" s="46"/>
      <c r="V930" s="46"/>
      <c r="W930" s="46"/>
    </row>
    <row r="931">
      <c r="A931" s="55"/>
      <c r="B931" s="205"/>
      <c r="C931" s="55"/>
      <c r="D931" s="205"/>
      <c r="E931" s="172"/>
      <c r="F931" s="212"/>
      <c r="G931" s="172"/>
      <c r="H931" s="205"/>
      <c r="I931" s="149"/>
      <c r="J931" s="46"/>
      <c r="K931" s="46"/>
      <c r="L931" s="46"/>
      <c r="M931" s="46"/>
      <c r="N931" s="46"/>
      <c r="O931" s="46"/>
      <c r="P931" s="46"/>
      <c r="Q931" s="46"/>
      <c r="R931" s="46"/>
      <c r="S931" s="46"/>
      <c r="T931" s="46"/>
      <c r="U931" s="46"/>
      <c r="V931" s="46"/>
      <c r="W931" s="46"/>
    </row>
    <row r="932">
      <c r="A932" s="55"/>
      <c r="B932" s="205"/>
      <c r="C932" s="55"/>
      <c r="D932" s="205"/>
      <c r="E932" s="172"/>
      <c r="F932" s="212"/>
      <c r="G932" s="172"/>
      <c r="H932" s="205"/>
      <c r="I932" s="149"/>
      <c r="J932" s="46"/>
      <c r="K932" s="46"/>
      <c r="L932" s="46"/>
      <c r="M932" s="46"/>
      <c r="N932" s="46"/>
      <c r="O932" s="46"/>
      <c r="P932" s="46"/>
      <c r="Q932" s="46"/>
      <c r="R932" s="46"/>
      <c r="S932" s="46"/>
      <c r="T932" s="46"/>
      <c r="U932" s="46"/>
      <c r="V932" s="46"/>
      <c r="W932" s="46"/>
    </row>
    <row r="933">
      <c r="A933" s="55"/>
      <c r="B933" s="205"/>
      <c r="C933" s="55"/>
      <c r="D933" s="205"/>
      <c r="E933" s="172"/>
      <c r="F933" s="212"/>
      <c r="G933" s="172"/>
      <c r="H933" s="205"/>
      <c r="I933" s="149"/>
      <c r="J933" s="46"/>
      <c r="K933" s="46"/>
      <c r="L933" s="46"/>
      <c r="M933" s="46"/>
      <c r="N933" s="46"/>
      <c r="O933" s="46"/>
      <c r="P933" s="46"/>
      <c r="Q933" s="46"/>
      <c r="R933" s="46"/>
      <c r="S933" s="46"/>
      <c r="T933" s="46"/>
      <c r="U933" s="46"/>
      <c r="V933" s="46"/>
      <c r="W933" s="46"/>
    </row>
    <row r="934">
      <c r="A934" s="55"/>
      <c r="B934" s="205"/>
      <c r="C934" s="55"/>
      <c r="D934" s="205"/>
      <c r="E934" s="172"/>
      <c r="F934" s="212"/>
      <c r="G934" s="172"/>
      <c r="H934" s="205"/>
      <c r="I934" s="149"/>
      <c r="J934" s="46"/>
      <c r="K934" s="46"/>
      <c r="L934" s="46"/>
      <c r="M934" s="46"/>
      <c r="N934" s="46"/>
      <c r="O934" s="46"/>
      <c r="P934" s="46"/>
      <c r="Q934" s="46"/>
      <c r="R934" s="46"/>
      <c r="S934" s="46"/>
      <c r="T934" s="46"/>
      <c r="U934" s="46"/>
      <c r="V934" s="46"/>
      <c r="W934" s="46"/>
    </row>
    <row r="935">
      <c r="A935" s="55"/>
      <c r="B935" s="205"/>
      <c r="C935" s="55"/>
      <c r="D935" s="205"/>
      <c r="E935" s="172"/>
      <c r="F935" s="212"/>
      <c r="G935" s="172"/>
      <c r="H935" s="205"/>
      <c r="I935" s="149"/>
      <c r="J935" s="46"/>
      <c r="K935" s="46"/>
      <c r="L935" s="46"/>
      <c r="M935" s="46"/>
      <c r="N935" s="46"/>
      <c r="O935" s="46"/>
      <c r="P935" s="46"/>
      <c r="Q935" s="46"/>
      <c r="R935" s="46"/>
      <c r="S935" s="46"/>
      <c r="T935" s="46"/>
      <c r="U935" s="46"/>
      <c r="V935" s="46"/>
      <c r="W935" s="46"/>
    </row>
    <row r="936">
      <c r="A936" s="55"/>
      <c r="B936" s="205"/>
      <c r="C936" s="55"/>
      <c r="D936" s="205"/>
      <c r="E936" s="172"/>
      <c r="F936" s="212"/>
      <c r="G936" s="172"/>
      <c r="H936" s="205"/>
      <c r="I936" s="149"/>
      <c r="J936" s="46"/>
      <c r="K936" s="46"/>
      <c r="L936" s="46"/>
      <c r="M936" s="46"/>
      <c r="N936" s="46"/>
      <c r="O936" s="46"/>
      <c r="P936" s="46"/>
      <c r="Q936" s="46"/>
      <c r="R936" s="46"/>
      <c r="S936" s="46"/>
      <c r="T936" s="46"/>
      <c r="U936" s="46"/>
      <c r="V936" s="46"/>
      <c r="W936" s="46"/>
    </row>
    <row r="937">
      <c r="A937" s="55"/>
      <c r="B937" s="205"/>
      <c r="C937" s="55"/>
      <c r="D937" s="205"/>
      <c r="E937" s="172"/>
      <c r="F937" s="212"/>
      <c r="G937" s="172"/>
      <c r="H937" s="205"/>
      <c r="I937" s="149"/>
      <c r="J937" s="46"/>
      <c r="K937" s="46"/>
      <c r="L937" s="46"/>
      <c r="M937" s="46"/>
      <c r="N937" s="46"/>
      <c r="O937" s="46"/>
      <c r="P937" s="46"/>
      <c r="Q937" s="46"/>
      <c r="R937" s="46"/>
      <c r="S937" s="46"/>
      <c r="T937" s="46"/>
      <c r="U937" s="46"/>
      <c r="V937" s="46"/>
      <c r="W937" s="46"/>
    </row>
    <row r="938">
      <c r="A938" s="55"/>
      <c r="B938" s="205"/>
      <c r="C938" s="55"/>
      <c r="D938" s="205"/>
      <c r="E938" s="172"/>
      <c r="F938" s="212"/>
      <c r="G938" s="172"/>
      <c r="H938" s="205"/>
      <c r="I938" s="149"/>
      <c r="J938" s="46"/>
      <c r="K938" s="46"/>
      <c r="L938" s="46"/>
      <c r="M938" s="46"/>
      <c r="N938" s="46"/>
      <c r="O938" s="46"/>
      <c r="P938" s="46"/>
      <c r="Q938" s="46"/>
      <c r="R938" s="46"/>
      <c r="S938" s="46"/>
      <c r="T938" s="46"/>
      <c r="U938" s="46"/>
      <c r="V938" s="46"/>
      <c r="W938" s="46"/>
    </row>
    <row r="939">
      <c r="A939" s="55"/>
      <c r="B939" s="205"/>
      <c r="C939" s="55"/>
      <c r="D939" s="205"/>
      <c r="E939" s="172"/>
      <c r="F939" s="212"/>
      <c r="G939" s="172"/>
      <c r="H939" s="205"/>
      <c r="I939" s="149"/>
      <c r="J939" s="46"/>
      <c r="K939" s="46"/>
      <c r="L939" s="46"/>
      <c r="M939" s="46"/>
      <c r="N939" s="46"/>
      <c r="O939" s="46"/>
      <c r="P939" s="46"/>
      <c r="Q939" s="46"/>
      <c r="R939" s="46"/>
      <c r="S939" s="46"/>
      <c r="T939" s="46"/>
      <c r="U939" s="46"/>
      <c r="V939" s="46"/>
      <c r="W939" s="46"/>
    </row>
    <row r="940">
      <c r="A940" s="55"/>
      <c r="B940" s="205"/>
      <c r="C940" s="55"/>
      <c r="D940" s="205"/>
      <c r="E940" s="172"/>
      <c r="F940" s="212"/>
      <c r="G940" s="172"/>
      <c r="H940" s="205"/>
      <c r="I940" s="149"/>
      <c r="J940" s="46"/>
      <c r="K940" s="46"/>
      <c r="L940" s="46"/>
      <c r="M940" s="46"/>
      <c r="N940" s="46"/>
      <c r="O940" s="46"/>
      <c r="P940" s="46"/>
      <c r="Q940" s="46"/>
      <c r="R940" s="46"/>
      <c r="S940" s="46"/>
      <c r="T940" s="46"/>
      <c r="U940" s="46"/>
      <c r="V940" s="46"/>
      <c r="W940" s="46"/>
    </row>
    <row r="941">
      <c r="A941" s="55"/>
      <c r="B941" s="205"/>
      <c r="C941" s="55"/>
      <c r="D941" s="205"/>
      <c r="E941" s="172"/>
      <c r="F941" s="212"/>
      <c r="G941" s="172"/>
      <c r="H941" s="205"/>
      <c r="I941" s="149"/>
      <c r="J941" s="46"/>
      <c r="K941" s="46"/>
      <c r="L941" s="46"/>
      <c r="M941" s="46"/>
      <c r="N941" s="46"/>
      <c r="O941" s="46"/>
      <c r="P941" s="46"/>
      <c r="Q941" s="46"/>
      <c r="R941" s="46"/>
      <c r="S941" s="46"/>
      <c r="T941" s="46"/>
      <c r="U941" s="46"/>
      <c r="V941" s="46"/>
      <c r="W941" s="46"/>
    </row>
    <row r="942">
      <c r="A942" s="55"/>
      <c r="B942" s="205"/>
      <c r="C942" s="55"/>
      <c r="D942" s="205"/>
      <c r="E942" s="172"/>
      <c r="F942" s="212"/>
      <c r="G942" s="172"/>
      <c r="H942" s="205"/>
      <c r="I942" s="149"/>
      <c r="J942" s="46"/>
      <c r="K942" s="46"/>
      <c r="L942" s="46"/>
      <c r="M942" s="46"/>
      <c r="N942" s="46"/>
      <c r="O942" s="46"/>
      <c r="P942" s="46"/>
      <c r="Q942" s="46"/>
      <c r="R942" s="46"/>
      <c r="S942" s="46"/>
      <c r="T942" s="46"/>
      <c r="U942" s="46"/>
      <c r="V942" s="46"/>
      <c r="W942" s="46"/>
    </row>
    <row r="943">
      <c r="A943" s="55"/>
      <c r="B943" s="205"/>
      <c r="C943" s="55"/>
      <c r="D943" s="205"/>
      <c r="E943" s="172"/>
      <c r="F943" s="212"/>
      <c r="G943" s="172"/>
      <c r="H943" s="205"/>
      <c r="I943" s="149"/>
      <c r="J943" s="46"/>
      <c r="K943" s="46"/>
      <c r="L943" s="46"/>
      <c r="M943" s="46"/>
      <c r="N943" s="46"/>
      <c r="O943" s="46"/>
      <c r="P943" s="46"/>
      <c r="Q943" s="46"/>
      <c r="R943" s="46"/>
      <c r="S943" s="46"/>
      <c r="T943" s="46"/>
      <c r="U943" s="46"/>
      <c r="V943" s="46"/>
      <c r="W943" s="46"/>
    </row>
    <row r="944">
      <c r="A944" s="55"/>
      <c r="B944" s="205"/>
      <c r="C944" s="55"/>
      <c r="D944" s="205"/>
      <c r="E944" s="172"/>
      <c r="F944" s="212"/>
      <c r="G944" s="172"/>
      <c r="H944" s="205"/>
      <c r="I944" s="149"/>
      <c r="J944" s="46"/>
      <c r="K944" s="46"/>
      <c r="L944" s="46"/>
      <c r="M944" s="46"/>
      <c r="N944" s="46"/>
      <c r="O944" s="46"/>
      <c r="P944" s="46"/>
      <c r="Q944" s="46"/>
      <c r="R944" s="46"/>
      <c r="S944" s="46"/>
      <c r="T944" s="46"/>
      <c r="U944" s="46"/>
      <c r="V944" s="46"/>
      <c r="W944" s="46"/>
    </row>
    <row r="945">
      <c r="A945" s="55"/>
      <c r="B945" s="205"/>
      <c r="C945" s="55"/>
      <c r="D945" s="205"/>
      <c r="E945" s="172"/>
      <c r="F945" s="212"/>
      <c r="G945" s="172"/>
      <c r="H945" s="205"/>
      <c r="I945" s="149"/>
      <c r="J945" s="46"/>
      <c r="K945" s="46"/>
      <c r="L945" s="46"/>
      <c r="M945" s="46"/>
      <c r="N945" s="46"/>
      <c r="O945" s="46"/>
      <c r="P945" s="46"/>
      <c r="Q945" s="46"/>
      <c r="R945" s="46"/>
      <c r="S945" s="46"/>
      <c r="T945" s="46"/>
      <c r="U945" s="46"/>
      <c r="V945" s="46"/>
      <c r="W945" s="46"/>
    </row>
    <row r="946">
      <c r="A946" s="55"/>
      <c r="B946" s="205"/>
      <c r="C946" s="55"/>
      <c r="D946" s="205"/>
      <c r="E946" s="172"/>
      <c r="F946" s="212"/>
      <c r="G946" s="172"/>
      <c r="H946" s="205"/>
      <c r="I946" s="149"/>
      <c r="J946" s="46"/>
      <c r="K946" s="46"/>
      <c r="L946" s="46"/>
      <c r="M946" s="46"/>
      <c r="N946" s="46"/>
      <c r="O946" s="46"/>
      <c r="P946" s="46"/>
      <c r="Q946" s="46"/>
      <c r="R946" s="46"/>
      <c r="S946" s="46"/>
      <c r="T946" s="46"/>
      <c r="U946" s="46"/>
      <c r="V946" s="46"/>
      <c r="W946" s="46"/>
    </row>
    <row r="947">
      <c r="A947" s="55"/>
      <c r="B947" s="205"/>
      <c r="C947" s="55"/>
      <c r="D947" s="205"/>
      <c r="E947" s="172"/>
      <c r="F947" s="212"/>
      <c r="G947" s="172"/>
      <c r="H947" s="205"/>
      <c r="I947" s="149"/>
      <c r="J947" s="46"/>
      <c r="K947" s="46"/>
      <c r="L947" s="46"/>
      <c r="M947" s="46"/>
      <c r="N947" s="46"/>
      <c r="O947" s="46"/>
      <c r="P947" s="46"/>
      <c r="Q947" s="46"/>
      <c r="R947" s="46"/>
      <c r="S947" s="46"/>
      <c r="T947" s="46"/>
      <c r="U947" s="46"/>
      <c r="V947" s="46"/>
      <c r="W947" s="46"/>
    </row>
    <row r="948">
      <c r="A948" s="55"/>
      <c r="B948" s="205"/>
      <c r="C948" s="55"/>
      <c r="D948" s="205"/>
      <c r="E948" s="172"/>
      <c r="F948" s="212"/>
      <c r="G948" s="172"/>
      <c r="H948" s="205"/>
      <c r="I948" s="149"/>
      <c r="J948" s="46"/>
      <c r="K948" s="46"/>
      <c r="L948" s="46"/>
      <c r="M948" s="46"/>
      <c r="N948" s="46"/>
      <c r="O948" s="46"/>
      <c r="P948" s="46"/>
      <c r="Q948" s="46"/>
      <c r="R948" s="46"/>
      <c r="S948" s="46"/>
      <c r="T948" s="46"/>
      <c r="U948" s="46"/>
      <c r="V948" s="46"/>
      <c r="W948" s="46"/>
    </row>
    <row r="949">
      <c r="A949" s="55"/>
      <c r="B949" s="205"/>
      <c r="C949" s="55"/>
      <c r="D949" s="205"/>
      <c r="E949" s="172"/>
      <c r="F949" s="212"/>
      <c r="G949" s="172"/>
      <c r="H949" s="205"/>
      <c r="I949" s="149"/>
      <c r="J949" s="46"/>
      <c r="K949" s="46"/>
      <c r="L949" s="46"/>
      <c r="M949" s="46"/>
      <c r="N949" s="46"/>
      <c r="O949" s="46"/>
      <c r="P949" s="46"/>
      <c r="Q949" s="46"/>
      <c r="R949" s="46"/>
      <c r="S949" s="46"/>
      <c r="T949" s="46"/>
      <c r="U949" s="46"/>
      <c r="V949" s="46"/>
      <c r="W949" s="46"/>
    </row>
    <row r="950">
      <c r="A950" s="55"/>
      <c r="B950" s="205"/>
      <c r="C950" s="55"/>
      <c r="D950" s="205"/>
      <c r="E950" s="172"/>
      <c r="F950" s="212"/>
      <c r="G950" s="172"/>
      <c r="H950" s="205"/>
      <c r="I950" s="149"/>
      <c r="J950" s="46"/>
      <c r="K950" s="46"/>
      <c r="L950" s="46"/>
      <c r="M950" s="46"/>
      <c r="N950" s="46"/>
      <c r="O950" s="46"/>
      <c r="P950" s="46"/>
      <c r="Q950" s="46"/>
      <c r="R950" s="46"/>
      <c r="S950" s="46"/>
      <c r="T950" s="46"/>
      <c r="U950" s="46"/>
      <c r="V950" s="46"/>
      <c r="W950" s="46"/>
    </row>
    <row r="951">
      <c r="A951" s="55"/>
      <c r="B951" s="205"/>
      <c r="C951" s="55"/>
      <c r="D951" s="205"/>
      <c r="E951" s="172"/>
      <c r="F951" s="212"/>
      <c r="G951" s="172"/>
      <c r="H951" s="205"/>
      <c r="I951" s="149"/>
      <c r="J951" s="46"/>
      <c r="K951" s="46"/>
      <c r="L951" s="46"/>
      <c r="M951" s="46"/>
      <c r="N951" s="46"/>
      <c r="O951" s="46"/>
      <c r="P951" s="46"/>
      <c r="Q951" s="46"/>
      <c r="R951" s="46"/>
      <c r="S951" s="46"/>
      <c r="T951" s="46"/>
      <c r="U951" s="46"/>
      <c r="V951" s="46"/>
      <c r="W951" s="46"/>
    </row>
    <row r="952">
      <c r="A952" s="55"/>
      <c r="B952" s="205"/>
      <c r="C952" s="55"/>
      <c r="D952" s="205"/>
      <c r="E952" s="172"/>
      <c r="F952" s="212"/>
      <c r="G952" s="172"/>
      <c r="H952" s="205"/>
      <c r="I952" s="149"/>
      <c r="J952" s="46"/>
      <c r="K952" s="46"/>
      <c r="L952" s="46"/>
      <c r="M952" s="46"/>
      <c r="N952" s="46"/>
      <c r="O952" s="46"/>
      <c r="P952" s="46"/>
      <c r="Q952" s="46"/>
      <c r="R952" s="46"/>
      <c r="S952" s="46"/>
      <c r="T952" s="46"/>
      <c r="U952" s="46"/>
      <c r="V952" s="46"/>
      <c r="W952" s="46"/>
    </row>
    <row r="953">
      <c r="A953" s="55"/>
      <c r="B953" s="205"/>
      <c r="C953" s="55"/>
      <c r="D953" s="205"/>
      <c r="E953" s="172"/>
      <c r="F953" s="212"/>
      <c r="G953" s="172"/>
      <c r="H953" s="205"/>
      <c r="I953" s="149"/>
      <c r="J953" s="46"/>
      <c r="K953" s="46"/>
      <c r="L953" s="46"/>
      <c r="M953" s="46"/>
      <c r="N953" s="46"/>
      <c r="O953" s="46"/>
      <c r="P953" s="46"/>
      <c r="Q953" s="46"/>
      <c r="R953" s="46"/>
      <c r="S953" s="46"/>
      <c r="T953" s="46"/>
      <c r="U953" s="46"/>
      <c r="V953" s="46"/>
      <c r="W953" s="46"/>
    </row>
    <row r="954">
      <c r="A954" s="55"/>
      <c r="B954" s="205"/>
      <c r="C954" s="55"/>
      <c r="D954" s="205"/>
      <c r="E954" s="172"/>
      <c r="F954" s="212"/>
      <c r="G954" s="172"/>
      <c r="H954" s="205"/>
      <c r="I954" s="149"/>
      <c r="J954" s="46"/>
      <c r="K954" s="46"/>
      <c r="L954" s="46"/>
      <c r="M954" s="46"/>
      <c r="N954" s="46"/>
      <c r="O954" s="46"/>
      <c r="P954" s="46"/>
      <c r="Q954" s="46"/>
      <c r="R954" s="46"/>
      <c r="S954" s="46"/>
      <c r="T954" s="46"/>
      <c r="U954" s="46"/>
      <c r="V954" s="46"/>
      <c r="W954" s="46"/>
    </row>
    <row r="955">
      <c r="A955" s="55"/>
      <c r="B955" s="205"/>
      <c r="C955" s="55"/>
      <c r="D955" s="205"/>
      <c r="E955" s="172"/>
      <c r="F955" s="212"/>
      <c r="G955" s="172"/>
      <c r="H955" s="205"/>
      <c r="I955" s="149"/>
      <c r="J955" s="46"/>
      <c r="K955" s="46"/>
      <c r="L955" s="46"/>
      <c r="M955" s="46"/>
      <c r="N955" s="46"/>
      <c r="O955" s="46"/>
      <c r="P955" s="46"/>
      <c r="Q955" s="46"/>
      <c r="R955" s="46"/>
      <c r="S955" s="46"/>
      <c r="T955" s="46"/>
      <c r="U955" s="46"/>
      <c r="V955" s="46"/>
      <c r="W955" s="46"/>
    </row>
    <row r="956">
      <c r="A956" s="55"/>
      <c r="B956" s="205"/>
      <c r="C956" s="55"/>
      <c r="D956" s="205"/>
      <c r="E956" s="172"/>
      <c r="F956" s="212"/>
      <c r="G956" s="172"/>
      <c r="H956" s="205"/>
      <c r="I956" s="149"/>
      <c r="J956" s="46"/>
      <c r="K956" s="46"/>
      <c r="L956" s="46"/>
      <c r="M956" s="46"/>
      <c r="N956" s="46"/>
      <c r="O956" s="46"/>
      <c r="P956" s="46"/>
      <c r="Q956" s="46"/>
      <c r="R956" s="46"/>
      <c r="S956" s="46"/>
      <c r="T956" s="46"/>
      <c r="U956" s="46"/>
      <c r="V956" s="46"/>
      <c r="W956" s="46"/>
    </row>
    <row r="957">
      <c r="A957" s="55"/>
      <c r="B957" s="205"/>
      <c r="C957" s="55"/>
      <c r="D957" s="205"/>
      <c r="E957" s="172"/>
      <c r="F957" s="212"/>
      <c r="G957" s="172"/>
      <c r="H957" s="205"/>
      <c r="I957" s="149"/>
      <c r="J957" s="46"/>
      <c r="K957" s="46"/>
      <c r="L957" s="46"/>
      <c r="M957" s="46"/>
      <c r="N957" s="46"/>
      <c r="O957" s="46"/>
      <c r="P957" s="46"/>
      <c r="Q957" s="46"/>
      <c r="R957" s="46"/>
      <c r="S957" s="46"/>
      <c r="T957" s="46"/>
      <c r="U957" s="46"/>
      <c r="V957" s="46"/>
      <c r="W957" s="46"/>
    </row>
    <row r="958">
      <c r="A958" s="55"/>
      <c r="B958" s="205"/>
      <c r="C958" s="55"/>
      <c r="D958" s="205"/>
      <c r="E958" s="172"/>
      <c r="F958" s="212"/>
      <c r="G958" s="172"/>
      <c r="H958" s="205"/>
      <c r="I958" s="149"/>
      <c r="J958" s="46"/>
      <c r="K958" s="46"/>
      <c r="L958" s="46"/>
      <c r="M958" s="46"/>
      <c r="N958" s="46"/>
      <c r="O958" s="46"/>
      <c r="P958" s="46"/>
      <c r="Q958" s="46"/>
      <c r="R958" s="46"/>
      <c r="S958" s="46"/>
      <c r="T958" s="46"/>
      <c r="U958" s="46"/>
      <c r="V958" s="46"/>
      <c r="W958" s="46"/>
    </row>
    <row r="959">
      <c r="A959" s="55"/>
      <c r="B959" s="205"/>
      <c r="C959" s="55"/>
      <c r="D959" s="205"/>
      <c r="E959" s="172"/>
      <c r="F959" s="212"/>
      <c r="G959" s="172"/>
      <c r="H959" s="205"/>
      <c r="I959" s="149"/>
      <c r="J959" s="46"/>
      <c r="K959" s="46"/>
      <c r="L959" s="46"/>
      <c r="M959" s="46"/>
      <c r="N959" s="46"/>
      <c r="O959" s="46"/>
      <c r="P959" s="46"/>
      <c r="Q959" s="46"/>
      <c r="R959" s="46"/>
      <c r="S959" s="46"/>
      <c r="T959" s="46"/>
      <c r="U959" s="46"/>
      <c r="V959" s="46"/>
      <c r="W959" s="46"/>
    </row>
    <row r="960">
      <c r="A960" s="55"/>
      <c r="B960" s="205"/>
      <c r="C960" s="55"/>
      <c r="D960" s="205"/>
      <c r="E960" s="172"/>
      <c r="F960" s="212"/>
      <c r="G960" s="172"/>
      <c r="H960" s="205"/>
      <c r="I960" s="149"/>
      <c r="J960" s="46"/>
      <c r="K960" s="46"/>
      <c r="L960" s="46"/>
      <c r="M960" s="46"/>
      <c r="N960" s="46"/>
      <c r="O960" s="46"/>
      <c r="P960" s="46"/>
      <c r="Q960" s="46"/>
      <c r="R960" s="46"/>
      <c r="S960" s="46"/>
      <c r="T960" s="46"/>
      <c r="U960" s="46"/>
      <c r="V960" s="46"/>
      <c r="W960" s="46"/>
    </row>
    <row r="961">
      <c r="A961" s="55"/>
      <c r="B961" s="205"/>
      <c r="C961" s="55"/>
      <c r="D961" s="205"/>
      <c r="E961" s="172"/>
      <c r="F961" s="212"/>
      <c r="G961" s="172"/>
      <c r="H961" s="205"/>
      <c r="I961" s="149"/>
      <c r="J961" s="46"/>
      <c r="K961" s="46"/>
      <c r="L961" s="46"/>
      <c r="M961" s="46"/>
      <c r="N961" s="46"/>
      <c r="O961" s="46"/>
      <c r="P961" s="46"/>
      <c r="Q961" s="46"/>
      <c r="R961" s="46"/>
      <c r="S961" s="46"/>
      <c r="T961" s="46"/>
      <c r="U961" s="46"/>
      <c r="V961" s="46"/>
      <c r="W961" s="46"/>
    </row>
    <row r="962">
      <c r="A962" s="55"/>
      <c r="B962" s="205"/>
      <c r="C962" s="55"/>
      <c r="D962" s="205"/>
      <c r="E962" s="172"/>
      <c r="F962" s="212"/>
      <c r="G962" s="172"/>
      <c r="H962" s="205"/>
      <c r="I962" s="149"/>
      <c r="J962" s="46"/>
      <c r="K962" s="46"/>
      <c r="L962" s="46"/>
      <c r="M962" s="46"/>
      <c r="N962" s="46"/>
      <c r="O962" s="46"/>
      <c r="P962" s="46"/>
      <c r="Q962" s="46"/>
      <c r="R962" s="46"/>
      <c r="S962" s="46"/>
      <c r="T962" s="46"/>
      <c r="U962" s="46"/>
      <c r="V962" s="46"/>
      <c r="W962" s="46"/>
    </row>
    <row r="963">
      <c r="A963" s="55"/>
      <c r="B963" s="205"/>
      <c r="C963" s="55"/>
      <c r="D963" s="205"/>
      <c r="E963" s="172"/>
      <c r="F963" s="212"/>
      <c r="G963" s="172"/>
      <c r="H963" s="205"/>
      <c r="I963" s="149"/>
      <c r="J963" s="46"/>
      <c r="K963" s="46"/>
      <c r="L963" s="46"/>
      <c r="M963" s="46"/>
      <c r="N963" s="46"/>
      <c r="O963" s="46"/>
      <c r="P963" s="46"/>
      <c r="Q963" s="46"/>
      <c r="R963" s="46"/>
      <c r="S963" s="46"/>
      <c r="T963" s="46"/>
      <c r="U963" s="46"/>
      <c r="V963" s="46"/>
      <c r="W963" s="46"/>
    </row>
    <row r="964">
      <c r="A964" s="55"/>
      <c r="B964" s="205"/>
      <c r="C964" s="55"/>
      <c r="D964" s="205"/>
      <c r="E964" s="172"/>
      <c r="F964" s="212"/>
      <c r="G964" s="172"/>
      <c r="H964" s="205"/>
      <c r="I964" s="149"/>
      <c r="J964" s="46"/>
      <c r="K964" s="46"/>
      <c r="L964" s="46"/>
      <c r="M964" s="46"/>
      <c r="N964" s="46"/>
      <c r="O964" s="46"/>
      <c r="P964" s="46"/>
      <c r="Q964" s="46"/>
      <c r="R964" s="46"/>
      <c r="S964" s="46"/>
      <c r="T964" s="46"/>
      <c r="U964" s="46"/>
      <c r="V964" s="46"/>
      <c r="W964" s="46"/>
    </row>
    <row r="965">
      <c r="A965" s="55"/>
      <c r="B965" s="205"/>
      <c r="C965" s="55"/>
      <c r="D965" s="205"/>
      <c r="E965" s="172"/>
      <c r="F965" s="212"/>
      <c r="G965" s="172"/>
      <c r="H965" s="205"/>
      <c r="I965" s="149"/>
      <c r="J965" s="46"/>
      <c r="K965" s="46"/>
      <c r="L965" s="46"/>
      <c r="M965" s="46"/>
      <c r="N965" s="46"/>
      <c r="O965" s="46"/>
      <c r="P965" s="46"/>
      <c r="Q965" s="46"/>
      <c r="R965" s="46"/>
      <c r="S965" s="46"/>
      <c r="T965" s="46"/>
      <c r="U965" s="46"/>
      <c r="V965" s="46"/>
      <c r="W965" s="46"/>
    </row>
    <row r="966">
      <c r="A966" s="55"/>
      <c r="B966" s="205"/>
      <c r="C966" s="55"/>
      <c r="D966" s="205"/>
      <c r="E966" s="172"/>
      <c r="F966" s="212"/>
      <c r="G966" s="172"/>
      <c r="H966" s="205"/>
      <c r="I966" s="149"/>
      <c r="J966" s="46"/>
      <c r="K966" s="46"/>
      <c r="L966" s="46"/>
      <c r="M966" s="46"/>
      <c r="N966" s="46"/>
      <c r="O966" s="46"/>
      <c r="P966" s="46"/>
      <c r="Q966" s="46"/>
      <c r="R966" s="46"/>
      <c r="S966" s="46"/>
      <c r="T966" s="46"/>
      <c r="U966" s="46"/>
      <c r="V966" s="46"/>
      <c r="W966" s="46"/>
    </row>
    <row r="967">
      <c r="A967" s="55"/>
      <c r="B967" s="205"/>
      <c r="C967" s="55"/>
      <c r="D967" s="205"/>
      <c r="E967" s="172"/>
      <c r="F967" s="212"/>
      <c r="G967" s="172"/>
      <c r="H967" s="205"/>
      <c r="I967" s="149"/>
      <c r="J967" s="46"/>
      <c r="K967" s="46"/>
      <c r="L967" s="46"/>
      <c r="M967" s="46"/>
      <c r="N967" s="46"/>
      <c r="O967" s="46"/>
      <c r="P967" s="46"/>
      <c r="Q967" s="46"/>
      <c r="R967" s="46"/>
      <c r="S967" s="46"/>
      <c r="T967" s="46"/>
      <c r="U967" s="46"/>
      <c r="V967" s="46"/>
      <c r="W967" s="46"/>
    </row>
    <row r="968">
      <c r="A968" s="55"/>
      <c r="B968" s="205"/>
      <c r="C968" s="55"/>
      <c r="D968" s="205"/>
      <c r="E968" s="172"/>
      <c r="F968" s="212"/>
      <c r="G968" s="172"/>
      <c r="H968" s="205"/>
      <c r="I968" s="149"/>
      <c r="J968" s="46"/>
      <c r="K968" s="46"/>
      <c r="L968" s="46"/>
      <c r="M968" s="46"/>
      <c r="N968" s="46"/>
      <c r="O968" s="46"/>
      <c r="P968" s="46"/>
      <c r="Q968" s="46"/>
      <c r="R968" s="46"/>
      <c r="S968" s="46"/>
      <c r="T968" s="46"/>
      <c r="U968" s="46"/>
      <c r="V968" s="46"/>
      <c r="W968" s="46"/>
    </row>
    <row r="969">
      <c r="A969" s="55"/>
      <c r="B969" s="205"/>
      <c r="C969" s="55"/>
      <c r="D969" s="205"/>
      <c r="E969" s="172"/>
      <c r="F969" s="212"/>
      <c r="G969" s="172"/>
      <c r="H969" s="205"/>
      <c r="I969" s="149"/>
      <c r="J969" s="46"/>
      <c r="K969" s="46"/>
      <c r="L969" s="46"/>
      <c r="M969" s="46"/>
      <c r="N969" s="46"/>
      <c r="O969" s="46"/>
      <c r="P969" s="46"/>
      <c r="Q969" s="46"/>
      <c r="R969" s="46"/>
      <c r="S969" s="46"/>
      <c r="T969" s="46"/>
      <c r="U969" s="46"/>
      <c r="V969" s="46"/>
      <c r="W969" s="46"/>
    </row>
    <row r="970">
      <c r="A970" s="55"/>
      <c r="B970" s="205"/>
      <c r="C970" s="55"/>
      <c r="D970" s="205"/>
      <c r="E970" s="172"/>
      <c r="F970" s="212"/>
      <c r="G970" s="172"/>
      <c r="H970" s="205"/>
      <c r="I970" s="149"/>
      <c r="J970" s="46"/>
      <c r="K970" s="46"/>
      <c r="L970" s="46"/>
      <c r="M970" s="46"/>
      <c r="N970" s="46"/>
      <c r="O970" s="46"/>
      <c r="P970" s="46"/>
      <c r="Q970" s="46"/>
      <c r="R970" s="46"/>
      <c r="S970" s="46"/>
      <c r="T970" s="46"/>
      <c r="U970" s="46"/>
      <c r="V970" s="46"/>
      <c r="W970" s="46"/>
    </row>
    <row r="971">
      <c r="A971" s="55"/>
      <c r="B971" s="205"/>
      <c r="C971" s="55"/>
      <c r="D971" s="205"/>
      <c r="E971" s="172"/>
      <c r="F971" s="212"/>
      <c r="G971" s="172"/>
      <c r="H971" s="205"/>
      <c r="I971" s="149"/>
      <c r="J971" s="46"/>
      <c r="K971" s="46"/>
      <c r="L971" s="46"/>
      <c r="M971" s="46"/>
      <c r="N971" s="46"/>
      <c r="O971" s="46"/>
      <c r="P971" s="46"/>
      <c r="Q971" s="46"/>
      <c r="R971" s="46"/>
      <c r="S971" s="46"/>
      <c r="T971" s="46"/>
      <c r="U971" s="46"/>
      <c r="V971" s="46"/>
      <c r="W971" s="46"/>
    </row>
    <row r="972">
      <c r="A972" s="55"/>
      <c r="B972" s="205"/>
      <c r="C972" s="55"/>
      <c r="D972" s="205"/>
      <c r="E972" s="172"/>
      <c r="F972" s="212"/>
      <c r="G972" s="172"/>
      <c r="H972" s="205"/>
      <c r="I972" s="149"/>
      <c r="J972" s="46"/>
      <c r="K972" s="46"/>
      <c r="L972" s="46"/>
      <c r="M972" s="46"/>
      <c r="N972" s="46"/>
      <c r="O972" s="46"/>
      <c r="P972" s="46"/>
      <c r="Q972" s="46"/>
      <c r="R972" s="46"/>
      <c r="S972" s="46"/>
      <c r="T972" s="46"/>
      <c r="U972" s="46"/>
      <c r="V972" s="46"/>
      <c r="W972" s="46"/>
    </row>
    <row r="973">
      <c r="A973" s="55"/>
      <c r="B973" s="205"/>
      <c r="C973" s="55"/>
      <c r="D973" s="205"/>
      <c r="E973" s="172"/>
      <c r="F973" s="212"/>
      <c r="G973" s="172"/>
      <c r="H973" s="205"/>
      <c r="I973" s="149"/>
      <c r="J973" s="46"/>
      <c r="K973" s="46"/>
      <c r="L973" s="46"/>
      <c r="M973" s="46"/>
      <c r="N973" s="46"/>
      <c r="O973" s="46"/>
      <c r="P973" s="46"/>
      <c r="Q973" s="46"/>
      <c r="R973" s="46"/>
      <c r="S973" s="46"/>
      <c r="T973" s="46"/>
      <c r="U973" s="46"/>
      <c r="V973" s="46"/>
      <c r="W973" s="46"/>
    </row>
    <row r="974">
      <c r="A974" s="55"/>
      <c r="B974" s="205"/>
      <c r="C974" s="55"/>
      <c r="D974" s="205"/>
      <c r="E974" s="172"/>
      <c r="F974" s="212"/>
      <c r="G974" s="172"/>
      <c r="H974" s="205"/>
      <c r="I974" s="149"/>
      <c r="J974" s="46"/>
      <c r="K974" s="46"/>
      <c r="L974" s="46"/>
      <c r="M974" s="46"/>
      <c r="N974" s="46"/>
      <c r="O974" s="46"/>
      <c r="P974" s="46"/>
      <c r="Q974" s="46"/>
      <c r="R974" s="46"/>
      <c r="S974" s="46"/>
      <c r="T974" s="46"/>
      <c r="U974" s="46"/>
      <c r="V974" s="46"/>
      <c r="W974" s="46"/>
    </row>
    <row r="975">
      <c r="A975" s="55"/>
      <c r="B975" s="205"/>
      <c r="C975" s="55"/>
      <c r="D975" s="205"/>
      <c r="E975" s="172"/>
      <c r="F975" s="212"/>
      <c r="G975" s="172"/>
      <c r="H975" s="205"/>
      <c r="I975" s="149"/>
      <c r="J975" s="46"/>
      <c r="K975" s="46"/>
      <c r="L975" s="46"/>
      <c r="M975" s="46"/>
      <c r="N975" s="46"/>
      <c r="O975" s="46"/>
      <c r="P975" s="46"/>
      <c r="Q975" s="46"/>
      <c r="R975" s="46"/>
      <c r="S975" s="46"/>
      <c r="T975" s="46"/>
      <c r="U975" s="46"/>
      <c r="V975" s="46"/>
      <c r="W975" s="46"/>
    </row>
    <row r="976">
      <c r="A976" s="55"/>
      <c r="B976" s="205"/>
      <c r="C976" s="55"/>
      <c r="D976" s="205"/>
      <c r="E976" s="172"/>
      <c r="F976" s="212"/>
      <c r="G976" s="172"/>
      <c r="H976" s="205"/>
      <c r="I976" s="149"/>
      <c r="J976" s="46"/>
      <c r="K976" s="46"/>
      <c r="L976" s="46"/>
      <c r="M976" s="46"/>
      <c r="N976" s="46"/>
      <c r="O976" s="46"/>
      <c r="P976" s="46"/>
      <c r="Q976" s="46"/>
      <c r="R976" s="46"/>
      <c r="S976" s="46"/>
      <c r="T976" s="46"/>
      <c r="U976" s="46"/>
      <c r="V976" s="46"/>
      <c r="W976" s="46"/>
    </row>
    <row r="977">
      <c r="A977" s="55"/>
      <c r="B977" s="205"/>
      <c r="C977" s="55"/>
      <c r="D977" s="205"/>
      <c r="E977" s="172"/>
      <c r="F977" s="212"/>
      <c r="G977" s="172"/>
      <c r="H977" s="205"/>
      <c r="I977" s="149"/>
      <c r="J977" s="46"/>
      <c r="K977" s="46"/>
      <c r="L977" s="46"/>
      <c r="M977" s="46"/>
      <c r="N977" s="46"/>
      <c r="O977" s="46"/>
      <c r="P977" s="46"/>
      <c r="Q977" s="46"/>
      <c r="R977" s="46"/>
      <c r="S977" s="46"/>
      <c r="T977" s="46"/>
      <c r="U977" s="46"/>
      <c r="V977" s="46"/>
      <c r="W977" s="46"/>
    </row>
    <row r="978">
      <c r="A978" s="55"/>
      <c r="B978" s="205"/>
      <c r="C978" s="55"/>
      <c r="D978" s="205"/>
      <c r="E978" s="172"/>
      <c r="F978" s="212"/>
      <c r="G978" s="172"/>
      <c r="H978" s="205"/>
      <c r="I978" s="149"/>
      <c r="J978" s="46"/>
      <c r="K978" s="46"/>
      <c r="L978" s="46"/>
      <c r="M978" s="46"/>
      <c r="N978" s="46"/>
      <c r="O978" s="46"/>
      <c r="P978" s="46"/>
      <c r="Q978" s="46"/>
      <c r="R978" s="46"/>
      <c r="S978" s="46"/>
      <c r="T978" s="46"/>
      <c r="U978" s="46"/>
      <c r="V978" s="46"/>
      <c r="W978" s="46"/>
    </row>
    <row r="979">
      <c r="A979" s="55"/>
      <c r="B979" s="205"/>
      <c r="C979" s="55"/>
      <c r="D979" s="205"/>
      <c r="E979" s="172"/>
      <c r="F979" s="212"/>
      <c r="G979" s="172"/>
      <c r="H979" s="205"/>
      <c r="I979" s="149"/>
      <c r="J979" s="46"/>
      <c r="K979" s="46"/>
      <c r="L979" s="46"/>
      <c r="M979" s="46"/>
      <c r="N979" s="46"/>
      <c r="O979" s="46"/>
      <c r="P979" s="46"/>
      <c r="Q979" s="46"/>
      <c r="R979" s="46"/>
      <c r="S979" s="46"/>
      <c r="T979" s="46"/>
      <c r="U979" s="46"/>
      <c r="V979" s="46"/>
      <c r="W979" s="46"/>
    </row>
    <row r="980">
      <c r="A980" s="55"/>
      <c r="B980" s="205"/>
      <c r="C980" s="55"/>
      <c r="D980" s="205"/>
      <c r="E980" s="172"/>
      <c r="F980" s="212"/>
      <c r="G980" s="172"/>
      <c r="H980" s="205"/>
      <c r="I980" s="149"/>
      <c r="J980" s="46"/>
      <c r="K980" s="46"/>
      <c r="L980" s="46"/>
      <c r="M980" s="46"/>
      <c r="N980" s="46"/>
      <c r="O980" s="46"/>
      <c r="P980" s="46"/>
      <c r="Q980" s="46"/>
      <c r="R980" s="46"/>
      <c r="S980" s="46"/>
      <c r="T980" s="46"/>
      <c r="U980" s="46"/>
      <c r="V980" s="46"/>
      <c r="W980" s="46"/>
    </row>
    <row r="981">
      <c r="A981" s="55"/>
      <c r="B981" s="205"/>
      <c r="C981" s="55"/>
      <c r="D981" s="205"/>
      <c r="E981" s="172"/>
      <c r="F981" s="212"/>
      <c r="G981" s="172"/>
      <c r="H981" s="205"/>
      <c r="I981" s="149"/>
      <c r="J981" s="46"/>
      <c r="K981" s="46"/>
      <c r="L981" s="46"/>
      <c r="M981" s="46"/>
      <c r="N981" s="46"/>
      <c r="O981" s="46"/>
      <c r="P981" s="46"/>
      <c r="Q981" s="46"/>
      <c r="R981" s="46"/>
      <c r="S981" s="46"/>
      <c r="T981" s="46"/>
      <c r="U981" s="46"/>
      <c r="V981" s="46"/>
      <c r="W981" s="46"/>
    </row>
    <row r="982">
      <c r="A982" s="55"/>
      <c r="B982" s="205"/>
      <c r="C982" s="55"/>
      <c r="D982" s="205"/>
      <c r="E982" s="172"/>
      <c r="F982" s="212"/>
      <c r="G982" s="172"/>
      <c r="H982" s="205"/>
      <c r="I982" s="149"/>
      <c r="J982" s="46"/>
      <c r="K982" s="46"/>
      <c r="L982" s="46"/>
      <c r="M982" s="46"/>
      <c r="N982" s="46"/>
      <c r="O982" s="46"/>
      <c r="P982" s="46"/>
      <c r="Q982" s="46"/>
      <c r="R982" s="46"/>
      <c r="S982" s="46"/>
      <c r="T982" s="46"/>
      <c r="U982" s="46"/>
      <c r="V982" s="46"/>
      <c r="W982" s="46"/>
    </row>
    <row r="983">
      <c r="A983" s="55"/>
      <c r="B983" s="205"/>
      <c r="C983" s="55"/>
      <c r="D983" s="205"/>
      <c r="E983" s="172"/>
      <c r="F983" s="212"/>
      <c r="G983" s="172"/>
      <c r="H983" s="205"/>
      <c r="I983" s="149"/>
      <c r="J983" s="46"/>
      <c r="K983" s="46"/>
      <c r="L983" s="46"/>
      <c r="M983" s="46"/>
      <c r="N983" s="46"/>
      <c r="O983" s="46"/>
      <c r="P983" s="46"/>
      <c r="Q983" s="46"/>
      <c r="R983" s="46"/>
      <c r="S983" s="46"/>
      <c r="T983" s="46"/>
      <c r="U983" s="46"/>
      <c r="V983" s="46"/>
      <c r="W983" s="46"/>
    </row>
    <row r="984">
      <c r="A984" s="55"/>
      <c r="B984" s="205"/>
      <c r="C984" s="55"/>
      <c r="D984" s="205"/>
      <c r="E984" s="172"/>
      <c r="F984" s="212"/>
      <c r="G984" s="172"/>
      <c r="H984" s="205"/>
      <c r="I984" s="149"/>
      <c r="J984" s="46"/>
      <c r="K984" s="46"/>
      <c r="L984" s="46"/>
      <c r="M984" s="46"/>
      <c r="N984" s="46"/>
      <c r="O984" s="46"/>
      <c r="P984" s="46"/>
      <c r="Q984" s="46"/>
      <c r="R984" s="46"/>
      <c r="S984" s="46"/>
      <c r="T984" s="46"/>
      <c r="U984" s="46"/>
      <c r="V984" s="46"/>
      <c r="W984" s="46"/>
    </row>
    <row r="985">
      <c r="A985" s="55"/>
      <c r="B985" s="205"/>
      <c r="C985" s="55"/>
      <c r="D985" s="205"/>
      <c r="E985" s="172"/>
      <c r="F985" s="212"/>
      <c r="G985" s="172"/>
      <c r="H985" s="205"/>
      <c r="I985" s="149"/>
      <c r="J985" s="46"/>
      <c r="K985" s="46"/>
      <c r="L985" s="46"/>
      <c r="M985" s="46"/>
      <c r="N985" s="46"/>
      <c r="O985" s="46"/>
      <c r="P985" s="46"/>
      <c r="Q985" s="46"/>
      <c r="R985" s="46"/>
      <c r="S985" s="46"/>
      <c r="T985" s="46"/>
      <c r="U985" s="46"/>
      <c r="V985" s="46"/>
      <c r="W985" s="46"/>
    </row>
    <row r="986">
      <c r="A986" s="55"/>
      <c r="B986" s="205"/>
      <c r="C986" s="55"/>
      <c r="D986" s="205"/>
      <c r="E986" s="172"/>
      <c r="F986" s="212"/>
      <c r="G986" s="172"/>
      <c r="H986" s="205"/>
      <c r="I986" s="149"/>
      <c r="J986" s="46"/>
      <c r="K986" s="46"/>
      <c r="L986" s="46"/>
      <c r="M986" s="46"/>
      <c r="N986" s="46"/>
      <c r="O986" s="46"/>
      <c r="P986" s="46"/>
      <c r="Q986" s="46"/>
      <c r="R986" s="46"/>
      <c r="S986" s="46"/>
      <c r="T986" s="46"/>
      <c r="U986" s="46"/>
      <c r="V986" s="46"/>
      <c r="W986" s="46"/>
    </row>
    <row r="987">
      <c r="A987" s="55"/>
      <c r="B987" s="205"/>
      <c r="C987" s="55"/>
      <c r="D987" s="205"/>
      <c r="E987" s="172"/>
      <c r="F987" s="212"/>
      <c r="G987" s="172"/>
      <c r="H987" s="205"/>
      <c r="I987" s="149"/>
      <c r="J987" s="46"/>
      <c r="K987" s="46"/>
      <c r="L987" s="46"/>
      <c r="M987" s="46"/>
      <c r="N987" s="46"/>
      <c r="O987" s="46"/>
      <c r="P987" s="46"/>
      <c r="Q987" s="46"/>
      <c r="R987" s="46"/>
      <c r="S987" s="46"/>
      <c r="T987" s="46"/>
      <c r="U987" s="46"/>
      <c r="V987" s="46"/>
      <c r="W987" s="46"/>
    </row>
    <row r="988">
      <c r="A988" s="55"/>
      <c r="B988" s="205"/>
      <c r="C988" s="55"/>
      <c r="D988" s="205"/>
      <c r="E988" s="172"/>
      <c r="F988" s="212"/>
      <c r="G988" s="172"/>
      <c r="H988" s="205"/>
      <c r="I988" s="149"/>
      <c r="J988" s="46"/>
      <c r="K988" s="46"/>
      <c r="L988" s="46"/>
      <c r="M988" s="46"/>
      <c r="N988" s="46"/>
      <c r="O988" s="46"/>
      <c r="P988" s="46"/>
      <c r="Q988" s="46"/>
      <c r="R988" s="46"/>
      <c r="S988" s="46"/>
      <c r="T988" s="46"/>
      <c r="U988" s="46"/>
      <c r="V988" s="46"/>
      <c r="W988" s="46"/>
    </row>
    <row r="989">
      <c r="A989" s="55"/>
      <c r="B989" s="205"/>
      <c r="C989" s="55"/>
      <c r="D989" s="205"/>
      <c r="E989" s="172"/>
      <c r="F989" s="212"/>
      <c r="G989" s="172"/>
      <c r="H989" s="205"/>
      <c r="I989" s="149"/>
      <c r="J989" s="46"/>
      <c r="K989" s="46"/>
      <c r="L989" s="46"/>
      <c r="M989" s="46"/>
      <c r="N989" s="46"/>
      <c r="O989" s="46"/>
      <c r="P989" s="46"/>
      <c r="Q989" s="46"/>
      <c r="R989" s="46"/>
      <c r="S989" s="46"/>
      <c r="T989" s="46"/>
      <c r="U989" s="46"/>
      <c r="V989" s="46"/>
      <c r="W989" s="46"/>
    </row>
    <row r="990">
      <c r="A990" s="55"/>
      <c r="B990" s="205"/>
      <c r="C990" s="55"/>
      <c r="D990" s="205"/>
      <c r="E990" s="172"/>
      <c r="F990" s="212"/>
      <c r="G990" s="172"/>
      <c r="H990" s="205"/>
      <c r="I990" s="149"/>
      <c r="J990" s="46"/>
      <c r="K990" s="46"/>
      <c r="L990" s="46"/>
      <c r="M990" s="46"/>
      <c r="N990" s="46"/>
      <c r="O990" s="46"/>
      <c r="P990" s="46"/>
      <c r="Q990" s="46"/>
      <c r="R990" s="46"/>
      <c r="S990" s="46"/>
      <c r="T990" s="46"/>
      <c r="U990" s="46"/>
      <c r="V990" s="46"/>
      <c r="W990" s="46"/>
    </row>
    <row r="991">
      <c r="A991" s="55"/>
      <c r="B991" s="205"/>
      <c r="C991" s="55"/>
      <c r="D991" s="205"/>
      <c r="E991" s="172"/>
      <c r="F991" s="212"/>
      <c r="G991" s="172"/>
      <c r="H991" s="205"/>
      <c r="I991" s="149"/>
      <c r="J991" s="46"/>
      <c r="K991" s="46"/>
      <c r="L991" s="46"/>
      <c r="M991" s="46"/>
      <c r="N991" s="46"/>
      <c r="O991" s="46"/>
      <c r="P991" s="46"/>
      <c r="Q991" s="46"/>
      <c r="R991" s="46"/>
      <c r="S991" s="46"/>
      <c r="T991" s="46"/>
      <c r="U991" s="46"/>
      <c r="V991" s="46"/>
      <c r="W991" s="46"/>
    </row>
    <row r="992">
      <c r="A992" s="55"/>
      <c r="B992" s="205"/>
      <c r="C992" s="55"/>
      <c r="D992" s="205"/>
      <c r="E992" s="172"/>
      <c r="F992" s="212"/>
      <c r="G992" s="172"/>
      <c r="H992" s="205"/>
      <c r="I992" s="149"/>
      <c r="J992" s="46"/>
      <c r="K992" s="46"/>
      <c r="L992" s="46"/>
      <c r="M992" s="46"/>
      <c r="N992" s="46"/>
      <c r="O992" s="46"/>
      <c r="P992" s="46"/>
      <c r="Q992" s="46"/>
      <c r="R992" s="46"/>
      <c r="S992" s="46"/>
      <c r="T992" s="46"/>
      <c r="U992" s="46"/>
      <c r="V992" s="46"/>
      <c r="W992" s="46"/>
    </row>
    <row r="993">
      <c r="A993" s="55"/>
      <c r="B993" s="205"/>
      <c r="C993" s="55"/>
      <c r="D993" s="205"/>
      <c r="E993" s="172"/>
      <c r="F993" s="212"/>
      <c r="G993" s="172"/>
      <c r="H993" s="205"/>
      <c r="I993" s="149"/>
      <c r="J993" s="46"/>
      <c r="K993" s="46"/>
      <c r="L993" s="46"/>
      <c r="M993" s="46"/>
      <c r="N993" s="46"/>
      <c r="O993" s="46"/>
      <c r="P993" s="46"/>
      <c r="Q993" s="46"/>
      <c r="R993" s="46"/>
      <c r="S993" s="46"/>
      <c r="T993" s="46"/>
      <c r="U993" s="46"/>
      <c r="V993" s="46"/>
      <c r="W993" s="46"/>
    </row>
    <row r="994">
      <c r="A994" s="55"/>
      <c r="B994" s="205"/>
      <c r="C994" s="55"/>
      <c r="D994" s="205"/>
      <c r="E994" s="172"/>
      <c r="F994" s="212"/>
      <c r="G994" s="172"/>
      <c r="H994" s="205"/>
      <c r="I994" s="149"/>
      <c r="J994" s="46"/>
      <c r="K994" s="46"/>
      <c r="L994" s="46"/>
      <c r="M994" s="46"/>
      <c r="N994" s="46"/>
      <c r="O994" s="46"/>
      <c r="P994" s="46"/>
      <c r="Q994" s="46"/>
      <c r="R994" s="46"/>
      <c r="S994" s="46"/>
      <c r="T994" s="46"/>
      <c r="U994" s="46"/>
      <c r="V994" s="46"/>
      <c r="W994" s="46"/>
    </row>
    <row r="995">
      <c r="A995" s="55"/>
      <c r="B995" s="205"/>
      <c r="C995" s="55"/>
      <c r="D995" s="205"/>
      <c r="E995" s="172"/>
      <c r="F995" s="212"/>
      <c r="G995" s="172"/>
      <c r="H995" s="205"/>
      <c r="I995" s="149"/>
      <c r="J995" s="46"/>
      <c r="K995" s="46"/>
      <c r="L995" s="46"/>
      <c r="M995" s="46"/>
      <c r="N995" s="46"/>
      <c r="O995" s="46"/>
      <c r="P995" s="46"/>
      <c r="Q995" s="46"/>
      <c r="R995" s="46"/>
      <c r="S995" s="46"/>
      <c r="T995" s="46"/>
      <c r="U995" s="46"/>
      <c r="V995" s="46"/>
      <c r="W995" s="46"/>
    </row>
    <row r="996">
      <c r="A996" s="55"/>
      <c r="B996" s="205"/>
      <c r="C996" s="55"/>
      <c r="D996" s="205"/>
      <c r="E996" s="172"/>
      <c r="F996" s="212"/>
      <c r="G996" s="172"/>
      <c r="H996" s="205"/>
      <c r="I996" s="149"/>
      <c r="J996" s="46"/>
      <c r="K996" s="46"/>
      <c r="L996" s="46"/>
      <c r="M996" s="46"/>
      <c r="N996" s="46"/>
      <c r="O996" s="46"/>
      <c r="P996" s="46"/>
      <c r="Q996" s="46"/>
      <c r="R996" s="46"/>
      <c r="S996" s="46"/>
      <c r="T996" s="46"/>
      <c r="U996" s="46"/>
      <c r="V996" s="46"/>
      <c r="W996" s="46"/>
    </row>
    <row r="997">
      <c r="A997" s="55"/>
      <c r="B997" s="205"/>
      <c r="C997" s="55"/>
      <c r="D997" s="205"/>
      <c r="E997" s="172"/>
      <c r="F997" s="212"/>
      <c r="G997" s="172"/>
      <c r="H997" s="205"/>
      <c r="I997" s="149"/>
      <c r="J997" s="46"/>
      <c r="K997" s="46"/>
      <c r="L997" s="46"/>
      <c r="M997" s="46"/>
      <c r="N997" s="46"/>
      <c r="O997" s="46"/>
      <c r="P997" s="46"/>
      <c r="Q997" s="46"/>
      <c r="R997" s="46"/>
      <c r="S997" s="46"/>
      <c r="T997" s="46"/>
      <c r="U997" s="46"/>
      <c r="V997" s="46"/>
      <c r="W997" s="46"/>
    </row>
    <row r="998">
      <c r="A998" s="55"/>
      <c r="B998" s="205"/>
      <c r="C998" s="55"/>
      <c r="D998" s="205"/>
      <c r="E998" s="172"/>
      <c r="F998" s="212"/>
      <c r="G998" s="172"/>
      <c r="H998" s="205"/>
      <c r="I998" s="149"/>
      <c r="J998" s="46"/>
      <c r="K998" s="46"/>
      <c r="L998" s="46"/>
      <c r="M998" s="46"/>
      <c r="N998" s="46"/>
      <c r="O998" s="46"/>
      <c r="P998" s="46"/>
      <c r="Q998" s="46"/>
      <c r="R998" s="46"/>
      <c r="S998" s="46"/>
      <c r="T998" s="46"/>
      <c r="U998" s="46"/>
      <c r="V998" s="46"/>
      <c r="W998" s="46"/>
    </row>
    <row r="999">
      <c r="A999" s="55"/>
      <c r="B999" s="205"/>
      <c r="C999" s="55"/>
      <c r="D999" s="205"/>
      <c r="E999" s="172"/>
      <c r="F999" s="212"/>
      <c r="G999" s="172"/>
      <c r="H999" s="205"/>
      <c r="I999" s="149"/>
      <c r="J999" s="46"/>
      <c r="K999" s="46"/>
      <c r="L999" s="46"/>
      <c r="M999" s="46"/>
      <c r="N999" s="46"/>
      <c r="O999" s="46"/>
      <c r="P999" s="46"/>
      <c r="Q999" s="46"/>
      <c r="R999" s="46"/>
      <c r="S999" s="46"/>
      <c r="T999" s="46"/>
      <c r="U999" s="46"/>
      <c r="V999" s="46"/>
      <c r="W999" s="46"/>
    </row>
    <row r="1000">
      <c r="A1000" s="55"/>
      <c r="B1000" s="205"/>
      <c r="C1000" s="55"/>
      <c r="D1000" s="205"/>
      <c r="E1000" s="172"/>
      <c r="F1000" s="212"/>
      <c r="G1000" s="172"/>
      <c r="H1000" s="205"/>
      <c r="I1000" s="172"/>
      <c r="J1000" s="46"/>
      <c r="K1000" s="46"/>
      <c r="L1000" s="46"/>
      <c r="M1000" s="46"/>
      <c r="N1000" s="46"/>
      <c r="O1000" s="46"/>
      <c r="P1000" s="46"/>
      <c r="Q1000" s="46"/>
      <c r="R1000" s="46"/>
      <c r="S1000" s="46"/>
      <c r="T1000" s="46"/>
      <c r="U1000" s="46"/>
      <c r="V1000" s="46"/>
      <c r="W1000" s="46"/>
    </row>
    <row r="1001">
      <c r="A1001" s="55"/>
      <c r="B1001" s="205"/>
      <c r="C1001" s="55"/>
      <c r="D1001" s="205"/>
      <c r="E1001" s="172"/>
      <c r="F1001" s="212"/>
      <c r="G1001" s="172"/>
      <c r="H1001" s="205"/>
      <c r="I1001" s="172"/>
      <c r="J1001" s="46"/>
      <c r="K1001" s="46"/>
      <c r="L1001" s="46"/>
      <c r="M1001" s="46"/>
      <c r="N1001" s="46"/>
      <c r="O1001" s="46"/>
      <c r="P1001" s="46"/>
      <c r="Q1001" s="46"/>
      <c r="R1001" s="46"/>
      <c r="S1001" s="46"/>
      <c r="T1001" s="46"/>
      <c r="U1001" s="46"/>
      <c r="V1001" s="46"/>
      <c r="W1001" s="46"/>
    </row>
    <row r="1002">
      <c r="A1002" s="55"/>
      <c r="B1002" s="205"/>
      <c r="C1002" s="55"/>
      <c r="D1002" s="205"/>
      <c r="E1002" s="172"/>
      <c r="F1002" s="212"/>
      <c r="G1002" s="172"/>
      <c r="H1002" s="205"/>
      <c r="I1002" s="172"/>
      <c r="J1002" s="46"/>
      <c r="K1002" s="46"/>
      <c r="L1002" s="46"/>
      <c r="M1002" s="46"/>
      <c r="N1002" s="46"/>
      <c r="O1002" s="46"/>
      <c r="P1002" s="46"/>
      <c r="Q1002" s="46"/>
      <c r="R1002" s="46"/>
      <c r="S1002" s="46"/>
      <c r="T1002" s="46"/>
      <c r="U1002" s="46"/>
      <c r="V1002" s="46"/>
      <c r="W1002" s="46"/>
    </row>
    <row r="1003">
      <c r="A1003" s="55"/>
      <c r="B1003" s="205"/>
      <c r="C1003" s="55"/>
      <c r="D1003" s="205"/>
      <c r="E1003" s="172"/>
      <c r="F1003" s="212"/>
      <c r="G1003" s="172"/>
      <c r="H1003" s="205"/>
      <c r="I1003" s="172"/>
      <c r="J1003" s="46"/>
      <c r="K1003" s="46"/>
      <c r="L1003" s="46"/>
      <c r="M1003" s="46"/>
      <c r="N1003" s="46"/>
      <c r="O1003" s="46"/>
      <c r="P1003" s="46"/>
      <c r="Q1003" s="46"/>
      <c r="R1003" s="46"/>
      <c r="S1003" s="46"/>
      <c r="T1003" s="46"/>
      <c r="U1003" s="46"/>
      <c r="V1003" s="46"/>
      <c r="W1003" s="46"/>
    </row>
    <row r="1004">
      <c r="A1004" s="55"/>
      <c r="B1004" s="205"/>
      <c r="C1004" s="55"/>
      <c r="D1004" s="205"/>
      <c r="E1004" s="172"/>
      <c r="F1004" s="212"/>
      <c r="G1004" s="172"/>
      <c r="H1004" s="205"/>
      <c r="I1004" s="172"/>
      <c r="J1004" s="46"/>
      <c r="K1004" s="46"/>
      <c r="L1004" s="46"/>
      <c r="M1004" s="46"/>
      <c r="N1004" s="46"/>
      <c r="O1004" s="46"/>
      <c r="P1004" s="46"/>
      <c r="Q1004" s="46"/>
      <c r="R1004" s="46"/>
      <c r="S1004" s="46"/>
      <c r="T1004" s="46"/>
      <c r="U1004" s="46"/>
      <c r="V1004" s="46"/>
      <c r="W1004" s="46"/>
    </row>
    <row r="1005">
      <c r="A1005" s="55"/>
      <c r="B1005" s="205"/>
      <c r="C1005" s="55"/>
      <c r="D1005" s="205"/>
      <c r="E1005" s="172"/>
      <c r="F1005" s="212"/>
      <c r="G1005" s="172"/>
      <c r="H1005" s="205"/>
      <c r="I1005" s="172"/>
      <c r="J1005" s="46"/>
      <c r="K1005" s="46"/>
      <c r="L1005" s="46"/>
      <c r="M1005" s="46"/>
      <c r="N1005" s="46"/>
      <c r="O1005" s="46"/>
      <c r="P1005" s="46"/>
      <c r="Q1005" s="46"/>
      <c r="R1005" s="46"/>
      <c r="S1005" s="46"/>
      <c r="T1005" s="46"/>
      <c r="U1005" s="46"/>
      <c r="V1005" s="46"/>
      <c r="W1005" s="46"/>
    </row>
    <row r="1006">
      <c r="A1006" s="55"/>
      <c r="B1006" s="205"/>
      <c r="C1006" s="55"/>
      <c r="D1006" s="205"/>
      <c r="E1006" s="172"/>
      <c r="F1006" s="212"/>
      <c r="G1006" s="172"/>
      <c r="H1006" s="205"/>
      <c r="I1006" s="172"/>
      <c r="J1006" s="46"/>
      <c r="K1006" s="46"/>
      <c r="L1006" s="46"/>
      <c r="M1006" s="46"/>
      <c r="N1006" s="46"/>
      <c r="O1006" s="46"/>
      <c r="P1006" s="46"/>
      <c r="Q1006" s="46"/>
      <c r="R1006" s="46"/>
      <c r="S1006" s="46"/>
      <c r="T1006" s="46"/>
      <c r="U1006" s="46"/>
      <c r="V1006" s="46"/>
      <c r="W1006" s="46"/>
    </row>
    <row r="1007">
      <c r="A1007" s="55"/>
      <c r="B1007" s="205"/>
      <c r="C1007" s="55"/>
      <c r="D1007" s="205"/>
      <c r="E1007" s="172"/>
      <c r="F1007" s="212"/>
      <c r="G1007" s="172"/>
      <c r="H1007" s="205"/>
      <c r="I1007" s="172"/>
      <c r="J1007" s="46"/>
      <c r="K1007" s="46"/>
      <c r="L1007" s="46"/>
      <c r="M1007" s="46"/>
      <c r="N1007" s="46"/>
      <c r="O1007" s="46"/>
      <c r="P1007" s="46"/>
      <c r="Q1007" s="46"/>
      <c r="R1007" s="46"/>
      <c r="S1007" s="46"/>
      <c r="T1007" s="46"/>
      <c r="U1007" s="46"/>
      <c r="V1007" s="46"/>
      <c r="W1007" s="46"/>
    </row>
    <row r="1008">
      <c r="A1008" s="55"/>
      <c r="B1008" s="205"/>
      <c r="C1008" s="55"/>
      <c r="D1008" s="205"/>
      <c r="E1008" s="172"/>
      <c r="F1008" s="212"/>
      <c r="G1008" s="172"/>
      <c r="H1008" s="205"/>
      <c r="I1008" s="172"/>
      <c r="J1008" s="46"/>
      <c r="K1008" s="46"/>
      <c r="L1008" s="46"/>
      <c r="M1008" s="46"/>
      <c r="N1008" s="46"/>
      <c r="O1008" s="46"/>
      <c r="P1008" s="46"/>
      <c r="Q1008" s="46"/>
      <c r="R1008" s="46"/>
      <c r="S1008" s="46"/>
      <c r="T1008" s="46"/>
      <c r="U1008" s="46"/>
      <c r="V1008" s="46"/>
      <c r="W1008" s="46"/>
    </row>
    <row r="1009">
      <c r="A1009" s="55"/>
      <c r="B1009" s="205"/>
      <c r="C1009" s="55"/>
      <c r="D1009" s="205"/>
      <c r="E1009" s="172"/>
      <c r="F1009" s="212"/>
      <c r="G1009" s="172"/>
      <c r="H1009" s="205"/>
      <c r="I1009" s="172"/>
      <c r="J1009" s="46"/>
      <c r="K1009" s="46"/>
      <c r="L1009" s="46"/>
      <c r="M1009" s="46"/>
      <c r="N1009" s="46"/>
      <c r="O1009" s="46"/>
      <c r="P1009" s="46"/>
      <c r="Q1009" s="46"/>
      <c r="R1009" s="46"/>
      <c r="S1009" s="46"/>
      <c r="T1009" s="46"/>
      <c r="U1009" s="46"/>
      <c r="V1009" s="46"/>
      <c r="W1009" s="46"/>
    </row>
    <row r="1010">
      <c r="A1010" s="55"/>
      <c r="B1010" s="205"/>
      <c r="C1010" s="55"/>
      <c r="D1010" s="205"/>
      <c r="E1010" s="172"/>
      <c r="F1010" s="212"/>
      <c r="G1010" s="172"/>
      <c r="H1010" s="205"/>
      <c r="I1010" s="172"/>
      <c r="J1010" s="46"/>
      <c r="K1010" s="46"/>
      <c r="L1010" s="46"/>
      <c r="M1010" s="46"/>
      <c r="N1010" s="46"/>
      <c r="O1010" s="46"/>
      <c r="P1010" s="46"/>
      <c r="Q1010" s="46"/>
      <c r="R1010" s="46"/>
      <c r="S1010" s="46"/>
      <c r="T1010" s="46"/>
      <c r="U1010" s="46"/>
      <c r="V1010" s="46"/>
      <c r="W1010" s="46"/>
    </row>
    <row r="1011">
      <c r="A1011" s="55"/>
      <c r="B1011" s="205"/>
      <c r="C1011" s="55"/>
      <c r="D1011" s="205"/>
      <c r="E1011" s="172"/>
      <c r="F1011" s="212"/>
      <c r="G1011" s="172"/>
      <c r="H1011" s="205"/>
      <c r="I1011" s="172"/>
      <c r="J1011" s="46"/>
      <c r="K1011" s="46"/>
      <c r="L1011" s="46"/>
      <c r="M1011" s="46"/>
      <c r="N1011" s="46"/>
      <c r="O1011" s="46"/>
      <c r="P1011" s="46"/>
      <c r="Q1011" s="46"/>
      <c r="R1011" s="46"/>
      <c r="S1011" s="46"/>
      <c r="T1011" s="46"/>
      <c r="U1011" s="46"/>
      <c r="V1011" s="46"/>
      <c r="W1011" s="46"/>
    </row>
    <row r="1012">
      <c r="A1012" s="55"/>
      <c r="B1012" s="205"/>
      <c r="C1012" s="55"/>
      <c r="D1012" s="205"/>
      <c r="E1012" s="172"/>
      <c r="F1012" s="212"/>
      <c r="G1012" s="172"/>
      <c r="H1012" s="205"/>
      <c r="I1012" s="172"/>
      <c r="J1012" s="46"/>
      <c r="K1012" s="46"/>
      <c r="L1012" s="46"/>
      <c r="M1012" s="46"/>
      <c r="N1012" s="46"/>
      <c r="O1012" s="46"/>
      <c r="P1012" s="46"/>
      <c r="Q1012" s="46"/>
      <c r="R1012" s="46"/>
      <c r="S1012" s="46"/>
      <c r="T1012" s="46"/>
      <c r="U1012" s="46"/>
      <c r="V1012" s="46"/>
      <c r="W1012" s="46"/>
    </row>
    <row r="1013">
      <c r="A1013" s="55"/>
      <c r="B1013" s="205"/>
      <c r="C1013" s="55"/>
      <c r="D1013" s="205"/>
      <c r="E1013" s="172"/>
      <c r="F1013" s="212"/>
      <c r="G1013" s="172"/>
      <c r="H1013" s="205"/>
      <c r="I1013" s="172"/>
      <c r="J1013" s="46"/>
      <c r="K1013" s="46"/>
      <c r="L1013" s="46"/>
      <c r="M1013" s="46"/>
      <c r="N1013" s="46"/>
      <c r="O1013" s="46"/>
      <c r="P1013" s="46"/>
      <c r="Q1013" s="46"/>
      <c r="R1013" s="46"/>
      <c r="S1013" s="46"/>
      <c r="T1013" s="46"/>
      <c r="U1013" s="46"/>
      <c r="V1013" s="46"/>
      <c r="W1013" s="46"/>
    </row>
    <row r="1014">
      <c r="A1014" s="55"/>
      <c r="B1014" s="205"/>
      <c r="C1014" s="55"/>
      <c r="D1014" s="205"/>
      <c r="E1014" s="172"/>
      <c r="F1014" s="212"/>
      <c r="G1014" s="172"/>
      <c r="H1014" s="205"/>
      <c r="I1014" s="172"/>
      <c r="J1014" s="46"/>
      <c r="K1014" s="46"/>
      <c r="L1014" s="46"/>
      <c r="M1014" s="46"/>
      <c r="N1014" s="46"/>
      <c r="O1014" s="46"/>
      <c r="P1014" s="46"/>
      <c r="Q1014" s="46"/>
      <c r="R1014" s="46"/>
      <c r="S1014" s="46"/>
      <c r="T1014" s="46"/>
      <c r="U1014" s="46"/>
      <c r="V1014" s="46"/>
      <c r="W1014" s="46"/>
    </row>
    <row r="1015">
      <c r="A1015" s="55"/>
      <c r="B1015" s="205"/>
      <c r="C1015" s="55"/>
      <c r="D1015" s="205"/>
      <c r="E1015" s="172"/>
      <c r="F1015" s="212"/>
      <c r="G1015" s="172"/>
      <c r="H1015" s="205"/>
      <c r="I1015" s="172"/>
      <c r="J1015" s="46"/>
      <c r="K1015" s="46"/>
      <c r="L1015" s="46"/>
      <c r="M1015" s="46"/>
      <c r="N1015" s="46"/>
      <c r="O1015" s="46"/>
      <c r="P1015" s="46"/>
      <c r="Q1015" s="46"/>
      <c r="R1015" s="46"/>
      <c r="S1015" s="46"/>
      <c r="T1015" s="46"/>
      <c r="U1015" s="46"/>
      <c r="V1015" s="46"/>
      <c r="W1015" s="46"/>
    </row>
    <row r="1016">
      <c r="A1016" s="55"/>
      <c r="B1016" s="205"/>
      <c r="C1016" s="55"/>
      <c r="D1016" s="205"/>
      <c r="E1016" s="172"/>
      <c r="F1016" s="212"/>
      <c r="G1016" s="172"/>
      <c r="H1016" s="205"/>
      <c r="I1016" s="172"/>
      <c r="J1016" s="46"/>
      <c r="K1016" s="46"/>
      <c r="L1016" s="46"/>
      <c r="M1016" s="46"/>
      <c r="N1016" s="46"/>
      <c r="O1016" s="46"/>
      <c r="P1016" s="46"/>
      <c r="Q1016" s="46"/>
      <c r="R1016" s="46"/>
      <c r="S1016" s="46"/>
      <c r="T1016" s="46"/>
      <c r="U1016" s="46"/>
      <c r="V1016" s="46"/>
      <c r="W1016" s="46"/>
    </row>
    <row r="1017">
      <c r="A1017" s="55"/>
      <c r="B1017" s="205"/>
      <c r="C1017" s="55"/>
      <c r="D1017" s="205"/>
      <c r="E1017" s="172"/>
      <c r="F1017" s="212"/>
      <c r="G1017" s="172"/>
      <c r="H1017" s="205"/>
      <c r="I1017" s="172"/>
      <c r="J1017" s="46"/>
      <c r="K1017" s="46"/>
      <c r="L1017" s="46"/>
      <c r="M1017" s="46"/>
      <c r="N1017" s="46"/>
      <c r="O1017" s="46"/>
      <c r="P1017" s="46"/>
      <c r="Q1017" s="46"/>
      <c r="R1017" s="46"/>
      <c r="S1017" s="46"/>
      <c r="T1017" s="46"/>
      <c r="U1017" s="46"/>
      <c r="V1017" s="46"/>
      <c r="W1017" s="46"/>
    </row>
    <row r="1018">
      <c r="A1018" s="55"/>
      <c r="B1018" s="205"/>
      <c r="C1018" s="55"/>
      <c r="D1018" s="205"/>
      <c r="E1018" s="172"/>
      <c r="F1018" s="212"/>
      <c r="G1018" s="172"/>
      <c r="H1018" s="205"/>
      <c r="I1018" s="172"/>
      <c r="J1018" s="46"/>
      <c r="K1018" s="46"/>
      <c r="L1018" s="46"/>
      <c r="M1018" s="46"/>
      <c r="N1018" s="46"/>
      <c r="O1018" s="46"/>
      <c r="P1018" s="46"/>
      <c r="Q1018" s="46"/>
      <c r="R1018" s="46"/>
      <c r="S1018" s="46"/>
      <c r="T1018" s="46"/>
      <c r="U1018" s="46"/>
      <c r="V1018" s="46"/>
      <c r="W1018" s="46"/>
    </row>
    <row r="1019">
      <c r="A1019" s="55"/>
      <c r="B1019" s="205"/>
      <c r="C1019" s="55"/>
      <c r="D1019" s="205"/>
      <c r="E1019" s="172"/>
      <c r="F1019" s="212"/>
      <c r="G1019" s="172"/>
      <c r="H1019" s="205"/>
      <c r="I1019" s="172"/>
      <c r="J1019" s="46"/>
      <c r="K1019" s="46"/>
      <c r="L1019" s="46"/>
      <c r="M1019" s="46"/>
      <c r="N1019" s="46"/>
      <c r="O1019" s="46"/>
      <c r="P1019" s="46"/>
      <c r="Q1019" s="46"/>
      <c r="R1019" s="46"/>
      <c r="S1019" s="46"/>
      <c r="T1019" s="46"/>
      <c r="U1019" s="46"/>
      <c r="V1019" s="46"/>
      <c r="W1019" s="46"/>
    </row>
    <row r="1020">
      <c r="A1020" s="55"/>
      <c r="B1020" s="205"/>
      <c r="C1020" s="55"/>
      <c r="D1020" s="205"/>
      <c r="E1020" s="172"/>
      <c r="F1020" s="212"/>
      <c r="G1020" s="172"/>
      <c r="H1020" s="205"/>
      <c r="I1020" s="172"/>
      <c r="J1020" s="46"/>
      <c r="K1020" s="46"/>
      <c r="L1020" s="46"/>
      <c r="M1020" s="46"/>
      <c r="N1020" s="46"/>
      <c r="O1020" s="46"/>
      <c r="P1020" s="46"/>
      <c r="Q1020" s="46"/>
      <c r="R1020" s="46"/>
      <c r="S1020" s="46"/>
      <c r="T1020" s="46"/>
      <c r="U1020" s="46"/>
      <c r="V1020" s="46"/>
      <c r="W1020" s="46"/>
    </row>
    <row r="1021">
      <c r="A1021" s="55"/>
      <c r="B1021" s="205"/>
      <c r="C1021" s="55"/>
      <c r="D1021" s="205"/>
      <c r="E1021" s="172"/>
      <c r="F1021" s="212"/>
      <c r="G1021" s="172"/>
      <c r="H1021" s="205"/>
      <c r="I1021" s="172"/>
      <c r="J1021" s="46"/>
      <c r="K1021" s="46"/>
      <c r="L1021" s="46"/>
      <c r="M1021" s="46"/>
      <c r="N1021" s="46"/>
      <c r="O1021" s="46"/>
      <c r="P1021" s="46"/>
      <c r="Q1021" s="46"/>
      <c r="R1021" s="46"/>
      <c r="S1021" s="46"/>
      <c r="T1021" s="46"/>
      <c r="U1021" s="46"/>
      <c r="V1021" s="46"/>
      <c r="W1021" s="46"/>
    </row>
    <row r="1022">
      <c r="A1022" s="55"/>
      <c r="B1022" s="205"/>
      <c r="C1022" s="55"/>
      <c r="D1022" s="205"/>
      <c r="E1022" s="172"/>
      <c r="F1022" s="212"/>
      <c r="G1022" s="172"/>
      <c r="H1022" s="205"/>
      <c r="I1022" s="172"/>
      <c r="J1022" s="46"/>
      <c r="K1022" s="46"/>
      <c r="L1022" s="46"/>
      <c r="M1022" s="46"/>
      <c r="N1022" s="46"/>
      <c r="O1022" s="46"/>
      <c r="P1022" s="46"/>
      <c r="Q1022" s="46"/>
      <c r="R1022" s="46"/>
      <c r="S1022" s="46"/>
      <c r="T1022" s="46"/>
      <c r="U1022" s="46"/>
      <c r="V1022" s="46"/>
      <c r="W1022" s="46"/>
    </row>
    <row r="1023">
      <c r="A1023" s="55"/>
      <c r="B1023" s="205"/>
      <c r="C1023" s="55"/>
      <c r="D1023" s="205"/>
      <c r="E1023" s="172"/>
      <c r="F1023" s="212"/>
      <c r="G1023" s="172"/>
      <c r="H1023" s="205"/>
      <c r="I1023" s="172"/>
      <c r="J1023" s="46"/>
      <c r="K1023" s="46"/>
      <c r="L1023" s="46"/>
      <c r="M1023" s="46"/>
      <c r="N1023" s="46"/>
      <c r="O1023" s="46"/>
      <c r="P1023" s="46"/>
      <c r="Q1023" s="46"/>
      <c r="R1023" s="46"/>
      <c r="S1023" s="46"/>
      <c r="T1023" s="46"/>
      <c r="U1023" s="46"/>
      <c r="V1023" s="46"/>
      <c r="W1023" s="46"/>
    </row>
    <row r="1024">
      <c r="A1024" s="55"/>
      <c r="B1024" s="205"/>
      <c r="C1024" s="55"/>
      <c r="D1024" s="205"/>
      <c r="E1024" s="172"/>
      <c r="F1024" s="212"/>
      <c r="G1024" s="172"/>
      <c r="H1024" s="205"/>
      <c r="I1024" s="172"/>
      <c r="J1024" s="46"/>
      <c r="K1024" s="46"/>
      <c r="L1024" s="46"/>
      <c r="M1024" s="46"/>
      <c r="N1024" s="46"/>
      <c r="O1024" s="46"/>
      <c r="P1024" s="46"/>
      <c r="Q1024" s="46"/>
      <c r="R1024" s="46"/>
      <c r="S1024" s="46"/>
      <c r="T1024" s="46"/>
      <c r="U1024" s="46"/>
      <c r="V1024" s="46"/>
      <c r="W1024" s="46"/>
    </row>
    <row r="1025">
      <c r="A1025" s="55"/>
      <c r="B1025" s="205"/>
      <c r="C1025" s="55"/>
      <c r="D1025" s="205"/>
      <c r="E1025" s="172"/>
      <c r="F1025" s="212"/>
      <c r="G1025" s="172"/>
      <c r="H1025" s="205"/>
      <c r="I1025" s="172"/>
      <c r="J1025" s="46"/>
      <c r="K1025" s="46"/>
      <c r="L1025" s="46"/>
      <c r="M1025" s="46"/>
      <c r="N1025" s="46"/>
      <c r="O1025" s="46"/>
      <c r="P1025" s="46"/>
      <c r="Q1025" s="46"/>
      <c r="R1025" s="46"/>
      <c r="S1025" s="46"/>
      <c r="T1025" s="46"/>
      <c r="U1025" s="46"/>
      <c r="V1025" s="46"/>
      <c r="W1025" s="46"/>
    </row>
    <row r="1026">
      <c r="A1026" s="55"/>
      <c r="B1026" s="205"/>
      <c r="C1026" s="55"/>
      <c r="D1026" s="205"/>
      <c r="E1026" s="172"/>
      <c r="F1026" s="212"/>
      <c r="G1026" s="172"/>
      <c r="H1026" s="205"/>
      <c r="I1026" s="172"/>
      <c r="J1026" s="46"/>
      <c r="K1026" s="46"/>
      <c r="L1026" s="46"/>
      <c r="M1026" s="46"/>
      <c r="N1026" s="46"/>
      <c r="O1026" s="46"/>
      <c r="P1026" s="46"/>
      <c r="Q1026" s="46"/>
      <c r="R1026" s="46"/>
      <c r="S1026" s="46"/>
      <c r="T1026" s="46"/>
      <c r="U1026" s="46"/>
      <c r="V1026" s="46"/>
      <c r="W1026" s="46"/>
    </row>
    <row r="1027">
      <c r="A1027" s="55"/>
      <c r="B1027" s="205"/>
      <c r="C1027" s="55"/>
      <c r="D1027" s="205"/>
      <c r="E1027" s="172"/>
      <c r="F1027" s="212"/>
      <c r="G1027" s="172"/>
      <c r="H1027" s="205"/>
      <c r="I1027" s="172"/>
      <c r="J1027" s="46"/>
      <c r="K1027" s="46"/>
      <c r="L1027" s="46"/>
      <c r="M1027" s="46"/>
      <c r="N1027" s="46"/>
      <c r="O1027" s="46"/>
      <c r="P1027" s="46"/>
      <c r="Q1027" s="46"/>
      <c r="R1027" s="46"/>
      <c r="S1027" s="46"/>
      <c r="T1027" s="46"/>
      <c r="U1027" s="46"/>
      <c r="V1027" s="46"/>
      <c r="W1027" s="46"/>
    </row>
    <row r="1028">
      <c r="A1028" s="55"/>
      <c r="B1028" s="205"/>
      <c r="C1028" s="55"/>
      <c r="D1028" s="205"/>
      <c r="E1028" s="172"/>
      <c r="F1028" s="212"/>
      <c r="G1028" s="172"/>
      <c r="H1028" s="205"/>
      <c r="I1028" s="172"/>
      <c r="J1028" s="46"/>
      <c r="K1028" s="46"/>
      <c r="L1028" s="46"/>
      <c r="M1028" s="46"/>
      <c r="N1028" s="46"/>
      <c r="O1028" s="46"/>
      <c r="P1028" s="46"/>
      <c r="Q1028" s="46"/>
      <c r="R1028" s="46"/>
      <c r="S1028" s="46"/>
      <c r="T1028" s="46"/>
      <c r="U1028" s="46"/>
      <c r="V1028" s="46"/>
      <c r="W1028" s="46"/>
    </row>
    <row r="1029">
      <c r="A1029" s="55"/>
      <c r="B1029" s="205"/>
      <c r="C1029" s="55"/>
      <c r="D1029" s="205"/>
      <c r="E1029" s="172"/>
      <c r="F1029" s="212"/>
      <c r="G1029" s="172"/>
      <c r="H1029" s="205"/>
      <c r="I1029" s="172"/>
      <c r="J1029" s="46"/>
      <c r="K1029" s="46"/>
      <c r="L1029" s="46"/>
      <c r="M1029" s="46"/>
      <c r="N1029" s="46"/>
      <c r="O1029" s="46"/>
      <c r="P1029" s="46"/>
      <c r="Q1029" s="46"/>
      <c r="R1029" s="46"/>
      <c r="S1029" s="46"/>
      <c r="T1029" s="46"/>
      <c r="U1029" s="46"/>
      <c r="V1029" s="46"/>
      <c r="W1029" s="46"/>
    </row>
    <row r="1030">
      <c r="A1030" s="55"/>
      <c r="B1030" s="205"/>
      <c r="C1030" s="55"/>
      <c r="D1030" s="205"/>
      <c r="E1030" s="172"/>
      <c r="F1030" s="212"/>
      <c r="G1030" s="172"/>
      <c r="H1030" s="205"/>
      <c r="I1030" s="172"/>
      <c r="J1030" s="46"/>
      <c r="K1030" s="46"/>
      <c r="L1030" s="46"/>
      <c r="M1030" s="46"/>
      <c r="N1030" s="46"/>
      <c r="O1030" s="46"/>
      <c r="P1030" s="46"/>
      <c r="Q1030" s="46"/>
      <c r="R1030" s="46"/>
      <c r="S1030" s="46"/>
      <c r="T1030" s="46"/>
      <c r="U1030" s="46"/>
      <c r="V1030" s="46"/>
      <c r="W1030" s="46"/>
    </row>
    <row r="1031">
      <c r="A1031" s="55"/>
      <c r="B1031" s="205"/>
      <c r="C1031" s="55"/>
      <c r="D1031" s="205"/>
      <c r="E1031" s="172"/>
      <c r="F1031" s="212"/>
      <c r="G1031" s="172"/>
      <c r="H1031" s="205"/>
      <c r="I1031" s="172"/>
      <c r="J1031" s="46"/>
      <c r="K1031" s="46"/>
      <c r="L1031" s="46"/>
      <c r="M1031" s="46"/>
      <c r="N1031" s="46"/>
      <c r="O1031" s="46"/>
      <c r="P1031" s="46"/>
      <c r="Q1031" s="46"/>
      <c r="R1031" s="46"/>
      <c r="S1031" s="46"/>
      <c r="T1031" s="46"/>
      <c r="U1031" s="46"/>
      <c r="V1031" s="46"/>
      <c r="W1031" s="46"/>
    </row>
    <row r="1032">
      <c r="A1032" s="55"/>
      <c r="B1032" s="205"/>
      <c r="C1032" s="55"/>
      <c r="D1032" s="205"/>
      <c r="E1032" s="172"/>
      <c r="F1032" s="212"/>
      <c r="G1032" s="172"/>
      <c r="H1032" s="205"/>
      <c r="I1032" s="172"/>
      <c r="J1032" s="46"/>
      <c r="K1032" s="46"/>
      <c r="L1032" s="46"/>
      <c r="M1032" s="46"/>
      <c r="N1032" s="46"/>
      <c r="O1032" s="46"/>
      <c r="P1032" s="46"/>
      <c r="Q1032" s="46"/>
      <c r="R1032" s="46"/>
      <c r="S1032" s="46"/>
      <c r="T1032" s="46"/>
      <c r="U1032" s="46"/>
      <c r="V1032" s="46"/>
      <c r="W1032" s="46"/>
    </row>
    <row r="1033">
      <c r="A1033" s="55"/>
      <c r="B1033" s="205"/>
      <c r="C1033" s="55"/>
      <c r="D1033" s="205"/>
      <c r="E1033" s="172"/>
      <c r="F1033" s="212"/>
      <c r="G1033" s="172"/>
      <c r="H1033" s="205"/>
      <c r="I1033" s="172"/>
      <c r="J1033" s="46"/>
      <c r="K1033" s="46"/>
      <c r="L1033" s="46"/>
      <c r="M1033" s="46"/>
      <c r="N1033" s="46"/>
      <c r="O1033" s="46"/>
      <c r="P1033" s="46"/>
      <c r="Q1033" s="46"/>
      <c r="R1033" s="46"/>
      <c r="S1033" s="46"/>
      <c r="T1033" s="46"/>
      <c r="U1033" s="46"/>
      <c r="V1033" s="46"/>
      <c r="W1033" s="46"/>
    </row>
    <row r="1034">
      <c r="A1034" s="55"/>
      <c r="B1034" s="205"/>
      <c r="C1034" s="55"/>
      <c r="D1034" s="205"/>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5"/>
      <c r="C1035" s="55"/>
      <c r="D1035" s="205"/>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5"/>
      <c r="C1036" s="55"/>
      <c r="D1036" s="205"/>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5"/>
      <c r="C1037" s="55"/>
      <c r="D1037" s="205"/>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3" t="s">
        <v>3558</v>
      </c>
      <c r="B1" s="214"/>
      <c r="C1" s="214"/>
      <c r="D1" s="214"/>
      <c r="E1" s="215"/>
      <c r="F1" s="213"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4"/>
      <c r="H1" s="214"/>
      <c r="I1" s="215"/>
      <c r="J1" s="213"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4"/>
      <c r="L1" s="214"/>
      <c r="M1" s="215"/>
      <c r="N1" s="213" t="s">
        <v>3559</v>
      </c>
      <c r="O1" s="214"/>
      <c r="P1" s="214"/>
      <c r="Q1" s="214"/>
      <c r="R1" s="215"/>
      <c r="S1" s="216"/>
      <c r="T1" s="214"/>
      <c r="U1" s="214"/>
      <c r="V1" s="215"/>
      <c r="W1" s="217"/>
      <c r="X1" s="217"/>
      <c r="Y1" s="217"/>
      <c r="Z1" s="217"/>
      <c r="AA1" s="217"/>
      <c r="AB1" s="217"/>
    </row>
    <row r="2" ht="22.5" customHeight="1">
      <c r="A2" s="218"/>
      <c r="B2" s="219"/>
      <c r="C2" s="219"/>
      <c r="D2" s="219"/>
      <c r="E2" s="220"/>
      <c r="F2" s="218"/>
      <c r="G2" s="219"/>
      <c r="H2" s="219"/>
      <c r="I2" s="220"/>
      <c r="J2" s="218"/>
      <c r="K2" s="219"/>
      <c r="L2" s="219"/>
      <c r="M2" s="220"/>
      <c r="N2" s="218"/>
      <c r="O2" s="219"/>
      <c r="P2" s="219"/>
      <c r="Q2" s="219"/>
      <c r="R2" s="220"/>
      <c r="S2" s="218"/>
      <c r="T2" s="219"/>
      <c r="U2" s="219"/>
      <c r="V2" s="220"/>
      <c r="W2" s="217"/>
      <c r="X2" s="217"/>
      <c r="Y2" s="217"/>
      <c r="Z2" s="217"/>
      <c r="AA2" s="217"/>
      <c r="AB2" s="217"/>
    </row>
    <row r="3" ht="26.25" customHeight="1">
      <c r="A3" s="221" t="s">
        <v>42</v>
      </c>
      <c r="E3" s="222"/>
      <c r="F3" s="221" t="s">
        <v>3560</v>
      </c>
      <c r="I3" s="222"/>
      <c r="J3" s="221" t="s">
        <v>3561</v>
      </c>
      <c r="M3" s="222"/>
      <c r="N3" s="221" t="s">
        <v>3562</v>
      </c>
      <c r="R3" s="222"/>
      <c r="S3" s="223"/>
      <c r="T3" s="214"/>
      <c r="U3" s="214"/>
      <c r="V3" s="215"/>
      <c r="W3" s="14"/>
      <c r="X3" s="14"/>
      <c r="Y3" s="14"/>
      <c r="Z3" s="14"/>
      <c r="AA3" s="14"/>
      <c r="AB3" s="14"/>
    </row>
    <row r="4" ht="26.25" customHeight="1">
      <c r="A4" s="219"/>
      <c r="B4" s="219"/>
      <c r="C4" s="219"/>
      <c r="D4" s="219"/>
      <c r="E4" s="220"/>
      <c r="F4" s="219"/>
      <c r="G4" s="219"/>
      <c r="H4" s="219"/>
      <c r="I4" s="220"/>
      <c r="J4" s="219"/>
      <c r="K4" s="219"/>
      <c r="L4" s="219"/>
      <c r="M4" s="220"/>
      <c r="N4" s="219"/>
      <c r="O4" s="219"/>
      <c r="P4" s="219"/>
      <c r="Q4" s="219"/>
      <c r="R4" s="220"/>
      <c r="S4" s="218"/>
      <c r="T4" s="219"/>
      <c r="U4" s="219"/>
      <c r="V4" s="220"/>
      <c r="W4" s="14"/>
      <c r="X4" s="14"/>
      <c r="Y4" s="14"/>
      <c r="Z4" s="14"/>
      <c r="AA4" s="14"/>
      <c r="AB4" s="14"/>
    </row>
    <row r="5">
      <c r="A5" s="224" t="s">
        <v>3563</v>
      </c>
      <c r="B5" s="225"/>
      <c r="C5" s="225"/>
      <c r="D5" s="225"/>
      <c r="E5" s="226"/>
      <c r="F5" s="224" t="str">
        <f>IFERROR(__xludf.DUMMYFUNCTION("GOOGLETRANSLATE(A5,""zh-tw"",""ja"")"),"野生地域")</f>
        <v>野生地域</v>
      </c>
      <c r="G5" s="225"/>
      <c r="H5" s="225"/>
      <c r="I5" s="226"/>
      <c r="J5" s="224" t="s">
        <v>3564</v>
      </c>
      <c r="K5" s="225"/>
      <c r="L5" s="225"/>
      <c r="M5" s="226"/>
      <c r="N5" s="227" t="s">
        <v>3565</v>
      </c>
      <c r="O5" s="225"/>
      <c r="P5" s="225"/>
      <c r="Q5" s="225"/>
      <c r="R5" s="226"/>
      <c r="S5" s="228"/>
      <c r="T5" s="225"/>
      <c r="U5" s="225"/>
      <c r="V5" s="226"/>
      <c r="W5" s="229"/>
      <c r="X5" s="229"/>
      <c r="Y5" s="229"/>
      <c r="Z5" s="229"/>
      <c r="AA5" s="229"/>
      <c r="AB5" s="229"/>
    </row>
    <row r="6" ht="53.25" customHeight="1">
      <c r="A6" s="230" t="s">
        <v>723</v>
      </c>
      <c r="B6" s="230" t="s">
        <v>723</v>
      </c>
      <c r="C6" s="230" t="s">
        <v>723</v>
      </c>
      <c r="D6" s="230" t="s">
        <v>723</v>
      </c>
      <c r="E6" s="231" t="s">
        <v>3566</v>
      </c>
      <c r="F6" s="232" t="s">
        <v>723</v>
      </c>
      <c r="G6" s="233" t="s">
        <v>723</v>
      </c>
      <c r="H6" s="234" t="s">
        <v>3567</v>
      </c>
      <c r="I6" s="232" t="s">
        <v>723</v>
      </c>
      <c r="J6" s="235" t="s">
        <v>723</v>
      </c>
      <c r="K6" s="236" t="s">
        <v>723</v>
      </c>
      <c r="L6" s="235" t="s">
        <v>723</v>
      </c>
      <c r="M6" s="237" t="s">
        <v>3568</v>
      </c>
      <c r="N6" s="238" t="s">
        <v>723</v>
      </c>
      <c r="O6" s="238" t="s">
        <v>723</v>
      </c>
      <c r="P6" s="239" t="s">
        <v>723</v>
      </c>
      <c r="Q6" s="239" t="s">
        <v>723</v>
      </c>
      <c r="R6" s="240" t="s">
        <v>3569</v>
      </c>
      <c r="S6" s="241"/>
      <c r="T6" s="242"/>
      <c r="U6" s="242"/>
      <c r="V6" s="243"/>
      <c r="W6" s="244"/>
      <c r="X6" s="244"/>
      <c r="Y6" s="244"/>
      <c r="Z6" s="244"/>
      <c r="AA6" s="244"/>
    </row>
    <row r="7" ht="75.0" customHeight="1">
      <c r="A7" s="230" t="s">
        <v>723</v>
      </c>
      <c r="B7" s="230" t="s">
        <v>723</v>
      </c>
      <c r="C7" s="230" t="s">
        <v>3570</v>
      </c>
      <c r="D7" s="245" t="s">
        <v>3571</v>
      </c>
      <c r="E7" s="246" t="s">
        <v>3572</v>
      </c>
      <c r="F7" s="232" t="str">
        <f>IFERROR(__xludf.DUMMYFUNCTION("GOOGLETRANSLATE(B7,""zh-tw"",""ja"")"),"-")</f>
        <v>-</v>
      </c>
      <c r="G7" s="233" t="s">
        <v>3573</v>
      </c>
      <c r="H7" s="247" t="s">
        <v>3574</v>
      </c>
      <c r="I7" s="232" t="str">
        <f>IFERROR(__xludf.DUMMYFUNCTION("GOOGLETRANSLATE(#REF!,""zh-tw"",""ja"")"),"#REF!")</f>
        <v>#REF!</v>
      </c>
      <c r="J7" s="235" t="str">
        <f>IFERROR(__xludf.DUMMYFUNCTION("GOOGLETRANSLATE(B7,""zh-tw"",""en"")"),"-")</f>
        <v>-</v>
      </c>
      <c r="K7" s="236" t="s">
        <v>3575</v>
      </c>
      <c r="L7" s="235" t="str">
        <f>IFERROR(__xludf.DUMMYFUNCTION("GOOGLETRANSLATE(D7,""zh-tw"",""en"")"),"Development Area (Mine)-2")</f>
        <v>Development Area (Mine)-2</v>
      </c>
      <c r="M7" s="248" t="s">
        <v>3576</v>
      </c>
      <c r="N7" s="238" t="s">
        <v>723</v>
      </c>
      <c r="O7" s="238" t="str">
        <f>IFERROR(__xludf.DUMMYFUNCTION("GOOGLETRANSLATE(B7,""zh-tw"",""zh"")"),"-")</f>
        <v>-</v>
      </c>
      <c r="P7" s="239" t="s">
        <v>3577</v>
      </c>
      <c r="Q7" s="249" t="s">
        <v>723</v>
      </c>
      <c r="R7" s="250" t="s">
        <v>3578</v>
      </c>
      <c r="S7" s="241"/>
      <c r="T7" s="242"/>
      <c r="U7" s="242"/>
      <c r="V7" s="251"/>
      <c r="W7" s="244"/>
      <c r="X7" s="244"/>
      <c r="Y7" s="244"/>
      <c r="Z7" s="244"/>
      <c r="AA7" s="244"/>
    </row>
    <row r="8">
      <c r="A8" s="230" t="s">
        <v>723</v>
      </c>
      <c r="B8" s="231" t="s">
        <v>3579</v>
      </c>
      <c r="C8" s="231" t="s">
        <v>3580</v>
      </c>
      <c r="D8" s="231" t="s">
        <v>3581</v>
      </c>
      <c r="E8" s="230" t="s">
        <v>3582</v>
      </c>
      <c r="F8" s="234" t="s">
        <v>3583</v>
      </c>
      <c r="G8" s="234" t="s">
        <v>3584</v>
      </c>
      <c r="H8" s="232" t="s">
        <v>3585</v>
      </c>
      <c r="I8" s="232" t="str">
        <f>IFERROR(__xludf.DUMMYFUNCTION("GOOGLETRANSLATE(#REF!,""zh-tw"",""ja"")"),"#REF!")</f>
        <v>#REF!</v>
      </c>
      <c r="J8" s="237" t="s">
        <v>3586</v>
      </c>
      <c r="K8" s="237" t="s">
        <v>3587</v>
      </c>
      <c r="L8" s="235" t="s">
        <v>3588</v>
      </c>
      <c r="M8" s="235" t="s">
        <v>3588</v>
      </c>
      <c r="N8" s="238" t="s">
        <v>723</v>
      </c>
      <c r="O8" s="240" t="s">
        <v>3589</v>
      </c>
      <c r="P8" s="240" t="s">
        <v>3590</v>
      </c>
      <c r="Q8" s="240" t="s">
        <v>3591</v>
      </c>
      <c r="R8" s="238" t="s">
        <v>3592</v>
      </c>
      <c r="S8" s="252"/>
      <c r="T8" s="242"/>
      <c r="U8" s="242"/>
      <c r="V8" s="242"/>
      <c r="W8" s="244"/>
      <c r="X8" s="244"/>
      <c r="Y8" s="244"/>
      <c r="Z8" s="244"/>
      <c r="AA8" s="244"/>
    </row>
    <row r="9">
      <c r="A9" s="230" t="s">
        <v>723</v>
      </c>
      <c r="B9" s="231" t="s">
        <v>3593</v>
      </c>
      <c r="C9" s="231" t="s">
        <v>3594</v>
      </c>
      <c r="D9" s="245" t="s">
        <v>723</v>
      </c>
      <c r="E9" s="253" t="s">
        <v>3595</v>
      </c>
      <c r="F9" s="234" t="s">
        <v>3596</v>
      </c>
      <c r="G9" s="234" t="s">
        <v>3597</v>
      </c>
      <c r="H9" s="234" t="s">
        <v>3598</v>
      </c>
      <c r="I9" s="232" t="s">
        <v>723</v>
      </c>
      <c r="J9" s="237" t="s">
        <v>3599</v>
      </c>
      <c r="K9" s="237" t="s">
        <v>3600</v>
      </c>
      <c r="L9" s="236" t="s">
        <v>723</v>
      </c>
      <c r="M9" s="237" t="s">
        <v>3601</v>
      </c>
      <c r="N9" s="238" t="s">
        <v>723</v>
      </c>
      <c r="O9" s="240" t="s">
        <v>3602</v>
      </c>
      <c r="P9" s="240" t="s">
        <v>3603</v>
      </c>
      <c r="Q9" s="239" t="s">
        <v>723</v>
      </c>
      <c r="R9" s="240" t="s">
        <v>3604</v>
      </c>
      <c r="S9" s="241"/>
      <c r="T9" s="242"/>
      <c r="U9" s="242"/>
      <c r="V9" s="242"/>
      <c r="W9" s="244"/>
      <c r="X9" s="244"/>
      <c r="Y9" s="244"/>
      <c r="Z9" s="244"/>
      <c r="AA9" s="244"/>
    </row>
    <row r="10" ht="60.0" customHeight="1">
      <c r="A10" s="230" t="s">
        <v>723</v>
      </c>
      <c r="B10" s="231" t="s">
        <v>3605</v>
      </c>
      <c r="C10" s="254" t="s">
        <v>3606</v>
      </c>
      <c r="D10" s="231" t="s">
        <v>3607</v>
      </c>
      <c r="E10" s="231" t="s">
        <v>3608</v>
      </c>
      <c r="F10" s="234" t="s">
        <v>3609</v>
      </c>
      <c r="G10" s="255" t="s">
        <v>3610</v>
      </c>
      <c r="H10" s="234" t="s">
        <v>3611</v>
      </c>
      <c r="I10" s="233" t="s">
        <v>723</v>
      </c>
      <c r="J10" s="237" t="s">
        <v>3612</v>
      </c>
      <c r="K10" s="256" t="s">
        <v>3613</v>
      </c>
      <c r="L10" s="237" t="s">
        <v>3614</v>
      </c>
      <c r="M10" s="237" t="s">
        <v>3615</v>
      </c>
      <c r="N10" s="238" t="s">
        <v>723</v>
      </c>
      <c r="O10" s="257" t="s">
        <v>3616</v>
      </c>
      <c r="P10" s="258" t="s">
        <v>3617</v>
      </c>
      <c r="Q10" s="240" t="s">
        <v>3618</v>
      </c>
      <c r="R10" s="259" t="s">
        <v>3619</v>
      </c>
      <c r="S10" s="241"/>
      <c r="T10" s="260"/>
      <c r="U10" s="242"/>
      <c r="V10" s="242"/>
      <c r="W10" s="261"/>
      <c r="X10" s="261"/>
      <c r="Y10" s="261"/>
      <c r="Z10" s="261"/>
      <c r="AA10" s="261"/>
    </row>
    <row r="11" ht="65.25" customHeight="1">
      <c r="A11" s="230" t="s">
        <v>723</v>
      </c>
      <c r="B11" s="231" t="s">
        <v>3620</v>
      </c>
      <c r="C11" s="262"/>
      <c r="D11" s="246" t="s">
        <v>3621</v>
      </c>
      <c r="E11" s="246" t="s">
        <v>3622</v>
      </c>
      <c r="F11" s="234" t="s">
        <v>3623</v>
      </c>
      <c r="G11" s="262"/>
      <c r="H11" s="234" t="s">
        <v>3624</v>
      </c>
      <c r="I11" s="234" t="s">
        <v>3625</v>
      </c>
      <c r="J11" s="237" t="s">
        <v>3626</v>
      </c>
      <c r="K11" s="262"/>
      <c r="L11" s="237" t="s">
        <v>3627</v>
      </c>
      <c r="M11" s="237" t="s">
        <v>3628</v>
      </c>
      <c r="N11" s="238" t="s">
        <v>723</v>
      </c>
      <c r="O11" s="240" t="s">
        <v>3629</v>
      </c>
      <c r="P11" s="262"/>
      <c r="Q11" s="240" t="s">
        <v>3630</v>
      </c>
      <c r="R11" s="240" t="s">
        <v>3631</v>
      </c>
      <c r="S11" s="241"/>
      <c r="T11" s="220"/>
      <c r="U11" s="242"/>
      <c r="V11" s="242"/>
      <c r="W11" s="263"/>
      <c r="X11" s="263"/>
      <c r="Y11" s="263"/>
      <c r="Z11" s="263"/>
      <c r="AA11" s="263"/>
    </row>
    <row r="12">
      <c r="A12" s="230" t="s">
        <v>723</v>
      </c>
      <c r="B12" s="231" t="s">
        <v>3632</v>
      </c>
      <c r="C12" s="230" t="s">
        <v>3633</v>
      </c>
      <c r="D12" s="231" t="s">
        <v>3634</v>
      </c>
      <c r="E12" s="246" t="s">
        <v>3635</v>
      </c>
      <c r="F12" s="234" t="s">
        <v>3636</v>
      </c>
      <c r="G12" s="232" t="s">
        <v>3637</v>
      </c>
      <c r="H12" s="232" t="str">
        <f>IFERROR(__xludf.DUMMYFUNCTION("GOOGLETRANSLATE(D12,""zh-tw"",""ja"")"),"▲
ハンターズ・ロッジ
R69
▼")</f>
        <v>▲
ハンターズ・ロッジ
R69
▼</v>
      </c>
      <c r="I12" s="232" t="str">
        <f>IFERROR(__xludf.DUMMYFUNCTION("GOOGLETRANSLATE(#REF!,""zh-tw"",""ja"")"),"#REF!")</f>
        <v>#REF!</v>
      </c>
      <c r="J12" s="237" t="s">
        <v>3638</v>
      </c>
      <c r="K12" s="235" t="s">
        <v>3639</v>
      </c>
      <c r="L12" s="235" t="s">
        <v>3640</v>
      </c>
      <c r="M12" s="237" t="s">
        <v>3641</v>
      </c>
      <c r="N12" s="238" t="s">
        <v>723</v>
      </c>
      <c r="O12" s="240" t="s">
        <v>3642</v>
      </c>
      <c r="P12" s="238" t="str">
        <f>IFERROR(__xludf.DUMMYFUNCTION("GOOGLETRANSLATE(C12,""zh-tw"",""zh"")"),"提前回家
R1")</f>
        <v>提前回家
R1</v>
      </c>
      <c r="Q12" s="240" t="s">
        <v>3643</v>
      </c>
      <c r="R12" s="240" t="s">
        <v>3644</v>
      </c>
      <c r="S12" s="241"/>
      <c r="T12" s="242"/>
      <c r="U12" s="242"/>
      <c r="V12" s="242"/>
      <c r="W12" s="244"/>
      <c r="X12" s="244"/>
      <c r="Y12" s="244"/>
      <c r="Z12" s="244"/>
      <c r="AA12" s="244"/>
    </row>
    <row r="13">
      <c r="A13" s="230" t="s">
        <v>723</v>
      </c>
      <c r="B13" s="231" t="s">
        <v>3645</v>
      </c>
      <c r="C13" s="230" t="s">
        <v>3646</v>
      </c>
      <c r="D13" s="231" t="s">
        <v>3647</v>
      </c>
      <c r="E13" s="230" t="s">
        <v>723</v>
      </c>
      <c r="F13" s="233"/>
      <c r="G13" s="232"/>
      <c r="H13" s="232"/>
      <c r="I13" s="232"/>
      <c r="J13" s="237" t="s">
        <v>3648</v>
      </c>
      <c r="K13" s="235" t="s">
        <v>3649</v>
      </c>
      <c r="L13" s="235" t="s">
        <v>3650</v>
      </c>
      <c r="M13" s="235"/>
      <c r="N13" s="238" t="s">
        <v>723</v>
      </c>
      <c r="O13" s="240" t="s">
        <v>3651</v>
      </c>
      <c r="P13" s="238" t="s">
        <v>3652</v>
      </c>
      <c r="Q13" s="240" t="s">
        <v>3653</v>
      </c>
      <c r="R13" s="238" t="s">
        <v>723</v>
      </c>
      <c r="S13" s="241"/>
      <c r="T13" s="242"/>
      <c r="U13" s="242"/>
      <c r="V13" s="264"/>
      <c r="W13" s="244"/>
      <c r="X13" s="244"/>
      <c r="Y13" s="244"/>
      <c r="Z13" s="244"/>
      <c r="AA13" s="244"/>
    </row>
    <row r="14">
      <c r="A14" s="230" t="s">
        <v>723</v>
      </c>
      <c r="B14" s="231" t="s">
        <v>3654</v>
      </c>
      <c r="C14" s="230" t="s">
        <v>2588</v>
      </c>
      <c r="D14" s="230" t="s">
        <v>723</v>
      </c>
      <c r="E14" s="230" t="s">
        <v>723</v>
      </c>
      <c r="F14" s="233"/>
      <c r="G14" s="232"/>
      <c r="H14" s="232"/>
      <c r="I14" s="232"/>
      <c r="J14" s="237" t="s">
        <v>3655</v>
      </c>
      <c r="K14" s="235" t="s">
        <v>2594</v>
      </c>
      <c r="L14" s="235"/>
      <c r="M14" s="235"/>
      <c r="N14" s="238" t="s">
        <v>723</v>
      </c>
      <c r="O14" s="240" t="s">
        <v>3656</v>
      </c>
      <c r="P14" s="238" t="s">
        <v>3657</v>
      </c>
      <c r="Q14" s="238" t="s">
        <v>723</v>
      </c>
      <c r="R14" s="238" t="s">
        <v>723</v>
      </c>
      <c r="S14" s="265"/>
      <c r="T14" s="242"/>
      <c r="U14" s="264"/>
      <c r="V14" s="264"/>
      <c r="W14" s="244"/>
      <c r="X14" s="244"/>
      <c r="Y14" s="244"/>
      <c r="Z14" s="244"/>
      <c r="AA14" s="244"/>
    </row>
    <row r="15">
      <c r="A15" s="230" t="s">
        <v>3658</v>
      </c>
      <c r="B15" s="231" t="s">
        <v>3659</v>
      </c>
      <c r="C15" s="230" t="s">
        <v>3660</v>
      </c>
      <c r="D15" s="230" t="s">
        <v>723</v>
      </c>
      <c r="E15" s="230" t="s">
        <v>723</v>
      </c>
      <c r="F15" s="233"/>
      <c r="G15" s="232"/>
      <c r="H15" s="232"/>
      <c r="I15" s="232"/>
      <c r="J15" s="237" t="s">
        <v>3661</v>
      </c>
      <c r="K15" s="235" t="s">
        <v>3662</v>
      </c>
      <c r="L15" s="235"/>
      <c r="M15" s="235"/>
      <c r="N15" s="238" t="s">
        <v>3663</v>
      </c>
      <c r="O15" s="240" t="s">
        <v>3664</v>
      </c>
      <c r="P15" s="238" t="s">
        <v>3663</v>
      </c>
      <c r="Q15" s="238" t="s">
        <v>723</v>
      </c>
      <c r="R15" s="238" t="s">
        <v>723</v>
      </c>
      <c r="S15" s="241"/>
      <c r="T15" s="242"/>
      <c r="U15" s="264"/>
      <c r="V15" s="264"/>
      <c r="W15" s="244"/>
      <c r="X15" s="244"/>
      <c r="Y15" s="244"/>
      <c r="Z15" s="244"/>
      <c r="AA15" s="244"/>
    </row>
    <row r="16">
      <c r="A16" s="224" t="s">
        <v>3570</v>
      </c>
      <c r="B16" s="225"/>
      <c r="C16" s="225"/>
      <c r="D16" s="225"/>
      <c r="E16" s="226"/>
      <c r="F16" s="224" t="str">
        <f>IFERROR(__xludf.DUMMYFUNCTION("GOOGLETRANSLATE(A16,""zh-tw"",""ja"")"),"遺跡エリア")</f>
        <v>遺跡エリア</v>
      </c>
      <c r="G16" s="225"/>
      <c r="H16" s="225"/>
      <c r="I16" s="226"/>
      <c r="J16" s="224" t="s">
        <v>3665</v>
      </c>
      <c r="K16" s="225"/>
      <c r="L16" s="225"/>
      <c r="M16" s="226"/>
      <c r="N16" s="224" t="s">
        <v>3577</v>
      </c>
      <c r="O16" s="225"/>
      <c r="P16" s="225"/>
      <c r="Q16" s="225"/>
      <c r="R16" s="226"/>
      <c r="S16" s="266"/>
      <c r="T16" s="219"/>
      <c r="U16" s="219"/>
      <c r="V16" s="220"/>
      <c r="W16" s="267"/>
      <c r="X16" s="267"/>
      <c r="Y16" s="267"/>
      <c r="Z16" s="267"/>
      <c r="AA16" s="267"/>
      <c r="AB16" s="267"/>
    </row>
    <row r="17">
      <c r="A17" s="230" t="s">
        <v>723</v>
      </c>
      <c r="B17" s="230" t="s">
        <v>723</v>
      </c>
      <c r="C17" s="231" t="s">
        <v>3666</v>
      </c>
      <c r="D17" s="230" t="s">
        <v>723</v>
      </c>
      <c r="E17" s="230" t="s">
        <v>723</v>
      </c>
      <c r="F17" s="232"/>
      <c r="G17" s="268" t="s">
        <v>3667</v>
      </c>
      <c r="H17" s="269"/>
      <c r="I17" s="269"/>
      <c r="J17" s="270"/>
      <c r="K17" s="271" t="s">
        <v>3668</v>
      </c>
      <c r="L17" s="270"/>
      <c r="M17" s="270"/>
      <c r="N17" s="272" t="s">
        <v>723</v>
      </c>
      <c r="O17" s="272" t="s">
        <v>723</v>
      </c>
      <c r="P17" s="273" t="s">
        <v>3669</v>
      </c>
      <c r="Q17" s="272" t="s">
        <v>723</v>
      </c>
      <c r="R17" s="272" t="s">
        <v>723</v>
      </c>
      <c r="S17" s="274"/>
      <c r="T17" s="275"/>
      <c r="U17" s="264"/>
      <c r="V17" s="264"/>
      <c r="W17" s="276"/>
      <c r="X17" s="276"/>
      <c r="Y17" s="276"/>
      <c r="Z17" s="276"/>
      <c r="AA17" s="276"/>
      <c r="AB17" s="276"/>
    </row>
    <row r="18">
      <c r="A18" s="230" t="s">
        <v>723</v>
      </c>
      <c r="B18" s="231" t="s">
        <v>3670</v>
      </c>
      <c r="C18" s="231" t="s">
        <v>3671</v>
      </c>
      <c r="D18" s="230" t="s">
        <v>723</v>
      </c>
      <c r="E18" s="230" t="s">
        <v>723</v>
      </c>
      <c r="F18" s="234" t="s">
        <v>3672</v>
      </c>
      <c r="G18" s="234" t="s">
        <v>3673</v>
      </c>
      <c r="H18" s="269"/>
      <c r="I18" s="269"/>
      <c r="J18" s="277" t="s">
        <v>3674</v>
      </c>
      <c r="K18" s="278" t="s">
        <v>3675</v>
      </c>
      <c r="L18" s="270"/>
      <c r="M18" s="270"/>
      <c r="N18" s="272" t="s">
        <v>723</v>
      </c>
      <c r="O18" s="279" t="s">
        <v>3676</v>
      </c>
      <c r="P18" s="279" t="s">
        <v>3677</v>
      </c>
      <c r="Q18" s="272" t="s">
        <v>723</v>
      </c>
      <c r="R18" s="272" t="s">
        <v>723</v>
      </c>
      <c r="S18" s="252"/>
      <c r="T18" s="242"/>
      <c r="U18" s="264"/>
      <c r="V18" s="264"/>
      <c r="W18" s="276"/>
      <c r="X18" s="276"/>
      <c r="Y18" s="276"/>
      <c r="Z18" s="276"/>
      <c r="AA18" s="276"/>
      <c r="AB18" s="276"/>
    </row>
    <row r="19">
      <c r="A19" s="230" t="s">
        <v>723</v>
      </c>
      <c r="B19" s="230" t="s">
        <v>723</v>
      </c>
      <c r="C19" s="280" t="s">
        <v>3678</v>
      </c>
      <c r="D19" s="230" t="s">
        <v>3679</v>
      </c>
      <c r="E19" s="230" t="s">
        <v>723</v>
      </c>
      <c r="F19" s="232"/>
      <c r="G19" s="281" t="s">
        <v>3680</v>
      </c>
      <c r="H19" s="269"/>
      <c r="I19" s="269"/>
      <c r="J19" s="270"/>
      <c r="K19" s="282" t="s">
        <v>3681</v>
      </c>
      <c r="L19" s="270"/>
      <c r="M19" s="270"/>
      <c r="N19" s="272" t="s">
        <v>723</v>
      </c>
      <c r="O19" s="272" t="s">
        <v>723</v>
      </c>
      <c r="P19" s="283" t="s">
        <v>3682</v>
      </c>
      <c r="Q19" s="272" t="s">
        <v>3683</v>
      </c>
      <c r="R19" s="272" t="s">
        <v>723</v>
      </c>
      <c r="S19" s="274"/>
      <c r="T19" s="251"/>
      <c r="U19" s="264"/>
      <c r="V19" s="264"/>
      <c r="W19" s="276"/>
      <c r="X19" s="276"/>
      <c r="Y19" s="276"/>
      <c r="Z19" s="276"/>
      <c r="AA19" s="276"/>
      <c r="AB19" s="276"/>
    </row>
    <row r="20">
      <c r="A20" s="230" t="s">
        <v>723</v>
      </c>
      <c r="B20" s="230" t="s">
        <v>723</v>
      </c>
      <c r="C20" s="280" t="s">
        <v>3684</v>
      </c>
      <c r="D20" s="231" t="s">
        <v>3685</v>
      </c>
      <c r="E20" s="230" t="s">
        <v>723</v>
      </c>
      <c r="F20" s="232"/>
      <c r="G20" s="281" t="s">
        <v>3686</v>
      </c>
      <c r="H20" s="234" t="s">
        <v>3687</v>
      </c>
      <c r="I20" s="269"/>
      <c r="J20" s="270"/>
      <c r="K20" s="284" t="s">
        <v>3688</v>
      </c>
      <c r="L20" s="237" t="s">
        <v>3689</v>
      </c>
      <c r="M20" s="270"/>
      <c r="N20" s="272" t="s">
        <v>723</v>
      </c>
      <c r="O20" s="272" t="s">
        <v>723</v>
      </c>
      <c r="P20" s="285" t="s">
        <v>3690</v>
      </c>
      <c r="Q20" s="279" t="s">
        <v>3691</v>
      </c>
      <c r="R20" s="272" t="s">
        <v>723</v>
      </c>
      <c r="S20" s="274"/>
      <c r="T20" s="242"/>
      <c r="U20" s="243"/>
      <c r="V20" s="264"/>
      <c r="W20" s="276"/>
      <c r="X20" s="276"/>
      <c r="Y20" s="276"/>
      <c r="Z20" s="276"/>
      <c r="AA20" s="276"/>
      <c r="AB20" s="276"/>
    </row>
    <row r="21">
      <c r="A21" s="286" t="s">
        <v>723</v>
      </c>
      <c r="B21" s="286" t="s">
        <v>723</v>
      </c>
      <c r="C21" s="231" t="s">
        <v>3692</v>
      </c>
      <c r="D21" s="230" t="s">
        <v>723</v>
      </c>
      <c r="E21" s="230" t="s">
        <v>723</v>
      </c>
      <c r="F21" s="232"/>
      <c r="G21" s="234" t="s">
        <v>3693</v>
      </c>
      <c r="H21" s="269"/>
      <c r="I21" s="269"/>
      <c r="J21" s="270"/>
      <c r="K21" s="278" t="s">
        <v>3694</v>
      </c>
      <c r="L21" s="270"/>
      <c r="M21" s="270"/>
      <c r="N21" s="272" t="s">
        <v>723</v>
      </c>
      <c r="O21" s="272" t="s">
        <v>723</v>
      </c>
      <c r="P21" s="279" t="s">
        <v>3695</v>
      </c>
      <c r="Q21" s="272" t="s">
        <v>723</v>
      </c>
      <c r="R21" s="272" t="s">
        <v>723</v>
      </c>
      <c r="S21" s="274"/>
      <c r="T21" s="243"/>
      <c r="U21" s="264"/>
      <c r="V21" s="264"/>
      <c r="W21" s="276"/>
      <c r="X21" s="276"/>
      <c r="Y21" s="276"/>
      <c r="Z21" s="276"/>
      <c r="AA21" s="276"/>
      <c r="AB21" s="276"/>
    </row>
    <row r="22">
      <c r="A22" s="287"/>
      <c r="B22" s="287"/>
      <c r="C22" s="287"/>
      <c r="D22" s="287"/>
      <c r="E22" s="287"/>
      <c r="F22" s="287"/>
      <c r="G22" s="287"/>
      <c r="H22" s="17"/>
      <c r="I22" s="17"/>
      <c r="J22" s="17"/>
      <c r="K22" s="287"/>
      <c r="L22" s="287"/>
      <c r="M22" s="287"/>
      <c r="N22" s="17"/>
      <c r="O22" s="17"/>
      <c r="P22" s="287"/>
      <c r="Q22" s="287"/>
      <c r="R22" s="287"/>
      <c r="S22" s="79"/>
      <c r="T22" s="79"/>
      <c r="U22" s="79"/>
      <c r="V22" s="79"/>
      <c r="W22" s="287"/>
      <c r="X22" s="287"/>
      <c r="Y22" s="287"/>
      <c r="Z22" s="287"/>
      <c r="AA22" s="287"/>
      <c r="AB22" s="287"/>
    </row>
    <row r="23">
      <c r="A23" s="287"/>
      <c r="B23" s="287"/>
      <c r="C23" s="287"/>
      <c r="D23" s="288"/>
      <c r="E23" s="288"/>
      <c r="F23" s="287"/>
      <c r="G23" s="287"/>
      <c r="H23" s="17"/>
      <c r="I23" s="17"/>
      <c r="J23" s="17"/>
      <c r="K23" s="287"/>
      <c r="L23" s="287"/>
      <c r="M23" s="287"/>
      <c r="N23" s="17"/>
      <c r="O23" s="17"/>
      <c r="P23" s="287"/>
      <c r="Q23" s="287"/>
      <c r="R23" s="287"/>
      <c r="S23" s="79"/>
      <c r="T23" s="79"/>
      <c r="U23" s="79"/>
      <c r="V23" s="79"/>
      <c r="W23" s="287"/>
      <c r="X23" s="287"/>
      <c r="Y23" s="287"/>
      <c r="Z23" s="287"/>
      <c r="AA23" s="287"/>
      <c r="AB23" s="287"/>
    </row>
    <row r="24">
      <c r="A24" s="287"/>
      <c r="B24" s="287"/>
      <c r="C24" s="287"/>
      <c r="D24" s="287"/>
      <c r="E24" s="287"/>
      <c r="F24" s="287"/>
      <c r="G24" s="287"/>
      <c r="H24" s="17"/>
      <c r="I24" s="17"/>
      <c r="J24" s="17"/>
      <c r="K24" s="287"/>
      <c r="L24" s="287"/>
      <c r="M24" s="287"/>
      <c r="N24" s="17"/>
      <c r="O24" s="17"/>
      <c r="P24" s="287"/>
      <c r="Q24" s="287"/>
      <c r="R24" s="287"/>
      <c r="S24" s="79"/>
      <c r="T24" s="79"/>
      <c r="U24" s="79"/>
      <c r="V24" s="79"/>
      <c r="W24" s="287"/>
      <c r="X24" s="287"/>
      <c r="Y24" s="287"/>
      <c r="Z24" s="287"/>
      <c r="AA24" s="287"/>
      <c r="AB24" s="287"/>
    </row>
    <row r="25">
      <c r="A25" s="287"/>
      <c r="B25" s="287"/>
      <c r="C25" s="287"/>
      <c r="D25" s="17"/>
      <c r="E25" s="287"/>
      <c r="F25" s="287"/>
      <c r="G25" s="287"/>
      <c r="H25" s="17"/>
      <c r="I25" s="17"/>
      <c r="J25" s="17"/>
      <c r="K25" s="287"/>
      <c r="L25" s="287"/>
      <c r="M25" s="287"/>
      <c r="N25" s="17"/>
      <c r="O25" s="17"/>
      <c r="P25" s="287"/>
      <c r="Q25" s="287"/>
      <c r="R25" s="287"/>
      <c r="S25" s="79"/>
      <c r="T25" s="79"/>
      <c r="U25" s="79"/>
      <c r="V25" s="79"/>
      <c r="W25" s="287"/>
      <c r="X25" s="287"/>
      <c r="Y25" s="287"/>
      <c r="Z25" s="287"/>
      <c r="AA25" s="287"/>
      <c r="AB25" s="287"/>
    </row>
    <row r="26">
      <c r="A26" s="287"/>
      <c r="B26" s="287"/>
      <c r="C26" s="17"/>
      <c r="D26" s="17"/>
      <c r="E26" s="287"/>
      <c r="F26" s="287"/>
      <c r="G26" s="287"/>
      <c r="H26" s="17"/>
      <c r="I26" s="17"/>
      <c r="J26" s="17"/>
      <c r="K26" s="287"/>
      <c r="L26" s="287"/>
      <c r="M26" s="287"/>
      <c r="N26" s="17"/>
      <c r="O26" s="17"/>
      <c r="P26" s="287"/>
      <c r="Q26" s="287"/>
      <c r="R26" s="287"/>
      <c r="S26" s="79"/>
      <c r="T26" s="79"/>
      <c r="U26" s="79"/>
      <c r="V26" s="79"/>
      <c r="W26" s="287"/>
      <c r="X26" s="287"/>
      <c r="Y26" s="287"/>
      <c r="Z26" s="287"/>
      <c r="AA26" s="287"/>
      <c r="AB26" s="287"/>
    </row>
    <row r="27">
      <c r="A27" s="287"/>
      <c r="B27" s="287"/>
      <c r="C27" s="17"/>
      <c r="D27" s="17"/>
      <c r="E27" s="287"/>
      <c r="F27" s="287"/>
      <c r="G27" s="287"/>
      <c r="H27" s="17"/>
      <c r="I27" s="17"/>
      <c r="J27" s="17"/>
      <c r="K27" s="287"/>
      <c r="L27" s="287"/>
      <c r="M27" s="287"/>
      <c r="N27" s="17"/>
      <c r="O27" s="17"/>
      <c r="P27" s="287"/>
      <c r="Q27" s="287"/>
      <c r="R27" s="287"/>
      <c r="S27" s="79"/>
      <c r="T27" s="79"/>
      <c r="U27" s="79"/>
      <c r="V27" s="79"/>
      <c r="W27" s="287"/>
      <c r="X27" s="287"/>
      <c r="Y27" s="287"/>
      <c r="Z27" s="287"/>
      <c r="AA27" s="287"/>
      <c r="AB27" s="287"/>
    </row>
    <row r="28">
      <c r="A28" s="287"/>
      <c r="B28" s="287"/>
      <c r="C28" s="17"/>
      <c r="D28" s="17"/>
      <c r="E28" s="287"/>
      <c r="F28" s="287"/>
      <c r="G28" s="287"/>
      <c r="H28" s="17"/>
      <c r="I28" s="17"/>
      <c r="J28" s="17"/>
      <c r="K28" s="287"/>
      <c r="L28" s="287"/>
      <c r="M28" s="287"/>
      <c r="N28" s="17"/>
      <c r="O28" s="17"/>
      <c r="P28" s="287"/>
      <c r="Q28" s="287"/>
      <c r="R28" s="287"/>
      <c r="S28" s="79"/>
      <c r="T28" s="79"/>
      <c r="U28" s="79"/>
      <c r="V28" s="79"/>
      <c r="W28" s="287"/>
      <c r="X28" s="287"/>
      <c r="Y28" s="287"/>
      <c r="Z28" s="287"/>
      <c r="AA28" s="287"/>
      <c r="AB28" s="287"/>
    </row>
    <row r="29">
      <c r="A29" s="287"/>
      <c r="B29" s="287"/>
      <c r="C29" s="17"/>
      <c r="D29" s="17"/>
      <c r="E29" s="287"/>
      <c r="F29" s="287"/>
      <c r="G29" s="287"/>
      <c r="H29" s="17"/>
      <c r="I29" s="17"/>
      <c r="J29" s="17"/>
      <c r="K29" s="287"/>
      <c r="L29" s="287"/>
      <c r="M29" s="287"/>
      <c r="N29" s="17"/>
      <c r="O29" s="17"/>
      <c r="P29" s="287"/>
      <c r="Q29" s="287"/>
      <c r="R29" s="287"/>
      <c r="S29" s="79"/>
      <c r="T29" s="79"/>
      <c r="U29" s="79"/>
      <c r="V29" s="79"/>
      <c r="W29" s="287"/>
      <c r="X29" s="287"/>
      <c r="Y29" s="287"/>
      <c r="Z29" s="287"/>
      <c r="AA29" s="287"/>
      <c r="AB29" s="287"/>
    </row>
    <row r="30">
      <c r="A30" s="287"/>
      <c r="B30" s="287"/>
      <c r="C30" s="17"/>
      <c r="D30" s="17"/>
      <c r="E30" s="287"/>
      <c r="F30" s="287"/>
      <c r="G30" s="287"/>
      <c r="H30" s="17"/>
      <c r="I30" s="17"/>
      <c r="J30" s="17"/>
      <c r="K30" s="287"/>
      <c r="L30" s="287"/>
      <c r="M30" s="287"/>
      <c r="N30" s="17"/>
      <c r="O30" s="17"/>
      <c r="P30" s="287"/>
      <c r="Q30" s="287"/>
      <c r="R30" s="287"/>
      <c r="S30" s="79"/>
      <c r="T30" s="79"/>
      <c r="U30" s="79"/>
      <c r="V30" s="79"/>
      <c r="W30" s="287"/>
      <c r="X30" s="287"/>
      <c r="Y30" s="287"/>
      <c r="Z30" s="287"/>
      <c r="AA30" s="287"/>
      <c r="AB30" s="287"/>
    </row>
    <row r="31">
      <c r="A31" s="17"/>
      <c r="B31" s="17"/>
      <c r="C31" s="17"/>
      <c r="D31" s="17"/>
      <c r="E31" s="17"/>
      <c r="F31" s="288"/>
      <c r="G31" s="17"/>
      <c r="H31" s="17"/>
      <c r="I31" s="17"/>
      <c r="J31" s="17"/>
      <c r="K31" s="17"/>
      <c r="L31" s="17"/>
      <c r="M31" s="17"/>
      <c r="N31" s="17"/>
      <c r="O31" s="17"/>
      <c r="P31" s="17"/>
      <c r="Q31" s="17"/>
      <c r="R31" s="17"/>
      <c r="S31" s="143"/>
      <c r="T31" s="143"/>
      <c r="U31" s="143"/>
      <c r="V31" s="143"/>
      <c r="W31" s="17"/>
      <c r="X31" s="17"/>
      <c r="Y31" s="17"/>
      <c r="Z31" s="17"/>
      <c r="AA31" s="17"/>
      <c r="AB31" s="17"/>
    </row>
    <row r="32">
      <c r="A32" s="17"/>
      <c r="B32" s="17"/>
      <c r="C32" s="17"/>
      <c r="D32" s="17"/>
      <c r="E32" s="17"/>
      <c r="F32" s="288"/>
      <c r="G32" s="17"/>
      <c r="H32" s="17"/>
      <c r="I32" s="17"/>
      <c r="J32" s="17"/>
      <c r="K32" s="17"/>
      <c r="L32" s="17"/>
      <c r="M32" s="17"/>
      <c r="N32" s="17"/>
      <c r="O32" s="17"/>
      <c r="P32" s="17"/>
      <c r="Q32" s="17"/>
      <c r="R32" s="17"/>
      <c r="S32" s="143"/>
      <c r="T32" s="143"/>
      <c r="U32" s="143"/>
      <c r="V32" s="143"/>
      <c r="W32" s="17"/>
      <c r="X32" s="17"/>
      <c r="Y32" s="17"/>
      <c r="Z32" s="17"/>
      <c r="AA32" s="17"/>
      <c r="AB32" s="17"/>
    </row>
    <row r="33">
      <c r="A33" s="17"/>
      <c r="B33" s="17"/>
      <c r="C33" s="17"/>
      <c r="D33" s="17"/>
      <c r="E33" s="17"/>
      <c r="F33" s="288"/>
      <c r="G33" s="17"/>
      <c r="H33" s="17"/>
      <c r="I33" s="17"/>
      <c r="J33" s="17"/>
      <c r="K33" s="17"/>
      <c r="L33" s="17"/>
      <c r="M33" s="17"/>
      <c r="N33" s="17"/>
      <c r="O33" s="17"/>
      <c r="P33" s="17"/>
      <c r="Q33" s="17"/>
      <c r="R33" s="17"/>
      <c r="S33" s="143"/>
      <c r="T33" s="143"/>
      <c r="U33" s="143"/>
      <c r="V33" s="143"/>
      <c r="W33" s="17"/>
      <c r="X33" s="17"/>
      <c r="Y33" s="17"/>
      <c r="Z33" s="17"/>
      <c r="AA33" s="17"/>
      <c r="AB33" s="17"/>
    </row>
    <row r="34">
      <c r="A34" s="17"/>
      <c r="B34" s="17"/>
      <c r="C34" s="17"/>
      <c r="D34" s="17"/>
      <c r="E34" s="17"/>
      <c r="F34" s="288"/>
      <c r="G34" s="17"/>
      <c r="H34" s="17"/>
      <c r="I34" s="17"/>
      <c r="J34" s="17"/>
      <c r="K34" s="17"/>
      <c r="L34" s="17"/>
      <c r="M34" s="17"/>
      <c r="N34" s="17"/>
      <c r="O34" s="17"/>
      <c r="P34" s="17"/>
      <c r="Q34" s="17"/>
      <c r="R34" s="17"/>
      <c r="S34" s="143"/>
      <c r="T34" s="143"/>
      <c r="U34" s="143"/>
      <c r="V34" s="143"/>
      <c r="W34" s="17"/>
      <c r="X34" s="17"/>
      <c r="Y34" s="17"/>
      <c r="Z34" s="17"/>
      <c r="AA34" s="17"/>
      <c r="AB34" s="17"/>
    </row>
    <row r="35">
      <c r="A35" s="17"/>
      <c r="B35" s="17"/>
      <c r="C35" s="17"/>
      <c r="D35" s="17"/>
      <c r="E35" s="17"/>
      <c r="F35" s="288"/>
      <c r="G35" s="17"/>
      <c r="H35" s="17"/>
      <c r="I35" s="17"/>
      <c r="J35" s="17"/>
      <c r="K35" s="17"/>
      <c r="L35" s="17"/>
      <c r="M35" s="17"/>
      <c r="N35" s="17"/>
      <c r="O35" s="17"/>
      <c r="P35" s="17"/>
      <c r="Q35" s="17"/>
      <c r="R35" s="17"/>
      <c r="S35" s="143"/>
      <c r="T35" s="143"/>
      <c r="U35" s="143"/>
      <c r="V35" s="143"/>
      <c r="W35" s="17"/>
      <c r="X35" s="17"/>
      <c r="Y35" s="17"/>
      <c r="Z35" s="17"/>
      <c r="AA35" s="17"/>
      <c r="AB35" s="17"/>
    </row>
    <row r="36">
      <c r="A36" s="17"/>
      <c r="B36" s="17"/>
      <c r="C36" s="17"/>
      <c r="D36" s="17"/>
      <c r="E36" s="17"/>
      <c r="F36" s="288"/>
      <c r="G36" s="17"/>
      <c r="H36" s="17"/>
      <c r="I36" s="17"/>
      <c r="J36" s="17"/>
      <c r="K36" s="17"/>
      <c r="L36" s="17"/>
      <c r="M36" s="17"/>
      <c r="N36" s="17"/>
      <c r="O36" s="17"/>
      <c r="P36" s="17"/>
      <c r="Q36" s="17"/>
      <c r="R36" s="17"/>
      <c r="S36" s="143"/>
      <c r="T36" s="143"/>
      <c r="U36" s="143"/>
      <c r="V36" s="143"/>
      <c r="W36" s="17"/>
      <c r="X36" s="17"/>
      <c r="Y36" s="17"/>
      <c r="Z36" s="17"/>
      <c r="AA36" s="17"/>
      <c r="AB36" s="17"/>
    </row>
    <row r="37">
      <c r="A37" s="17"/>
      <c r="B37" s="17"/>
      <c r="C37" s="17"/>
      <c r="D37" s="17"/>
      <c r="E37" s="17"/>
      <c r="F37" s="288"/>
      <c r="G37" s="17"/>
      <c r="H37" s="17"/>
      <c r="I37" s="17"/>
      <c r="J37" s="17"/>
      <c r="K37" s="17"/>
      <c r="L37" s="17"/>
      <c r="M37" s="17"/>
      <c r="N37" s="17"/>
      <c r="O37" s="17"/>
      <c r="P37" s="17"/>
      <c r="Q37" s="17"/>
      <c r="R37" s="17"/>
      <c r="S37" s="143"/>
      <c r="T37" s="143"/>
      <c r="U37" s="143"/>
      <c r="V37" s="143"/>
      <c r="W37" s="17"/>
      <c r="X37" s="17"/>
      <c r="Y37" s="17"/>
      <c r="Z37" s="17"/>
      <c r="AA37" s="17"/>
      <c r="AB37" s="17"/>
    </row>
    <row r="38">
      <c r="A38" s="17"/>
      <c r="B38" s="17"/>
      <c r="C38" s="17"/>
      <c r="D38" s="17"/>
      <c r="E38" s="17"/>
      <c r="F38" s="288"/>
      <c r="G38" s="17"/>
      <c r="H38" s="17"/>
      <c r="I38" s="17"/>
      <c r="J38" s="17"/>
      <c r="K38" s="17"/>
      <c r="L38" s="17"/>
      <c r="M38" s="17"/>
      <c r="N38" s="17"/>
      <c r="O38" s="17"/>
      <c r="P38" s="17"/>
      <c r="Q38" s="17"/>
      <c r="R38" s="17"/>
      <c r="S38" s="143"/>
      <c r="T38" s="143"/>
      <c r="U38" s="143"/>
      <c r="V38" s="143"/>
      <c r="W38" s="17"/>
      <c r="X38" s="17"/>
      <c r="Y38" s="17"/>
      <c r="Z38" s="17"/>
      <c r="AA38" s="17"/>
      <c r="AB38" s="17"/>
    </row>
    <row r="39">
      <c r="A39" s="17"/>
      <c r="B39" s="17"/>
      <c r="C39" s="17"/>
      <c r="D39" s="17"/>
      <c r="E39" s="17"/>
      <c r="F39" s="288"/>
      <c r="G39" s="17"/>
      <c r="H39" s="17"/>
      <c r="I39" s="17"/>
      <c r="J39" s="17"/>
      <c r="K39" s="17"/>
      <c r="L39" s="17"/>
      <c r="M39" s="17"/>
      <c r="N39" s="17"/>
      <c r="O39" s="17"/>
      <c r="P39" s="17"/>
      <c r="Q39" s="17"/>
      <c r="R39" s="17"/>
      <c r="S39" s="143"/>
      <c r="T39" s="143"/>
      <c r="U39" s="143"/>
      <c r="V39" s="143"/>
      <c r="W39" s="17"/>
      <c r="X39" s="17"/>
      <c r="Y39" s="17"/>
      <c r="Z39" s="17"/>
      <c r="AA39" s="17"/>
      <c r="AB39" s="17"/>
    </row>
    <row r="40">
      <c r="A40" s="17"/>
      <c r="B40" s="17"/>
      <c r="C40" s="17"/>
      <c r="D40" s="17"/>
      <c r="E40" s="17"/>
      <c r="F40" s="288"/>
      <c r="G40" s="17"/>
      <c r="H40" s="17"/>
      <c r="I40" s="17"/>
      <c r="J40" s="17"/>
      <c r="K40" s="17"/>
      <c r="L40" s="17"/>
      <c r="M40" s="17"/>
      <c r="N40" s="17"/>
      <c r="O40" s="17"/>
      <c r="P40" s="17"/>
      <c r="Q40" s="17"/>
      <c r="R40" s="17"/>
      <c r="S40" s="143"/>
      <c r="T40" s="143"/>
      <c r="U40" s="143"/>
      <c r="V40" s="143"/>
      <c r="W40" s="17"/>
      <c r="X40" s="17"/>
      <c r="Y40" s="17"/>
      <c r="Z40" s="17"/>
      <c r="AA40" s="17"/>
      <c r="AB40" s="17"/>
    </row>
    <row r="41">
      <c r="A41" s="17"/>
      <c r="B41" s="17"/>
      <c r="C41" s="17"/>
      <c r="D41" s="17"/>
      <c r="E41" s="17"/>
      <c r="F41" s="288"/>
      <c r="G41" s="17"/>
      <c r="H41" s="17"/>
      <c r="I41" s="17"/>
      <c r="J41" s="17"/>
      <c r="K41" s="17"/>
      <c r="L41" s="17"/>
      <c r="M41" s="17"/>
      <c r="N41" s="17"/>
      <c r="O41" s="17"/>
      <c r="P41" s="17"/>
      <c r="Q41" s="17"/>
      <c r="R41" s="17"/>
      <c r="S41" s="143"/>
      <c r="T41" s="143"/>
      <c r="U41" s="143"/>
      <c r="V41" s="143"/>
      <c r="W41" s="17"/>
      <c r="X41" s="17"/>
      <c r="Y41" s="17"/>
      <c r="Z41" s="17"/>
      <c r="AA41" s="17"/>
      <c r="AB41" s="17"/>
    </row>
    <row r="42">
      <c r="A42" s="17"/>
      <c r="B42" s="17"/>
      <c r="C42" s="17"/>
      <c r="D42" s="17"/>
      <c r="E42" s="17"/>
      <c r="F42" s="288"/>
      <c r="G42" s="17"/>
      <c r="H42" s="17"/>
      <c r="I42" s="17"/>
      <c r="J42" s="17"/>
      <c r="K42" s="17"/>
      <c r="L42" s="17"/>
      <c r="M42" s="17"/>
      <c r="N42" s="17"/>
      <c r="O42" s="17"/>
      <c r="P42" s="17"/>
      <c r="Q42" s="17"/>
      <c r="R42" s="17"/>
      <c r="S42" s="143"/>
      <c r="T42" s="143"/>
      <c r="U42" s="143"/>
      <c r="V42" s="143"/>
      <c r="W42" s="17"/>
      <c r="X42" s="17"/>
      <c r="Y42" s="17"/>
      <c r="Z42" s="17"/>
      <c r="AA42" s="17"/>
      <c r="AB42" s="17"/>
    </row>
    <row r="43">
      <c r="A43" s="17"/>
      <c r="B43" s="17"/>
      <c r="C43" s="17"/>
      <c r="D43" s="17"/>
      <c r="E43" s="17"/>
      <c r="F43" s="288"/>
      <c r="G43" s="17"/>
      <c r="H43" s="17"/>
      <c r="I43" s="17"/>
      <c r="J43" s="17"/>
      <c r="K43" s="17"/>
      <c r="L43" s="17"/>
      <c r="M43" s="17"/>
      <c r="N43" s="17"/>
      <c r="O43" s="17"/>
      <c r="P43" s="17"/>
      <c r="Q43" s="17"/>
      <c r="R43" s="17"/>
      <c r="S43" s="143"/>
      <c r="T43" s="143"/>
      <c r="U43" s="143"/>
      <c r="V43" s="143"/>
      <c r="W43" s="17"/>
      <c r="X43" s="17"/>
      <c r="Y43" s="17"/>
      <c r="Z43" s="17"/>
      <c r="AA43" s="17"/>
      <c r="AB43" s="17"/>
    </row>
    <row r="44">
      <c r="A44" s="17"/>
      <c r="B44" s="17"/>
      <c r="C44" s="17"/>
      <c r="D44" s="17"/>
      <c r="E44" s="17"/>
      <c r="F44" s="288"/>
      <c r="G44" s="17"/>
      <c r="H44" s="17"/>
      <c r="I44" s="17"/>
      <c r="J44" s="17"/>
      <c r="K44" s="17"/>
      <c r="L44" s="17"/>
      <c r="M44" s="17"/>
      <c r="N44" s="17"/>
      <c r="O44" s="17"/>
      <c r="P44" s="17"/>
      <c r="Q44" s="17"/>
      <c r="R44" s="17"/>
      <c r="S44" s="143"/>
      <c r="T44" s="143"/>
      <c r="U44" s="143"/>
      <c r="V44" s="143"/>
      <c r="W44" s="17"/>
      <c r="X44" s="17"/>
      <c r="Y44" s="17"/>
      <c r="Z44" s="17"/>
      <c r="AA44" s="17"/>
      <c r="AB44" s="17"/>
    </row>
    <row r="45">
      <c r="A45" s="17"/>
      <c r="B45" s="17"/>
      <c r="C45" s="17"/>
      <c r="D45" s="17"/>
      <c r="E45" s="17"/>
      <c r="F45" s="288"/>
      <c r="G45" s="17"/>
      <c r="H45" s="17"/>
      <c r="I45" s="17"/>
      <c r="J45" s="17"/>
      <c r="K45" s="17"/>
      <c r="L45" s="17"/>
      <c r="M45" s="17"/>
      <c r="N45" s="17"/>
      <c r="O45" s="17"/>
      <c r="P45" s="17"/>
      <c r="Q45" s="17"/>
      <c r="R45" s="17"/>
      <c r="S45" s="143"/>
      <c r="T45" s="143"/>
      <c r="U45" s="143"/>
      <c r="V45" s="143"/>
      <c r="W45" s="17"/>
      <c r="X45" s="17"/>
      <c r="Y45" s="17"/>
      <c r="Z45" s="17"/>
      <c r="AA45" s="17"/>
      <c r="AB45" s="17"/>
    </row>
    <row r="46">
      <c r="A46" s="17"/>
      <c r="B46" s="17"/>
      <c r="C46" s="17"/>
      <c r="D46" s="17"/>
      <c r="E46" s="17"/>
      <c r="F46" s="288"/>
      <c r="G46" s="17"/>
      <c r="H46" s="17"/>
      <c r="I46" s="17"/>
      <c r="J46" s="17"/>
      <c r="K46" s="17"/>
      <c r="L46" s="17"/>
      <c r="M46" s="17"/>
      <c r="N46" s="17"/>
      <c r="O46" s="17"/>
      <c r="P46" s="17"/>
      <c r="Q46" s="17"/>
      <c r="R46" s="17"/>
      <c r="S46" s="143"/>
      <c r="T46" s="143"/>
      <c r="U46" s="143"/>
      <c r="V46" s="143"/>
      <c r="W46" s="17"/>
      <c r="X46" s="17"/>
      <c r="Y46" s="17"/>
      <c r="Z46" s="17"/>
      <c r="AA46" s="17"/>
      <c r="AB46" s="17"/>
    </row>
    <row r="47">
      <c r="A47" s="17"/>
      <c r="B47" s="17"/>
      <c r="C47" s="17"/>
      <c r="D47" s="17"/>
      <c r="E47" s="17"/>
      <c r="F47" s="288"/>
      <c r="G47" s="17"/>
      <c r="H47" s="17"/>
      <c r="I47" s="17"/>
      <c r="J47" s="17"/>
      <c r="K47" s="17"/>
      <c r="L47" s="17"/>
      <c r="M47" s="17"/>
      <c r="N47" s="17"/>
      <c r="O47" s="17"/>
      <c r="P47" s="17"/>
      <c r="Q47" s="17"/>
      <c r="R47" s="17"/>
      <c r="S47" s="143"/>
      <c r="T47" s="143"/>
      <c r="U47" s="143"/>
      <c r="V47" s="143"/>
      <c r="W47" s="17"/>
      <c r="X47" s="17"/>
      <c r="Y47" s="17"/>
      <c r="Z47" s="17"/>
      <c r="AA47" s="17"/>
      <c r="AB47" s="17"/>
    </row>
    <row r="48">
      <c r="A48" s="17"/>
      <c r="B48" s="17"/>
      <c r="C48" s="17"/>
      <c r="D48" s="17"/>
      <c r="E48" s="17"/>
      <c r="F48" s="288"/>
      <c r="G48" s="17"/>
      <c r="H48" s="17"/>
      <c r="I48" s="17"/>
      <c r="J48" s="17"/>
      <c r="K48" s="17"/>
      <c r="L48" s="17"/>
      <c r="M48" s="17"/>
      <c r="N48" s="17"/>
      <c r="O48" s="17"/>
      <c r="P48" s="17"/>
      <c r="Q48" s="17"/>
      <c r="R48" s="17"/>
      <c r="S48" s="143"/>
      <c r="T48" s="143"/>
      <c r="U48" s="143"/>
      <c r="V48" s="143"/>
      <c r="W48" s="17"/>
      <c r="X48" s="17"/>
      <c r="Y48" s="17"/>
      <c r="Z48" s="17"/>
      <c r="AA48" s="17"/>
      <c r="AB48" s="17"/>
    </row>
    <row r="49">
      <c r="A49" s="17"/>
      <c r="B49" s="17"/>
      <c r="C49" s="17"/>
      <c r="D49" s="17"/>
      <c r="E49" s="17"/>
      <c r="F49" s="288"/>
      <c r="G49" s="17"/>
      <c r="H49" s="17"/>
      <c r="I49" s="17"/>
      <c r="J49" s="17"/>
      <c r="K49" s="17"/>
      <c r="L49" s="17"/>
      <c r="M49" s="17"/>
      <c r="N49" s="17"/>
      <c r="O49" s="17"/>
      <c r="P49" s="17"/>
      <c r="Q49" s="17"/>
      <c r="R49" s="17"/>
      <c r="S49" s="143"/>
      <c r="T49" s="143"/>
      <c r="U49" s="143"/>
      <c r="V49" s="143"/>
      <c r="W49" s="17"/>
      <c r="X49" s="17"/>
      <c r="Y49" s="17"/>
      <c r="Z49" s="17"/>
      <c r="AA49" s="17"/>
      <c r="AB49" s="17"/>
    </row>
    <row r="50">
      <c r="A50" s="17"/>
      <c r="B50" s="17"/>
      <c r="C50" s="17"/>
      <c r="D50" s="17"/>
      <c r="E50" s="17"/>
      <c r="F50" s="288"/>
      <c r="G50" s="17"/>
      <c r="H50" s="17"/>
      <c r="I50" s="17"/>
      <c r="J50" s="17"/>
      <c r="K50" s="17"/>
      <c r="L50" s="17"/>
      <c r="M50" s="17"/>
      <c r="N50" s="17"/>
      <c r="O50" s="17"/>
      <c r="P50" s="17"/>
      <c r="Q50" s="17"/>
      <c r="R50" s="17"/>
      <c r="S50" s="143"/>
      <c r="T50" s="143"/>
      <c r="U50" s="143"/>
      <c r="V50" s="143"/>
      <c r="W50" s="17"/>
      <c r="X50" s="17"/>
      <c r="Y50" s="17"/>
      <c r="Z50" s="17"/>
      <c r="AA50" s="17"/>
      <c r="AB50" s="17"/>
    </row>
    <row r="51">
      <c r="A51" s="17"/>
      <c r="B51" s="17"/>
      <c r="C51" s="17"/>
      <c r="D51" s="17"/>
      <c r="E51" s="17"/>
      <c r="F51" s="288"/>
      <c r="G51" s="17"/>
      <c r="H51" s="17"/>
      <c r="I51" s="17"/>
      <c r="J51" s="17"/>
      <c r="K51" s="17"/>
      <c r="L51" s="17"/>
      <c r="M51" s="17"/>
      <c r="N51" s="17"/>
      <c r="O51" s="17"/>
      <c r="P51" s="17"/>
      <c r="Q51" s="17"/>
      <c r="R51" s="17"/>
      <c r="S51" s="143"/>
      <c r="T51" s="143"/>
      <c r="U51" s="143"/>
      <c r="V51" s="143"/>
      <c r="W51" s="17"/>
      <c r="X51" s="17"/>
      <c r="Y51" s="17"/>
      <c r="Z51" s="17"/>
      <c r="AA51" s="17"/>
      <c r="AB51" s="17"/>
    </row>
    <row r="52">
      <c r="A52" s="17"/>
      <c r="B52" s="17"/>
      <c r="C52" s="17"/>
      <c r="D52" s="17"/>
      <c r="E52" s="17"/>
      <c r="F52" s="288"/>
      <c r="G52" s="17"/>
      <c r="H52" s="17"/>
      <c r="I52" s="17"/>
      <c r="J52" s="17"/>
      <c r="K52" s="17"/>
      <c r="L52" s="17"/>
      <c r="M52" s="17"/>
      <c r="N52" s="17"/>
      <c r="O52" s="17"/>
      <c r="P52" s="17"/>
      <c r="Q52" s="17"/>
      <c r="R52" s="17"/>
      <c r="S52" s="143"/>
      <c r="T52" s="143"/>
      <c r="U52" s="143"/>
      <c r="V52" s="143"/>
      <c r="W52" s="17"/>
      <c r="X52" s="17"/>
      <c r="Y52" s="17"/>
      <c r="Z52" s="17"/>
      <c r="AA52" s="17"/>
      <c r="AB52" s="17"/>
    </row>
    <row r="53">
      <c r="A53" s="17"/>
      <c r="B53" s="17"/>
      <c r="C53" s="17"/>
      <c r="D53" s="17"/>
      <c r="E53" s="17"/>
      <c r="F53" s="288"/>
      <c r="G53" s="17"/>
      <c r="H53" s="17"/>
      <c r="I53" s="17"/>
      <c r="J53" s="17"/>
      <c r="K53" s="17"/>
      <c r="L53" s="17"/>
      <c r="M53" s="17"/>
      <c r="N53" s="17"/>
      <c r="O53" s="17"/>
      <c r="P53" s="17"/>
      <c r="Q53" s="17"/>
      <c r="R53" s="17"/>
      <c r="S53" s="143"/>
      <c r="T53" s="143"/>
      <c r="U53" s="143"/>
      <c r="V53" s="143"/>
      <c r="W53" s="17"/>
      <c r="X53" s="17"/>
      <c r="Y53" s="17"/>
      <c r="Z53" s="17"/>
      <c r="AA53" s="17"/>
      <c r="AB53" s="17"/>
    </row>
    <row r="54">
      <c r="A54" s="17"/>
      <c r="B54" s="17"/>
      <c r="C54" s="17"/>
      <c r="D54" s="17"/>
      <c r="E54" s="17"/>
      <c r="F54" s="288"/>
      <c r="G54" s="17"/>
      <c r="H54" s="17"/>
      <c r="I54" s="17"/>
      <c r="J54" s="17"/>
      <c r="K54" s="17"/>
      <c r="L54" s="17"/>
      <c r="M54" s="17"/>
      <c r="N54" s="17"/>
      <c r="O54" s="17"/>
      <c r="P54" s="17"/>
      <c r="Q54" s="17"/>
      <c r="R54" s="17"/>
      <c r="S54" s="143"/>
      <c r="T54" s="143"/>
      <c r="U54" s="143"/>
      <c r="V54" s="143"/>
      <c r="W54" s="17"/>
      <c r="X54" s="17"/>
      <c r="Y54" s="17"/>
      <c r="Z54" s="17"/>
      <c r="AA54" s="17"/>
      <c r="AB54" s="17"/>
    </row>
    <row r="55">
      <c r="A55" s="17"/>
      <c r="B55" s="17"/>
      <c r="C55" s="17"/>
      <c r="D55" s="17"/>
      <c r="E55" s="17"/>
      <c r="F55" s="288"/>
      <c r="G55" s="17"/>
      <c r="H55" s="17"/>
      <c r="I55" s="17"/>
      <c r="J55" s="17"/>
      <c r="K55" s="17"/>
      <c r="L55" s="17"/>
      <c r="M55" s="17"/>
      <c r="N55" s="17"/>
      <c r="O55" s="17"/>
      <c r="P55" s="17"/>
      <c r="Q55" s="17"/>
      <c r="R55" s="17"/>
      <c r="S55" s="143"/>
      <c r="T55" s="143"/>
      <c r="U55" s="143"/>
      <c r="V55" s="143"/>
      <c r="W55" s="17"/>
      <c r="X55" s="17"/>
      <c r="Y55" s="17"/>
      <c r="Z55" s="17"/>
      <c r="AA55" s="17"/>
      <c r="AB55" s="17"/>
    </row>
    <row r="56">
      <c r="A56" s="17"/>
      <c r="B56" s="17"/>
      <c r="C56" s="17"/>
      <c r="D56" s="17"/>
      <c r="E56" s="17"/>
      <c r="F56" s="288"/>
      <c r="G56" s="17"/>
      <c r="H56" s="17"/>
      <c r="I56" s="17"/>
      <c r="J56" s="17"/>
      <c r="K56" s="17"/>
      <c r="L56" s="17"/>
      <c r="M56" s="17"/>
      <c r="N56" s="17"/>
      <c r="O56" s="17"/>
      <c r="P56" s="17"/>
      <c r="Q56" s="17"/>
      <c r="R56" s="17"/>
      <c r="S56" s="143"/>
      <c r="T56" s="143"/>
      <c r="U56" s="143"/>
      <c r="V56" s="143"/>
      <c r="W56" s="17"/>
      <c r="X56" s="17"/>
      <c r="Y56" s="17"/>
      <c r="Z56" s="17"/>
      <c r="AA56" s="17"/>
      <c r="AB56" s="17"/>
    </row>
    <row r="57">
      <c r="A57" s="17"/>
      <c r="B57" s="17"/>
      <c r="C57" s="17"/>
      <c r="D57" s="17"/>
      <c r="E57" s="17"/>
      <c r="F57" s="288"/>
      <c r="G57" s="17"/>
      <c r="H57" s="17"/>
      <c r="I57" s="17"/>
      <c r="J57" s="17"/>
      <c r="K57" s="17"/>
      <c r="L57" s="17"/>
      <c r="M57" s="17"/>
      <c r="N57" s="17"/>
      <c r="O57" s="17"/>
      <c r="P57" s="17"/>
      <c r="Q57" s="17"/>
      <c r="R57" s="17"/>
      <c r="S57" s="143"/>
      <c r="T57" s="143"/>
      <c r="U57" s="143"/>
      <c r="V57" s="143"/>
      <c r="W57" s="17"/>
      <c r="X57" s="17"/>
      <c r="Y57" s="17"/>
      <c r="Z57" s="17"/>
      <c r="AA57" s="17"/>
      <c r="AB57" s="17"/>
    </row>
    <row r="58">
      <c r="A58" s="17"/>
      <c r="B58" s="17"/>
      <c r="C58" s="17"/>
      <c r="D58" s="17"/>
      <c r="E58" s="17"/>
      <c r="F58" s="288"/>
      <c r="G58" s="17"/>
      <c r="H58" s="17"/>
      <c r="I58" s="17"/>
      <c r="J58" s="17"/>
      <c r="K58" s="17"/>
      <c r="L58" s="17"/>
      <c r="M58" s="17"/>
      <c r="N58" s="17"/>
      <c r="O58" s="17"/>
      <c r="P58" s="17"/>
      <c r="Q58" s="17"/>
      <c r="R58" s="17"/>
      <c r="S58" s="143"/>
      <c r="T58" s="143"/>
      <c r="U58" s="143"/>
      <c r="V58" s="143"/>
      <c r="W58" s="17"/>
      <c r="X58" s="17"/>
      <c r="Y58" s="17"/>
      <c r="Z58" s="17"/>
      <c r="AA58" s="17"/>
      <c r="AB58" s="17"/>
    </row>
    <row r="59">
      <c r="A59" s="17"/>
      <c r="B59" s="17"/>
      <c r="C59" s="17"/>
      <c r="D59" s="17"/>
      <c r="E59" s="17"/>
      <c r="F59" s="288"/>
      <c r="G59" s="17"/>
      <c r="H59" s="17"/>
      <c r="I59" s="17"/>
      <c r="J59" s="17"/>
      <c r="K59" s="17"/>
      <c r="L59" s="17"/>
      <c r="M59" s="17"/>
      <c r="N59" s="17"/>
      <c r="O59" s="17"/>
      <c r="P59" s="17"/>
      <c r="Q59" s="17"/>
      <c r="R59" s="17"/>
      <c r="S59" s="143"/>
      <c r="T59" s="143"/>
      <c r="U59" s="143"/>
      <c r="V59" s="143"/>
      <c r="W59" s="17"/>
      <c r="X59" s="17"/>
      <c r="Y59" s="17"/>
      <c r="Z59" s="17"/>
      <c r="AA59" s="17"/>
      <c r="AB59" s="17"/>
    </row>
    <row r="60">
      <c r="A60" s="17"/>
      <c r="B60" s="17"/>
      <c r="C60" s="17"/>
      <c r="D60" s="17"/>
      <c r="E60" s="17"/>
      <c r="F60" s="288"/>
      <c r="G60" s="17"/>
      <c r="H60" s="17"/>
      <c r="I60" s="17"/>
      <c r="J60" s="17"/>
      <c r="K60" s="17"/>
      <c r="L60" s="17"/>
      <c r="M60" s="17"/>
      <c r="N60" s="17"/>
      <c r="O60" s="17"/>
      <c r="P60" s="17"/>
      <c r="Q60" s="17"/>
      <c r="R60" s="17"/>
      <c r="S60" s="143"/>
      <c r="T60" s="143"/>
      <c r="U60" s="143"/>
      <c r="V60" s="143"/>
      <c r="W60" s="17"/>
      <c r="X60" s="17"/>
      <c r="Y60" s="17"/>
      <c r="Z60" s="17"/>
      <c r="AA60" s="17"/>
      <c r="AB60" s="17"/>
    </row>
    <row r="61">
      <c r="A61" s="17"/>
      <c r="B61" s="17"/>
      <c r="C61" s="17"/>
      <c r="D61" s="17"/>
      <c r="E61" s="17"/>
      <c r="F61" s="288"/>
      <c r="G61" s="17"/>
      <c r="H61" s="17"/>
      <c r="I61" s="17"/>
      <c r="J61" s="17"/>
      <c r="K61" s="17"/>
      <c r="L61" s="17"/>
      <c r="M61" s="17"/>
      <c r="N61" s="17"/>
      <c r="O61" s="17"/>
      <c r="P61" s="17"/>
      <c r="Q61" s="17"/>
      <c r="R61" s="17"/>
      <c r="S61" s="143"/>
      <c r="T61" s="143"/>
      <c r="U61" s="143"/>
      <c r="V61" s="143"/>
      <c r="W61" s="17"/>
      <c r="X61" s="17"/>
      <c r="Y61" s="17"/>
      <c r="Z61" s="17"/>
      <c r="AA61" s="17"/>
      <c r="AB61" s="17"/>
    </row>
    <row r="62">
      <c r="A62" s="17"/>
      <c r="B62" s="17"/>
      <c r="C62" s="17"/>
      <c r="D62" s="17"/>
      <c r="E62" s="17"/>
      <c r="F62" s="288"/>
      <c r="G62" s="17"/>
      <c r="H62" s="17"/>
      <c r="I62" s="17"/>
      <c r="J62" s="17"/>
      <c r="K62" s="17"/>
      <c r="L62" s="17"/>
      <c r="M62" s="17"/>
      <c r="N62" s="17"/>
      <c r="O62" s="17"/>
      <c r="P62" s="17"/>
      <c r="Q62" s="17"/>
      <c r="R62" s="17"/>
      <c r="S62" s="143"/>
      <c r="T62" s="143"/>
      <c r="U62" s="143"/>
      <c r="V62" s="143"/>
      <c r="W62" s="17"/>
      <c r="X62" s="17"/>
      <c r="Y62" s="17"/>
      <c r="Z62" s="17"/>
      <c r="AA62" s="17"/>
      <c r="AB62" s="17"/>
    </row>
    <row r="63">
      <c r="A63" s="17"/>
      <c r="B63" s="17"/>
      <c r="C63" s="17"/>
      <c r="D63" s="17"/>
      <c r="E63" s="17"/>
      <c r="F63" s="288"/>
      <c r="G63" s="17"/>
      <c r="H63" s="17"/>
      <c r="I63" s="17"/>
      <c r="J63" s="17"/>
      <c r="K63" s="17"/>
      <c r="L63" s="17"/>
      <c r="M63" s="17"/>
      <c r="N63" s="17"/>
      <c r="O63" s="17"/>
      <c r="P63" s="17"/>
      <c r="Q63" s="17"/>
      <c r="R63" s="17"/>
      <c r="S63" s="143"/>
      <c r="T63" s="143"/>
      <c r="U63" s="143"/>
      <c r="V63" s="143"/>
      <c r="W63" s="17"/>
      <c r="X63" s="17"/>
      <c r="Y63" s="17"/>
      <c r="Z63" s="17"/>
      <c r="AA63" s="17"/>
      <c r="AB63" s="17"/>
    </row>
    <row r="64">
      <c r="A64" s="17"/>
      <c r="B64" s="17"/>
      <c r="C64" s="17"/>
      <c r="D64" s="17"/>
      <c r="E64" s="17"/>
      <c r="F64" s="288"/>
      <c r="G64" s="17"/>
      <c r="H64" s="17"/>
      <c r="I64" s="17"/>
      <c r="J64" s="17"/>
      <c r="K64" s="17"/>
      <c r="L64" s="17"/>
      <c r="M64" s="17"/>
      <c r="N64" s="17"/>
      <c r="O64" s="17"/>
      <c r="P64" s="17"/>
      <c r="Q64" s="17"/>
      <c r="R64" s="17"/>
      <c r="S64" s="143"/>
      <c r="T64" s="143"/>
      <c r="U64" s="143"/>
      <c r="V64" s="143"/>
      <c r="W64" s="17"/>
      <c r="X64" s="17"/>
      <c r="Y64" s="17"/>
      <c r="Z64" s="17"/>
      <c r="AA64" s="17"/>
      <c r="AB64" s="17"/>
    </row>
    <row r="65">
      <c r="A65" s="17"/>
      <c r="B65" s="17"/>
      <c r="C65" s="17"/>
      <c r="D65" s="17"/>
      <c r="E65" s="17"/>
      <c r="F65" s="288"/>
      <c r="G65" s="17"/>
      <c r="H65" s="17"/>
      <c r="I65" s="17"/>
      <c r="J65" s="17"/>
      <c r="K65" s="17"/>
      <c r="L65" s="17"/>
      <c r="M65" s="17"/>
      <c r="N65" s="17"/>
      <c r="O65" s="17"/>
      <c r="P65" s="17"/>
      <c r="Q65" s="17"/>
      <c r="R65" s="17"/>
      <c r="S65" s="143"/>
      <c r="T65" s="143"/>
      <c r="U65" s="143"/>
      <c r="V65" s="143"/>
      <c r="W65" s="17"/>
      <c r="X65" s="17"/>
      <c r="Y65" s="17"/>
      <c r="Z65" s="17"/>
      <c r="AA65" s="17"/>
      <c r="AB65" s="17"/>
    </row>
    <row r="66">
      <c r="A66" s="17"/>
      <c r="B66" s="17"/>
      <c r="C66" s="17"/>
      <c r="D66" s="17"/>
      <c r="E66" s="17"/>
      <c r="F66" s="288"/>
      <c r="G66" s="17"/>
      <c r="H66" s="17"/>
      <c r="I66" s="17"/>
      <c r="J66" s="17"/>
      <c r="K66" s="17"/>
      <c r="L66" s="17"/>
      <c r="M66" s="17"/>
      <c r="N66" s="17"/>
      <c r="O66" s="17"/>
      <c r="P66" s="17"/>
      <c r="Q66" s="17"/>
      <c r="R66" s="17"/>
      <c r="S66" s="143"/>
      <c r="T66" s="143"/>
      <c r="U66" s="143"/>
      <c r="V66" s="143"/>
      <c r="W66" s="17"/>
      <c r="X66" s="17"/>
      <c r="Y66" s="17"/>
      <c r="Z66" s="17"/>
      <c r="AA66" s="17"/>
      <c r="AB66" s="17"/>
    </row>
    <row r="67">
      <c r="A67" s="17"/>
      <c r="B67" s="17"/>
      <c r="C67" s="17"/>
      <c r="D67" s="17"/>
      <c r="E67" s="17"/>
      <c r="F67" s="288"/>
      <c r="G67" s="17"/>
      <c r="H67" s="17"/>
      <c r="I67" s="17"/>
      <c r="J67" s="17"/>
      <c r="K67" s="17"/>
      <c r="L67" s="17"/>
      <c r="M67" s="17"/>
      <c r="N67" s="17"/>
      <c r="O67" s="17"/>
      <c r="P67" s="17"/>
      <c r="Q67" s="17"/>
      <c r="R67" s="17"/>
      <c r="S67" s="143"/>
      <c r="T67" s="143"/>
      <c r="U67" s="143"/>
      <c r="V67" s="143"/>
      <c r="W67" s="17"/>
      <c r="X67" s="17"/>
      <c r="Y67" s="17"/>
      <c r="Z67" s="17"/>
      <c r="AA67" s="17"/>
      <c r="AB67" s="17"/>
    </row>
    <row r="68">
      <c r="A68" s="17"/>
      <c r="B68" s="17"/>
      <c r="C68" s="17"/>
      <c r="D68" s="17"/>
      <c r="E68" s="17"/>
      <c r="F68" s="288"/>
      <c r="G68" s="17"/>
      <c r="H68" s="17"/>
      <c r="I68" s="17"/>
      <c r="J68" s="17"/>
      <c r="K68" s="17"/>
      <c r="L68" s="17"/>
      <c r="M68" s="17"/>
      <c r="N68" s="17"/>
      <c r="O68" s="17"/>
      <c r="P68" s="17"/>
      <c r="Q68" s="17"/>
      <c r="R68" s="17"/>
      <c r="S68" s="143"/>
      <c r="T68" s="143"/>
      <c r="U68" s="143"/>
      <c r="V68" s="143"/>
      <c r="W68" s="17"/>
      <c r="X68" s="17"/>
      <c r="Y68" s="17"/>
      <c r="Z68" s="17"/>
      <c r="AA68" s="17"/>
      <c r="AB68" s="17"/>
    </row>
    <row r="69">
      <c r="A69" s="17"/>
      <c r="B69" s="17"/>
      <c r="C69" s="17"/>
      <c r="D69" s="17"/>
      <c r="E69" s="17"/>
      <c r="F69" s="288"/>
      <c r="G69" s="17"/>
      <c r="H69" s="17"/>
      <c r="I69" s="17"/>
      <c r="J69" s="17"/>
      <c r="K69" s="17"/>
      <c r="L69" s="17"/>
      <c r="M69" s="17"/>
      <c r="N69" s="17"/>
      <c r="O69" s="17"/>
      <c r="P69" s="17"/>
      <c r="Q69" s="17"/>
      <c r="R69" s="17"/>
      <c r="S69" s="143"/>
      <c r="T69" s="143"/>
      <c r="U69" s="143"/>
      <c r="V69" s="143"/>
      <c r="W69" s="17"/>
      <c r="X69" s="17"/>
      <c r="Y69" s="17"/>
      <c r="Z69" s="17"/>
      <c r="AA69" s="17"/>
      <c r="AB69" s="17"/>
    </row>
    <row r="70">
      <c r="A70" s="17"/>
      <c r="B70" s="17"/>
      <c r="C70" s="17"/>
      <c r="D70" s="17"/>
      <c r="E70" s="17"/>
      <c r="F70" s="288"/>
      <c r="G70" s="17"/>
      <c r="H70" s="17"/>
      <c r="I70" s="17"/>
      <c r="J70" s="17"/>
      <c r="K70" s="17"/>
      <c r="L70" s="17"/>
      <c r="M70" s="17"/>
      <c r="N70" s="17"/>
      <c r="O70" s="17"/>
      <c r="P70" s="17"/>
      <c r="Q70" s="17"/>
      <c r="R70" s="17"/>
      <c r="S70" s="143"/>
      <c r="T70" s="143"/>
      <c r="U70" s="143"/>
      <c r="V70" s="143"/>
      <c r="W70" s="17"/>
      <c r="X70" s="17"/>
      <c r="Y70" s="17"/>
      <c r="Z70" s="17"/>
      <c r="AA70" s="17"/>
      <c r="AB70" s="17"/>
    </row>
    <row r="71">
      <c r="A71" s="17"/>
      <c r="B71" s="17"/>
      <c r="C71" s="17"/>
      <c r="D71" s="17"/>
      <c r="E71" s="17"/>
      <c r="F71" s="288"/>
      <c r="G71" s="17"/>
      <c r="H71" s="17"/>
      <c r="I71" s="17"/>
      <c r="J71" s="17"/>
      <c r="K71" s="17"/>
      <c r="L71" s="17"/>
      <c r="M71" s="17"/>
      <c r="N71" s="17"/>
      <c r="O71" s="17"/>
      <c r="P71" s="17"/>
      <c r="Q71" s="17"/>
      <c r="R71" s="17"/>
      <c r="S71" s="143"/>
      <c r="T71" s="143"/>
      <c r="U71" s="143"/>
      <c r="V71" s="143"/>
      <c r="W71" s="17"/>
      <c r="X71" s="17"/>
      <c r="Y71" s="17"/>
      <c r="Z71" s="17"/>
      <c r="AA71" s="17"/>
      <c r="AB71" s="17"/>
    </row>
    <row r="72">
      <c r="A72" s="17"/>
      <c r="B72" s="17"/>
      <c r="C72" s="17"/>
      <c r="D72" s="17"/>
      <c r="E72" s="17"/>
      <c r="F72" s="288"/>
      <c r="G72" s="17"/>
      <c r="H72" s="17"/>
      <c r="I72" s="17"/>
      <c r="J72" s="17"/>
      <c r="K72" s="17"/>
      <c r="L72" s="17"/>
      <c r="M72" s="17"/>
      <c r="N72" s="17"/>
      <c r="O72" s="17"/>
      <c r="P72" s="17"/>
      <c r="Q72" s="17"/>
      <c r="R72" s="17"/>
      <c r="S72" s="143"/>
      <c r="T72" s="143"/>
      <c r="U72" s="143"/>
      <c r="V72" s="143"/>
      <c r="W72" s="17"/>
      <c r="X72" s="17"/>
      <c r="Y72" s="17"/>
      <c r="Z72" s="17"/>
      <c r="AA72" s="17"/>
      <c r="AB72" s="17"/>
    </row>
    <row r="73">
      <c r="A73" s="17"/>
      <c r="B73" s="17"/>
      <c r="C73" s="17"/>
      <c r="D73" s="17"/>
      <c r="E73" s="17"/>
      <c r="F73" s="288"/>
      <c r="G73" s="17"/>
      <c r="H73" s="17"/>
      <c r="I73" s="17"/>
      <c r="J73" s="17"/>
      <c r="K73" s="17"/>
      <c r="L73" s="17"/>
      <c r="M73" s="17"/>
      <c r="N73" s="17"/>
      <c r="O73" s="17"/>
      <c r="P73" s="17"/>
      <c r="Q73" s="17"/>
      <c r="R73" s="17"/>
      <c r="S73" s="143"/>
      <c r="T73" s="143"/>
      <c r="U73" s="143"/>
      <c r="V73" s="143"/>
      <c r="W73" s="17"/>
      <c r="X73" s="17"/>
      <c r="Y73" s="17"/>
      <c r="Z73" s="17"/>
      <c r="AA73" s="17"/>
      <c r="AB73" s="17"/>
    </row>
    <row r="74">
      <c r="A74" s="17"/>
      <c r="B74" s="17"/>
      <c r="C74" s="17"/>
      <c r="D74" s="17"/>
      <c r="E74" s="17"/>
      <c r="F74" s="288"/>
      <c r="G74" s="17"/>
      <c r="H74" s="17"/>
      <c r="I74" s="17"/>
      <c r="J74" s="17"/>
      <c r="K74" s="17"/>
      <c r="L74" s="17"/>
      <c r="M74" s="17"/>
      <c r="N74" s="17"/>
      <c r="O74" s="17"/>
      <c r="P74" s="17"/>
      <c r="Q74" s="17"/>
      <c r="R74" s="17"/>
      <c r="S74" s="143"/>
      <c r="T74" s="143"/>
      <c r="U74" s="143"/>
      <c r="V74" s="143"/>
      <c r="W74" s="17"/>
      <c r="X74" s="17"/>
      <c r="Y74" s="17"/>
      <c r="Z74" s="17"/>
      <c r="AA74" s="17"/>
      <c r="AB74" s="17"/>
    </row>
    <row r="75">
      <c r="A75" s="17"/>
      <c r="B75" s="17"/>
      <c r="C75" s="17"/>
      <c r="D75" s="17"/>
      <c r="E75" s="17"/>
      <c r="F75" s="288"/>
      <c r="G75" s="17"/>
      <c r="H75" s="17"/>
      <c r="I75" s="17"/>
      <c r="J75" s="17"/>
      <c r="K75" s="17"/>
      <c r="L75" s="17"/>
      <c r="M75" s="17"/>
      <c r="N75" s="17"/>
      <c r="O75" s="17"/>
      <c r="P75" s="17"/>
      <c r="Q75" s="17"/>
      <c r="R75" s="17"/>
      <c r="S75" s="143"/>
      <c r="T75" s="143"/>
      <c r="U75" s="143"/>
      <c r="V75" s="143"/>
      <c r="W75" s="17"/>
      <c r="X75" s="17"/>
      <c r="Y75" s="17"/>
      <c r="Z75" s="17"/>
      <c r="AA75" s="17"/>
      <c r="AB75" s="17"/>
    </row>
    <row r="76">
      <c r="A76" s="17"/>
      <c r="B76" s="17"/>
      <c r="C76" s="17"/>
      <c r="D76" s="17"/>
      <c r="E76" s="17"/>
      <c r="F76" s="288"/>
      <c r="G76" s="17"/>
      <c r="H76" s="17"/>
      <c r="I76" s="17"/>
      <c r="J76" s="17"/>
      <c r="K76" s="17"/>
      <c r="L76" s="17"/>
      <c r="M76" s="17"/>
      <c r="N76" s="17"/>
      <c r="O76" s="17"/>
      <c r="P76" s="17"/>
      <c r="Q76" s="17"/>
      <c r="R76" s="17"/>
      <c r="S76" s="143"/>
      <c r="T76" s="143"/>
      <c r="U76" s="143"/>
      <c r="V76" s="143"/>
      <c r="W76" s="17"/>
      <c r="X76" s="17"/>
      <c r="Y76" s="17"/>
      <c r="Z76" s="17"/>
      <c r="AA76" s="17"/>
      <c r="AB76" s="17"/>
    </row>
    <row r="77">
      <c r="A77" s="17"/>
      <c r="B77" s="17"/>
      <c r="C77" s="17"/>
      <c r="D77" s="17"/>
      <c r="E77" s="17"/>
      <c r="F77" s="288"/>
      <c r="G77" s="17"/>
      <c r="H77" s="17"/>
      <c r="I77" s="17"/>
      <c r="J77" s="17"/>
      <c r="K77" s="17"/>
      <c r="L77" s="17"/>
      <c r="M77" s="17"/>
      <c r="N77" s="17"/>
      <c r="O77" s="17"/>
      <c r="P77" s="17"/>
      <c r="Q77" s="17"/>
      <c r="R77" s="17"/>
      <c r="S77" s="143"/>
      <c r="T77" s="143"/>
      <c r="U77" s="143"/>
      <c r="V77" s="143"/>
      <c r="W77" s="17"/>
      <c r="X77" s="17"/>
      <c r="Y77" s="17"/>
      <c r="Z77" s="17"/>
      <c r="AA77" s="17"/>
      <c r="AB77" s="17"/>
    </row>
    <row r="78">
      <c r="A78" s="17"/>
      <c r="B78" s="17"/>
      <c r="C78" s="17"/>
      <c r="D78" s="17"/>
      <c r="E78" s="17"/>
      <c r="F78" s="288"/>
      <c r="G78" s="17"/>
      <c r="H78" s="17"/>
      <c r="I78" s="17"/>
      <c r="J78" s="17"/>
      <c r="K78" s="17"/>
      <c r="L78" s="17"/>
      <c r="M78" s="17"/>
      <c r="N78" s="17"/>
      <c r="O78" s="17"/>
      <c r="P78" s="17"/>
      <c r="Q78" s="17"/>
      <c r="R78" s="17"/>
      <c r="S78" s="143"/>
      <c r="T78" s="143"/>
      <c r="U78" s="143"/>
      <c r="V78" s="143"/>
      <c r="W78" s="17"/>
      <c r="X78" s="17"/>
      <c r="Y78" s="17"/>
      <c r="Z78" s="17"/>
      <c r="AA78" s="17"/>
      <c r="AB78" s="17"/>
    </row>
    <row r="79">
      <c r="A79" s="17"/>
      <c r="B79" s="17"/>
      <c r="C79" s="17"/>
      <c r="D79" s="17"/>
      <c r="E79" s="17"/>
      <c r="F79" s="288"/>
      <c r="G79" s="17"/>
      <c r="H79" s="17"/>
      <c r="I79" s="17"/>
      <c r="J79" s="17"/>
      <c r="K79" s="17"/>
      <c r="L79" s="17"/>
      <c r="M79" s="17"/>
      <c r="N79" s="17"/>
      <c r="O79" s="17"/>
      <c r="P79" s="17"/>
      <c r="Q79" s="17"/>
      <c r="R79" s="17"/>
      <c r="S79" s="143"/>
      <c r="T79" s="143"/>
      <c r="U79" s="143"/>
      <c r="V79" s="143"/>
      <c r="W79" s="17"/>
      <c r="X79" s="17"/>
      <c r="Y79" s="17"/>
      <c r="Z79" s="17"/>
      <c r="AA79" s="17"/>
      <c r="AB79" s="17"/>
    </row>
    <row r="80">
      <c r="A80" s="17"/>
      <c r="B80" s="17"/>
      <c r="C80" s="17"/>
      <c r="D80" s="17"/>
      <c r="E80" s="17"/>
      <c r="F80" s="288"/>
      <c r="G80" s="17"/>
      <c r="H80" s="17"/>
      <c r="I80" s="17"/>
      <c r="J80" s="17"/>
      <c r="K80" s="17"/>
      <c r="L80" s="17"/>
      <c r="M80" s="17"/>
      <c r="N80" s="17"/>
      <c r="O80" s="17"/>
      <c r="P80" s="17"/>
      <c r="Q80" s="17"/>
      <c r="R80" s="17"/>
      <c r="S80" s="143"/>
      <c r="T80" s="143"/>
      <c r="U80" s="143"/>
      <c r="V80" s="143"/>
      <c r="W80" s="17"/>
      <c r="X80" s="17"/>
      <c r="Y80" s="17"/>
      <c r="Z80" s="17"/>
      <c r="AA80" s="17"/>
      <c r="AB80" s="17"/>
    </row>
    <row r="81">
      <c r="A81" s="17"/>
      <c r="B81" s="17"/>
      <c r="C81" s="17"/>
      <c r="D81" s="17"/>
      <c r="E81" s="17"/>
      <c r="F81" s="288"/>
      <c r="G81" s="17"/>
      <c r="H81" s="17"/>
      <c r="I81" s="17"/>
      <c r="J81" s="17"/>
      <c r="K81" s="17"/>
      <c r="L81" s="17"/>
      <c r="M81" s="17"/>
      <c r="N81" s="17"/>
      <c r="O81" s="17"/>
      <c r="P81" s="17"/>
      <c r="Q81" s="17"/>
      <c r="R81" s="17"/>
      <c r="S81" s="143"/>
      <c r="T81" s="143"/>
      <c r="U81" s="143"/>
      <c r="V81" s="143"/>
      <c r="W81" s="17"/>
      <c r="X81" s="17"/>
      <c r="Y81" s="17"/>
      <c r="Z81" s="17"/>
      <c r="AA81" s="17"/>
      <c r="AB81" s="17"/>
    </row>
    <row r="82">
      <c r="A82" s="17"/>
      <c r="B82" s="17"/>
      <c r="C82" s="17"/>
      <c r="D82" s="17"/>
      <c r="E82" s="17"/>
      <c r="F82" s="288"/>
      <c r="G82" s="17"/>
      <c r="H82" s="17"/>
      <c r="I82" s="17"/>
      <c r="J82" s="17"/>
      <c r="K82" s="17"/>
      <c r="L82" s="17"/>
      <c r="M82" s="17"/>
      <c r="N82" s="17"/>
      <c r="O82" s="17"/>
      <c r="P82" s="17"/>
      <c r="Q82" s="17"/>
      <c r="R82" s="17"/>
      <c r="S82" s="143"/>
      <c r="T82" s="143"/>
      <c r="U82" s="143"/>
      <c r="V82" s="143"/>
      <c r="W82" s="17"/>
      <c r="X82" s="17"/>
      <c r="Y82" s="17"/>
      <c r="Z82" s="17"/>
      <c r="AA82" s="17"/>
      <c r="AB82" s="17"/>
    </row>
    <row r="83">
      <c r="A83" s="17"/>
      <c r="B83" s="17"/>
      <c r="C83" s="17"/>
      <c r="D83" s="17"/>
      <c r="E83" s="17"/>
      <c r="F83" s="288"/>
      <c r="G83" s="17"/>
      <c r="H83" s="17"/>
      <c r="I83" s="17"/>
      <c r="J83" s="17"/>
      <c r="K83" s="17"/>
      <c r="L83" s="17"/>
      <c r="M83" s="17"/>
      <c r="N83" s="17"/>
      <c r="O83" s="17"/>
      <c r="P83" s="17"/>
      <c r="Q83" s="17"/>
      <c r="R83" s="17"/>
      <c r="S83" s="143"/>
      <c r="T83" s="143"/>
      <c r="U83" s="143"/>
      <c r="V83" s="143"/>
      <c r="W83" s="17"/>
      <c r="X83" s="17"/>
      <c r="Y83" s="17"/>
      <c r="Z83" s="17"/>
      <c r="AA83" s="17"/>
      <c r="AB83" s="17"/>
    </row>
    <row r="84">
      <c r="A84" s="17"/>
      <c r="B84" s="17"/>
      <c r="C84" s="17"/>
      <c r="D84" s="17"/>
      <c r="E84" s="17"/>
      <c r="F84" s="288"/>
      <c r="G84" s="17"/>
      <c r="H84" s="17"/>
      <c r="I84" s="17"/>
      <c r="J84" s="17"/>
      <c r="K84" s="17"/>
      <c r="L84" s="17"/>
      <c r="M84" s="17"/>
      <c r="N84" s="17"/>
      <c r="O84" s="17"/>
      <c r="P84" s="17"/>
      <c r="Q84" s="17"/>
      <c r="R84" s="17"/>
      <c r="S84" s="143"/>
      <c r="T84" s="143"/>
      <c r="U84" s="143"/>
      <c r="V84" s="143"/>
      <c r="W84" s="17"/>
      <c r="X84" s="17"/>
      <c r="Y84" s="17"/>
      <c r="Z84" s="17"/>
      <c r="AA84" s="17"/>
      <c r="AB84" s="17"/>
    </row>
    <row r="85">
      <c r="A85" s="17"/>
      <c r="B85" s="17"/>
      <c r="C85" s="17"/>
      <c r="D85" s="17"/>
      <c r="E85" s="17"/>
      <c r="F85" s="288"/>
      <c r="G85" s="17"/>
      <c r="H85" s="17"/>
      <c r="I85" s="17"/>
      <c r="J85" s="17"/>
      <c r="K85" s="17"/>
      <c r="L85" s="17"/>
      <c r="M85" s="17"/>
      <c r="N85" s="17"/>
      <c r="O85" s="17"/>
      <c r="P85" s="17"/>
      <c r="Q85" s="17"/>
      <c r="R85" s="17"/>
      <c r="S85" s="143"/>
      <c r="T85" s="143"/>
      <c r="U85" s="143"/>
      <c r="V85" s="143"/>
      <c r="W85" s="17"/>
      <c r="X85" s="17"/>
      <c r="Y85" s="17"/>
      <c r="Z85" s="17"/>
      <c r="AA85" s="17"/>
      <c r="AB85" s="17"/>
    </row>
    <row r="86">
      <c r="A86" s="17"/>
      <c r="B86" s="17"/>
      <c r="C86" s="17"/>
      <c r="D86" s="17"/>
      <c r="E86" s="17"/>
      <c r="F86" s="288"/>
      <c r="G86" s="17"/>
      <c r="H86" s="17"/>
      <c r="I86" s="17"/>
      <c r="J86" s="17"/>
      <c r="K86" s="17"/>
      <c r="L86" s="17"/>
      <c r="M86" s="17"/>
      <c r="N86" s="17"/>
      <c r="O86" s="17"/>
      <c r="P86" s="17"/>
      <c r="Q86" s="17"/>
      <c r="R86" s="17"/>
      <c r="S86" s="143"/>
      <c r="T86" s="143"/>
      <c r="U86" s="143"/>
      <c r="V86" s="143"/>
      <c r="W86" s="17"/>
      <c r="X86" s="17"/>
      <c r="Y86" s="17"/>
      <c r="Z86" s="17"/>
      <c r="AA86" s="17"/>
      <c r="AB86" s="17"/>
    </row>
    <row r="87">
      <c r="A87" s="17"/>
      <c r="B87" s="17"/>
      <c r="C87" s="17"/>
      <c r="D87" s="17"/>
      <c r="E87" s="17"/>
      <c r="F87" s="288"/>
      <c r="G87" s="17"/>
      <c r="H87" s="17"/>
      <c r="I87" s="17"/>
      <c r="J87" s="17"/>
      <c r="K87" s="17"/>
      <c r="L87" s="17"/>
      <c r="M87" s="17"/>
      <c r="N87" s="17"/>
      <c r="O87" s="17"/>
      <c r="P87" s="17"/>
      <c r="Q87" s="17"/>
      <c r="R87" s="17"/>
      <c r="S87" s="143"/>
      <c r="T87" s="143"/>
      <c r="U87" s="143"/>
      <c r="V87" s="143"/>
      <c r="W87" s="17"/>
      <c r="X87" s="17"/>
      <c r="Y87" s="17"/>
      <c r="Z87" s="17"/>
      <c r="AA87" s="17"/>
      <c r="AB87" s="17"/>
    </row>
    <row r="88">
      <c r="A88" s="17"/>
      <c r="B88" s="17"/>
      <c r="C88" s="17"/>
      <c r="D88" s="17"/>
      <c r="E88" s="17"/>
      <c r="F88" s="288"/>
      <c r="G88" s="17"/>
      <c r="H88" s="17"/>
      <c r="I88" s="17"/>
      <c r="J88" s="17"/>
      <c r="K88" s="17"/>
      <c r="L88" s="17"/>
      <c r="M88" s="17"/>
      <c r="N88" s="17"/>
      <c r="O88" s="17"/>
      <c r="P88" s="17"/>
      <c r="Q88" s="17"/>
      <c r="R88" s="17"/>
      <c r="S88" s="143"/>
      <c r="T88" s="143"/>
      <c r="U88" s="143"/>
      <c r="V88" s="143"/>
      <c r="W88" s="17"/>
      <c r="X88" s="17"/>
      <c r="Y88" s="17"/>
      <c r="Z88" s="17"/>
      <c r="AA88" s="17"/>
      <c r="AB88" s="17"/>
    </row>
    <row r="89">
      <c r="A89" s="17"/>
      <c r="B89" s="17"/>
      <c r="C89" s="17"/>
      <c r="D89" s="17"/>
      <c r="E89" s="17"/>
      <c r="F89" s="288"/>
      <c r="G89" s="17"/>
      <c r="H89" s="17"/>
      <c r="I89" s="17"/>
      <c r="J89" s="17"/>
      <c r="K89" s="17"/>
      <c r="L89" s="17"/>
      <c r="M89" s="17"/>
      <c r="N89" s="17"/>
      <c r="O89" s="17"/>
      <c r="P89" s="17"/>
      <c r="Q89" s="17"/>
      <c r="R89" s="17"/>
      <c r="S89" s="143"/>
      <c r="T89" s="143"/>
      <c r="U89" s="143"/>
      <c r="V89" s="143"/>
      <c r="W89" s="17"/>
      <c r="X89" s="17"/>
      <c r="Y89" s="17"/>
      <c r="Z89" s="17"/>
      <c r="AA89" s="17"/>
      <c r="AB89" s="17"/>
    </row>
    <row r="90">
      <c r="A90" s="17"/>
      <c r="B90" s="17"/>
      <c r="C90" s="17"/>
      <c r="D90" s="17"/>
      <c r="E90" s="17"/>
      <c r="F90" s="288"/>
      <c r="G90" s="17"/>
      <c r="H90" s="17"/>
      <c r="I90" s="17"/>
      <c r="J90" s="17"/>
      <c r="K90" s="17"/>
      <c r="L90" s="17"/>
      <c r="M90" s="17"/>
      <c r="N90" s="17"/>
      <c r="O90" s="17"/>
      <c r="P90" s="17"/>
      <c r="Q90" s="17"/>
      <c r="R90" s="17"/>
      <c r="S90" s="143"/>
      <c r="T90" s="143"/>
      <c r="U90" s="143"/>
      <c r="V90" s="143"/>
      <c r="W90" s="17"/>
      <c r="X90" s="17"/>
      <c r="Y90" s="17"/>
      <c r="Z90" s="17"/>
      <c r="AA90" s="17"/>
      <c r="AB90" s="17"/>
    </row>
    <row r="91">
      <c r="A91" s="17"/>
      <c r="B91" s="17"/>
      <c r="C91" s="17"/>
      <c r="D91" s="17"/>
      <c r="E91" s="17"/>
      <c r="F91" s="288"/>
      <c r="G91" s="17"/>
      <c r="H91" s="17"/>
      <c r="I91" s="17"/>
      <c r="J91" s="17"/>
      <c r="K91" s="17"/>
      <c r="L91" s="17"/>
      <c r="M91" s="17"/>
      <c r="N91" s="17"/>
      <c r="O91" s="17"/>
      <c r="P91" s="17"/>
      <c r="Q91" s="17"/>
      <c r="R91" s="17"/>
      <c r="S91" s="143"/>
      <c r="T91" s="143"/>
      <c r="U91" s="143"/>
      <c r="V91" s="143"/>
      <c r="W91" s="17"/>
      <c r="X91" s="17"/>
      <c r="Y91" s="17"/>
      <c r="Z91" s="17"/>
      <c r="AA91" s="17"/>
      <c r="AB91" s="17"/>
    </row>
    <row r="92">
      <c r="A92" s="17"/>
      <c r="B92" s="17"/>
      <c r="C92" s="17"/>
      <c r="D92" s="17"/>
      <c r="E92" s="17"/>
      <c r="F92" s="288"/>
      <c r="G92" s="17"/>
      <c r="H92" s="17"/>
      <c r="I92" s="17"/>
      <c r="J92" s="17"/>
      <c r="K92" s="17"/>
      <c r="L92" s="17"/>
      <c r="M92" s="17"/>
      <c r="N92" s="17"/>
      <c r="O92" s="17"/>
      <c r="P92" s="17"/>
      <c r="Q92" s="17"/>
      <c r="R92" s="17"/>
      <c r="S92" s="143"/>
      <c r="T92" s="143"/>
      <c r="U92" s="143"/>
      <c r="V92" s="143"/>
      <c r="W92" s="17"/>
      <c r="X92" s="17"/>
      <c r="Y92" s="17"/>
      <c r="Z92" s="17"/>
      <c r="AA92" s="17"/>
      <c r="AB92" s="17"/>
    </row>
    <row r="93">
      <c r="A93" s="17"/>
      <c r="B93" s="17"/>
      <c r="C93" s="17"/>
      <c r="D93" s="17"/>
      <c r="E93" s="17"/>
      <c r="F93" s="288"/>
      <c r="G93" s="17"/>
      <c r="H93" s="17"/>
      <c r="I93" s="17"/>
      <c r="J93" s="17"/>
      <c r="K93" s="17"/>
      <c r="L93" s="17"/>
      <c r="M93" s="17"/>
      <c r="N93" s="17"/>
      <c r="O93" s="17"/>
      <c r="P93" s="17"/>
      <c r="Q93" s="17"/>
      <c r="R93" s="17"/>
      <c r="S93" s="143"/>
      <c r="T93" s="143"/>
      <c r="U93" s="143"/>
      <c r="V93" s="143"/>
      <c r="W93" s="17"/>
      <c r="X93" s="17"/>
      <c r="Y93" s="17"/>
      <c r="Z93" s="17"/>
      <c r="AA93" s="17"/>
      <c r="AB93" s="17"/>
    </row>
    <row r="94">
      <c r="A94" s="17"/>
      <c r="B94" s="17"/>
      <c r="C94" s="17"/>
      <c r="D94" s="17"/>
      <c r="E94" s="17"/>
      <c r="F94" s="288"/>
      <c r="G94" s="17"/>
      <c r="H94" s="17"/>
      <c r="I94" s="17"/>
      <c r="J94" s="17"/>
      <c r="K94" s="17"/>
      <c r="L94" s="17"/>
      <c r="M94" s="17"/>
      <c r="N94" s="17"/>
      <c r="O94" s="17"/>
      <c r="P94" s="17"/>
      <c r="Q94" s="17"/>
      <c r="R94" s="17"/>
      <c r="S94" s="143"/>
      <c r="T94" s="143"/>
      <c r="U94" s="143"/>
      <c r="V94" s="143"/>
      <c r="W94" s="17"/>
      <c r="X94" s="17"/>
      <c r="Y94" s="17"/>
      <c r="Z94" s="17"/>
      <c r="AA94" s="17"/>
      <c r="AB94" s="17"/>
    </row>
    <row r="95">
      <c r="A95" s="17"/>
      <c r="B95" s="17"/>
      <c r="C95" s="17"/>
      <c r="D95" s="17"/>
      <c r="E95" s="17"/>
      <c r="F95" s="288"/>
      <c r="G95" s="17"/>
      <c r="H95" s="17"/>
      <c r="I95" s="17"/>
      <c r="J95" s="17"/>
      <c r="K95" s="17"/>
      <c r="L95" s="17"/>
      <c r="M95" s="17"/>
      <c r="N95" s="17"/>
      <c r="O95" s="17"/>
      <c r="P95" s="17"/>
      <c r="Q95" s="17"/>
      <c r="R95" s="17"/>
      <c r="S95" s="143"/>
      <c r="T95" s="143"/>
      <c r="U95" s="143"/>
      <c r="V95" s="143"/>
      <c r="W95" s="17"/>
      <c r="X95" s="17"/>
      <c r="Y95" s="17"/>
      <c r="Z95" s="17"/>
      <c r="AA95" s="17"/>
      <c r="AB95" s="17"/>
    </row>
    <row r="96">
      <c r="A96" s="17"/>
      <c r="B96" s="17"/>
      <c r="C96" s="17"/>
      <c r="D96" s="17"/>
      <c r="E96" s="17"/>
      <c r="F96" s="288"/>
      <c r="G96" s="17"/>
      <c r="H96" s="17"/>
      <c r="I96" s="17"/>
      <c r="J96" s="17"/>
      <c r="K96" s="17"/>
      <c r="L96" s="17"/>
      <c r="M96" s="17"/>
      <c r="N96" s="17"/>
      <c r="O96" s="17"/>
      <c r="P96" s="17"/>
      <c r="Q96" s="17"/>
      <c r="R96" s="17"/>
      <c r="S96" s="143"/>
      <c r="T96" s="143"/>
      <c r="U96" s="143"/>
      <c r="V96" s="143"/>
      <c r="W96" s="17"/>
      <c r="X96" s="17"/>
      <c r="Y96" s="17"/>
      <c r="Z96" s="17"/>
      <c r="AA96" s="17"/>
      <c r="AB96" s="17"/>
    </row>
    <row r="97">
      <c r="A97" s="17"/>
      <c r="B97" s="17"/>
      <c r="C97" s="17"/>
      <c r="D97" s="17"/>
      <c r="E97" s="17"/>
      <c r="F97" s="288"/>
      <c r="G97" s="17"/>
      <c r="H97" s="17"/>
      <c r="I97" s="17"/>
      <c r="J97" s="17"/>
      <c r="K97" s="17"/>
      <c r="L97" s="17"/>
      <c r="M97" s="17"/>
      <c r="N97" s="17"/>
      <c r="O97" s="17"/>
      <c r="P97" s="17"/>
      <c r="Q97" s="17"/>
      <c r="R97" s="17"/>
      <c r="S97" s="143"/>
      <c r="T97" s="143"/>
      <c r="U97" s="143"/>
      <c r="V97" s="143"/>
      <c r="W97" s="17"/>
      <c r="X97" s="17"/>
      <c r="Y97" s="17"/>
      <c r="Z97" s="17"/>
      <c r="AA97" s="17"/>
      <c r="AB97" s="17"/>
    </row>
    <row r="98">
      <c r="A98" s="17"/>
      <c r="B98" s="17"/>
      <c r="C98" s="17"/>
      <c r="D98" s="17"/>
      <c r="E98" s="17"/>
      <c r="F98" s="288"/>
      <c r="G98" s="17"/>
      <c r="H98" s="17"/>
      <c r="I98" s="17"/>
      <c r="J98" s="17"/>
      <c r="K98" s="17"/>
      <c r="L98" s="17"/>
      <c r="M98" s="17"/>
      <c r="N98" s="17"/>
      <c r="O98" s="17"/>
      <c r="P98" s="17"/>
      <c r="Q98" s="17"/>
      <c r="R98" s="17"/>
      <c r="S98" s="143"/>
      <c r="T98" s="143"/>
      <c r="U98" s="143"/>
      <c r="V98" s="143"/>
      <c r="W98" s="17"/>
      <c r="X98" s="17"/>
      <c r="Y98" s="17"/>
      <c r="Z98" s="17"/>
      <c r="AA98" s="17"/>
      <c r="AB98" s="17"/>
    </row>
    <row r="99">
      <c r="A99" s="17"/>
      <c r="B99" s="17"/>
      <c r="C99" s="17"/>
      <c r="D99" s="17"/>
      <c r="E99" s="17"/>
      <c r="F99" s="288"/>
      <c r="G99" s="17"/>
      <c r="H99" s="17"/>
      <c r="I99" s="17"/>
      <c r="J99" s="17"/>
      <c r="K99" s="17"/>
      <c r="L99" s="17"/>
      <c r="M99" s="17"/>
      <c r="N99" s="17"/>
      <c r="O99" s="17"/>
      <c r="P99" s="17"/>
      <c r="Q99" s="17"/>
      <c r="R99" s="17"/>
      <c r="S99" s="143"/>
      <c r="T99" s="143"/>
      <c r="U99" s="143"/>
      <c r="V99" s="143"/>
      <c r="W99" s="17"/>
      <c r="X99" s="17"/>
      <c r="Y99" s="17"/>
      <c r="Z99" s="17"/>
      <c r="AA99" s="17"/>
      <c r="AB99" s="17"/>
    </row>
    <row r="100">
      <c r="A100" s="17"/>
      <c r="B100" s="17"/>
      <c r="C100" s="17"/>
      <c r="D100" s="17"/>
      <c r="E100" s="17"/>
      <c r="F100" s="288"/>
      <c r="G100" s="17"/>
      <c r="H100" s="17"/>
      <c r="I100" s="17"/>
      <c r="J100" s="17"/>
      <c r="K100" s="17"/>
      <c r="L100" s="17"/>
      <c r="M100" s="17"/>
      <c r="N100" s="17"/>
      <c r="O100" s="17"/>
      <c r="P100" s="17"/>
      <c r="Q100" s="17"/>
      <c r="R100" s="17"/>
      <c r="S100" s="143"/>
      <c r="T100" s="143"/>
      <c r="U100" s="143"/>
      <c r="V100" s="143"/>
      <c r="W100" s="17"/>
      <c r="X100" s="17"/>
      <c r="Y100" s="17"/>
      <c r="Z100" s="17"/>
      <c r="AA100" s="17"/>
      <c r="AB100" s="17"/>
    </row>
    <row r="101">
      <c r="A101" s="17"/>
      <c r="B101" s="17"/>
      <c r="C101" s="17"/>
      <c r="D101" s="17"/>
      <c r="E101" s="17"/>
      <c r="F101" s="288"/>
      <c r="G101" s="17"/>
      <c r="H101" s="17"/>
      <c r="I101" s="17"/>
      <c r="J101" s="17"/>
      <c r="K101" s="17"/>
      <c r="L101" s="17"/>
      <c r="M101" s="17"/>
      <c r="N101" s="17"/>
      <c r="O101" s="17"/>
      <c r="P101" s="17"/>
      <c r="Q101" s="17"/>
      <c r="R101" s="17"/>
      <c r="S101" s="143"/>
      <c r="T101" s="143"/>
      <c r="U101" s="143"/>
      <c r="V101" s="143"/>
      <c r="W101" s="17"/>
      <c r="X101" s="17"/>
      <c r="Y101" s="17"/>
      <c r="Z101" s="17"/>
      <c r="AA101" s="17"/>
      <c r="AB101" s="17"/>
    </row>
    <row r="102">
      <c r="A102" s="17"/>
      <c r="B102" s="17"/>
      <c r="C102" s="17"/>
      <c r="D102" s="17"/>
      <c r="E102" s="17"/>
      <c r="F102" s="288"/>
      <c r="G102" s="17"/>
      <c r="H102" s="17"/>
      <c r="I102" s="17"/>
      <c r="J102" s="17"/>
      <c r="K102" s="17"/>
      <c r="L102" s="17"/>
      <c r="M102" s="17"/>
      <c r="N102" s="17"/>
      <c r="O102" s="17"/>
      <c r="P102" s="17"/>
      <c r="Q102" s="17"/>
      <c r="R102" s="17"/>
      <c r="S102" s="143"/>
      <c r="T102" s="143"/>
      <c r="U102" s="143"/>
      <c r="V102" s="143"/>
      <c r="W102" s="17"/>
      <c r="X102" s="17"/>
      <c r="Y102" s="17"/>
      <c r="Z102" s="17"/>
      <c r="AA102" s="17"/>
      <c r="AB102" s="17"/>
    </row>
    <row r="103">
      <c r="A103" s="17"/>
      <c r="B103" s="17"/>
      <c r="C103" s="17"/>
      <c r="D103" s="17"/>
      <c r="E103" s="17"/>
      <c r="F103" s="288"/>
      <c r="G103" s="17"/>
      <c r="H103" s="17"/>
      <c r="I103" s="17"/>
      <c r="J103" s="17"/>
      <c r="K103" s="17"/>
      <c r="L103" s="17"/>
      <c r="M103" s="17"/>
      <c r="N103" s="17"/>
      <c r="O103" s="17"/>
      <c r="P103" s="17"/>
      <c r="Q103" s="17"/>
      <c r="R103" s="17"/>
      <c r="S103" s="143"/>
      <c r="T103" s="143"/>
      <c r="U103" s="143"/>
      <c r="V103" s="143"/>
      <c r="W103" s="17"/>
      <c r="X103" s="17"/>
      <c r="Y103" s="17"/>
      <c r="Z103" s="17"/>
      <c r="AA103" s="17"/>
      <c r="AB103" s="17"/>
    </row>
    <row r="104">
      <c r="A104" s="17"/>
      <c r="B104" s="17"/>
      <c r="C104" s="17"/>
      <c r="D104" s="17"/>
      <c r="E104" s="17"/>
      <c r="F104" s="288"/>
      <c r="G104" s="17"/>
      <c r="H104" s="17"/>
      <c r="I104" s="17"/>
      <c r="J104" s="17"/>
      <c r="K104" s="17"/>
      <c r="L104" s="17"/>
      <c r="M104" s="17"/>
      <c r="N104" s="17"/>
      <c r="O104" s="17"/>
      <c r="P104" s="17"/>
      <c r="Q104" s="17"/>
      <c r="R104" s="17"/>
      <c r="S104" s="143"/>
      <c r="T104" s="143"/>
      <c r="U104" s="143"/>
      <c r="V104" s="143"/>
      <c r="W104" s="17"/>
      <c r="X104" s="17"/>
      <c r="Y104" s="17"/>
      <c r="Z104" s="17"/>
      <c r="AA104" s="17"/>
      <c r="AB104" s="17"/>
    </row>
    <row r="105">
      <c r="A105" s="17"/>
      <c r="B105" s="17"/>
      <c r="C105" s="17"/>
      <c r="D105" s="17"/>
      <c r="E105" s="17"/>
      <c r="F105" s="288"/>
      <c r="G105" s="17"/>
      <c r="H105" s="17"/>
      <c r="I105" s="17"/>
      <c r="J105" s="17"/>
      <c r="K105" s="17"/>
      <c r="L105" s="17"/>
      <c r="M105" s="17"/>
      <c r="N105" s="17"/>
      <c r="O105" s="17"/>
      <c r="P105" s="17"/>
      <c r="Q105" s="17"/>
      <c r="R105" s="17"/>
      <c r="S105" s="143"/>
      <c r="T105" s="143"/>
      <c r="U105" s="143"/>
      <c r="V105" s="143"/>
      <c r="W105" s="17"/>
      <c r="X105" s="17"/>
      <c r="Y105" s="17"/>
      <c r="Z105" s="17"/>
      <c r="AA105" s="17"/>
      <c r="AB105" s="17"/>
    </row>
    <row r="106">
      <c r="A106" s="17"/>
      <c r="B106" s="17"/>
      <c r="C106" s="17"/>
      <c r="D106" s="17"/>
      <c r="E106" s="17"/>
      <c r="F106" s="288"/>
      <c r="G106" s="17"/>
      <c r="H106" s="17"/>
      <c r="I106" s="17"/>
      <c r="J106" s="17"/>
      <c r="K106" s="17"/>
      <c r="L106" s="17"/>
      <c r="M106" s="17"/>
      <c r="N106" s="17"/>
      <c r="O106" s="17"/>
      <c r="P106" s="17"/>
      <c r="Q106" s="17"/>
      <c r="R106" s="17"/>
      <c r="S106" s="143"/>
      <c r="T106" s="143"/>
      <c r="U106" s="143"/>
      <c r="V106" s="143"/>
      <c r="W106" s="17"/>
      <c r="X106" s="17"/>
      <c r="Y106" s="17"/>
      <c r="Z106" s="17"/>
      <c r="AA106" s="17"/>
      <c r="AB106" s="17"/>
    </row>
    <row r="107">
      <c r="A107" s="17"/>
      <c r="B107" s="17"/>
      <c r="C107" s="17"/>
      <c r="D107" s="17"/>
      <c r="E107" s="17"/>
      <c r="F107" s="288"/>
      <c r="G107" s="17"/>
      <c r="H107" s="17"/>
      <c r="I107" s="17"/>
      <c r="J107" s="17"/>
      <c r="K107" s="17"/>
      <c r="L107" s="17"/>
      <c r="M107" s="17"/>
      <c r="N107" s="17"/>
      <c r="O107" s="17"/>
      <c r="P107" s="17"/>
      <c r="Q107" s="17"/>
      <c r="R107" s="17"/>
      <c r="S107" s="143"/>
      <c r="T107" s="143"/>
      <c r="U107" s="143"/>
      <c r="V107" s="143"/>
      <c r="W107" s="17"/>
      <c r="X107" s="17"/>
      <c r="Y107" s="17"/>
      <c r="Z107" s="17"/>
      <c r="AA107" s="17"/>
      <c r="AB107" s="17"/>
    </row>
    <row r="108">
      <c r="A108" s="17"/>
      <c r="B108" s="17"/>
      <c r="C108" s="17"/>
      <c r="D108" s="17"/>
      <c r="E108" s="17"/>
      <c r="F108" s="288"/>
      <c r="G108" s="17"/>
      <c r="H108" s="17"/>
      <c r="I108" s="17"/>
      <c r="J108" s="17"/>
      <c r="K108" s="17"/>
      <c r="L108" s="17"/>
      <c r="M108" s="17"/>
      <c r="N108" s="17"/>
      <c r="O108" s="17"/>
      <c r="P108" s="17"/>
      <c r="Q108" s="17"/>
      <c r="R108" s="17"/>
      <c r="S108" s="143"/>
      <c r="T108" s="143"/>
      <c r="U108" s="143"/>
      <c r="V108" s="143"/>
      <c r="W108" s="17"/>
      <c r="X108" s="17"/>
      <c r="Y108" s="17"/>
      <c r="Z108" s="17"/>
      <c r="AA108" s="17"/>
      <c r="AB108" s="17"/>
    </row>
    <row r="109">
      <c r="A109" s="17"/>
      <c r="B109" s="17"/>
      <c r="C109" s="17"/>
      <c r="D109" s="17"/>
      <c r="E109" s="17"/>
      <c r="F109" s="288"/>
      <c r="G109" s="17"/>
      <c r="H109" s="17"/>
      <c r="I109" s="17"/>
      <c r="J109" s="17"/>
      <c r="K109" s="17"/>
      <c r="L109" s="17"/>
      <c r="M109" s="17"/>
      <c r="N109" s="17"/>
      <c r="O109" s="17"/>
      <c r="P109" s="17"/>
      <c r="Q109" s="17"/>
      <c r="R109" s="17"/>
      <c r="S109" s="143"/>
      <c r="T109" s="143"/>
      <c r="U109" s="143"/>
      <c r="V109" s="143"/>
      <c r="W109" s="17"/>
      <c r="X109" s="17"/>
      <c r="Y109" s="17"/>
      <c r="Z109" s="17"/>
      <c r="AA109" s="17"/>
      <c r="AB109" s="17"/>
    </row>
    <row r="110">
      <c r="A110" s="17"/>
      <c r="B110" s="17"/>
      <c r="C110" s="17"/>
      <c r="D110" s="17"/>
      <c r="E110" s="17"/>
      <c r="F110" s="288"/>
      <c r="G110" s="17"/>
      <c r="H110" s="17"/>
      <c r="I110" s="17"/>
      <c r="J110" s="17"/>
      <c r="K110" s="17"/>
      <c r="L110" s="17"/>
      <c r="M110" s="17"/>
      <c r="N110" s="17"/>
      <c r="O110" s="17"/>
      <c r="P110" s="17"/>
      <c r="Q110" s="17"/>
      <c r="R110" s="17"/>
      <c r="S110" s="143"/>
      <c r="T110" s="143"/>
      <c r="U110" s="143"/>
      <c r="V110" s="143"/>
      <c r="W110" s="17"/>
      <c r="X110" s="17"/>
      <c r="Y110" s="17"/>
      <c r="Z110" s="17"/>
      <c r="AA110" s="17"/>
      <c r="AB110" s="17"/>
    </row>
    <row r="111">
      <c r="A111" s="17"/>
      <c r="B111" s="17"/>
      <c r="C111" s="17"/>
      <c r="D111" s="17"/>
      <c r="E111" s="17"/>
      <c r="F111" s="288"/>
      <c r="G111" s="17"/>
      <c r="H111" s="17"/>
      <c r="I111" s="17"/>
      <c r="J111" s="17"/>
      <c r="K111" s="17"/>
      <c r="L111" s="17"/>
      <c r="M111" s="17"/>
      <c r="N111" s="17"/>
      <c r="O111" s="17"/>
      <c r="P111" s="17"/>
      <c r="Q111" s="17"/>
      <c r="R111" s="17"/>
      <c r="S111" s="143"/>
      <c r="T111" s="143"/>
      <c r="U111" s="143"/>
      <c r="V111" s="143"/>
      <c r="W111" s="17"/>
      <c r="X111" s="17"/>
      <c r="Y111" s="17"/>
      <c r="Z111" s="17"/>
      <c r="AA111" s="17"/>
      <c r="AB111" s="17"/>
    </row>
    <row r="112">
      <c r="A112" s="17"/>
      <c r="B112" s="17"/>
      <c r="C112" s="17"/>
      <c r="D112" s="17"/>
      <c r="E112" s="17"/>
      <c r="F112" s="288"/>
      <c r="G112" s="17"/>
      <c r="H112" s="17"/>
      <c r="I112" s="17"/>
      <c r="J112" s="17"/>
      <c r="K112" s="17"/>
      <c r="L112" s="17"/>
      <c r="M112" s="17"/>
      <c r="N112" s="17"/>
      <c r="O112" s="17"/>
      <c r="P112" s="17"/>
      <c r="Q112" s="17"/>
      <c r="R112" s="17"/>
      <c r="S112" s="143"/>
      <c r="T112" s="143"/>
      <c r="U112" s="143"/>
      <c r="V112" s="143"/>
      <c r="W112" s="17"/>
      <c r="X112" s="17"/>
      <c r="Y112" s="17"/>
      <c r="Z112" s="17"/>
      <c r="AA112" s="17"/>
      <c r="AB112" s="17"/>
    </row>
    <row r="113">
      <c r="A113" s="17"/>
      <c r="B113" s="17"/>
      <c r="C113" s="17"/>
      <c r="D113" s="17"/>
      <c r="E113" s="17"/>
      <c r="F113" s="288"/>
      <c r="G113" s="17"/>
      <c r="H113" s="17"/>
      <c r="I113" s="17"/>
      <c r="J113" s="17"/>
      <c r="K113" s="17"/>
      <c r="L113" s="17"/>
      <c r="M113" s="17"/>
      <c r="N113" s="17"/>
      <c r="O113" s="17"/>
      <c r="P113" s="17"/>
      <c r="Q113" s="17"/>
      <c r="R113" s="17"/>
      <c r="S113" s="143"/>
      <c r="T113" s="143"/>
      <c r="U113" s="143"/>
      <c r="V113" s="143"/>
      <c r="W113" s="17"/>
      <c r="X113" s="17"/>
      <c r="Y113" s="17"/>
      <c r="Z113" s="17"/>
      <c r="AA113" s="17"/>
      <c r="AB113" s="17"/>
    </row>
    <row r="114">
      <c r="A114" s="17"/>
      <c r="B114" s="17"/>
      <c r="C114" s="17"/>
      <c r="D114" s="17"/>
      <c r="E114" s="17"/>
      <c r="F114" s="288"/>
      <c r="G114" s="17"/>
      <c r="H114" s="17"/>
      <c r="I114" s="17"/>
      <c r="J114" s="17"/>
      <c r="K114" s="17"/>
      <c r="L114" s="17"/>
      <c r="M114" s="17"/>
      <c r="N114" s="17"/>
      <c r="O114" s="17"/>
      <c r="P114" s="17"/>
      <c r="Q114" s="17"/>
      <c r="R114" s="17"/>
      <c r="S114" s="143"/>
      <c r="T114" s="143"/>
      <c r="U114" s="143"/>
      <c r="V114" s="143"/>
      <c r="W114" s="17"/>
      <c r="X114" s="17"/>
      <c r="Y114" s="17"/>
      <c r="Z114" s="17"/>
      <c r="AA114" s="17"/>
      <c r="AB114" s="17"/>
    </row>
    <row r="115">
      <c r="A115" s="17"/>
      <c r="B115" s="17"/>
      <c r="C115" s="17"/>
      <c r="D115" s="17"/>
      <c r="E115" s="17"/>
      <c r="F115" s="288"/>
      <c r="G115" s="17"/>
      <c r="H115" s="17"/>
      <c r="I115" s="17"/>
      <c r="J115" s="17"/>
      <c r="K115" s="17"/>
      <c r="L115" s="17"/>
      <c r="M115" s="17"/>
      <c r="N115" s="17"/>
      <c r="O115" s="17"/>
      <c r="P115" s="17"/>
      <c r="Q115" s="17"/>
      <c r="R115" s="17"/>
      <c r="S115" s="143"/>
      <c r="T115" s="143"/>
      <c r="U115" s="143"/>
      <c r="V115" s="143"/>
      <c r="W115" s="17"/>
      <c r="X115" s="17"/>
      <c r="Y115" s="17"/>
      <c r="Z115" s="17"/>
      <c r="AA115" s="17"/>
      <c r="AB115" s="17"/>
    </row>
    <row r="116">
      <c r="A116" s="17"/>
      <c r="B116" s="17"/>
      <c r="C116" s="17"/>
      <c r="D116" s="17"/>
      <c r="E116" s="17"/>
      <c r="F116" s="288"/>
      <c r="G116" s="17"/>
      <c r="H116" s="17"/>
      <c r="I116" s="17"/>
      <c r="J116" s="17"/>
      <c r="K116" s="17"/>
      <c r="L116" s="17"/>
      <c r="M116" s="17"/>
      <c r="N116" s="17"/>
      <c r="O116" s="17"/>
      <c r="P116" s="17"/>
      <c r="Q116" s="17"/>
      <c r="R116" s="17"/>
      <c r="S116" s="143"/>
      <c r="T116" s="143"/>
      <c r="U116" s="143"/>
      <c r="V116" s="143"/>
      <c r="W116" s="17"/>
      <c r="X116" s="17"/>
      <c r="Y116" s="17"/>
      <c r="Z116" s="17"/>
      <c r="AA116" s="17"/>
      <c r="AB116" s="17"/>
    </row>
    <row r="117">
      <c r="A117" s="17"/>
      <c r="B117" s="17"/>
      <c r="C117" s="17"/>
      <c r="D117" s="17"/>
      <c r="E117" s="17"/>
      <c r="F117" s="288"/>
      <c r="G117" s="17"/>
      <c r="H117" s="17"/>
      <c r="I117" s="17"/>
      <c r="J117" s="17"/>
      <c r="K117" s="17"/>
      <c r="L117" s="17"/>
      <c r="M117" s="17"/>
      <c r="N117" s="17"/>
      <c r="O117" s="17"/>
      <c r="P117" s="17"/>
      <c r="Q117" s="17"/>
      <c r="R117" s="17"/>
      <c r="S117" s="143"/>
      <c r="T117" s="143"/>
      <c r="U117" s="143"/>
      <c r="V117" s="143"/>
      <c r="W117" s="17"/>
      <c r="X117" s="17"/>
      <c r="Y117" s="17"/>
      <c r="Z117" s="17"/>
      <c r="AA117" s="17"/>
      <c r="AB117" s="17"/>
    </row>
    <row r="118">
      <c r="A118" s="17"/>
      <c r="B118" s="17"/>
      <c r="C118" s="17"/>
      <c r="D118" s="17"/>
      <c r="E118" s="17"/>
      <c r="F118" s="288"/>
      <c r="G118" s="17"/>
      <c r="H118" s="17"/>
      <c r="I118" s="17"/>
      <c r="J118" s="17"/>
      <c r="K118" s="17"/>
      <c r="L118" s="17"/>
      <c r="M118" s="17"/>
      <c r="N118" s="17"/>
      <c r="O118" s="17"/>
      <c r="P118" s="17"/>
      <c r="Q118" s="17"/>
      <c r="R118" s="17"/>
      <c r="S118" s="143"/>
      <c r="T118" s="143"/>
      <c r="U118" s="143"/>
      <c r="V118" s="143"/>
      <c r="W118" s="17"/>
      <c r="X118" s="17"/>
      <c r="Y118" s="17"/>
      <c r="Z118" s="17"/>
      <c r="AA118" s="17"/>
      <c r="AB118" s="17"/>
    </row>
    <row r="119">
      <c r="A119" s="17"/>
      <c r="B119" s="17"/>
      <c r="C119" s="17"/>
      <c r="D119" s="17"/>
      <c r="E119" s="17"/>
      <c r="F119" s="288"/>
      <c r="G119" s="17"/>
      <c r="H119" s="17"/>
      <c r="I119" s="17"/>
      <c r="J119" s="17"/>
      <c r="K119" s="17"/>
      <c r="L119" s="17"/>
      <c r="M119" s="17"/>
      <c r="N119" s="17"/>
      <c r="O119" s="17"/>
      <c r="P119" s="17"/>
      <c r="Q119" s="17"/>
      <c r="R119" s="17"/>
      <c r="S119" s="143"/>
      <c r="T119" s="143"/>
      <c r="U119" s="143"/>
      <c r="V119" s="143"/>
      <c r="W119" s="17"/>
      <c r="X119" s="17"/>
      <c r="Y119" s="17"/>
      <c r="Z119" s="17"/>
      <c r="AA119" s="17"/>
      <c r="AB119" s="17"/>
    </row>
    <row r="120">
      <c r="A120" s="17"/>
      <c r="B120" s="17"/>
      <c r="C120" s="17"/>
      <c r="D120" s="17"/>
      <c r="E120" s="17"/>
      <c r="F120" s="288"/>
      <c r="G120" s="17"/>
      <c r="H120" s="17"/>
      <c r="I120" s="17"/>
      <c r="J120" s="17"/>
      <c r="K120" s="17"/>
      <c r="L120" s="17"/>
      <c r="M120" s="17"/>
      <c r="N120" s="17"/>
      <c r="O120" s="17"/>
      <c r="P120" s="17"/>
      <c r="Q120" s="17"/>
      <c r="R120" s="17"/>
      <c r="S120" s="143"/>
      <c r="T120" s="143"/>
      <c r="U120" s="143"/>
      <c r="V120" s="143"/>
      <c r="W120" s="17"/>
      <c r="X120" s="17"/>
      <c r="Y120" s="17"/>
      <c r="Z120" s="17"/>
      <c r="AA120" s="17"/>
      <c r="AB120" s="17"/>
    </row>
    <row r="121">
      <c r="A121" s="17"/>
      <c r="B121" s="17"/>
      <c r="C121" s="17"/>
      <c r="D121" s="17"/>
      <c r="E121" s="17"/>
      <c r="F121" s="288"/>
      <c r="G121" s="17"/>
      <c r="H121" s="17"/>
      <c r="I121" s="17"/>
      <c r="J121" s="17"/>
      <c r="K121" s="17"/>
      <c r="L121" s="17"/>
      <c r="M121" s="17"/>
      <c r="N121" s="17"/>
      <c r="O121" s="17"/>
      <c r="P121" s="17"/>
      <c r="Q121" s="17"/>
      <c r="R121" s="17"/>
      <c r="S121" s="143"/>
      <c r="T121" s="143"/>
      <c r="U121" s="143"/>
      <c r="V121" s="143"/>
      <c r="W121" s="17"/>
      <c r="X121" s="17"/>
      <c r="Y121" s="17"/>
      <c r="Z121" s="17"/>
      <c r="AA121" s="17"/>
      <c r="AB121" s="17"/>
    </row>
    <row r="122">
      <c r="A122" s="17"/>
      <c r="B122" s="17"/>
      <c r="C122" s="17"/>
      <c r="D122" s="17"/>
      <c r="E122" s="17"/>
      <c r="F122" s="288"/>
      <c r="G122" s="17"/>
      <c r="H122" s="17"/>
      <c r="I122" s="17"/>
      <c r="J122" s="17"/>
      <c r="K122" s="17"/>
      <c r="L122" s="17"/>
      <c r="M122" s="17"/>
      <c r="N122" s="17"/>
      <c r="O122" s="17"/>
      <c r="P122" s="17"/>
      <c r="Q122" s="17"/>
      <c r="R122" s="17"/>
      <c r="S122" s="143"/>
      <c r="T122" s="143"/>
      <c r="U122" s="143"/>
      <c r="V122" s="143"/>
      <c r="W122" s="17"/>
      <c r="X122" s="17"/>
      <c r="Y122" s="17"/>
      <c r="Z122" s="17"/>
      <c r="AA122" s="17"/>
      <c r="AB122" s="17"/>
    </row>
    <row r="123">
      <c r="A123" s="17"/>
      <c r="B123" s="17"/>
      <c r="C123" s="17"/>
      <c r="D123" s="17"/>
      <c r="E123" s="17"/>
      <c r="F123" s="288"/>
      <c r="G123" s="17"/>
      <c r="H123" s="17"/>
      <c r="I123" s="17"/>
      <c r="J123" s="17"/>
      <c r="K123" s="17"/>
      <c r="L123" s="17"/>
      <c r="M123" s="17"/>
      <c r="N123" s="17"/>
      <c r="O123" s="17"/>
      <c r="P123" s="17"/>
      <c r="Q123" s="17"/>
      <c r="R123" s="17"/>
      <c r="S123" s="143"/>
      <c r="T123" s="143"/>
      <c r="U123" s="143"/>
      <c r="V123" s="143"/>
      <c r="W123" s="17"/>
      <c r="X123" s="17"/>
      <c r="Y123" s="17"/>
      <c r="Z123" s="17"/>
      <c r="AA123" s="17"/>
      <c r="AB123" s="17"/>
    </row>
    <row r="124">
      <c r="A124" s="17"/>
      <c r="B124" s="17"/>
      <c r="C124" s="17"/>
      <c r="D124" s="17"/>
      <c r="E124" s="17"/>
      <c r="F124" s="288"/>
      <c r="G124" s="17"/>
      <c r="H124" s="17"/>
      <c r="I124" s="17"/>
      <c r="J124" s="17"/>
      <c r="K124" s="17"/>
      <c r="L124" s="17"/>
      <c r="M124" s="17"/>
      <c r="N124" s="17"/>
      <c r="O124" s="17"/>
      <c r="P124" s="17"/>
      <c r="Q124" s="17"/>
      <c r="R124" s="17"/>
      <c r="S124" s="143"/>
      <c r="T124" s="143"/>
      <c r="U124" s="143"/>
      <c r="V124" s="143"/>
      <c r="W124" s="17"/>
      <c r="X124" s="17"/>
      <c r="Y124" s="17"/>
      <c r="Z124" s="17"/>
      <c r="AA124" s="17"/>
      <c r="AB124" s="17"/>
    </row>
    <row r="125">
      <c r="A125" s="17"/>
      <c r="B125" s="17"/>
      <c r="C125" s="17"/>
      <c r="D125" s="17"/>
      <c r="E125" s="17"/>
      <c r="F125" s="288"/>
      <c r="G125" s="17"/>
      <c r="H125" s="17"/>
      <c r="I125" s="17"/>
      <c r="J125" s="17"/>
      <c r="K125" s="17"/>
      <c r="L125" s="17"/>
      <c r="M125" s="17"/>
      <c r="N125" s="17"/>
      <c r="O125" s="17"/>
      <c r="P125" s="17"/>
      <c r="Q125" s="17"/>
      <c r="R125" s="17"/>
      <c r="S125" s="143"/>
      <c r="T125" s="143"/>
      <c r="U125" s="143"/>
      <c r="V125" s="143"/>
      <c r="W125" s="17"/>
      <c r="X125" s="17"/>
      <c r="Y125" s="17"/>
      <c r="Z125" s="17"/>
      <c r="AA125" s="17"/>
      <c r="AB125" s="17"/>
    </row>
    <row r="126">
      <c r="A126" s="17"/>
      <c r="B126" s="17"/>
      <c r="C126" s="17"/>
      <c r="D126" s="17"/>
      <c r="E126" s="17"/>
      <c r="F126" s="288"/>
      <c r="G126" s="17"/>
      <c r="H126" s="17"/>
      <c r="I126" s="17"/>
      <c r="J126" s="17"/>
      <c r="K126" s="17"/>
      <c r="L126" s="17"/>
      <c r="M126" s="17"/>
      <c r="N126" s="17"/>
      <c r="O126" s="17"/>
      <c r="P126" s="17"/>
      <c r="Q126" s="17"/>
      <c r="R126" s="17"/>
      <c r="S126" s="143"/>
      <c r="T126" s="143"/>
      <c r="U126" s="143"/>
      <c r="V126" s="143"/>
      <c r="W126" s="17"/>
      <c r="X126" s="17"/>
      <c r="Y126" s="17"/>
      <c r="Z126" s="17"/>
      <c r="AA126" s="17"/>
      <c r="AB126" s="17"/>
    </row>
    <row r="127">
      <c r="A127" s="17"/>
      <c r="B127" s="17"/>
      <c r="C127" s="17"/>
      <c r="D127" s="17"/>
      <c r="E127" s="17"/>
      <c r="F127" s="288"/>
      <c r="G127" s="17"/>
      <c r="H127" s="17"/>
      <c r="I127" s="17"/>
      <c r="J127" s="17"/>
      <c r="K127" s="17"/>
      <c r="L127" s="17"/>
      <c r="M127" s="17"/>
      <c r="N127" s="17"/>
      <c r="O127" s="17"/>
      <c r="P127" s="17"/>
      <c r="Q127" s="17"/>
      <c r="R127" s="17"/>
      <c r="S127" s="143"/>
      <c r="T127" s="143"/>
      <c r="U127" s="143"/>
      <c r="V127" s="143"/>
      <c r="W127" s="17"/>
      <c r="X127" s="17"/>
      <c r="Y127" s="17"/>
      <c r="Z127" s="17"/>
      <c r="AA127" s="17"/>
      <c r="AB127" s="17"/>
    </row>
    <row r="128">
      <c r="A128" s="17"/>
      <c r="B128" s="17"/>
      <c r="C128" s="17"/>
      <c r="D128" s="17"/>
      <c r="E128" s="17"/>
      <c r="F128" s="288"/>
      <c r="G128" s="17"/>
      <c r="H128" s="17"/>
      <c r="I128" s="17"/>
      <c r="J128" s="17"/>
      <c r="K128" s="17"/>
      <c r="L128" s="17"/>
      <c r="M128" s="17"/>
      <c r="N128" s="17"/>
      <c r="O128" s="17"/>
      <c r="P128" s="17"/>
      <c r="Q128" s="17"/>
      <c r="R128" s="17"/>
      <c r="S128" s="143"/>
      <c r="T128" s="143"/>
      <c r="U128" s="143"/>
      <c r="V128" s="143"/>
      <c r="W128" s="17"/>
      <c r="X128" s="17"/>
      <c r="Y128" s="17"/>
      <c r="Z128" s="17"/>
      <c r="AA128" s="17"/>
      <c r="AB128" s="17"/>
    </row>
    <row r="129">
      <c r="A129" s="17"/>
      <c r="B129" s="17"/>
      <c r="C129" s="17"/>
      <c r="D129" s="17"/>
      <c r="E129" s="17"/>
      <c r="F129" s="288"/>
      <c r="G129" s="17"/>
      <c r="H129" s="17"/>
      <c r="I129" s="17"/>
      <c r="J129" s="17"/>
      <c r="K129" s="17"/>
      <c r="L129" s="17"/>
      <c r="M129" s="17"/>
      <c r="N129" s="17"/>
      <c r="O129" s="17"/>
      <c r="P129" s="17"/>
      <c r="Q129" s="17"/>
      <c r="R129" s="17"/>
      <c r="S129" s="143"/>
      <c r="T129" s="143"/>
      <c r="U129" s="143"/>
      <c r="V129" s="143"/>
      <c r="W129" s="17"/>
      <c r="X129" s="17"/>
      <c r="Y129" s="17"/>
      <c r="Z129" s="17"/>
      <c r="AA129" s="17"/>
      <c r="AB129" s="17"/>
    </row>
    <row r="130">
      <c r="A130" s="17"/>
      <c r="B130" s="17"/>
      <c r="C130" s="17"/>
      <c r="D130" s="17"/>
      <c r="E130" s="17"/>
      <c r="F130" s="288"/>
      <c r="G130" s="17"/>
      <c r="H130" s="17"/>
      <c r="I130" s="17"/>
      <c r="J130" s="17"/>
      <c r="K130" s="17"/>
      <c r="L130" s="17"/>
      <c r="M130" s="17"/>
      <c r="N130" s="17"/>
      <c r="O130" s="17"/>
      <c r="P130" s="17"/>
      <c r="Q130" s="17"/>
      <c r="R130" s="17"/>
      <c r="S130" s="143"/>
      <c r="T130" s="143"/>
      <c r="U130" s="143"/>
      <c r="V130" s="143"/>
      <c r="W130" s="17"/>
      <c r="X130" s="17"/>
      <c r="Y130" s="17"/>
      <c r="Z130" s="17"/>
      <c r="AA130" s="17"/>
      <c r="AB130" s="17"/>
    </row>
    <row r="131">
      <c r="A131" s="17"/>
      <c r="B131" s="17"/>
      <c r="C131" s="17"/>
      <c r="D131" s="17"/>
      <c r="E131" s="17"/>
      <c r="F131" s="288"/>
      <c r="G131" s="17"/>
      <c r="H131" s="17"/>
      <c r="I131" s="17"/>
      <c r="J131" s="17"/>
      <c r="K131" s="17"/>
      <c r="L131" s="17"/>
      <c r="M131" s="17"/>
      <c r="N131" s="17"/>
      <c r="O131" s="17"/>
      <c r="P131" s="17"/>
      <c r="Q131" s="17"/>
      <c r="R131" s="17"/>
      <c r="S131" s="143"/>
      <c r="T131" s="143"/>
      <c r="U131" s="143"/>
      <c r="V131" s="143"/>
      <c r="W131" s="17"/>
      <c r="X131" s="17"/>
      <c r="Y131" s="17"/>
      <c r="Z131" s="17"/>
      <c r="AA131" s="17"/>
      <c r="AB131" s="17"/>
    </row>
    <row r="132">
      <c r="A132" s="17"/>
      <c r="B132" s="17"/>
      <c r="C132" s="17"/>
      <c r="D132" s="17"/>
      <c r="E132" s="17"/>
      <c r="F132" s="288"/>
      <c r="G132" s="17"/>
      <c r="H132" s="17"/>
      <c r="I132" s="17"/>
      <c r="J132" s="17"/>
      <c r="K132" s="17"/>
      <c r="L132" s="17"/>
      <c r="M132" s="17"/>
      <c r="N132" s="17"/>
      <c r="O132" s="17"/>
      <c r="P132" s="17"/>
      <c r="Q132" s="17"/>
      <c r="R132" s="17"/>
      <c r="S132" s="143"/>
      <c r="T132" s="143"/>
      <c r="U132" s="143"/>
      <c r="V132" s="143"/>
      <c r="W132" s="17"/>
      <c r="X132" s="17"/>
      <c r="Y132" s="17"/>
      <c r="Z132" s="17"/>
      <c r="AA132" s="17"/>
      <c r="AB132" s="17"/>
    </row>
    <row r="133">
      <c r="A133" s="17"/>
      <c r="B133" s="17"/>
      <c r="C133" s="17"/>
      <c r="D133" s="17"/>
      <c r="E133" s="17"/>
      <c r="F133" s="288"/>
      <c r="G133" s="17"/>
      <c r="H133" s="17"/>
      <c r="I133" s="17"/>
      <c r="J133" s="17"/>
      <c r="K133" s="17"/>
      <c r="L133" s="17"/>
      <c r="M133" s="17"/>
      <c r="N133" s="17"/>
      <c r="O133" s="17"/>
      <c r="P133" s="17"/>
      <c r="Q133" s="17"/>
      <c r="R133" s="17"/>
      <c r="S133" s="143"/>
      <c r="T133" s="143"/>
      <c r="U133" s="143"/>
      <c r="V133" s="143"/>
      <c r="W133" s="17"/>
      <c r="X133" s="17"/>
      <c r="Y133" s="17"/>
      <c r="Z133" s="17"/>
      <c r="AA133" s="17"/>
      <c r="AB133" s="17"/>
    </row>
    <row r="134">
      <c r="A134" s="17"/>
      <c r="B134" s="17"/>
      <c r="C134" s="17"/>
      <c r="D134" s="17"/>
      <c r="E134" s="17"/>
      <c r="F134" s="288"/>
      <c r="G134" s="17"/>
      <c r="H134" s="17"/>
      <c r="I134" s="17"/>
      <c r="J134" s="17"/>
      <c r="K134" s="17"/>
      <c r="L134" s="17"/>
      <c r="M134" s="17"/>
      <c r="N134" s="17"/>
      <c r="O134" s="17"/>
      <c r="P134" s="17"/>
      <c r="Q134" s="17"/>
      <c r="R134" s="17"/>
      <c r="S134" s="143"/>
      <c r="T134" s="143"/>
      <c r="U134" s="143"/>
      <c r="V134" s="143"/>
      <c r="W134" s="17"/>
      <c r="X134" s="17"/>
      <c r="Y134" s="17"/>
      <c r="Z134" s="17"/>
      <c r="AA134" s="17"/>
      <c r="AB134" s="17"/>
    </row>
    <row r="135">
      <c r="A135" s="17"/>
      <c r="B135" s="17"/>
      <c r="C135" s="17"/>
      <c r="D135" s="17"/>
      <c r="E135" s="17"/>
      <c r="F135" s="288"/>
      <c r="G135" s="17"/>
      <c r="H135" s="17"/>
      <c r="I135" s="17"/>
      <c r="J135" s="17"/>
      <c r="K135" s="17"/>
      <c r="L135" s="17"/>
      <c r="M135" s="17"/>
      <c r="N135" s="17"/>
      <c r="O135" s="17"/>
      <c r="P135" s="17"/>
      <c r="Q135" s="17"/>
      <c r="R135" s="17"/>
      <c r="S135" s="143"/>
      <c r="T135" s="143"/>
      <c r="U135" s="143"/>
      <c r="V135" s="143"/>
      <c r="W135" s="17"/>
      <c r="X135" s="17"/>
      <c r="Y135" s="17"/>
      <c r="Z135" s="17"/>
      <c r="AA135" s="17"/>
      <c r="AB135" s="17"/>
    </row>
    <row r="136">
      <c r="A136" s="17"/>
      <c r="B136" s="17"/>
      <c r="C136" s="17"/>
      <c r="D136" s="17"/>
      <c r="E136" s="17"/>
      <c r="F136" s="288"/>
      <c r="G136" s="17"/>
      <c r="H136" s="17"/>
      <c r="I136" s="17"/>
      <c r="J136" s="17"/>
      <c r="K136" s="17"/>
      <c r="L136" s="17"/>
      <c r="M136" s="17"/>
      <c r="N136" s="17"/>
      <c r="O136" s="17"/>
      <c r="P136" s="17"/>
      <c r="Q136" s="17"/>
      <c r="R136" s="17"/>
      <c r="S136" s="143"/>
      <c r="T136" s="143"/>
      <c r="U136" s="143"/>
      <c r="V136" s="143"/>
      <c r="W136" s="17"/>
      <c r="X136" s="17"/>
      <c r="Y136" s="17"/>
      <c r="Z136" s="17"/>
      <c r="AA136" s="17"/>
      <c r="AB136" s="17"/>
    </row>
    <row r="137">
      <c r="A137" s="17"/>
      <c r="B137" s="17"/>
      <c r="C137" s="17"/>
      <c r="D137" s="17"/>
      <c r="E137" s="17"/>
      <c r="F137" s="288"/>
      <c r="G137" s="17"/>
      <c r="H137" s="17"/>
      <c r="I137" s="17"/>
      <c r="J137" s="17"/>
      <c r="K137" s="17"/>
      <c r="L137" s="17"/>
      <c r="M137" s="17"/>
      <c r="N137" s="17"/>
      <c r="O137" s="17"/>
      <c r="P137" s="17"/>
      <c r="Q137" s="17"/>
      <c r="R137" s="17"/>
      <c r="S137" s="143"/>
      <c r="T137" s="143"/>
      <c r="U137" s="143"/>
      <c r="V137" s="143"/>
      <c r="W137" s="17"/>
      <c r="X137" s="17"/>
      <c r="Y137" s="17"/>
      <c r="Z137" s="17"/>
      <c r="AA137" s="17"/>
      <c r="AB137" s="17"/>
    </row>
    <row r="138">
      <c r="A138" s="17"/>
      <c r="B138" s="17"/>
      <c r="C138" s="17"/>
      <c r="D138" s="17"/>
      <c r="E138" s="17"/>
      <c r="F138" s="288"/>
      <c r="G138" s="17"/>
      <c r="H138" s="17"/>
      <c r="I138" s="17"/>
      <c r="J138" s="17"/>
      <c r="K138" s="17"/>
      <c r="L138" s="17"/>
      <c r="M138" s="17"/>
      <c r="N138" s="17"/>
      <c r="O138" s="17"/>
      <c r="P138" s="17"/>
      <c r="Q138" s="17"/>
      <c r="R138" s="17"/>
      <c r="S138" s="143"/>
      <c r="T138" s="143"/>
      <c r="U138" s="143"/>
      <c r="V138" s="143"/>
      <c r="W138" s="17"/>
      <c r="X138" s="17"/>
      <c r="Y138" s="17"/>
      <c r="Z138" s="17"/>
      <c r="AA138" s="17"/>
      <c r="AB138" s="17"/>
    </row>
    <row r="139">
      <c r="A139" s="17"/>
      <c r="B139" s="17"/>
      <c r="C139" s="17"/>
      <c r="D139" s="17"/>
      <c r="E139" s="17"/>
      <c r="F139" s="288"/>
      <c r="G139" s="17"/>
      <c r="H139" s="17"/>
      <c r="I139" s="17"/>
      <c r="J139" s="17"/>
      <c r="K139" s="17"/>
      <c r="L139" s="17"/>
      <c r="M139" s="17"/>
      <c r="N139" s="17"/>
      <c r="O139" s="17"/>
      <c r="P139" s="17"/>
      <c r="Q139" s="17"/>
      <c r="R139" s="17"/>
      <c r="S139" s="143"/>
      <c r="T139" s="143"/>
      <c r="U139" s="143"/>
      <c r="V139" s="143"/>
      <c r="W139" s="17"/>
      <c r="X139" s="17"/>
      <c r="Y139" s="17"/>
      <c r="Z139" s="17"/>
      <c r="AA139" s="17"/>
      <c r="AB139" s="17"/>
    </row>
    <row r="140">
      <c r="A140" s="17"/>
      <c r="B140" s="17"/>
      <c r="C140" s="17"/>
      <c r="D140" s="17"/>
      <c r="E140" s="17"/>
      <c r="F140" s="288"/>
      <c r="G140" s="17"/>
      <c r="H140" s="17"/>
      <c r="I140" s="17"/>
      <c r="J140" s="17"/>
      <c r="K140" s="17"/>
      <c r="L140" s="17"/>
      <c r="M140" s="17"/>
      <c r="N140" s="17"/>
      <c r="O140" s="17"/>
      <c r="P140" s="17"/>
      <c r="Q140" s="17"/>
      <c r="R140" s="17"/>
      <c r="S140" s="143"/>
      <c r="T140" s="143"/>
      <c r="U140" s="143"/>
      <c r="V140" s="143"/>
      <c r="W140" s="17"/>
      <c r="X140" s="17"/>
      <c r="Y140" s="17"/>
      <c r="Z140" s="17"/>
      <c r="AA140" s="17"/>
      <c r="AB140" s="17"/>
    </row>
    <row r="141">
      <c r="A141" s="17"/>
      <c r="B141" s="17"/>
      <c r="C141" s="17"/>
      <c r="D141" s="17"/>
      <c r="E141" s="17"/>
      <c r="F141" s="288"/>
      <c r="G141" s="17"/>
      <c r="H141" s="17"/>
      <c r="I141" s="17"/>
      <c r="J141" s="17"/>
      <c r="K141" s="17"/>
      <c r="L141" s="17"/>
      <c r="M141" s="17"/>
      <c r="N141" s="17"/>
      <c r="O141" s="17"/>
      <c r="P141" s="17"/>
      <c r="Q141" s="17"/>
      <c r="R141" s="17"/>
      <c r="S141" s="143"/>
      <c r="T141" s="143"/>
      <c r="U141" s="143"/>
      <c r="V141" s="143"/>
      <c r="W141" s="17"/>
      <c r="X141" s="17"/>
      <c r="Y141" s="17"/>
      <c r="Z141" s="17"/>
      <c r="AA141" s="17"/>
      <c r="AB141" s="17"/>
    </row>
    <row r="142">
      <c r="A142" s="17"/>
      <c r="B142" s="17"/>
      <c r="C142" s="17"/>
      <c r="D142" s="17"/>
      <c r="E142" s="17"/>
      <c r="F142" s="288"/>
      <c r="G142" s="17"/>
      <c r="H142" s="17"/>
      <c r="I142" s="17"/>
      <c r="J142" s="17"/>
      <c r="K142" s="17"/>
      <c r="L142" s="17"/>
      <c r="M142" s="17"/>
      <c r="N142" s="17"/>
      <c r="O142" s="17"/>
      <c r="P142" s="17"/>
      <c r="Q142" s="17"/>
      <c r="R142" s="17"/>
      <c r="S142" s="143"/>
      <c r="T142" s="143"/>
      <c r="U142" s="143"/>
      <c r="V142" s="143"/>
      <c r="W142" s="17"/>
      <c r="X142" s="17"/>
      <c r="Y142" s="17"/>
      <c r="Z142" s="17"/>
      <c r="AA142" s="17"/>
      <c r="AB142" s="17"/>
    </row>
    <row r="143">
      <c r="A143" s="17"/>
      <c r="B143" s="17"/>
      <c r="C143" s="17"/>
      <c r="D143" s="17"/>
      <c r="E143" s="17"/>
      <c r="F143" s="288"/>
      <c r="G143" s="17"/>
      <c r="H143" s="17"/>
      <c r="I143" s="17"/>
      <c r="J143" s="17"/>
      <c r="K143" s="17"/>
      <c r="L143" s="17"/>
      <c r="M143" s="17"/>
      <c r="N143" s="17"/>
      <c r="O143" s="17"/>
      <c r="P143" s="17"/>
      <c r="Q143" s="17"/>
      <c r="R143" s="17"/>
      <c r="S143" s="143"/>
      <c r="T143" s="143"/>
      <c r="U143" s="143"/>
      <c r="V143" s="143"/>
      <c r="W143" s="17"/>
      <c r="X143" s="17"/>
      <c r="Y143" s="17"/>
      <c r="Z143" s="17"/>
      <c r="AA143" s="17"/>
      <c r="AB143" s="17"/>
    </row>
    <row r="144">
      <c r="A144" s="17"/>
      <c r="B144" s="17"/>
      <c r="C144" s="17"/>
      <c r="D144" s="17"/>
      <c r="E144" s="17"/>
      <c r="F144" s="288"/>
      <c r="G144" s="17"/>
      <c r="H144" s="17"/>
      <c r="I144" s="17"/>
      <c r="J144" s="17"/>
      <c r="K144" s="17"/>
      <c r="L144" s="17"/>
      <c r="M144" s="17"/>
      <c r="N144" s="17"/>
      <c r="O144" s="17"/>
      <c r="P144" s="17"/>
      <c r="Q144" s="17"/>
      <c r="R144" s="17"/>
      <c r="S144" s="143"/>
      <c r="T144" s="143"/>
      <c r="U144" s="143"/>
      <c r="V144" s="143"/>
      <c r="W144" s="17"/>
      <c r="X144" s="17"/>
      <c r="Y144" s="17"/>
      <c r="Z144" s="17"/>
      <c r="AA144" s="17"/>
      <c r="AB144" s="17"/>
    </row>
    <row r="145">
      <c r="A145" s="17"/>
      <c r="B145" s="17"/>
      <c r="C145" s="17"/>
      <c r="D145" s="17"/>
      <c r="E145" s="17"/>
      <c r="F145" s="288"/>
      <c r="G145" s="17"/>
      <c r="H145" s="17"/>
      <c r="I145" s="17"/>
      <c r="J145" s="17"/>
      <c r="K145" s="17"/>
      <c r="L145" s="17"/>
      <c r="M145" s="17"/>
      <c r="N145" s="17"/>
      <c r="O145" s="17"/>
      <c r="P145" s="17"/>
      <c r="Q145" s="17"/>
      <c r="R145" s="17"/>
      <c r="S145" s="143"/>
      <c r="T145" s="143"/>
      <c r="U145" s="143"/>
      <c r="V145" s="143"/>
      <c r="W145" s="17"/>
      <c r="X145" s="17"/>
      <c r="Y145" s="17"/>
      <c r="Z145" s="17"/>
      <c r="AA145" s="17"/>
      <c r="AB145" s="17"/>
    </row>
    <row r="146">
      <c r="A146" s="17"/>
      <c r="B146" s="17"/>
      <c r="C146" s="17"/>
      <c r="D146" s="17"/>
      <c r="E146" s="17"/>
      <c r="F146" s="288"/>
      <c r="G146" s="17"/>
      <c r="H146" s="17"/>
      <c r="I146" s="17"/>
      <c r="J146" s="17"/>
      <c r="K146" s="17"/>
      <c r="L146" s="17"/>
      <c r="M146" s="17"/>
      <c r="N146" s="17"/>
      <c r="O146" s="17"/>
      <c r="P146" s="17"/>
      <c r="Q146" s="17"/>
      <c r="R146" s="17"/>
      <c r="S146" s="143"/>
      <c r="T146" s="143"/>
      <c r="U146" s="143"/>
      <c r="V146" s="143"/>
      <c r="W146" s="17"/>
      <c r="X146" s="17"/>
      <c r="Y146" s="17"/>
      <c r="Z146" s="17"/>
      <c r="AA146" s="17"/>
      <c r="AB146" s="17"/>
    </row>
    <row r="147">
      <c r="A147" s="17"/>
      <c r="B147" s="17"/>
      <c r="C147" s="17"/>
      <c r="D147" s="17"/>
      <c r="E147" s="17"/>
      <c r="F147" s="288"/>
      <c r="G147" s="17"/>
      <c r="H147" s="17"/>
      <c r="I147" s="17"/>
      <c r="J147" s="17"/>
      <c r="K147" s="17"/>
      <c r="L147" s="17"/>
      <c r="M147" s="17"/>
      <c r="N147" s="17"/>
      <c r="O147" s="17"/>
      <c r="P147" s="17"/>
      <c r="Q147" s="17"/>
      <c r="R147" s="17"/>
      <c r="S147" s="143"/>
      <c r="T147" s="143"/>
      <c r="U147" s="143"/>
      <c r="V147" s="143"/>
      <c r="W147" s="17"/>
      <c r="X147" s="17"/>
      <c r="Y147" s="17"/>
      <c r="Z147" s="17"/>
      <c r="AA147" s="17"/>
      <c r="AB147" s="17"/>
    </row>
    <row r="148">
      <c r="A148" s="17"/>
      <c r="B148" s="17"/>
      <c r="C148" s="17"/>
      <c r="D148" s="17"/>
      <c r="E148" s="17"/>
      <c r="F148" s="288"/>
      <c r="G148" s="17"/>
      <c r="H148" s="17"/>
      <c r="I148" s="17"/>
      <c r="J148" s="17"/>
      <c r="K148" s="17"/>
      <c r="L148" s="17"/>
      <c r="M148" s="17"/>
      <c r="N148" s="17"/>
      <c r="O148" s="17"/>
      <c r="P148" s="17"/>
      <c r="Q148" s="17"/>
      <c r="R148" s="17"/>
      <c r="S148" s="143"/>
      <c r="T148" s="143"/>
      <c r="U148" s="143"/>
      <c r="V148" s="143"/>
      <c r="W148" s="17"/>
      <c r="X148" s="17"/>
      <c r="Y148" s="17"/>
      <c r="Z148" s="17"/>
      <c r="AA148" s="17"/>
      <c r="AB148" s="17"/>
    </row>
    <row r="149">
      <c r="A149" s="17"/>
      <c r="B149" s="17"/>
      <c r="C149" s="17"/>
      <c r="D149" s="17"/>
      <c r="E149" s="17"/>
      <c r="F149" s="288"/>
      <c r="G149" s="17"/>
      <c r="H149" s="17"/>
      <c r="I149" s="17"/>
      <c r="J149" s="17"/>
      <c r="K149" s="17"/>
      <c r="L149" s="17"/>
      <c r="M149" s="17"/>
      <c r="N149" s="17"/>
      <c r="O149" s="17"/>
      <c r="P149" s="17"/>
      <c r="Q149" s="17"/>
      <c r="R149" s="17"/>
      <c r="S149" s="143"/>
      <c r="T149" s="143"/>
      <c r="U149" s="143"/>
      <c r="V149" s="143"/>
      <c r="W149" s="17"/>
      <c r="X149" s="17"/>
      <c r="Y149" s="17"/>
      <c r="Z149" s="17"/>
      <c r="AA149" s="17"/>
      <c r="AB149" s="17"/>
    </row>
    <row r="150">
      <c r="A150" s="17"/>
      <c r="B150" s="17"/>
      <c r="C150" s="17"/>
      <c r="D150" s="17"/>
      <c r="E150" s="17"/>
      <c r="F150" s="288"/>
      <c r="G150" s="17"/>
      <c r="H150" s="17"/>
      <c r="I150" s="17"/>
      <c r="J150" s="17"/>
      <c r="K150" s="17"/>
      <c r="L150" s="17"/>
      <c r="M150" s="17"/>
      <c r="N150" s="17"/>
      <c r="O150" s="17"/>
      <c r="P150" s="17"/>
      <c r="Q150" s="17"/>
      <c r="R150" s="17"/>
      <c r="S150" s="143"/>
      <c r="T150" s="143"/>
      <c r="U150" s="143"/>
      <c r="V150" s="143"/>
      <c r="W150" s="17"/>
      <c r="X150" s="17"/>
      <c r="Y150" s="17"/>
      <c r="Z150" s="17"/>
      <c r="AA150" s="17"/>
      <c r="AB150" s="17"/>
    </row>
    <row r="151">
      <c r="A151" s="17"/>
      <c r="B151" s="17"/>
      <c r="C151" s="17"/>
      <c r="D151" s="17"/>
      <c r="E151" s="17"/>
      <c r="F151" s="288"/>
      <c r="G151" s="17"/>
      <c r="H151" s="17"/>
      <c r="I151" s="17"/>
      <c r="J151" s="17"/>
      <c r="K151" s="17"/>
      <c r="L151" s="17"/>
      <c r="M151" s="17"/>
      <c r="N151" s="17"/>
      <c r="O151" s="17"/>
      <c r="P151" s="17"/>
      <c r="Q151" s="17"/>
      <c r="R151" s="17"/>
      <c r="S151" s="143"/>
      <c r="T151" s="143"/>
      <c r="U151" s="143"/>
      <c r="V151" s="143"/>
      <c r="W151" s="17"/>
      <c r="X151" s="17"/>
      <c r="Y151" s="17"/>
      <c r="Z151" s="17"/>
      <c r="AA151" s="17"/>
      <c r="AB151" s="17"/>
    </row>
    <row r="152">
      <c r="A152" s="17"/>
      <c r="B152" s="17"/>
      <c r="C152" s="17"/>
      <c r="D152" s="17"/>
      <c r="E152" s="17"/>
      <c r="F152" s="288"/>
      <c r="G152" s="17"/>
      <c r="H152" s="17"/>
      <c r="I152" s="17"/>
      <c r="J152" s="17"/>
      <c r="K152" s="17"/>
      <c r="L152" s="17"/>
      <c r="M152" s="17"/>
      <c r="N152" s="17"/>
      <c r="O152" s="17"/>
      <c r="P152" s="17"/>
      <c r="Q152" s="17"/>
      <c r="R152" s="17"/>
      <c r="S152" s="143"/>
      <c r="T152" s="143"/>
      <c r="U152" s="143"/>
      <c r="V152" s="143"/>
      <c r="W152" s="17"/>
      <c r="X152" s="17"/>
      <c r="Y152" s="17"/>
      <c r="Z152" s="17"/>
      <c r="AA152" s="17"/>
      <c r="AB152" s="17"/>
    </row>
    <row r="153">
      <c r="A153" s="17"/>
      <c r="B153" s="17"/>
      <c r="C153" s="17"/>
      <c r="D153" s="17"/>
      <c r="E153" s="17"/>
      <c r="F153" s="288"/>
      <c r="G153" s="17"/>
      <c r="H153" s="17"/>
      <c r="I153" s="17"/>
      <c r="J153" s="17"/>
      <c r="K153" s="17"/>
      <c r="L153" s="17"/>
      <c r="M153" s="17"/>
      <c r="N153" s="17"/>
      <c r="O153" s="17"/>
      <c r="P153" s="17"/>
      <c r="Q153" s="17"/>
      <c r="R153" s="17"/>
      <c r="S153" s="143"/>
      <c r="T153" s="143"/>
      <c r="U153" s="143"/>
      <c r="V153" s="143"/>
      <c r="W153" s="17"/>
      <c r="X153" s="17"/>
      <c r="Y153" s="17"/>
      <c r="Z153" s="17"/>
      <c r="AA153" s="17"/>
      <c r="AB153" s="17"/>
    </row>
    <row r="154">
      <c r="A154" s="17"/>
      <c r="B154" s="17"/>
      <c r="C154" s="17"/>
      <c r="D154" s="17"/>
      <c r="E154" s="17"/>
      <c r="F154" s="288"/>
      <c r="G154" s="17"/>
      <c r="H154" s="17"/>
      <c r="I154" s="17"/>
      <c r="J154" s="17"/>
      <c r="K154" s="17"/>
      <c r="L154" s="17"/>
      <c r="M154" s="17"/>
      <c r="N154" s="17"/>
      <c r="O154" s="17"/>
      <c r="P154" s="17"/>
      <c r="Q154" s="17"/>
      <c r="R154" s="17"/>
      <c r="S154" s="143"/>
      <c r="T154" s="143"/>
      <c r="U154" s="143"/>
      <c r="V154" s="143"/>
      <c r="W154" s="17"/>
      <c r="X154" s="17"/>
      <c r="Y154" s="17"/>
      <c r="Z154" s="17"/>
      <c r="AA154" s="17"/>
      <c r="AB154" s="17"/>
    </row>
    <row r="155">
      <c r="A155" s="17"/>
      <c r="B155" s="17"/>
      <c r="C155" s="17"/>
      <c r="D155" s="17"/>
      <c r="E155" s="17"/>
      <c r="F155" s="288"/>
      <c r="G155" s="17"/>
      <c r="H155" s="17"/>
      <c r="I155" s="17"/>
      <c r="J155" s="17"/>
      <c r="K155" s="17"/>
      <c r="L155" s="17"/>
      <c r="M155" s="17"/>
      <c r="N155" s="17"/>
      <c r="O155" s="17"/>
      <c r="P155" s="17"/>
      <c r="Q155" s="17"/>
      <c r="R155" s="17"/>
      <c r="S155" s="143"/>
      <c r="T155" s="143"/>
      <c r="U155" s="143"/>
      <c r="V155" s="143"/>
      <c r="W155" s="17"/>
      <c r="X155" s="17"/>
      <c r="Y155" s="17"/>
      <c r="Z155" s="17"/>
      <c r="AA155" s="17"/>
      <c r="AB155" s="17"/>
    </row>
    <row r="156">
      <c r="A156" s="17"/>
      <c r="B156" s="17"/>
      <c r="C156" s="17"/>
      <c r="D156" s="17"/>
      <c r="E156" s="17"/>
      <c r="F156" s="288"/>
      <c r="G156" s="17"/>
      <c r="H156" s="17"/>
      <c r="I156" s="17"/>
      <c r="J156" s="17"/>
      <c r="K156" s="17"/>
      <c r="L156" s="17"/>
      <c r="M156" s="17"/>
      <c r="N156" s="17"/>
      <c r="O156" s="17"/>
      <c r="P156" s="17"/>
      <c r="Q156" s="17"/>
      <c r="R156" s="17"/>
      <c r="S156" s="143"/>
      <c r="T156" s="143"/>
      <c r="U156" s="143"/>
      <c r="V156" s="143"/>
      <c r="W156" s="17"/>
      <c r="X156" s="17"/>
      <c r="Y156" s="17"/>
      <c r="Z156" s="17"/>
      <c r="AA156" s="17"/>
      <c r="AB156" s="17"/>
    </row>
    <row r="157">
      <c r="A157" s="17"/>
      <c r="B157" s="17"/>
      <c r="C157" s="17"/>
      <c r="D157" s="17"/>
      <c r="E157" s="17"/>
      <c r="F157" s="288"/>
      <c r="G157" s="17"/>
      <c r="H157" s="17"/>
      <c r="I157" s="17"/>
      <c r="J157" s="17"/>
      <c r="K157" s="17"/>
      <c r="L157" s="17"/>
      <c r="M157" s="17"/>
      <c r="N157" s="17"/>
      <c r="O157" s="17"/>
      <c r="P157" s="17"/>
      <c r="Q157" s="17"/>
      <c r="R157" s="17"/>
      <c r="S157" s="143"/>
      <c r="T157" s="143"/>
      <c r="U157" s="143"/>
      <c r="V157" s="143"/>
      <c r="W157" s="17"/>
      <c r="X157" s="17"/>
      <c r="Y157" s="17"/>
      <c r="Z157" s="17"/>
      <c r="AA157" s="17"/>
      <c r="AB157" s="17"/>
    </row>
    <row r="158">
      <c r="A158" s="17"/>
      <c r="B158" s="17"/>
      <c r="C158" s="17"/>
      <c r="D158" s="17"/>
      <c r="E158" s="17"/>
      <c r="F158" s="288"/>
      <c r="G158" s="17"/>
      <c r="H158" s="17"/>
      <c r="I158" s="17"/>
      <c r="J158" s="17"/>
      <c r="K158" s="17"/>
      <c r="L158" s="17"/>
      <c r="M158" s="17"/>
      <c r="N158" s="17"/>
      <c r="O158" s="17"/>
      <c r="P158" s="17"/>
      <c r="Q158" s="17"/>
      <c r="R158" s="17"/>
      <c r="S158" s="143"/>
      <c r="T158" s="143"/>
      <c r="U158" s="143"/>
      <c r="V158" s="143"/>
      <c r="W158" s="17"/>
      <c r="X158" s="17"/>
      <c r="Y158" s="17"/>
      <c r="Z158" s="17"/>
      <c r="AA158" s="17"/>
      <c r="AB158" s="17"/>
    </row>
    <row r="159">
      <c r="A159" s="17"/>
      <c r="B159" s="17"/>
      <c r="C159" s="17"/>
      <c r="D159" s="17"/>
      <c r="E159" s="17"/>
      <c r="F159" s="288"/>
      <c r="G159" s="17"/>
      <c r="H159" s="17"/>
      <c r="I159" s="17"/>
      <c r="J159" s="17"/>
      <c r="K159" s="17"/>
      <c r="L159" s="17"/>
      <c r="M159" s="17"/>
      <c r="N159" s="17"/>
      <c r="O159" s="17"/>
      <c r="P159" s="17"/>
      <c r="Q159" s="17"/>
      <c r="R159" s="17"/>
      <c r="S159" s="143"/>
      <c r="T159" s="143"/>
      <c r="U159" s="143"/>
      <c r="V159" s="143"/>
      <c r="W159" s="17"/>
      <c r="X159" s="17"/>
      <c r="Y159" s="17"/>
      <c r="Z159" s="17"/>
      <c r="AA159" s="17"/>
      <c r="AB159" s="17"/>
    </row>
    <row r="160">
      <c r="A160" s="17"/>
      <c r="B160" s="17"/>
      <c r="C160" s="17"/>
      <c r="D160" s="17"/>
      <c r="E160" s="17"/>
      <c r="F160" s="288"/>
      <c r="G160" s="17"/>
      <c r="H160" s="17"/>
      <c r="I160" s="17"/>
      <c r="J160" s="17"/>
      <c r="K160" s="17"/>
      <c r="L160" s="17"/>
      <c r="M160" s="17"/>
      <c r="N160" s="17"/>
      <c r="O160" s="17"/>
      <c r="P160" s="17"/>
      <c r="Q160" s="17"/>
      <c r="R160" s="17"/>
      <c r="S160" s="143"/>
      <c r="T160" s="143"/>
      <c r="U160" s="143"/>
      <c r="V160" s="143"/>
      <c r="W160" s="17"/>
      <c r="X160" s="17"/>
      <c r="Y160" s="17"/>
      <c r="Z160" s="17"/>
      <c r="AA160" s="17"/>
      <c r="AB160" s="17"/>
    </row>
    <row r="161">
      <c r="A161" s="17"/>
      <c r="B161" s="17"/>
      <c r="C161" s="17"/>
      <c r="D161" s="17"/>
      <c r="E161" s="17"/>
      <c r="F161" s="288"/>
      <c r="G161" s="17"/>
      <c r="H161" s="17"/>
      <c r="I161" s="17"/>
      <c r="J161" s="17"/>
      <c r="K161" s="17"/>
      <c r="L161" s="17"/>
      <c r="M161" s="17"/>
      <c r="N161" s="17"/>
      <c r="O161" s="17"/>
      <c r="P161" s="17"/>
      <c r="Q161" s="17"/>
      <c r="R161" s="17"/>
      <c r="S161" s="143"/>
      <c r="T161" s="143"/>
      <c r="U161" s="143"/>
      <c r="V161" s="143"/>
      <c r="W161" s="17"/>
      <c r="X161" s="17"/>
      <c r="Y161" s="17"/>
      <c r="Z161" s="17"/>
      <c r="AA161" s="17"/>
      <c r="AB161" s="17"/>
    </row>
    <row r="162">
      <c r="A162" s="17"/>
      <c r="B162" s="17"/>
      <c r="C162" s="17"/>
      <c r="D162" s="17"/>
      <c r="E162" s="17"/>
      <c r="F162" s="288"/>
      <c r="G162" s="17"/>
      <c r="H162" s="17"/>
      <c r="I162" s="17"/>
      <c r="J162" s="17"/>
      <c r="K162" s="17"/>
      <c r="L162" s="17"/>
      <c r="M162" s="17"/>
      <c r="N162" s="17"/>
      <c r="O162" s="17"/>
      <c r="P162" s="17"/>
      <c r="Q162" s="17"/>
      <c r="R162" s="17"/>
      <c r="S162" s="143"/>
      <c r="T162" s="143"/>
      <c r="U162" s="143"/>
      <c r="V162" s="143"/>
      <c r="W162" s="17"/>
      <c r="X162" s="17"/>
      <c r="Y162" s="17"/>
      <c r="Z162" s="17"/>
      <c r="AA162" s="17"/>
      <c r="AB162" s="17"/>
    </row>
    <row r="163">
      <c r="A163" s="17"/>
      <c r="B163" s="17"/>
      <c r="C163" s="17"/>
      <c r="D163" s="17"/>
      <c r="E163" s="17"/>
      <c r="F163" s="288"/>
      <c r="G163" s="17"/>
      <c r="H163" s="17"/>
      <c r="I163" s="17"/>
      <c r="J163" s="17"/>
      <c r="K163" s="17"/>
      <c r="L163" s="17"/>
      <c r="M163" s="17"/>
      <c r="N163" s="17"/>
      <c r="O163" s="17"/>
      <c r="P163" s="17"/>
      <c r="Q163" s="17"/>
      <c r="R163" s="17"/>
      <c r="S163" s="143"/>
      <c r="T163" s="143"/>
      <c r="U163" s="143"/>
      <c r="V163" s="143"/>
      <c r="W163" s="17"/>
      <c r="X163" s="17"/>
      <c r="Y163" s="17"/>
      <c r="Z163" s="17"/>
      <c r="AA163" s="17"/>
      <c r="AB163" s="17"/>
    </row>
    <row r="164">
      <c r="A164" s="17"/>
      <c r="B164" s="17"/>
      <c r="C164" s="17"/>
      <c r="D164" s="17"/>
      <c r="E164" s="17"/>
      <c r="F164" s="288"/>
      <c r="G164" s="17"/>
      <c r="H164" s="17"/>
      <c r="I164" s="17"/>
      <c r="J164" s="17"/>
      <c r="K164" s="17"/>
      <c r="L164" s="17"/>
      <c r="M164" s="17"/>
      <c r="N164" s="17"/>
      <c r="O164" s="17"/>
      <c r="P164" s="17"/>
      <c r="Q164" s="17"/>
      <c r="R164" s="17"/>
      <c r="S164" s="143"/>
      <c r="T164" s="143"/>
      <c r="U164" s="143"/>
      <c r="V164" s="143"/>
      <c r="W164" s="17"/>
      <c r="X164" s="17"/>
      <c r="Y164" s="17"/>
      <c r="Z164" s="17"/>
      <c r="AA164" s="17"/>
      <c r="AB164" s="17"/>
    </row>
    <row r="165">
      <c r="A165" s="17"/>
      <c r="B165" s="17"/>
      <c r="C165" s="17"/>
      <c r="D165" s="17"/>
      <c r="E165" s="17"/>
      <c r="F165" s="288"/>
      <c r="G165" s="17"/>
      <c r="H165" s="17"/>
      <c r="I165" s="17"/>
      <c r="J165" s="17"/>
      <c r="K165" s="17"/>
      <c r="L165" s="17"/>
      <c r="M165" s="17"/>
      <c r="N165" s="17"/>
      <c r="O165" s="17"/>
      <c r="P165" s="17"/>
      <c r="Q165" s="17"/>
      <c r="R165" s="17"/>
      <c r="S165" s="143"/>
      <c r="T165" s="143"/>
      <c r="U165" s="143"/>
      <c r="V165" s="143"/>
      <c r="W165" s="17"/>
      <c r="X165" s="17"/>
      <c r="Y165" s="17"/>
      <c r="Z165" s="17"/>
      <c r="AA165" s="17"/>
      <c r="AB165" s="17"/>
    </row>
    <row r="166">
      <c r="A166" s="17"/>
      <c r="B166" s="17"/>
      <c r="C166" s="17"/>
      <c r="D166" s="17"/>
      <c r="E166" s="17"/>
      <c r="F166" s="288"/>
      <c r="G166" s="17"/>
      <c r="H166" s="17"/>
      <c r="I166" s="17"/>
      <c r="J166" s="17"/>
      <c r="K166" s="17"/>
      <c r="L166" s="17"/>
      <c r="M166" s="17"/>
      <c r="N166" s="17"/>
      <c r="O166" s="17"/>
      <c r="P166" s="17"/>
      <c r="Q166" s="17"/>
      <c r="R166" s="17"/>
      <c r="S166" s="143"/>
      <c r="T166" s="143"/>
      <c r="U166" s="143"/>
      <c r="V166" s="143"/>
      <c r="W166" s="17"/>
      <c r="X166" s="17"/>
      <c r="Y166" s="17"/>
      <c r="Z166" s="17"/>
      <c r="AA166" s="17"/>
      <c r="AB166" s="17"/>
    </row>
    <row r="167">
      <c r="A167" s="17"/>
      <c r="B167" s="17"/>
      <c r="C167" s="17"/>
      <c r="D167" s="17"/>
      <c r="E167" s="17"/>
      <c r="F167" s="288"/>
      <c r="G167" s="17"/>
      <c r="H167" s="17"/>
      <c r="I167" s="17"/>
      <c r="J167" s="17"/>
      <c r="K167" s="17"/>
      <c r="L167" s="17"/>
      <c r="M167" s="17"/>
      <c r="N167" s="17"/>
      <c r="O167" s="17"/>
      <c r="P167" s="17"/>
      <c r="Q167" s="17"/>
      <c r="R167" s="17"/>
      <c r="S167" s="143"/>
      <c r="T167" s="143"/>
      <c r="U167" s="143"/>
      <c r="V167" s="143"/>
      <c r="W167" s="17"/>
      <c r="X167" s="17"/>
      <c r="Y167" s="17"/>
      <c r="Z167" s="17"/>
      <c r="AA167" s="17"/>
      <c r="AB167" s="17"/>
    </row>
    <row r="168">
      <c r="A168" s="17"/>
      <c r="B168" s="17"/>
      <c r="C168" s="17"/>
      <c r="D168" s="17"/>
      <c r="E168" s="17"/>
      <c r="F168" s="288"/>
      <c r="G168" s="17"/>
      <c r="H168" s="17"/>
      <c r="I168" s="17"/>
      <c r="J168" s="17"/>
      <c r="K168" s="17"/>
      <c r="L168" s="17"/>
      <c r="M168" s="17"/>
      <c r="N168" s="17"/>
      <c r="O168" s="17"/>
      <c r="P168" s="17"/>
      <c r="Q168" s="17"/>
      <c r="R168" s="17"/>
      <c r="S168" s="143"/>
      <c r="T168" s="143"/>
      <c r="U168" s="143"/>
      <c r="V168" s="143"/>
      <c r="W168" s="17"/>
      <c r="X168" s="17"/>
      <c r="Y168" s="17"/>
      <c r="Z168" s="17"/>
      <c r="AA168" s="17"/>
      <c r="AB168" s="17"/>
    </row>
    <row r="169">
      <c r="A169" s="17"/>
      <c r="B169" s="17"/>
      <c r="C169" s="17"/>
      <c r="D169" s="17"/>
      <c r="E169" s="17"/>
      <c r="F169" s="288"/>
      <c r="G169" s="17"/>
      <c r="H169" s="17"/>
      <c r="I169" s="17"/>
      <c r="J169" s="17"/>
      <c r="K169" s="17"/>
      <c r="L169" s="17"/>
      <c r="M169" s="17"/>
      <c r="N169" s="17"/>
      <c r="O169" s="17"/>
      <c r="P169" s="17"/>
      <c r="Q169" s="17"/>
      <c r="R169" s="17"/>
      <c r="S169" s="143"/>
      <c r="T169" s="143"/>
      <c r="U169" s="143"/>
      <c r="V169" s="143"/>
      <c r="W169" s="17"/>
      <c r="X169" s="17"/>
      <c r="Y169" s="17"/>
      <c r="Z169" s="17"/>
      <c r="AA169" s="17"/>
      <c r="AB169" s="17"/>
    </row>
    <row r="170">
      <c r="A170" s="17"/>
      <c r="B170" s="17"/>
      <c r="C170" s="17"/>
      <c r="D170" s="17"/>
      <c r="E170" s="17"/>
      <c r="F170" s="288"/>
      <c r="G170" s="17"/>
      <c r="H170" s="17"/>
      <c r="I170" s="17"/>
      <c r="J170" s="17"/>
      <c r="K170" s="17"/>
      <c r="L170" s="17"/>
      <c r="M170" s="17"/>
      <c r="N170" s="17"/>
      <c r="O170" s="17"/>
      <c r="P170" s="17"/>
      <c r="Q170" s="17"/>
      <c r="R170" s="17"/>
      <c r="S170" s="143"/>
      <c r="T170" s="143"/>
      <c r="U170" s="143"/>
      <c r="V170" s="143"/>
      <c r="W170" s="17"/>
      <c r="X170" s="17"/>
      <c r="Y170" s="17"/>
      <c r="Z170" s="17"/>
      <c r="AA170" s="17"/>
      <c r="AB170" s="17"/>
    </row>
    <row r="171">
      <c r="A171" s="17"/>
      <c r="B171" s="17"/>
      <c r="C171" s="17"/>
      <c r="D171" s="17"/>
      <c r="E171" s="17"/>
      <c r="F171" s="288"/>
      <c r="G171" s="17"/>
      <c r="H171" s="17"/>
      <c r="I171" s="17"/>
      <c r="J171" s="17"/>
      <c r="K171" s="17"/>
      <c r="L171" s="17"/>
      <c r="M171" s="17"/>
      <c r="N171" s="17"/>
      <c r="O171" s="17"/>
      <c r="P171" s="17"/>
      <c r="Q171" s="17"/>
      <c r="R171" s="17"/>
      <c r="S171" s="143"/>
      <c r="T171" s="143"/>
      <c r="U171" s="143"/>
      <c r="V171" s="143"/>
      <c r="W171" s="17"/>
      <c r="X171" s="17"/>
      <c r="Y171" s="17"/>
      <c r="Z171" s="17"/>
      <c r="AA171" s="17"/>
      <c r="AB171" s="17"/>
    </row>
    <row r="172">
      <c r="A172" s="17"/>
      <c r="B172" s="17"/>
      <c r="C172" s="17"/>
      <c r="D172" s="17"/>
      <c r="E172" s="17"/>
      <c r="F172" s="288"/>
      <c r="G172" s="17"/>
      <c r="H172" s="17"/>
      <c r="I172" s="17"/>
      <c r="J172" s="17"/>
      <c r="K172" s="17"/>
      <c r="L172" s="17"/>
      <c r="M172" s="17"/>
      <c r="N172" s="17"/>
      <c r="O172" s="17"/>
      <c r="P172" s="17"/>
      <c r="Q172" s="17"/>
      <c r="R172" s="17"/>
      <c r="S172" s="143"/>
      <c r="T172" s="143"/>
      <c r="U172" s="143"/>
      <c r="V172" s="143"/>
      <c r="W172" s="17"/>
      <c r="X172" s="17"/>
      <c r="Y172" s="17"/>
      <c r="Z172" s="17"/>
      <c r="AA172" s="17"/>
      <c r="AB172" s="17"/>
    </row>
    <row r="173">
      <c r="A173" s="17"/>
      <c r="B173" s="17"/>
      <c r="C173" s="17"/>
      <c r="D173" s="17"/>
      <c r="E173" s="17"/>
      <c r="F173" s="288"/>
      <c r="G173" s="17"/>
      <c r="H173" s="17"/>
      <c r="I173" s="17"/>
      <c r="J173" s="17"/>
      <c r="K173" s="17"/>
      <c r="L173" s="17"/>
      <c r="M173" s="17"/>
      <c r="N173" s="17"/>
      <c r="O173" s="17"/>
      <c r="P173" s="17"/>
      <c r="Q173" s="17"/>
      <c r="R173" s="17"/>
      <c r="S173" s="143"/>
      <c r="T173" s="143"/>
      <c r="U173" s="143"/>
      <c r="V173" s="143"/>
      <c r="W173" s="17"/>
      <c r="X173" s="17"/>
      <c r="Y173" s="17"/>
      <c r="Z173" s="17"/>
      <c r="AA173" s="17"/>
      <c r="AB173" s="17"/>
    </row>
    <row r="174">
      <c r="A174" s="17"/>
      <c r="B174" s="17"/>
      <c r="C174" s="17"/>
      <c r="D174" s="17"/>
      <c r="E174" s="17"/>
      <c r="F174" s="288"/>
      <c r="G174" s="17"/>
      <c r="H174" s="17"/>
      <c r="I174" s="17"/>
      <c r="J174" s="17"/>
      <c r="K174" s="17"/>
      <c r="L174" s="17"/>
      <c r="M174" s="17"/>
      <c r="N174" s="17"/>
      <c r="O174" s="17"/>
      <c r="P174" s="17"/>
      <c r="Q174" s="17"/>
      <c r="R174" s="17"/>
      <c r="S174" s="143"/>
      <c r="T174" s="143"/>
      <c r="U174" s="143"/>
      <c r="V174" s="143"/>
      <c r="W174" s="17"/>
      <c r="X174" s="17"/>
      <c r="Y174" s="17"/>
      <c r="Z174" s="17"/>
      <c r="AA174" s="17"/>
      <c r="AB174" s="17"/>
    </row>
    <row r="175">
      <c r="A175" s="17"/>
      <c r="B175" s="17"/>
      <c r="C175" s="17"/>
      <c r="D175" s="17"/>
      <c r="E175" s="17"/>
      <c r="F175" s="288"/>
      <c r="G175" s="17"/>
      <c r="H175" s="17"/>
      <c r="I175" s="17"/>
      <c r="J175" s="17"/>
      <c r="K175" s="17"/>
      <c r="L175" s="17"/>
      <c r="M175" s="17"/>
      <c r="N175" s="17"/>
      <c r="O175" s="17"/>
      <c r="P175" s="17"/>
      <c r="Q175" s="17"/>
      <c r="R175" s="17"/>
      <c r="S175" s="143"/>
      <c r="T175" s="143"/>
      <c r="U175" s="143"/>
      <c r="V175" s="143"/>
      <c r="W175" s="17"/>
      <c r="X175" s="17"/>
      <c r="Y175" s="17"/>
      <c r="Z175" s="17"/>
      <c r="AA175" s="17"/>
      <c r="AB175" s="17"/>
    </row>
    <row r="176">
      <c r="A176" s="17"/>
      <c r="B176" s="17"/>
      <c r="C176" s="17"/>
      <c r="D176" s="17"/>
      <c r="E176" s="17"/>
      <c r="F176" s="288"/>
      <c r="G176" s="17"/>
      <c r="H176" s="17"/>
      <c r="I176" s="17"/>
      <c r="J176" s="17"/>
      <c r="K176" s="17"/>
      <c r="L176" s="17"/>
      <c r="M176" s="17"/>
      <c r="N176" s="17"/>
      <c r="O176" s="17"/>
      <c r="P176" s="17"/>
      <c r="Q176" s="17"/>
      <c r="R176" s="17"/>
      <c r="S176" s="143"/>
      <c r="T176" s="143"/>
      <c r="U176" s="143"/>
      <c r="V176" s="143"/>
      <c r="W176" s="17"/>
      <c r="X176" s="17"/>
      <c r="Y176" s="17"/>
      <c r="Z176" s="17"/>
      <c r="AA176" s="17"/>
      <c r="AB176" s="17"/>
    </row>
    <row r="177">
      <c r="A177" s="17"/>
      <c r="B177" s="17"/>
      <c r="C177" s="17"/>
      <c r="D177" s="17"/>
      <c r="E177" s="17"/>
      <c r="F177" s="288"/>
      <c r="G177" s="17"/>
      <c r="H177" s="17"/>
      <c r="I177" s="17"/>
      <c r="J177" s="17"/>
      <c r="K177" s="17"/>
      <c r="L177" s="17"/>
      <c r="M177" s="17"/>
      <c r="N177" s="17"/>
      <c r="O177" s="17"/>
      <c r="P177" s="17"/>
      <c r="Q177" s="17"/>
      <c r="R177" s="17"/>
      <c r="S177" s="143"/>
      <c r="T177" s="143"/>
      <c r="U177" s="143"/>
      <c r="V177" s="143"/>
      <c r="W177" s="17"/>
      <c r="X177" s="17"/>
      <c r="Y177" s="17"/>
      <c r="Z177" s="17"/>
      <c r="AA177" s="17"/>
      <c r="AB177" s="17"/>
    </row>
    <row r="178">
      <c r="A178" s="17"/>
      <c r="B178" s="17"/>
      <c r="C178" s="17"/>
      <c r="D178" s="17"/>
      <c r="E178" s="17"/>
      <c r="F178" s="288"/>
      <c r="G178" s="17"/>
      <c r="H178" s="17"/>
      <c r="I178" s="17"/>
      <c r="J178" s="17"/>
      <c r="K178" s="17"/>
      <c r="L178" s="17"/>
      <c r="M178" s="17"/>
      <c r="N178" s="17"/>
      <c r="O178" s="17"/>
      <c r="P178" s="17"/>
      <c r="Q178" s="17"/>
      <c r="R178" s="17"/>
      <c r="S178" s="143"/>
      <c r="T178" s="143"/>
      <c r="U178" s="143"/>
      <c r="V178" s="143"/>
      <c r="W178" s="17"/>
      <c r="X178" s="17"/>
      <c r="Y178" s="17"/>
      <c r="Z178" s="17"/>
      <c r="AA178" s="17"/>
      <c r="AB178" s="17"/>
    </row>
    <row r="179">
      <c r="A179" s="17"/>
      <c r="B179" s="17"/>
      <c r="C179" s="17"/>
      <c r="D179" s="17"/>
      <c r="E179" s="17"/>
      <c r="F179" s="288"/>
      <c r="G179" s="17"/>
      <c r="H179" s="17"/>
      <c r="I179" s="17"/>
      <c r="J179" s="17"/>
      <c r="K179" s="17"/>
      <c r="L179" s="17"/>
      <c r="M179" s="17"/>
      <c r="N179" s="17"/>
      <c r="O179" s="17"/>
      <c r="P179" s="17"/>
      <c r="Q179" s="17"/>
      <c r="R179" s="17"/>
      <c r="S179" s="143"/>
      <c r="T179" s="143"/>
      <c r="U179" s="143"/>
      <c r="V179" s="143"/>
      <c r="W179" s="17"/>
      <c r="X179" s="17"/>
      <c r="Y179" s="17"/>
      <c r="Z179" s="17"/>
      <c r="AA179" s="17"/>
      <c r="AB179" s="17"/>
    </row>
    <row r="180">
      <c r="A180" s="17"/>
      <c r="B180" s="17"/>
      <c r="C180" s="17"/>
      <c r="D180" s="17"/>
      <c r="E180" s="17"/>
      <c r="F180" s="288"/>
      <c r="G180" s="17"/>
      <c r="H180" s="17"/>
      <c r="I180" s="17"/>
      <c r="J180" s="17"/>
      <c r="K180" s="17"/>
      <c r="L180" s="17"/>
      <c r="M180" s="17"/>
      <c r="N180" s="17"/>
      <c r="O180" s="17"/>
      <c r="P180" s="17"/>
      <c r="Q180" s="17"/>
      <c r="R180" s="17"/>
      <c r="S180" s="143"/>
      <c r="T180" s="143"/>
      <c r="U180" s="143"/>
      <c r="V180" s="143"/>
      <c r="W180" s="17"/>
      <c r="X180" s="17"/>
      <c r="Y180" s="17"/>
      <c r="Z180" s="17"/>
      <c r="AA180" s="17"/>
      <c r="AB180" s="17"/>
    </row>
    <row r="181">
      <c r="A181" s="17"/>
      <c r="B181" s="17"/>
      <c r="C181" s="17"/>
      <c r="D181" s="17"/>
      <c r="E181" s="17"/>
      <c r="F181" s="288"/>
      <c r="G181" s="17"/>
      <c r="H181" s="17"/>
      <c r="I181" s="17"/>
      <c r="J181" s="17"/>
      <c r="K181" s="17"/>
      <c r="L181" s="17"/>
      <c r="M181" s="17"/>
      <c r="N181" s="17"/>
      <c r="O181" s="17"/>
      <c r="P181" s="17"/>
      <c r="Q181" s="17"/>
      <c r="R181" s="17"/>
      <c r="S181" s="143"/>
      <c r="T181" s="143"/>
      <c r="U181" s="143"/>
      <c r="V181" s="143"/>
      <c r="W181" s="17"/>
      <c r="X181" s="17"/>
      <c r="Y181" s="17"/>
      <c r="Z181" s="17"/>
      <c r="AA181" s="17"/>
      <c r="AB181" s="17"/>
    </row>
    <row r="182">
      <c r="A182" s="17"/>
      <c r="B182" s="17"/>
      <c r="C182" s="17"/>
      <c r="D182" s="17"/>
      <c r="E182" s="17"/>
      <c r="F182" s="288"/>
      <c r="G182" s="17"/>
      <c r="H182" s="17"/>
      <c r="I182" s="17"/>
      <c r="J182" s="17"/>
      <c r="K182" s="17"/>
      <c r="L182" s="17"/>
      <c r="M182" s="17"/>
      <c r="N182" s="17"/>
      <c r="O182" s="17"/>
      <c r="P182" s="17"/>
      <c r="Q182" s="17"/>
      <c r="R182" s="17"/>
      <c r="S182" s="143"/>
      <c r="T182" s="143"/>
      <c r="U182" s="143"/>
      <c r="V182" s="143"/>
      <c r="W182" s="17"/>
      <c r="X182" s="17"/>
      <c r="Y182" s="17"/>
      <c r="Z182" s="17"/>
      <c r="AA182" s="17"/>
      <c r="AB182" s="17"/>
    </row>
    <row r="183">
      <c r="A183" s="17"/>
      <c r="B183" s="17"/>
      <c r="C183" s="17"/>
      <c r="D183" s="17"/>
      <c r="E183" s="17"/>
      <c r="F183" s="288"/>
      <c r="G183" s="17"/>
      <c r="H183" s="17"/>
      <c r="I183" s="17"/>
      <c r="J183" s="17"/>
      <c r="K183" s="17"/>
      <c r="L183" s="17"/>
      <c r="M183" s="17"/>
      <c r="N183" s="17"/>
      <c r="O183" s="17"/>
      <c r="P183" s="17"/>
      <c r="Q183" s="17"/>
      <c r="R183" s="17"/>
      <c r="S183" s="143"/>
      <c r="T183" s="143"/>
      <c r="U183" s="143"/>
      <c r="V183" s="143"/>
      <c r="W183" s="17"/>
      <c r="X183" s="17"/>
      <c r="Y183" s="17"/>
      <c r="Z183" s="17"/>
      <c r="AA183" s="17"/>
      <c r="AB183" s="17"/>
    </row>
    <row r="184">
      <c r="A184" s="17"/>
      <c r="B184" s="17"/>
      <c r="C184" s="17"/>
      <c r="D184" s="17"/>
      <c r="E184" s="17"/>
      <c r="F184" s="288"/>
      <c r="G184" s="17"/>
      <c r="H184" s="17"/>
      <c r="I184" s="17"/>
      <c r="J184" s="17"/>
      <c r="K184" s="17"/>
      <c r="L184" s="17"/>
      <c r="M184" s="17"/>
      <c r="N184" s="17"/>
      <c r="O184" s="17"/>
      <c r="P184" s="17"/>
      <c r="Q184" s="17"/>
      <c r="R184" s="17"/>
      <c r="S184" s="143"/>
      <c r="T184" s="143"/>
      <c r="U184" s="143"/>
      <c r="V184" s="143"/>
      <c r="W184" s="17"/>
      <c r="X184" s="17"/>
      <c r="Y184" s="17"/>
      <c r="Z184" s="17"/>
      <c r="AA184" s="17"/>
      <c r="AB184" s="17"/>
    </row>
    <row r="185">
      <c r="A185" s="17"/>
      <c r="B185" s="17"/>
      <c r="C185" s="17"/>
      <c r="D185" s="17"/>
      <c r="E185" s="17"/>
      <c r="F185" s="288"/>
      <c r="G185" s="17"/>
      <c r="H185" s="17"/>
      <c r="I185" s="17"/>
      <c r="J185" s="17"/>
      <c r="K185" s="17"/>
      <c r="L185" s="17"/>
      <c r="M185" s="17"/>
      <c r="N185" s="17"/>
      <c r="O185" s="17"/>
      <c r="P185" s="17"/>
      <c r="Q185" s="17"/>
      <c r="R185" s="17"/>
      <c r="S185" s="143"/>
      <c r="T185" s="143"/>
      <c r="U185" s="143"/>
      <c r="V185" s="143"/>
      <c r="W185" s="17"/>
      <c r="X185" s="17"/>
      <c r="Y185" s="17"/>
      <c r="Z185" s="17"/>
      <c r="AA185" s="17"/>
      <c r="AB185" s="17"/>
    </row>
    <row r="186">
      <c r="A186" s="17"/>
      <c r="B186" s="17"/>
      <c r="C186" s="17"/>
      <c r="D186" s="17"/>
      <c r="E186" s="17"/>
      <c r="F186" s="288"/>
      <c r="G186" s="17"/>
      <c r="H186" s="17"/>
      <c r="I186" s="17"/>
      <c r="J186" s="17"/>
      <c r="K186" s="17"/>
      <c r="L186" s="17"/>
      <c r="M186" s="17"/>
      <c r="N186" s="17"/>
      <c r="O186" s="17"/>
      <c r="P186" s="17"/>
      <c r="Q186" s="17"/>
      <c r="R186" s="17"/>
      <c r="S186" s="143"/>
      <c r="T186" s="143"/>
      <c r="U186" s="143"/>
      <c r="V186" s="143"/>
      <c r="W186" s="17"/>
      <c r="X186" s="17"/>
      <c r="Y186" s="17"/>
      <c r="Z186" s="17"/>
      <c r="AA186" s="17"/>
      <c r="AB186" s="17"/>
    </row>
    <row r="187">
      <c r="A187" s="17"/>
      <c r="B187" s="17"/>
      <c r="C187" s="17"/>
      <c r="D187" s="17"/>
      <c r="E187" s="17"/>
      <c r="F187" s="288"/>
      <c r="G187" s="17"/>
      <c r="H187" s="17"/>
      <c r="I187" s="17"/>
      <c r="J187" s="17"/>
      <c r="K187" s="17"/>
      <c r="L187" s="17"/>
      <c r="M187" s="17"/>
      <c r="N187" s="17"/>
      <c r="O187" s="17"/>
      <c r="P187" s="17"/>
      <c r="Q187" s="17"/>
      <c r="R187" s="17"/>
      <c r="S187" s="143"/>
      <c r="T187" s="143"/>
      <c r="U187" s="143"/>
      <c r="V187" s="143"/>
      <c r="W187" s="17"/>
      <c r="X187" s="17"/>
      <c r="Y187" s="17"/>
      <c r="Z187" s="17"/>
      <c r="AA187" s="17"/>
      <c r="AB187" s="17"/>
    </row>
    <row r="188">
      <c r="A188" s="17"/>
      <c r="B188" s="17"/>
      <c r="C188" s="17"/>
      <c r="D188" s="17"/>
      <c r="E188" s="17"/>
      <c r="F188" s="288"/>
      <c r="G188" s="17"/>
      <c r="H188" s="17"/>
      <c r="I188" s="17"/>
      <c r="J188" s="17"/>
      <c r="K188" s="17"/>
      <c r="L188" s="17"/>
      <c r="M188" s="17"/>
      <c r="N188" s="17"/>
      <c r="O188" s="17"/>
      <c r="P188" s="17"/>
      <c r="Q188" s="17"/>
      <c r="R188" s="17"/>
      <c r="S188" s="143"/>
      <c r="T188" s="143"/>
      <c r="U188" s="143"/>
      <c r="V188" s="143"/>
      <c r="W188" s="17"/>
      <c r="X188" s="17"/>
      <c r="Y188" s="17"/>
      <c r="Z188" s="17"/>
      <c r="AA188" s="17"/>
      <c r="AB188" s="17"/>
    </row>
    <row r="189">
      <c r="A189" s="17"/>
      <c r="B189" s="17"/>
      <c r="C189" s="17"/>
      <c r="D189" s="17"/>
      <c r="E189" s="17"/>
      <c r="F189" s="288"/>
      <c r="G189" s="17"/>
      <c r="H189" s="17"/>
      <c r="I189" s="17"/>
      <c r="J189" s="17"/>
      <c r="K189" s="17"/>
      <c r="L189" s="17"/>
      <c r="M189" s="17"/>
      <c r="N189" s="17"/>
      <c r="O189" s="17"/>
      <c r="P189" s="17"/>
      <c r="Q189" s="17"/>
      <c r="R189" s="17"/>
      <c r="S189" s="143"/>
      <c r="T189" s="143"/>
      <c r="U189" s="143"/>
      <c r="V189" s="143"/>
      <c r="W189" s="17"/>
      <c r="X189" s="17"/>
      <c r="Y189" s="17"/>
      <c r="Z189" s="17"/>
      <c r="AA189" s="17"/>
      <c r="AB189" s="17"/>
    </row>
    <row r="190">
      <c r="A190" s="17"/>
      <c r="B190" s="17"/>
      <c r="C190" s="17"/>
      <c r="D190" s="17"/>
      <c r="E190" s="17"/>
      <c r="F190" s="288"/>
      <c r="G190" s="17"/>
      <c r="H190" s="17"/>
      <c r="I190" s="17"/>
      <c r="J190" s="17"/>
      <c r="K190" s="17"/>
      <c r="L190" s="17"/>
      <c r="M190" s="17"/>
      <c r="N190" s="17"/>
      <c r="O190" s="17"/>
      <c r="P190" s="17"/>
      <c r="Q190" s="17"/>
      <c r="R190" s="17"/>
      <c r="S190" s="143"/>
      <c r="T190" s="143"/>
      <c r="U190" s="143"/>
      <c r="V190" s="143"/>
      <c r="W190" s="17"/>
      <c r="X190" s="17"/>
      <c r="Y190" s="17"/>
      <c r="Z190" s="17"/>
      <c r="AA190" s="17"/>
      <c r="AB190" s="17"/>
    </row>
    <row r="191">
      <c r="A191" s="17"/>
      <c r="B191" s="17"/>
      <c r="C191" s="17"/>
      <c r="D191" s="17"/>
      <c r="E191" s="17"/>
      <c r="F191" s="288"/>
      <c r="G191" s="17"/>
      <c r="H191" s="17"/>
      <c r="I191" s="17"/>
      <c r="J191" s="17"/>
      <c r="K191" s="17"/>
      <c r="L191" s="17"/>
      <c r="M191" s="17"/>
      <c r="N191" s="17"/>
      <c r="O191" s="17"/>
      <c r="P191" s="17"/>
      <c r="Q191" s="17"/>
      <c r="R191" s="17"/>
      <c r="S191" s="143"/>
      <c r="T191" s="143"/>
      <c r="U191" s="143"/>
      <c r="V191" s="143"/>
      <c r="W191" s="17"/>
      <c r="X191" s="17"/>
      <c r="Y191" s="17"/>
      <c r="Z191" s="17"/>
      <c r="AA191" s="17"/>
      <c r="AB191" s="17"/>
    </row>
    <row r="192">
      <c r="A192" s="17"/>
      <c r="B192" s="17"/>
      <c r="C192" s="17"/>
      <c r="D192" s="17"/>
      <c r="E192" s="17"/>
      <c r="F192" s="288"/>
      <c r="G192" s="17"/>
      <c r="H192" s="17"/>
      <c r="I192" s="17"/>
      <c r="J192" s="17"/>
      <c r="K192" s="17"/>
      <c r="L192" s="17"/>
      <c r="M192" s="17"/>
      <c r="N192" s="17"/>
      <c r="O192" s="17"/>
      <c r="P192" s="17"/>
      <c r="Q192" s="17"/>
      <c r="R192" s="17"/>
      <c r="S192" s="143"/>
      <c r="T192" s="143"/>
      <c r="U192" s="143"/>
      <c r="V192" s="143"/>
      <c r="W192" s="17"/>
      <c r="X192" s="17"/>
      <c r="Y192" s="17"/>
      <c r="Z192" s="17"/>
      <c r="AA192" s="17"/>
      <c r="AB192" s="17"/>
    </row>
    <row r="193">
      <c r="A193" s="17"/>
      <c r="B193" s="17"/>
      <c r="C193" s="17"/>
      <c r="D193" s="17"/>
      <c r="E193" s="17"/>
      <c r="F193" s="288"/>
      <c r="G193" s="17"/>
      <c r="H193" s="17"/>
      <c r="I193" s="17"/>
      <c r="J193" s="17"/>
      <c r="K193" s="17"/>
      <c r="L193" s="17"/>
      <c r="M193" s="17"/>
      <c r="N193" s="17"/>
      <c r="O193" s="17"/>
      <c r="P193" s="17"/>
      <c r="Q193" s="17"/>
      <c r="R193" s="17"/>
      <c r="S193" s="143"/>
      <c r="T193" s="143"/>
      <c r="U193" s="143"/>
      <c r="V193" s="143"/>
      <c r="W193" s="17"/>
      <c r="X193" s="17"/>
      <c r="Y193" s="17"/>
      <c r="Z193" s="17"/>
      <c r="AA193" s="17"/>
      <c r="AB193" s="17"/>
    </row>
    <row r="194">
      <c r="A194" s="17"/>
      <c r="B194" s="17"/>
      <c r="C194" s="17"/>
      <c r="D194" s="17"/>
      <c r="E194" s="17"/>
      <c r="F194" s="288"/>
      <c r="G194" s="17"/>
      <c r="H194" s="17"/>
      <c r="I194" s="17"/>
      <c r="J194" s="17"/>
      <c r="K194" s="17"/>
      <c r="L194" s="17"/>
      <c r="M194" s="17"/>
      <c r="N194" s="17"/>
      <c r="O194" s="17"/>
      <c r="P194" s="17"/>
      <c r="Q194" s="17"/>
      <c r="R194" s="17"/>
      <c r="S194" s="143"/>
      <c r="T194" s="143"/>
      <c r="U194" s="143"/>
      <c r="V194" s="143"/>
      <c r="W194" s="17"/>
      <c r="X194" s="17"/>
      <c r="Y194" s="17"/>
      <c r="Z194" s="17"/>
      <c r="AA194" s="17"/>
      <c r="AB194" s="17"/>
    </row>
    <row r="195">
      <c r="A195" s="17"/>
      <c r="B195" s="17"/>
      <c r="C195" s="17"/>
      <c r="D195" s="17"/>
      <c r="E195" s="17"/>
      <c r="F195" s="288"/>
      <c r="G195" s="17"/>
      <c r="H195" s="17"/>
      <c r="I195" s="17"/>
      <c r="J195" s="17"/>
      <c r="K195" s="17"/>
      <c r="L195" s="17"/>
      <c r="M195" s="17"/>
      <c r="N195" s="17"/>
      <c r="O195" s="17"/>
      <c r="P195" s="17"/>
      <c r="Q195" s="17"/>
      <c r="R195" s="17"/>
      <c r="S195" s="143"/>
      <c r="T195" s="143"/>
      <c r="U195" s="143"/>
      <c r="V195" s="143"/>
      <c r="W195" s="17"/>
      <c r="X195" s="17"/>
      <c r="Y195" s="17"/>
      <c r="Z195" s="17"/>
      <c r="AA195" s="17"/>
      <c r="AB195" s="17"/>
    </row>
    <row r="196">
      <c r="A196" s="17"/>
      <c r="B196" s="17"/>
      <c r="C196" s="17"/>
      <c r="D196" s="17"/>
      <c r="E196" s="17"/>
      <c r="F196" s="288"/>
      <c r="G196" s="17"/>
      <c r="H196" s="17"/>
      <c r="I196" s="17"/>
      <c r="J196" s="17"/>
      <c r="K196" s="17"/>
      <c r="L196" s="17"/>
      <c r="M196" s="17"/>
      <c r="N196" s="17"/>
      <c r="O196" s="17"/>
      <c r="P196" s="17"/>
      <c r="Q196" s="17"/>
      <c r="R196" s="17"/>
      <c r="S196" s="143"/>
      <c r="T196" s="143"/>
      <c r="U196" s="143"/>
      <c r="V196" s="143"/>
      <c r="W196" s="17"/>
      <c r="X196" s="17"/>
      <c r="Y196" s="17"/>
      <c r="Z196" s="17"/>
      <c r="AA196" s="17"/>
      <c r="AB196" s="17"/>
    </row>
    <row r="197">
      <c r="A197" s="17"/>
      <c r="B197" s="17"/>
      <c r="C197" s="17"/>
      <c r="D197" s="17"/>
      <c r="E197" s="17"/>
      <c r="F197" s="288"/>
      <c r="G197" s="17"/>
      <c r="H197" s="17"/>
      <c r="I197" s="17"/>
      <c r="J197" s="17"/>
      <c r="K197" s="17"/>
      <c r="L197" s="17"/>
      <c r="M197" s="17"/>
      <c r="N197" s="17"/>
      <c r="O197" s="17"/>
      <c r="P197" s="17"/>
      <c r="Q197" s="17"/>
      <c r="R197" s="17"/>
      <c r="S197" s="143"/>
      <c r="T197" s="143"/>
      <c r="U197" s="143"/>
      <c r="V197" s="143"/>
      <c r="W197" s="17"/>
      <c r="X197" s="17"/>
      <c r="Y197" s="17"/>
      <c r="Z197" s="17"/>
      <c r="AA197" s="17"/>
      <c r="AB197" s="17"/>
    </row>
    <row r="198">
      <c r="A198" s="17"/>
      <c r="B198" s="17"/>
      <c r="C198" s="17"/>
      <c r="D198" s="17"/>
      <c r="E198" s="17"/>
      <c r="F198" s="288"/>
      <c r="G198" s="17"/>
      <c r="H198" s="17"/>
      <c r="I198" s="17"/>
      <c r="J198" s="17"/>
      <c r="K198" s="17"/>
      <c r="L198" s="17"/>
      <c r="M198" s="17"/>
      <c r="N198" s="17"/>
      <c r="O198" s="17"/>
      <c r="P198" s="17"/>
      <c r="Q198" s="17"/>
      <c r="R198" s="17"/>
      <c r="S198" s="143"/>
      <c r="T198" s="143"/>
      <c r="U198" s="143"/>
      <c r="V198" s="143"/>
      <c r="W198" s="17"/>
      <c r="X198" s="17"/>
      <c r="Y198" s="17"/>
      <c r="Z198" s="17"/>
      <c r="AA198" s="17"/>
      <c r="AB198" s="17"/>
    </row>
    <row r="199">
      <c r="A199" s="17"/>
      <c r="B199" s="17"/>
      <c r="C199" s="17"/>
      <c r="D199" s="17"/>
      <c r="E199" s="17"/>
      <c r="F199" s="288"/>
      <c r="G199" s="17"/>
      <c r="H199" s="17"/>
      <c r="I199" s="17"/>
      <c r="J199" s="17"/>
      <c r="K199" s="17"/>
      <c r="L199" s="17"/>
      <c r="M199" s="17"/>
      <c r="N199" s="17"/>
      <c r="O199" s="17"/>
      <c r="P199" s="17"/>
      <c r="Q199" s="17"/>
      <c r="R199" s="17"/>
      <c r="S199" s="143"/>
      <c r="T199" s="143"/>
      <c r="U199" s="143"/>
      <c r="V199" s="143"/>
      <c r="W199" s="17"/>
      <c r="X199" s="17"/>
      <c r="Y199" s="17"/>
      <c r="Z199" s="17"/>
      <c r="AA199" s="17"/>
      <c r="AB199" s="17"/>
    </row>
    <row r="200">
      <c r="A200" s="17"/>
      <c r="B200" s="17"/>
      <c r="C200" s="17"/>
      <c r="D200" s="17"/>
      <c r="E200" s="17"/>
      <c r="F200" s="288"/>
      <c r="G200" s="17"/>
      <c r="H200" s="17"/>
      <c r="I200" s="17"/>
      <c r="J200" s="17"/>
      <c r="K200" s="17"/>
      <c r="L200" s="17"/>
      <c r="M200" s="17"/>
      <c r="N200" s="17"/>
      <c r="O200" s="17"/>
      <c r="P200" s="17"/>
      <c r="Q200" s="17"/>
      <c r="R200" s="17"/>
      <c r="S200" s="143"/>
      <c r="T200" s="143"/>
      <c r="U200" s="143"/>
      <c r="V200" s="143"/>
      <c r="W200" s="17"/>
      <c r="X200" s="17"/>
      <c r="Y200" s="17"/>
      <c r="Z200" s="17"/>
      <c r="AA200" s="17"/>
      <c r="AB200" s="17"/>
    </row>
    <row r="201">
      <c r="A201" s="17"/>
      <c r="B201" s="17"/>
      <c r="C201" s="17"/>
      <c r="D201" s="17"/>
      <c r="E201" s="17"/>
      <c r="F201" s="288"/>
      <c r="G201" s="17"/>
      <c r="H201" s="17"/>
      <c r="I201" s="17"/>
      <c r="J201" s="17"/>
      <c r="K201" s="17"/>
      <c r="L201" s="17"/>
      <c r="M201" s="17"/>
      <c r="N201" s="17"/>
      <c r="O201" s="17"/>
      <c r="P201" s="17"/>
      <c r="Q201" s="17"/>
      <c r="R201" s="17"/>
      <c r="S201" s="143"/>
      <c r="T201" s="143"/>
      <c r="U201" s="143"/>
      <c r="V201" s="143"/>
      <c r="W201" s="17"/>
      <c r="X201" s="17"/>
      <c r="Y201" s="17"/>
      <c r="Z201" s="17"/>
      <c r="AA201" s="17"/>
      <c r="AB201" s="17"/>
    </row>
    <row r="202">
      <c r="A202" s="17"/>
      <c r="B202" s="17"/>
      <c r="C202" s="17"/>
      <c r="D202" s="17"/>
      <c r="E202" s="17"/>
      <c r="F202" s="288"/>
      <c r="G202" s="17"/>
      <c r="H202" s="17"/>
      <c r="I202" s="17"/>
      <c r="J202" s="17"/>
      <c r="K202" s="17"/>
      <c r="L202" s="17"/>
      <c r="M202" s="17"/>
      <c r="N202" s="17"/>
      <c r="O202" s="17"/>
      <c r="P202" s="17"/>
      <c r="Q202" s="17"/>
      <c r="R202" s="17"/>
      <c r="S202" s="143"/>
      <c r="T202" s="143"/>
      <c r="U202" s="143"/>
      <c r="V202" s="143"/>
      <c r="W202" s="17"/>
      <c r="X202" s="17"/>
      <c r="Y202" s="17"/>
      <c r="Z202" s="17"/>
      <c r="AA202" s="17"/>
      <c r="AB202" s="17"/>
    </row>
    <row r="203">
      <c r="A203" s="17"/>
      <c r="B203" s="17"/>
      <c r="C203" s="17"/>
      <c r="D203" s="17"/>
      <c r="E203" s="17"/>
      <c r="F203" s="288"/>
      <c r="G203" s="17"/>
      <c r="H203" s="17"/>
      <c r="I203" s="17"/>
      <c r="J203" s="17"/>
      <c r="K203" s="17"/>
      <c r="L203" s="17"/>
      <c r="M203" s="17"/>
      <c r="N203" s="17"/>
      <c r="O203" s="17"/>
      <c r="P203" s="17"/>
      <c r="Q203" s="17"/>
      <c r="R203" s="17"/>
      <c r="S203" s="143"/>
      <c r="T203" s="143"/>
      <c r="U203" s="143"/>
      <c r="V203" s="143"/>
      <c r="W203" s="17"/>
      <c r="X203" s="17"/>
      <c r="Y203" s="17"/>
      <c r="Z203" s="17"/>
      <c r="AA203" s="17"/>
      <c r="AB203" s="17"/>
    </row>
    <row r="204">
      <c r="A204" s="17"/>
      <c r="B204" s="17"/>
      <c r="C204" s="17"/>
      <c r="D204" s="17"/>
      <c r="E204" s="17"/>
      <c r="F204" s="288"/>
      <c r="G204" s="17"/>
      <c r="H204" s="17"/>
      <c r="I204" s="17"/>
      <c r="J204" s="17"/>
      <c r="K204" s="17"/>
      <c r="L204" s="17"/>
      <c r="M204" s="17"/>
      <c r="N204" s="17"/>
      <c r="O204" s="17"/>
      <c r="P204" s="17"/>
      <c r="Q204" s="17"/>
      <c r="R204" s="17"/>
      <c r="S204" s="143"/>
      <c r="T204" s="143"/>
      <c r="U204" s="143"/>
      <c r="V204" s="143"/>
      <c r="W204" s="17"/>
      <c r="X204" s="17"/>
      <c r="Y204" s="17"/>
      <c r="Z204" s="17"/>
      <c r="AA204" s="17"/>
      <c r="AB204" s="17"/>
    </row>
    <row r="205">
      <c r="A205" s="17"/>
      <c r="B205" s="17"/>
      <c r="C205" s="17"/>
      <c r="D205" s="17"/>
      <c r="E205" s="17"/>
      <c r="F205" s="288"/>
      <c r="G205" s="17"/>
      <c r="H205" s="17"/>
      <c r="I205" s="17"/>
      <c r="J205" s="17"/>
      <c r="K205" s="17"/>
      <c r="L205" s="17"/>
      <c r="M205" s="17"/>
      <c r="N205" s="17"/>
      <c r="O205" s="17"/>
      <c r="P205" s="17"/>
      <c r="Q205" s="17"/>
      <c r="R205" s="17"/>
      <c r="S205" s="143"/>
      <c r="T205" s="143"/>
      <c r="U205" s="143"/>
      <c r="V205" s="143"/>
      <c r="W205" s="17"/>
      <c r="X205" s="17"/>
      <c r="Y205" s="17"/>
      <c r="Z205" s="17"/>
      <c r="AA205" s="17"/>
      <c r="AB205" s="17"/>
    </row>
    <row r="206">
      <c r="A206" s="17"/>
      <c r="B206" s="17"/>
      <c r="C206" s="17"/>
      <c r="D206" s="17"/>
      <c r="E206" s="17"/>
      <c r="F206" s="288"/>
      <c r="G206" s="17"/>
      <c r="H206" s="17"/>
      <c r="I206" s="17"/>
      <c r="J206" s="17"/>
      <c r="K206" s="17"/>
      <c r="L206" s="17"/>
      <c r="M206" s="17"/>
      <c r="N206" s="17"/>
      <c r="O206" s="17"/>
      <c r="P206" s="17"/>
      <c r="Q206" s="17"/>
      <c r="R206" s="17"/>
      <c r="S206" s="143"/>
      <c r="T206" s="143"/>
      <c r="U206" s="143"/>
      <c r="V206" s="143"/>
      <c r="W206" s="17"/>
      <c r="X206" s="17"/>
      <c r="Y206" s="17"/>
      <c r="Z206" s="17"/>
      <c r="AA206" s="17"/>
      <c r="AB206" s="17"/>
    </row>
    <row r="207">
      <c r="A207" s="17"/>
      <c r="B207" s="17"/>
      <c r="C207" s="17"/>
      <c r="D207" s="17"/>
      <c r="E207" s="17"/>
      <c r="F207" s="288"/>
      <c r="G207" s="17"/>
      <c r="H207" s="17"/>
      <c r="I207" s="17"/>
      <c r="J207" s="17"/>
      <c r="K207" s="17"/>
      <c r="L207" s="17"/>
      <c r="M207" s="17"/>
      <c r="N207" s="17"/>
      <c r="O207" s="17"/>
      <c r="P207" s="17"/>
      <c r="Q207" s="17"/>
      <c r="R207" s="17"/>
      <c r="S207" s="143"/>
      <c r="T207" s="143"/>
      <c r="U207" s="143"/>
      <c r="V207" s="143"/>
      <c r="W207" s="17"/>
      <c r="X207" s="17"/>
      <c r="Y207" s="17"/>
      <c r="Z207" s="17"/>
      <c r="AA207" s="17"/>
      <c r="AB207" s="17"/>
    </row>
    <row r="208">
      <c r="A208" s="17"/>
      <c r="B208" s="17"/>
      <c r="C208" s="17"/>
      <c r="D208" s="17"/>
      <c r="E208" s="17"/>
      <c r="F208" s="288"/>
      <c r="G208" s="17"/>
      <c r="H208" s="17"/>
      <c r="I208" s="17"/>
      <c r="J208" s="17"/>
      <c r="K208" s="17"/>
      <c r="L208" s="17"/>
      <c r="M208" s="17"/>
      <c r="N208" s="17"/>
      <c r="O208" s="17"/>
      <c r="P208" s="17"/>
      <c r="Q208" s="17"/>
      <c r="R208" s="17"/>
      <c r="S208" s="143"/>
      <c r="T208" s="143"/>
      <c r="U208" s="143"/>
      <c r="V208" s="143"/>
      <c r="W208" s="17"/>
      <c r="X208" s="17"/>
      <c r="Y208" s="17"/>
      <c r="Z208" s="17"/>
      <c r="AA208" s="17"/>
      <c r="AB208" s="17"/>
    </row>
    <row r="209">
      <c r="A209" s="17"/>
      <c r="B209" s="17"/>
      <c r="C209" s="17"/>
      <c r="D209" s="17"/>
      <c r="E209" s="17"/>
      <c r="F209" s="288"/>
      <c r="G209" s="17"/>
      <c r="H209" s="17"/>
      <c r="I209" s="17"/>
      <c r="J209" s="17"/>
      <c r="K209" s="17"/>
      <c r="L209" s="17"/>
      <c r="M209" s="17"/>
      <c r="N209" s="17"/>
      <c r="O209" s="17"/>
      <c r="P209" s="17"/>
      <c r="Q209" s="17"/>
      <c r="R209" s="17"/>
      <c r="S209" s="143"/>
      <c r="T209" s="143"/>
      <c r="U209" s="143"/>
      <c r="V209" s="143"/>
      <c r="W209" s="17"/>
      <c r="X209" s="17"/>
      <c r="Y209" s="17"/>
      <c r="Z209" s="17"/>
      <c r="AA209" s="17"/>
      <c r="AB209" s="17"/>
    </row>
    <row r="210">
      <c r="A210" s="17"/>
      <c r="B210" s="17"/>
      <c r="C210" s="17"/>
      <c r="D210" s="17"/>
      <c r="E210" s="17"/>
      <c r="F210" s="288"/>
      <c r="G210" s="17"/>
      <c r="H210" s="17"/>
      <c r="I210" s="17"/>
      <c r="J210" s="17"/>
      <c r="K210" s="17"/>
      <c r="L210" s="17"/>
      <c r="M210" s="17"/>
      <c r="N210" s="17"/>
      <c r="O210" s="17"/>
      <c r="P210" s="17"/>
      <c r="Q210" s="17"/>
      <c r="R210" s="17"/>
      <c r="S210" s="143"/>
      <c r="T210" s="143"/>
      <c r="U210" s="143"/>
      <c r="V210" s="143"/>
      <c r="W210" s="17"/>
      <c r="X210" s="17"/>
      <c r="Y210" s="17"/>
      <c r="Z210" s="17"/>
      <c r="AA210" s="17"/>
      <c r="AB210" s="17"/>
    </row>
    <row r="211">
      <c r="A211" s="17"/>
      <c r="B211" s="17"/>
      <c r="C211" s="17"/>
      <c r="D211" s="17"/>
      <c r="E211" s="17"/>
      <c r="F211" s="288"/>
      <c r="G211" s="17"/>
      <c r="H211" s="17"/>
      <c r="I211" s="17"/>
      <c r="J211" s="17"/>
      <c r="K211" s="17"/>
      <c r="L211" s="17"/>
      <c r="M211" s="17"/>
      <c r="N211" s="17"/>
      <c r="O211" s="17"/>
      <c r="P211" s="17"/>
      <c r="Q211" s="17"/>
      <c r="R211" s="17"/>
      <c r="S211" s="143"/>
      <c r="T211" s="143"/>
      <c r="U211" s="143"/>
      <c r="V211" s="143"/>
      <c r="W211" s="17"/>
      <c r="X211" s="17"/>
      <c r="Y211" s="17"/>
      <c r="Z211" s="17"/>
      <c r="AA211" s="17"/>
      <c r="AB211" s="17"/>
    </row>
    <row r="212">
      <c r="A212" s="17"/>
      <c r="B212" s="17"/>
      <c r="C212" s="17"/>
      <c r="D212" s="17"/>
      <c r="E212" s="17"/>
      <c r="F212" s="288"/>
      <c r="G212" s="17"/>
      <c r="H212" s="17"/>
      <c r="I212" s="17"/>
      <c r="J212" s="17"/>
      <c r="K212" s="17"/>
      <c r="L212" s="17"/>
      <c r="M212" s="17"/>
      <c r="N212" s="17"/>
      <c r="O212" s="17"/>
      <c r="P212" s="17"/>
      <c r="Q212" s="17"/>
      <c r="R212" s="17"/>
      <c r="S212" s="143"/>
      <c r="T212" s="143"/>
      <c r="U212" s="143"/>
      <c r="V212" s="143"/>
      <c r="W212" s="17"/>
      <c r="X212" s="17"/>
      <c r="Y212" s="17"/>
      <c r="Z212" s="17"/>
      <c r="AA212" s="17"/>
      <c r="AB212" s="17"/>
    </row>
    <row r="213">
      <c r="A213" s="17"/>
      <c r="B213" s="17"/>
      <c r="C213" s="17"/>
      <c r="D213" s="17"/>
      <c r="E213" s="17"/>
      <c r="F213" s="288"/>
      <c r="G213" s="17"/>
      <c r="H213" s="17"/>
      <c r="I213" s="17"/>
      <c r="J213" s="17"/>
      <c r="K213" s="17"/>
      <c r="L213" s="17"/>
      <c r="M213" s="17"/>
      <c r="N213" s="17"/>
      <c r="O213" s="17"/>
      <c r="P213" s="17"/>
      <c r="Q213" s="17"/>
      <c r="R213" s="17"/>
      <c r="S213" s="143"/>
      <c r="T213" s="143"/>
      <c r="U213" s="143"/>
      <c r="V213" s="143"/>
      <c r="W213" s="17"/>
      <c r="X213" s="17"/>
      <c r="Y213" s="17"/>
      <c r="Z213" s="17"/>
      <c r="AA213" s="17"/>
      <c r="AB213" s="17"/>
    </row>
    <row r="214">
      <c r="A214" s="17"/>
      <c r="B214" s="17"/>
      <c r="C214" s="17"/>
      <c r="D214" s="17"/>
      <c r="E214" s="17"/>
      <c r="F214" s="288"/>
      <c r="G214" s="17"/>
      <c r="H214" s="17"/>
      <c r="I214" s="17"/>
      <c r="J214" s="17"/>
      <c r="K214" s="17"/>
      <c r="L214" s="17"/>
      <c r="M214" s="17"/>
      <c r="N214" s="17"/>
      <c r="O214" s="17"/>
      <c r="P214" s="17"/>
      <c r="Q214" s="17"/>
      <c r="R214" s="17"/>
      <c r="S214" s="143"/>
      <c r="T214" s="143"/>
      <c r="U214" s="143"/>
      <c r="V214" s="143"/>
      <c r="W214" s="17"/>
      <c r="X214" s="17"/>
      <c r="Y214" s="17"/>
      <c r="Z214" s="17"/>
      <c r="AA214" s="17"/>
      <c r="AB214" s="17"/>
    </row>
    <row r="215">
      <c r="A215" s="17"/>
      <c r="B215" s="17"/>
      <c r="C215" s="17"/>
      <c r="D215" s="17"/>
      <c r="E215" s="17"/>
      <c r="F215" s="288"/>
      <c r="G215" s="17"/>
      <c r="H215" s="17"/>
      <c r="I215" s="17"/>
      <c r="J215" s="17"/>
      <c r="K215" s="17"/>
      <c r="L215" s="17"/>
      <c r="M215" s="17"/>
      <c r="N215" s="17"/>
      <c r="O215" s="17"/>
      <c r="P215" s="17"/>
      <c r="Q215" s="17"/>
      <c r="R215" s="17"/>
      <c r="S215" s="143"/>
      <c r="T215" s="143"/>
      <c r="U215" s="143"/>
      <c r="V215" s="143"/>
      <c r="W215" s="17"/>
      <c r="X215" s="17"/>
      <c r="Y215" s="17"/>
      <c r="Z215" s="17"/>
      <c r="AA215" s="17"/>
      <c r="AB215" s="17"/>
    </row>
    <row r="216">
      <c r="A216" s="17"/>
      <c r="B216" s="17"/>
      <c r="C216" s="17"/>
      <c r="D216" s="17"/>
      <c r="E216" s="17"/>
      <c r="F216" s="288"/>
      <c r="G216" s="17"/>
      <c r="H216" s="17"/>
      <c r="I216" s="17"/>
      <c r="J216" s="17"/>
      <c r="K216" s="17"/>
      <c r="L216" s="17"/>
      <c r="M216" s="17"/>
      <c r="N216" s="17"/>
      <c r="O216" s="17"/>
      <c r="P216" s="17"/>
      <c r="Q216" s="17"/>
      <c r="R216" s="17"/>
      <c r="S216" s="143"/>
      <c r="T216" s="143"/>
      <c r="U216" s="143"/>
      <c r="V216" s="143"/>
      <c r="W216" s="17"/>
      <c r="X216" s="17"/>
      <c r="Y216" s="17"/>
      <c r="Z216" s="17"/>
      <c r="AA216" s="17"/>
      <c r="AB216" s="17"/>
    </row>
    <row r="217">
      <c r="A217" s="17"/>
      <c r="B217" s="17"/>
      <c r="C217" s="17"/>
      <c r="D217" s="17"/>
      <c r="E217" s="17"/>
      <c r="F217" s="288"/>
      <c r="G217" s="17"/>
      <c r="H217" s="17"/>
      <c r="I217" s="17"/>
      <c r="J217" s="17"/>
      <c r="K217" s="17"/>
      <c r="L217" s="17"/>
      <c r="M217" s="17"/>
      <c r="N217" s="17"/>
      <c r="O217" s="17"/>
      <c r="P217" s="17"/>
      <c r="Q217" s="17"/>
      <c r="R217" s="17"/>
      <c r="S217" s="143"/>
      <c r="T217" s="143"/>
      <c r="U217" s="143"/>
      <c r="V217" s="143"/>
      <c r="W217" s="17"/>
      <c r="X217" s="17"/>
      <c r="Y217" s="17"/>
      <c r="Z217" s="17"/>
      <c r="AA217" s="17"/>
      <c r="AB217" s="17"/>
    </row>
    <row r="218">
      <c r="A218" s="17"/>
      <c r="B218" s="17"/>
      <c r="C218" s="17"/>
      <c r="D218" s="17"/>
      <c r="E218" s="17"/>
      <c r="F218" s="288"/>
      <c r="G218" s="17"/>
      <c r="H218" s="17"/>
      <c r="I218" s="17"/>
      <c r="J218" s="17"/>
      <c r="K218" s="17"/>
      <c r="L218" s="17"/>
      <c r="M218" s="17"/>
      <c r="N218" s="17"/>
      <c r="O218" s="17"/>
      <c r="P218" s="17"/>
      <c r="Q218" s="17"/>
      <c r="R218" s="17"/>
      <c r="S218" s="143"/>
      <c r="T218" s="143"/>
      <c r="U218" s="143"/>
      <c r="V218" s="143"/>
      <c r="W218" s="17"/>
      <c r="X218" s="17"/>
      <c r="Y218" s="17"/>
      <c r="Z218" s="17"/>
      <c r="AA218" s="17"/>
      <c r="AB218" s="17"/>
    </row>
    <row r="219">
      <c r="A219" s="17"/>
      <c r="B219" s="17"/>
      <c r="C219" s="17"/>
      <c r="D219" s="17"/>
      <c r="E219" s="17"/>
      <c r="F219" s="288"/>
      <c r="G219" s="17"/>
      <c r="H219" s="17"/>
      <c r="I219" s="17"/>
      <c r="J219" s="17"/>
      <c r="K219" s="17"/>
      <c r="L219" s="17"/>
      <c r="M219" s="17"/>
      <c r="N219" s="17"/>
      <c r="O219" s="17"/>
      <c r="P219" s="17"/>
      <c r="Q219" s="17"/>
      <c r="R219" s="17"/>
      <c r="S219" s="143"/>
      <c r="T219" s="143"/>
      <c r="U219" s="143"/>
      <c r="V219" s="143"/>
      <c r="W219" s="17"/>
      <c r="X219" s="17"/>
      <c r="Y219" s="17"/>
      <c r="Z219" s="17"/>
      <c r="AA219" s="17"/>
      <c r="AB219" s="17"/>
    </row>
    <row r="220">
      <c r="A220" s="17"/>
      <c r="B220" s="17"/>
      <c r="C220" s="17"/>
      <c r="D220" s="17"/>
      <c r="E220" s="17"/>
      <c r="F220" s="288"/>
      <c r="G220" s="17"/>
      <c r="H220" s="17"/>
      <c r="I220" s="17"/>
      <c r="J220" s="17"/>
      <c r="K220" s="17"/>
      <c r="L220" s="17"/>
      <c r="M220" s="17"/>
      <c r="N220" s="17"/>
      <c r="O220" s="17"/>
      <c r="P220" s="17"/>
      <c r="Q220" s="17"/>
      <c r="R220" s="17"/>
      <c r="S220" s="143"/>
      <c r="T220" s="143"/>
      <c r="U220" s="143"/>
      <c r="V220" s="143"/>
      <c r="W220" s="17"/>
      <c r="X220" s="17"/>
      <c r="Y220" s="17"/>
      <c r="Z220" s="17"/>
      <c r="AA220" s="17"/>
      <c r="AB220" s="17"/>
    </row>
    <row r="221">
      <c r="A221" s="17"/>
      <c r="B221" s="17"/>
      <c r="C221" s="17"/>
      <c r="D221" s="17"/>
      <c r="E221" s="17"/>
      <c r="F221" s="288"/>
      <c r="G221" s="17"/>
      <c r="H221" s="17"/>
      <c r="I221" s="17"/>
      <c r="J221" s="17"/>
      <c r="K221" s="17"/>
      <c r="L221" s="17"/>
      <c r="M221" s="17"/>
      <c r="N221" s="17"/>
      <c r="O221" s="17"/>
      <c r="P221" s="17"/>
      <c r="Q221" s="17"/>
      <c r="R221" s="17"/>
      <c r="S221" s="143"/>
      <c r="T221" s="143"/>
      <c r="U221" s="143"/>
      <c r="V221" s="143"/>
      <c r="W221" s="17"/>
      <c r="X221" s="17"/>
      <c r="Y221" s="17"/>
      <c r="Z221" s="17"/>
      <c r="AA221" s="17"/>
      <c r="AB221" s="17"/>
    </row>
    <row r="222">
      <c r="A222" s="17"/>
      <c r="B222" s="17"/>
      <c r="C222" s="17"/>
      <c r="D222" s="17"/>
      <c r="E222" s="17"/>
      <c r="F222" s="288"/>
      <c r="G222" s="17"/>
      <c r="H222" s="17"/>
      <c r="I222" s="17"/>
      <c r="J222" s="17"/>
      <c r="K222" s="17"/>
      <c r="L222" s="17"/>
      <c r="M222" s="17"/>
      <c r="N222" s="17"/>
      <c r="O222" s="17"/>
      <c r="P222" s="17"/>
      <c r="Q222" s="17"/>
      <c r="R222" s="17"/>
      <c r="S222" s="143"/>
      <c r="T222" s="143"/>
      <c r="U222" s="143"/>
      <c r="V222" s="143"/>
      <c r="W222" s="17"/>
      <c r="X222" s="17"/>
      <c r="Y222" s="17"/>
      <c r="Z222" s="17"/>
      <c r="AA222" s="17"/>
      <c r="AB222" s="17"/>
    </row>
    <row r="223">
      <c r="A223" s="17"/>
      <c r="B223" s="17"/>
      <c r="C223" s="17"/>
      <c r="D223" s="17"/>
      <c r="E223" s="17"/>
      <c r="F223" s="288"/>
      <c r="G223" s="17"/>
      <c r="H223" s="17"/>
      <c r="I223" s="17"/>
      <c r="J223" s="17"/>
      <c r="K223" s="17"/>
      <c r="L223" s="17"/>
      <c r="M223" s="17"/>
      <c r="N223" s="17"/>
      <c r="O223" s="17"/>
      <c r="P223" s="17"/>
      <c r="Q223" s="17"/>
      <c r="R223" s="17"/>
      <c r="S223" s="143"/>
      <c r="T223" s="143"/>
      <c r="U223" s="143"/>
      <c r="V223" s="143"/>
      <c r="W223" s="17"/>
      <c r="X223" s="17"/>
      <c r="Y223" s="17"/>
      <c r="Z223" s="17"/>
      <c r="AA223" s="17"/>
      <c r="AB223" s="17"/>
    </row>
    <row r="224">
      <c r="A224" s="17"/>
      <c r="B224" s="17"/>
      <c r="C224" s="17"/>
      <c r="D224" s="17"/>
      <c r="E224" s="17"/>
      <c r="F224" s="288"/>
      <c r="G224" s="17"/>
      <c r="H224" s="17"/>
      <c r="I224" s="17"/>
      <c r="J224" s="17"/>
      <c r="K224" s="17"/>
      <c r="L224" s="17"/>
      <c r="M224" s="17"/>
      <c r="N224" s="17"/>
      <c r="O224" s="17"/>
      <c r="P224" s="17"/>
      <c r="Q224" s="17"/>
      <c r="R224" s="17"/>
      <c r="S224" s="143"/>
      <c r="T224" s="143"/>
      <c r="U224" s="143"/>
      <c r="V224" s="143"/>
      <c r="W224" s="17"/>
      <c r="X224" s="17"/>
      <c r="Y224" s="17"/>
      <c r="Z224" s="17"/>
      <c r="AA224" s="17"/>
      <c r="AB224" s="17"/>
    </row>
    <row r="225">
      <c r="A225" s="17"/>
      <c r="B225" s="17"/>
      <c r="C225" s="17"/>
      <c r="D225" s="17"/>
      <c r="E225" s="17"/>
      <c r="F225" s="288"/>
      <c r="G225" s="17"/>
      <c r="H225" s="17"/>
      <c r="I225" s="17"/>
      <c r="J225" s="17"/>
      <c r="K225" s="17"/>
      <c r="L225" s="17"/>
      <c r="M225" s="17"/>
      <c r="N225" s="17"/>
      <c r="O225" s="17"/>
      <c r="P225" s="17"/>
      <c r="Q225" s="17"/>
      <c r="R225" s="17"/>
      <c r="S225" s="143"/>
      <c r="T225" s="143"/>
      <c r="U225" s="143"/>
      <c r="V225" s="143"/>
      <c r="W225" s="17"/>
      <c r="X225" s="17"/>
      <c r="Y225" s="17"/>
      <c r="Z225" s="17"/>
      <c r="AA225" s="17"/>
      <c r="AB225" s="17"/>
    </row>
    <row r="226">
      <c r="A226" s="17"/>
      <c r="B226" s="17"/>
      <c r="C226" s="17"/>
      <c r="D226" s="17"/>
      <c r="E226" s="17"/>
      <c r="F226" s="288"/>
      <c r="G226" s="17"/>
      <c r="H226" s="17"/>
      <c r="I226" s="17"/>
      <c r="J226" s="17"/>
      <c r="K226" s="17"/>
      <c r="L226" s="17"/>
      <c r="M226" s="17"/>
      <c r="N226" s="17"/>
      <c r="O226" s="17"/>
      <c r="P226" s="17"/>
      <c r="Q226" s="17"/>
      <c r="R226" s="17"/>
      <c r="S226" s="143"/>
      <c r="T226" s="143"/>
      <c r="U226" s="143"/>
      <c r="V226" s="143"/>
      <c r="W226" s="17"/>
      <c r="X226" s="17"/>
      <c r="Y226" s="17"/>
      <c r="Z226" s="17"/>
      <c r="AA226" s="17"/>
      <c r="AB226" s="17"/>
    </row>
    <row r="227">
      <c r="A227" s="17"/>
      <c r="B227" s="17"/>
      <c r="C227" s="17"/>
      <c r="D227" s="17"/>
      <c r="E227" s="17"/>
      <c r="F227" s="288"/>
      <c r="G227" s="17"/>
      <c r="H227" s="17"/>
      <c r="I227" s="17"/>
      <c r="J227" s="17"/>
      <c r="K227" s="17"/>
      <c r="L227" s="17"/>
      <c r="M227" s="17"/>
      <c r="N227" s="17"/>
      <c r="O227" s="17"/>
      <c r="P227" s="17"/>
      <c r="Q227" s="17"/>
      <c r="R227" s="17"/>
      <c r="S227" s="143"/>
      <c r="T227" s="143"/>
      <c r="U227" s="143"/>
      <c r="V227" s="143"/>
      <c r="W227" s="17"/>
      <c r="X227" s="17"/>
      <c r="Y227" s="17"/>
      <c r="Z227" s="17"/>
      <c r="AA227" s="17"/>
      <c r="AB227" s="17"/>
    </row>
    <row r="228">
      <c r="A228" s="17"/>
      <c r="B228" s="17"/>
      <c r="C228" s="17"/>
      <c r="D228" s="17"/>
      <c r="E228" s="17"/>
      <c r="F228" s="288"/>
      <c r="G228" s="17"/>
      <c r="H228" s="17"/>
      <c r="I228" s="17"/>
      <c r="J228" s="17"/>
      <c r="K228" s="17"/>
      <c r="L228" s="17"/>
      <c r="M228" s="17"/>
      <c r="N228" s="17"/>
      <c r="O228" s="17"/>
      <c r="P228" s="17"/>
      <c r="Q228" s="17"/>
      <c r="R228" s="17"/>
      <c r="S228" s="143"/>
      <c r="T228" s="143"/>
      <c r="U228" s="143"/>
      <c r="V228" s="143"/>
      <c r="W228" s="17"/>
      <c r="X228" s="17"/>
      <c r="Y228" s="17"/>
      <c r="Z228" s="17"/>
      <c r="AA228" s="17"/>
      <c r="AB228" s="17"/>
    </row>
    <row r="229">
      <c r="A229" s="17"/>
      <c r="B229" s="17"/>
      <c r="C229" s="17"/>
      <c r="D229" s="17"/>
      <c r="E229" s="17"/>
      <c r="F229" s="288"/>
      <c r="G229" s="17"/>
      <c r="H229" s="17"/>
      <c r="I229" s="17"/>
      <c r="J229" s="17"/>
      <c r="K229" s="17"/>
      <c r="L229" s="17"/>
      <c r="M229" s="17"/>
      <c r="N229" s="17"/>
      <c r="O229" s="17"/>
      <c r="P229" s="17"/>
      <c r="Q229" s="17"/>
      <c r="R229" s="17"/>
      <c r="S229" s="143"/>
      <c r="T229" s="143"/>
      <c r="U229" s="143"/>
      <c r="V229" s="143"/>
      <c r="W229" s="17"/>
      <c r="X229" s="17"/>
      <c r="Y229" s="17"/>
      <c r="Z229" s="17"/>
      <c r="AA229" s="17"/>
      <c r="AB229" s="17"/>
    </row>
    <row r="230">
      <c r="A230" s="17"/>
      <c r="B230" s="17"/>
      <c r="C230" s="17"/>
      <c r="D230" s="17"/>
      <c r="E230" s="17"/>
      <c r="F230" s="288"/>
      <c r="G230" s="17"/>
      <c r="H230" s="17"/>
      <c r="I230" s="17"/>
      <c r="J230" s="17"/>
      <c r="K230" s="17"/>
      <c r="L230" s="17"/>
      <c r="M230" s="17"/>
      <c r="N230" s="17"/>
      <c r="O230" s="17"/>
      <c r="P230" s="17"/>
      <c r="Q230" s="17"/>
      <c r="R230" s="17"/>
      <c r="S230" s="143"/>
      <c r="T230" s="143"/>
      <c r="U230" s="143"/>
      <c r="V230" s="143"/>
      <c r="W230" s="17"/>
      <c r="X230" s="17"/>
      <c r="Y230" s="17"/>
      <c r="Z230" s="17"/>
      <c r="AA230" s="17"/>
      <c r="AB230" s="17"/>
    </row>
    <row r="231">
      <c r="A231" s="17"/>
      <c r="B231" s="17"/>
      <c r="C231" s="17"/>
      <c r="D231" s="17"/>
      <c r="E231" s="17"/>
      <c r="F231" s="288"/>
      <c r="G231" s="17"/>
      <c r="H231" s="17"/>
      <c r="I231" s="17"/>
      <c r="J231" s="17"/>
      <c r="K231" s="17"/>
      <c r="L231" s="17"/>
      <c r="M231" s="17"/>
      <c r="N231" s="17"/>
      <c r="O231" s="17"/>
      <c r="P231" s="17"/>
      <c r="Q231" s="17"/>
      <c r="R231" s="17"/>
      <c r="S231" s="143"/>
      <c r="T231" s="143"/>
      <c r="U231" s="143"/>
      <c r="V231" s="143"/>
      <c r="W231" s="17"/>
      <c r="X231" s="17"/>
      <c r="Y231" s="17"/>
      <c r="Z231" s="17"/>
      <c r="AA231" s="17"/>
      <c r="AB231" s="17"/>
    </row>
    <row r="232">
      <c r="A232" s="17"/>
      <c r="B232" s="17"/>
      <c r="C232" s="17"/>
      <c r="D232" s="17"/>
      <c r="E232" s="17"/>
      <c r="F232" s="288"/>
      <c r="G232" s="17"/>
      <c r="H232" s="17"/>
      <c r="I232" s="17"/>
      <c r="J232" s="17"/>
      <c r="K232" s="17"/>
      <c r="L232" s="17"/>
      <c r="M232" s="17"/>
      <c r="N232" s="17"/>
      <c r="O232" s="17"/>
      <c r="P232" s="17"/>
      <c r="Q232" s="17"/>
      <c r="R232" s="17"/>
      <c r="S232" s="143"/>
      <c r="T232" s="143"/>
      <c r="U232" s="143"/>
      <c r="V232" s="143"/>
      <c r="W232" s="17"/>
      <c r="X232" s="17"/>
      <c r="Y232" s="17"/>
      <c r="Z232" s="17"/>
      <c r="AA232" s="17"/>
      <c r="AB232" s="17"/>
    </row>
    <row r="233">
      <c r="A233" s="17"/>
      <c r="B233" s="17"/>
      <c r="C233" s="17"/>
      <c r="D233" s="17"/>
      <c r="E233" s="17"/>
      <c r="F233" s="288"/>
      <c r="G233" s="17"/>
      <c r="H233" s="17"/>
      <c r="I233" s="17"/>
      <c r="J233" s="17"/>
      <c r="K233" s="17"/>
      <c r="L233" s="17"/>
      <c r="M233" s="17"/>
      <c r="N233" s="17"/>
      <c r="O233" s="17"/>
      <c r="P233" s="17"/>
      <c r="Q233" s="17"/>
      <c r="R233" s="17"/>
      <c r="S233" s="143"/>
      <c r="T233" s="143"/>
      <c r="U233" s="143"/>
      <c r="V233" s="143"/>
      <c r="W233" s="17"/>
      <c r="X233" s="17"/>
      <c r="Y233" s="17"/>
      <c r="Z233" s="17"/>
      <c r="AA233" s="17"/>
      <c r="AB233" s="17"/>
    </row>
    <row r="234">
      <c r="A234" s="17"/>
      <c r="B234" s="17"/>
      <c r="C234" s="17"/>
      <c r="D234" s="17"/>
      <c r="E234" s="17"/>
      <c r="F234" s="288"/>
      <c r="G234" s="17"/>
      <c r="H234" s="17"/>
      <c r="I234" s="17"/>
      <c r="J234" s="17"/>
      <c r="K234" s="17"/>
      <c r="L234" s="17"/>
      <c r="M234" s="17"/>
      <c r="N234" s="17"/>
      <c r="O234" s="17"/>
      <c r="P234" s="17"/>
      <c r="Q234" s="17"/>
      <c r="R234" s="17"/>
      <c r="S234" s="143"/>
      <c r="T234" s="143"/>
      <c r="U234" s="143"/>
      <c r="V234" s="143"/>
      <c r="W234" s="17"/>
      <c r="X234" s="17"/>
      <c r="Y234" s="17"/>
      <c r="Z234" s="17"/>
      <c r="AA234" s="17"/>
      <c r="AB234" s="17"/>
    </row>
    <row r="235">
      <c r="A235" s="17"/>
      <c r="B235" s="17"/>
      <c r="C235" s="17"/>
      <c r="D235" s="17"/>
      <c r="E235" s="17"/>
      <c r="F235" s="288"/>
      <c r="G235" s="17"/>
      <c r="H235" s="17"/>
      <c r="I235" s="17"/>
      <c r="J235" s="17"/>
      <c r="K235" s="17"/>
      <c r="L235" s="17"/>
      <c r="M235" s="17"/>
      <c r="N235" s="17"/>
      <c r="O235" s="17"/>
      <c r="P235" s="17"/>
      <c r="Q235" s="17"/>
      <c r="R235" s="17"/>
      <c r="S235" s="143"/>
      <c r="T235" s="143"/>
      <c r="U235" s="143"/>
      <c r="V235" s="143"/>
      <c r="W235" s="17"/>
      <c r="X235" s="17"/>
      <c r="Y235" s="17"/>
      <c r="Z235" s="17"/>
      <c r="AA235" s="17"/>
      <c r="AB235" s="17"/>
    </row>
    <row r="236">
      <c r="A236" s="17"/>
      <c r="B236" s="17"/>
      <c r="C236" s="17"/>
      <c r="D236" s="17"/>
      <c r="E236" s="17"/>
      <c r="F236" s="288"/>
      <c r="G236" s="17"/>
      <c r="H236" s="17"/>
      <c r="I236" s="17"/>
      <c r="J236" s="17"/>
      <c r="K236" s="17"/>
      <c r="L236" s="17"/>
      <c r="M236" s="17"/>
      <c r="N236" s="17"/>
      <c r="O236" s="17"/>
      <c r="P236" s="17"/>
      <c r="Q236" s="17"/>
      <c r="R236" s="17"/>
      <c r="S236" s="143"/>
      <c r="T236" s="143"/>
      <c r="U236" s="143"/>
      <c r="V236" s="143"/>
      <c r="W236" s="17"/>
      <c r="X236" s="17"/>
      <c r="Y236" s="17"/>
      <c r="Z236" s="17"/>
      <c r="AA236" s="17"/>
      <c r="AB236" s="17"/>
    </row>
    <row r="237">
      <c r="A237" s="17"/>
      <c r="B237" s="17"/>
      <c r="C237" s="17"/>
      <c r="D237" s="17"/>
      <c r="E237" s="17"/>
      <c r="F237" s="288"/>
      <c r="G237" s="17"/>
      <c r="H237" s="17"/>
      <c r="I237" s="17"/>
      <c r="J237" s="17"/>
      <c r="K237" s="17"/>
      <c r="L237" s="17"/>
      <c r="M237" s="17"/>
      <c r="N237" s="17"/>
      <c r="O237" s="17"/>
      <c r="P237" s="17"/>
      <c r="Q237" s="17"/>
      <c r="R237" s="17"/>
      <c r="S237" s="143"/>
      <c r="T237" s="143"/>
      <c r="U237" s="143"/>
      <c r="V237" s="143"/>
      <c r="W237" s="17"/>
      <c r="X237" s="17"/>
      <c r="Y237" s="17"/>
      <c r="Z237" s="17"/>
      <c r="AA237" s="17"/>
      <c r="AB237" s="17"/>
    </row>
    <row r="238">
      <c r="A238" s="17"/>
      <c r="B238" s="17"/>
      <c r="C238" s="17"/>
      <c r="D238" s="17"/>
      <c r="E238" s="17"/>
      <c r="F238" s="288"/>
      <c r="G238" s="17"/>
      <c r="H238" s="17"/>
      <c r="I238" s="17"/>
      <c r="J238" s="17"/>
      <c r="K238" s="17"/>
      <c r="L238" s="17"/>
      <c r="M238" s="17"/>
      <c r="N238" s="17"/>
      <c r="O238" s="17"/>
      <c r="P238" s="17"/>
      <c r="Q238" s="17"/>
      <c r="R238" s="17"/>
      <c r="S238" s="143"/>
      <c r="T238" s="143"/>
      <c r="U238" s="143"/>
      <c r="V238" s="143"/>
      <c r="W238" s="17"/>
      <c r="X238" s="17"/>
      <c r="Y238" s="17"/>
      <c r="Z238" s="17"/>
      <c r="AA238" s="17"/>
      <c r="AB238" s="17"/>
    </row>
    <row r="239">
      <c r="A239" s="17"/>
      <c r="B239" s="17"/>
      <c r="C239" s="17"/>
      <c r="D239" s="17"/>
      <c r="E239" s="17"/>
      <c r="F239" s="288"/>
      <c r="G239" s="17"/>
      <c r="H239" s="17"/>
      <c r="I239" s="17"/>
      <c r="J239" s="17"/>
      <c r="K239" s="17"/>
      <c r="L239" s="17"/>
      <c r="M239" s="17"/>
      <c r="N239" s="17"/>
      <c r="O239" s="17"/>
      <c r="P239" s="17"/>
      <c r="Q239" s="17"/>
      <c r="R239" s="17"/>
      <c r="S239" s="143"/>
      <c r="T239" s="143"/>
      <c r="U239" s="143"/>
      <c r="V239" s="143"/>
      <c r="W239" s="17"/>
      <c r="X239" s="17"/>
      <c r="Y239" s="17"/>
      <c r="Z239" s="17"/>
      <c r="AA239" s="17"/>
      <c r="AB239" s="17"/>
    </row>
    <row r="240">
      <c r="A240" s="17"/>
      <c r="B240" s="17"/>
      <c r="C240" s="17"/>
      <c r="D240" s="17"/>
      <c r="E240" s="17"/>
      <c r="F240" s="288"/>
      <c r="G240" s="17"/>
      <c r="H240" s="17"/>
      <c r="I240" s="17"/>
      <c r="J240" s="17"/>
      <c r="K240" s="17"/>
      <c r="L240" s="17"/>
      <c r="M240" s="17"/>
      <c r="N240" s="17"/>
      <c r="O240" s="17"/>
      <c r="P240" s="17"/>
      <c r="Q240" s="17"/>
      <c r="R240" s="17"/>
      <c r="S240" s="143"/>
      <c r="T240" s="143"/>
      <c r="U240" s="143"/>
      <c r="V240" s="143"/>
      <c r="W240" s="17"/>
      <c r="X240" s="17"/>
      <c r="Y240" s="17"/>
      <c r="Z240" s="17"/>
      <c r="AA240" s="17"/>
      <c r="AB240" s="17"/>
    </row>
    <row r="241">
      <c r="A241" s="17"/>
      <c r="B241" s="17"/>
      <c r="C241" s="17"/>
      <c r="D241" s="17"/>
      <c r="E241" s="17"/>
      <c r="F241" s="288"/>
      <c r="G241" s="17"/>
      <c r="H241" s="17"/>
      <c r="I241" s="17"/>
      <c r="J241" s="17"/>
      <c r="K241" s="17"/>
      <c r="L241" s="17"/>
      <c r="M241" s="17"/>
      <c r="N241" s="17"/>
      <c r="O241" s="17"/>
      <c r="P241" s="17"/>
      <c r="Q241" s="17"/>
      <c r="R241" s="17"/>
      <c r="S241" s="143"/>
      <c r="T241" s="143"/>
      <c r="U241" s="143"/>
      <c r="V241" s="143"/>
      <c r="W241" s="17"/>
      <c r="X241" s="17"/>
      <c r="Y241" s="17"/>
      <c r="Z241" s="17"/>
      <c r="AA241" s="17"/>
      <c r="AB241" s="17"/>
    </row>
    <row r="242">
      <c r="A242" s="17"/>
      <c r="B242" s="17"/>
      <c r="C242" s="17"/>
      <c r="D242" s="17"/>
      <c r="E242" s="17"/>
      <c r="F242" s="288"/>
      <c r="G242" s="17"/>
      <c r="H242" s="17"/>
      <c r="I242" s="17"/>
      <c r="J242" s="17"/>
      <c r="K242" s="17"/>
      <c r="L242" s="17"/>
      <c r="M242" s="17"/>
      <c r="N242" s="17"/>
      <c r="O242" s="17"/>
      <c r="P242" s="17"/>
      <c r="Q242" s="17"/>
      <c r="R242" s="17"/>
      <c r="S242" s="143"/>
      <c r="T242" s="143"/>
      <c r="U242" s="143"/>
      <c r="V242" s="143"/>
      <c r="W242" s="17"/>
      <c r="X242" s="17"/>
      <c r="Y242" s="17"/>
      <c r="Z242" s="17"/>
      <c r="AA242" s="17"/>
      <c r="AB242" s="17"/>
    </row>
    <row r="243">
      <c r="A243" s="17"/>
      <c r="B243" s="17"/>
      <c r="C243" s="17"/>
      <c r="D243" s="17"/>
      <c r="E243" s="17"/>
      <c r="F243" s="288"/>
      <c r="G243" s="17"/>
      <c r="H243" s="17"/>
      <c r="I243" s="17"/>
      <c r="J243" s="17"/>
      <c r="K243" s="17"/>
      <c r="L243" s="17"/>
      <c r="M243" s="17"/>
      <c r="N243" s="17"/>
      <c r="O243" s="17"/>
      <c r="P243" s="17"/>
      <c r="Q243" s="17"/>
      <c r="R243" s="17"/>
      <c r="S243" s="143"/>
      <c r="T243" s="143"/>
      <c r="U243" s="143"/>
      <c r="V243" s="143"/>
      <c r="W243" s="17"/>
      <c r="X243" s="17"/>
      <c r="Y243" s="17"/>
      <c r="Z243" s="17"/>
      <c r="AA243" s="17"/>
      <c r="AB243" s="17"/>
    </row>
    <row r="244">
      <c r="A244" s="17"/>
      <c r="B244" s="17"/>
      <c r="C244" s="17"/>
      <c r="D244" s="17"/>
      <c r="E244" s="17"/>
      <c r="F244" s="288"/>
      <c r="G244" s="17"/>
      <c r="H244" s="17"/>
      <c r="I244" s="17"/>
      <c r="J244" s="17"/>
      <c r="K244" s="17"/>
      <c r="L244" s="17"/>
      <c r="M244" s="17"/>
      <c r="N244" s="17"/>
      <c r="O244" s="17"/>
      <c r="P244" s="17"/>
      <c r="Q244" s="17"/>
      <c r="R244" s="17"/>
      <c r="S244" s="143"/>
      <c r="T244" s="143"/>
      <c r="U244" s="143"/>
      <c r="V244" s="143"/>
      <c r="W244" s="17"/>
      <c r="X244" s="17"/>
      <c r="Y244" s="17"/>
      <c r="Z244" s="17"/>
      <c r="AA244" s="17"/>
      <c r="AB244" s="17"/>
    </row>
    <row r="245">
      <c r="A245" s="17"/>
      <c r="B245" s="17"/>
      <c r="C245" s="17"/>
      <c r="D245" s="17"/>
      <c r="E245" s="17"/>
      <c r="F245" s="288"/>
      <c r="G245" s="17"/>
      <c r="H245" s="17"/>
      <c r="I245" s="17"/>
      <c r="J245" s="17"/>
      <c r="K245" s="17"/>
      <c r="L245" s="17"/>
      <c r="M245" s="17"/>
      <c r="N245" s="17"/>
      <c r="O245" s="17"/>
      <c r="P245" s="17"/>
      <c r="Q245" s="17"/>
      <c r="R245" s="17"/>
      <c r="S245" s="143"/>
      <c r="T245" s="143"/>
      <c r="U245" s="143"/>
      <c r="V245" s="143"/>
      <c r="W245" s="17"/>
      <c r="X245" s="17"/>
      <c r="Y245" s="17"/>
      <c r="Z245" s="17"/>
      <c r="AA245" s="17"/>
      <c r="AB245" s="17"/>
    </row>
    <row r="246">
      <c r="A246" s="17"/>
      <c r="B246" s="17"/>
      <c r="C246" s="17"/>
      <c r="D246" s="17"/>
      <c r="E246" s="17"/>
      <c r="F246" s="288"/>
      <c r="G246" s="17"/>
      <c r="H246" s="17"/>
      <c r="I246" s="17"/>
      <c r="J246" s="17"/>
      <c r="K246" s="17"/>
      <c r="L246" s="17"/>
      <c r="M246" s="17"/>
      <c r="N246" s="17"/>
      <c r="O246" s="17"/>
      <c r="P246" s="17"/>
      <c r="Q246" s="17"/>
      <c r="R246" s="17"/>
      <c r="S246" s="143"/>
      <c r="T246" s="143"/>
      <c r="U246" s="143"/>
      <c r="V246" s="143"/>
      <c r="W246" s="17"/>
      <c r="X246" s="17"/>
      <c r="Y246" s="17"/>
      <c r="Z246" s="17"/>
      <c r="AA246" s="17"/>
      <c r="AB246" s="17"/>
    </row>
    <row r="247">
      <c r="A247" s="17"/>
      <c r="B247" s="17"/>
      <c r="C247" s="17"/>
      <c r="D247" s="17"/>
      <c r="E247" s="17"/>
      <c r="F247" s="288"/>
      <c r="G247" s="17"/>
      <c r="H247" s="17"/>
      <c r="I247" s="17"/>
      <c r="J247" s="17"/>
      <c r="K247" s="17"/>
      <c r="L247" s="17"/>
      <c r="M247" s="17"/>
      <c r="N247" s="17"/>
      <c r="O247" s="17"/>
      <c r="P247" s="17"/>
      <c r="Q247" s="17"/>
      <c r="R247" s="17"/>
      <c r="S247" s="143"/>
      <c r="T247" s="143"/>
      <c r="U247" s="143"/>
      <c r="V247" s="143"/>
      <c r="W247" s="17"/>
      <c r="X247" s="17"/>
      <c r="Y247" s="17"/>
      <c r="Z247" s="17"/>
      <c r="AA247" s="17"/>
      <c r="AB247" s="17"/>
    </row>
    <row r="248">
      <c r="A248" s="17"/>
      <c r="B248" s="17"/>
      <c r="C248" s="17"/>
      <c r="D248" s="17"/>
      <c r="E248" s="17"/>
      <c r="F248" s="288"/>
      <c r="G248" s="17"/>
      <c r="H248" s="17"/>
      <c r="I248" s="17"/>
      <c r="J248" s="17"/>
      <c r="K248" s="17"/>
      <c r="L248" s="17"/>
      <c r="M248" s="17"/>
      <c r="N248" s="17"/>
      <c r="O248" s="17"/>
      <c r="P248" s="17"/>
      <c r="Q248" s="17"/>
      <c r="R248" s="17"/>
      <c r="S248" s="143"/>
      <c r="T248" s="143"/>
      <c r="U248" s="143"/>
      <c r="V248" s="143"/>
      <c r="W248" s="17"/>
      <c r="X248" s="17"/>
      <c r="Y248" s="17"/>
      <c r="Z248" s="17"/>
      <c r="AA248" s="17"/>
      <c r="AB248" s="17"/>
    </row>
    <row r="249">
      <c r="A249" s="17"/>
      <c r="B249" s="17"/>
      <c r="C249" s="17"/>
      <c r="D249" s="17"/>
      <c r="E249" s="17"/>
      <c r="F249" s="288"/>
      <c r="G249" s="17"/>
      <c r="H249" s="17"/>
      <c r="I249" s="17"/>
      <c r="J249" s="17"/>
      <c r="K249" s="17"/>
      <c r="L249" s="17"/>
      <c r="M249" s="17"/>
      <c r="N249" s="17"/>
      <c r="O249" s="17"/>
      <c r="P249" s="17"/>
      <c r="Q249" s="17"/>
      <c r="R249" s="17"/>
      <c r="S249" s="143"/>
      <c r="T249" s="143"/>
      <c r="U249" s="143"/>
      <c r="V249" s="143"/>
      <c r="W249" s="17"/>
      <c r="X249" s="17"/>
      <c r="Y249" s="17"/>
      <c r="Z249" s="17"/>
      <c r="AA249" s="17"/>
      <c r="AB249" s="17"/>
    </row>
    <row r="250">
      <c r="A250" s="17"/>
      <c r="B250" s="17"/>
      <c r="C250" s="17"/>
      <c r="D250" s="17"/>
      <c r="E250" s="17"/>
      <c r="F250" s="288"/>
      <c r="G250" s="17"/>
      <c r="H250" s="17"/>
      <c r="I250" s="17"/>
      <c r="J250" s="17"/>
      <c r="K250" s="17"/>
      <c r="L250" s="17"/>
      <c r="M250" s="17"/>
      <c r="N250" s="17"/>
      <c r="O250" s="17"/>
      <c r="P250" s="17"/>
      <c r="Q250" s="17"/>
      <c r="R250" s="17"/>
      <c r="S250" s="143"/>
      <c r="T250" s="143"/>
      <c r="U250" s="143"/>
      <c r="V250" s="143"/>
      <c r="W250" s="17"/>
      <c r="X250" s="17"/>
      <c r="Y250" s="17"/>
      <c r="Z250" s="17"/>
      <c r="AA250" s="17"/>
      <c r="AB250" s="17"/>
    </row>
    <row r="251">
      <c r="A251" s="17"/>
      <c r="B251" s="17"/>
      <c r="C251" s="17"/>
      <c r="D251" s="17"/>
      <c r="E251" s="17"/>
      <c r="F251" s="288"/>
      <c r="G251" s="17"/>
      <c r="H251" s="17"/>
      <c r="I251" s="17"/>
      <c r="J251" s="17"/>
      <c r="K251" s="17"/>
      <c r="L251" s="17"/>
      <c r="M251" s="17"/>
      <c r="N251" s="17"/>
      <c r="O251" s="17"/>
      <c r="P251" s="17"/>
      <c r="Q251" s="17"/>
      <c r="R251" s="17"/>
      <c r="S251" s="143"/>
      <c r="T251" s="143"/>
      <c r="U251" s="143"/>
      <c r="V251" s="143"/>
      <c r="W251" s="17"/>
      <c r="X251" s="17"/>
      <c r="Y251" s="17"/>
      <c r="Z251" s="17"/>
      <c r="AA251" s="17"/>
      <c r="AB251" s="17"/>
    </row>
    <row r="252">
      <c r="A252" s="17"/>
      <c r="B252" s="17"/>
      <c r="C252" s="17"/>
      <c r="D252" s="17"/>
      <c r="E252" s="17"/>
      <c r="F252" s="288"/>
      <c r="G252" s="17"/>
      <c r="H252" s="17"/>
      <c r="I252" s="17"/>
      <c r="J252" s="17"/>
      <c r="K252" s="17"/>
      <c r="L252" s="17"/>
      <c r="M252" s="17"/>
      <c r="N252" s="17"/>
      <c r="O252" s="17"/>
      <c r="P252" s="17"/>
      <c r="Q252" s="17"/>
      <c r="R252" s="17"/>
      <c r="S252" s="143"/>
      <c r="T252" s="143"/>
      <c r="U252" s="143"/>
      <c r="V252" s="143"/>
      <c r="W252" s="17"/>
      <c r="X252" s="17"/>
      <c r="Y252" s="17"/>
      <c r="Z252" s="17"/>
      <c r="AA252" s="17"/>
      <c r="AB252" s="17"/>
    </row>
    <row r="253">
      <c r="A253" s="17"/>
      <c r="B253" s="17"/>
      <c r="C253" s="17"/>
      <c r="D253" s="17"/>
      <c r="E253" s="17"/>
      <c r="F253" s="288"/>
      <c r="G253" s="17"/>
      <c r="H253" s="17"/>
      <c r="I253" s="17"/>
      <c r="J253" s="17"/>
      <c r="K253" s="17"/>
      <c r="L253" s="17"/>
      <c r="M253" s="17"/>
      <c r="N253" s="17"/>
      <c r="O253" s="17"/>
      <c r="P253" s="17"/>
      <c r="Q253" s="17"/>
      <c r="R253" s="17"/>
      <c r="S253" s="143"/>
      <c r="T253" s="143"/>
      <c r="U253" s="143"/>
      <c r="V253" s="143"/>
      <c r="W253" s="17"/>
      <c r="X253" s="17"/>
      <c r="Y253" s="17"/>
      <c r="Z253" s="17"/>
      <c r="AA253" s="17"/>
      <c r="AB253" s="17"/>
    </row>
    <row r="254">
      <c r="A254" s="17"/>
      <c r="B254" s="17"/>
      <c r="C254" s="17"/>
      <c r="D254" s="17"/>
      <c r="E254" s="17"/>
      <c r="F254" s="288"/>
      <c r="G254" s="17"/>
      <c r="H254" s="17"/>
      <c r="I254" s="17"/>
      <c r="J254" s="17"/>
      <c r="K254" s="17"/>
      <c r="L254" s="17"/>
      <c r="M254" s="17"/>
      <c r="N254" s="17"/>
      <c r="O254" s="17"/>
      <c r="P254" s="17"/>
      <c r="Q254" s="17"/>
      <c r="R254" s="17"/>
      <c r="S254" s="143"/>
      <c r="T254" s="143"/>
      <c r="U254" s="143"/>
      <c r="V254" s="143"/>
      <c r="W254" s="17"/>
      <c r="X254" s="17"/>
      <c r="Y254" s="17"/>
      <c r="Z254" s="17"/>
      <c r="AA254" s="17"/>
      <c r="AB254" s="17"/>
    </row>
    <row r="255">
      <c r="A255" s="17"/>
      <c r="B255" s="17"/>
      <c r="C255" s="17"/>
      <c r="D255" s="17"/>
      <c r="E255" s="17"/>
      <c r="F255" s="288"/>
      <c r="G255" s="17"/>
      <c r="H255" s="17"/>
      <c r="I255" s="17"/>
      <c r="J255" s="17"/>
      <c r="K255" s="17"/>
      <c r="L255" s="17"/>
      <c r="M255" s="17"/>
      <c r="N255" s="17"/>
      <c r="O255" s="17"/>
      <c r="P255" s="17"/>
      <c r="Q255" s="17"/>
      <c r="R255" s="17"/>
      <c r="S255" s="143"/>
      <c r="T255" s="143"/>
      <c r="U255" s="143"/>
      <c r="V255" s="143"/>
      <c r="W255" s="17"/>
      <c r="X255" s="17"/>
      <c r="Y255" s="17"/>
      <c r="Z255" s="17"/>
      <c r="AA255" s="17"/>
      <c r="AB255" s="17"/>
    </row>
    <row r="256">
      <c r="A256" s="17"/>
      <c r="B256" s="17"/>
      <c r="C256" s="17"/>
      <c r="D256" s="17"/>
      <c r="E256" s="17"/>
      <c r="F256" s="288"/>
      <c r="G256" s="17"/>
      <c r="H256" s="17"/>
      <c r="I256" s="17"/>
      <c r="J256" s="17"/>
      <c r="K256" s="17"/>
      <c r="L256" s="17"/>
      <c r="M256" s="17"/>
      <c r="N256" s="17"/>
      <c r="O256" s="17"/>
      <c r="P256" s="17"/>
      <c r="Q256" s="17"/>
      <c r="R256" s="17"/>
      <c r="S256" s="143"/>
      <c r="T256" s="143"/>
      <c r="U256" s="143"/>
      <c r="V256" s="143"/>
      <c r="W256" s="17"/>
      <c r="X256" s="17"/>
      <c r="Y256" s="17"/>
      <c r="Z256" s="17"/>
      <c r="AA256" s="17"/>
      <c r="AB256" s="17"/>
    </row>
    <row r="257">
      <c r="A257" s="17"/>
      <c r="B257" s="17"/>
      <c r="C257" s="17"/>
      <c r="D257" s="17"/>
      <c r="E257" s="17"/>
      <c r="F257" s="288"/>
      <c r="G257" s="17"/>
      <c r="H257" s="17"/>
      <c r="I257" s="17"/>
      <c r="J257" s="17"/>
      <c r="K257" s="17"/>
      <c r="L257" s="17"/>
      <c r="M257" s="17"/>
      <c r="N257" s="17"/>
      <c r="O257" s="17"/>
      <c r="P257" s="17"/>
      <c r="Q257" s="17"/>
      <c r="R257" s="17"/>
      <c r="S257" s="143"/>
      <c r="T257" s="143"/>
      <c r="U257" s="143"/>
      <c r="V257" s="143"/>
      <c r="W257" s="17"/>
      <c r="X257" s="17"/>
      <c r="Y257" s="17"/>
      <c r="Z257" s="17"/>
      <c r="AA257" s="17"/>
      <c r="AB257" s="17"/>
    </row>
    <row r="258">
      <c r="A258" s="17"/>
      <c r="B258" s="17"/>
      <c r="C258" s="17"/>
      <c r="D258" s="17"/>
      <c r="E258" s="17"/>
      <c r="F258" s="288"/>
      <c r="G258" s="17"/>
      <c r="H258" s="17"/>
      <c r="I258" s="17"/>
      <c r="J258" s="17"/>
      <c r="K258" s="17"/>
      <c r="L258" s="17"/>
      <c r="M258" s="17"/>
      <c r="N258" s="17"/>
      <c r="O258" s="17"/>
      <c r="P258" s="17"/>
      <c r="Q258" s="17"/>
      <c r="R258" s="17"/>
      <c r="S258" s="143"/>
      <c r="T258" s="143"/>
      <c r="U258" s="143"/>
      <c r="V258" s="143"/>
      <c r="W258" s="17"/>
      <c r="X258" s="17"/>
      <c r="Y258" s="17"/>
      <c r="Z258" s="17"/>
      <c r="AA258" s="17"/>
      <c r="AB258" s="17"/>
    </row>
    <row r="259">
      <c r="A259" s="17"/>
      <c r="B259" s="17"/>
      <c r="C259" s="17"/>
      <c r="D259" s="17"/>
      <c r="E259" s="17"/>
      <c r="F259" s="288"/>
      <c r="G259" s="17"/>
      <c r="H259" s="17"/>
      <c r="I259" s="17"/>
      <c r="J259" s="17"/>
      <c r="K259" s="17"/>
      <c r="L259" s="17"/>
      <c r="M259" s="17"/>
      <c r="N259" s="17"/>
      <c r="O259" s="17"/>
      <c r="P259" s="17"/>
      <c r="Q259" s="17"/>
      <c r="R259" s="17"/>
      <c r="S259" s="143"/>
      <c r="T259" s="143"/>
      <c r="U259" s="143"/>
      <c r="V259" s="143"/>
      <c r="W259" s="17"/>
      <c r="X259" s="17"/>
      <c r="Y259" s="17"/>
      <c r="Z259" s="17"/>
      <c r="AA259" s="17"/>
      <c r="AB259" s="17"/>
    </row>
    <row r="260">
      <c r="A260" s="17"/>
      <c r="B260" s="17"/>
      <c r="C260" s="17"/>
      <c r="D260" s="17"/>
      <c r="E260" s="17"/>
      <c r="F260" s="288"/>
      <c r="G260" s="17"/>
      <c r="H260" s="17"/>
      <c r="I260" s="17"/>
      <c r="J260" s="17"/>
      <c r="K260" s="17"/>
      <c r="L260" s="17"/>
      <c r="M260" s="17"/>
      <c r="N260" s="17"/>
      <c r="O260" s="17"/>
      <c r="P260" s="17"/>
      <c r="Q260" s="17"/>
      <c r="R260" s="17"/>
      <c r="S260" s="143"/>
      <c r="T260" s="143"/>
      <c r="U260" s="143"/>
      <c r="V260" s="143"/>
      <c r="W260" s="17"/>
      <c r="X260" s="17"/>
      <c r="Y260" s="17"/>
      <c r="Z260" s="17"/>
      <c r="AA260" s="17"/>
      <c r="AB260" s="17"/>
    </row>
    <row r="261">
      <c r="A261" s="17"/>
      <c r="B261" s="17"/>
      <c r="C261" s="17"/>
      <c r="D261" s="17"/>
      <c r="E261" s="17"/>
      <c r="F261" s="288"/>
      <c r="G261" s="17"/>
      <c r="H261" s="17"/>
      <c r="I261" s="17"/>
      <c r="J261" s="17"/>
      <c r="K261" s="17"/>
      <c r="L261" s="17"/>
      <c r="M261" s="17"/>
      <c r="N261" s="17"/>
      <c r="O261" s="17"/>
      <c r="P261" s="17"/>
      <c r="Q261" s="17"/>
      <c r="R261" s="17"/>
      <c r="S261" s="143"/>
      <c r="T261" s="143"/>
      <c r="U261" s="143"/>
      <c r="V261" s="143"/>
      <c r="W261" s="17"/>
      <c r="X261" s="17"/>
      <c r="Y261" s="17"/>
      <c r="Z261" s="17"/>
      <c r="AA261" s="17"/>
      <c r="AB261" s="17"/>
    </row>
    <row r="262">
      <c r="A262" s="17"/>
      <c r="B262" s="17"/>
      <c r="C262" s="17"/>
      <c r="D262" s="17"/>
      <c r="E262" s="17"/>
      <c r="F262" s="288"/>
      <c r="G262" s="17"/>
      <c r="H262" s="17"/>
      <c r="I262" s="17"/>
      <c r="J262" s="17"/>
      <c r="K262" s="17"/>
      <c r="L262" s="17"/>
      <c r="M262" s="17"/>
      <c r="N262" s="17"/>
      <c r="O262" s="17"/>
      <c r="P262" s="17"/>
      <c r="Q262" s="17"/>
      <c r="R262" s="17"/>
      <c r="S262" s="143"/>
      <c r="T262" s="143"/>
      <c r="U262" s="143"/>
      <c r="V262" s="143"/>
      <c r="W262" s="17"/>
      <c r="X262" s="17"/>
      <c r="Y262" s="17"/>
      <c r="Z262" s="17"/>
      <c r="AA262" s="17"/>
      <c r="AB262" s="17"/>
    </row>
    <row r="263">
      <c r="A263" s="17"/>
      <c r="B263" s="17"/>
      <c r="C263" s="17"/>
      <c r="D263" s="17"/>
      <c r="E263" s="17"/>
      <c r="F263" s="288"/>
      <c r="G263" s="17"/>
      <c r="H263" s="17"/>
      <c r="I263" s="17"/>
      <c r="J263" s="17"/>
      <c r="K263" s="17"/>
      <c r="L263" s="17"/>
      <c r="M263" s="17"/>
      <c r="N263" s="17"/>
      <c r="O263" s="17"/>
      <c r="P263" s="17"/>
      <c r="Q263" s="17"/>
      <c r="R263" s="17"/>
      <c r="S263" s="143"/>
      <c r="T263" s="143"/>
      <c r="U263" s="143"/>
      <c r="V263" s="143"/>
      <c r="W263" s="17"/>
      <c r="X263" s="17"/>
      <c r="Y263" s="17"/>
      <c r="Z263" s="17"/>
      <c r="AA263" s="17"/>
      <c r="AB263" s="17"/>
    </row>
    <row r="264">
      <c r="A264" s="17"/>
      <c r="B264" s="17"/>
      <c r="C264" s="17"/>
      <c r="D264" s="17"/>
      <c r="E264" s="17"/>
      <c r="F264" s="288"/>
      <c r="G264" s="17"/>
      <c r="H264" s="17"/>
      <c r="I264" s="17"/>
      <c r="J264" s="17"/>
      <c r="K264" s="17"/>
      <c r="L264" s="17"/>
      <c r="M264" s="17"/>
      <c r="N264" s="17"/>
      <c r="O264" s="17"/>
      <c r="P264" s="17"/>
      <c r="Q264" s="17"/>
      <c r="R264" s="17"/>
      <c r="S264" s="143"/>
      <c r="T264" s="143"/>
      <c r="U264" s="143"/>
      <c r="V264" s="143"/>
      <c r="W264" s="17"/>
      <c r="X264" s="17"/>
      <c r="Y264" s="17"/>
      <c r="Z264" s="17"/>
      <c r="AA264" s="17"/>
      <c r="AB264" s="17"/>
    </row>
    <row r="265">
      <c r="A265" s="17"/>
      <c r="B265" s="17"/>
      <c r="C265" s="17"/>
      <c r="D265" s="17"/>
      <c r="E265" s="17"/>
      <c r="F265" s="288"/>
      <c r="G265" s="17"/>
      <c r="H265" s="17"/>
      <c r="I265" s="17"/>
      <c r="J265" s="17"/>
      <c r="K265" s="17"/>
      <c r="L265" s="17"/>
      <c r="M265" s="17"/>
      <c r="N265" s="17"/>
      <c r="O265" s="17"/>
      <c r="P265" s="17"/>
      <c r="Q265" s="17"/>
      <c r="R265" s="17"/>
      <c r="S265" s="143"/>
      <c r="T265" s="143"/>
      <c r="U265" s="143"/>
      <c r="V265" s="143"/>
      <c r="W265" s="17"/>
      <c r="X265" s="17"/>
      <c r="Y265" s="17"/>
      <c r="Z265" s="17"/>
      <c r="AA265" s="17"/>
      <c r="AB265" s="17"/>
    </row>
    <row r="266">
      <c r="A266" s="17"/>
      <c r="B266" s="17"/>
      <c r="C266" s="17"/>
      <c r="D266" s="17"/>
      <c r="E266" s="17"/>
      <c r="F266" s="288"/>
      <c r="G266" s="17"/>
      <c r="H266" s="17"/>
      <c r="I266" s="17"/>
      <c r="J266" s="17"/>
      <c r="K266" s="17"/>
      <c r="L266" s="17"/>
      <c r="M266" s="17"/>
      <c r="N266" s="17"/>
      <c r="O266" s="17"/>
      <c r="P266" s="17"/>
      <c r="Q266" s="17"/>
      <c r="R266" s="17"/>
      <c r="S266" s="143"/>
      <c r="T266" s="143"/>
      <c r="U266" s="143"/>
      <c r="V266" s="143"/>
      <c r="W266" s="17"/>
      <c r="X266" s="17"/>
      <c r="Y266" s="17"/>
      <c r="Z266" s="17"/>
      <c r="AA266" s="17"/>
      <c r="AB266" s="17"/>
    </row>
    <row r="267">
      <c r="A267" s="17"/>
      <c r="B267" s="17"/>
      <c r="C267" s="17"/>
      <c r="D267" s="17"/>
      <c r="E267" s="17"/>
      <c r="F267" s="288"/>
      <c r="G267" s="17"/>
      <c r="H267" s="17"/>
      <c r="I267" s="17"/>
      <c r="J267" s="17"/>
      <c r="K267" s="17"/>
      <c r="L267" s="17"/>
      <c r="M267" s="17"/>
      <c r="N267" s="17"/>
      <c r="O267" s="17"/>
      <c r="P267" s="17"/>
      <c r="Q267" s="17"/>
      <c r="R267" s="17"/>
      <c r="S267" s="143"/>
      <c r="T267" s="143"/>
      <c r="U267" s="143"/>
      <c r="V267" s="143"/>
      <c r="W267" s="17"/>
      <c r="X267" s="17"/>
      <c r="Y267" s="17"/>
      <c r="Z267" s="17"/>
      <c r="AA267" s="17"/>
      <c r="AB267" s="17"/>
    </row>
    <row r="268">
      <c r="A268" s="17"/>
      <c r="B268" s="17"/>
      <c r="C268" s="17"/>
      <c r="D268" s="17"/>
      <c r="E268" s="17"/>
      <c r="F268" s="288"/>
      <c r="G268" s="17"/>
      <c r="H268" s="17"/>
      <c r="I268" s="17"/>
      <c r="J268" s="17"/>
      <c r="K268" s="17"/>
      <c r="L268" s="17"/>
      <c r="M268" s="17"/>
      <c r="N268" s="17"/>
      <c r="O268" s="17"/>
      <c r="P268" s="17"/>
      <c r="Q268" s="17"/>
      <c r="R268" s="17"/>
      <c r="S268" s="143"/>
      <c r="T268" s="143"/>
      <c r="U268" s="143"/>
      <c r="V268" s="143"/>
      <c r="W268" s="17"/>
      <c r="X268" s="17"/>
      <c r="Y268" s="17"/>
      <c r="Z268" s="17"/>
      <c r="AA268" s="17"/>
      <c r="AB268" s="17"/>
    </row>
    <row r="269">
      <c r="A269" s="17"/>
      <c r="B269" s="17"/>
      <c r="C269" s="17"/>
      <c r="D269" s="17"/>
      <c r="E269" s="17"/>
      <c r="F269" s="288"/>
      <c r="G269" s="17"/>
      <c r="H269" s="17"/>
      <c r="I269" s="17"/>
      <c r="J269" s="17"/>
      <c r="K269" s="17"/>
      <c r="L269" s="17"/>
      <c r="M269" s="17"/>
      <c r="N269" s="17"/>
      <c r="O269" s="17"/>
      <c r="P269" s="17"/>
      <c r="Q269" s="17"/>
      <c r="R269" s="17"/>
      <c r="S269" s="143"/>
      <c r="T269" s="143"/>
      <c r="U269" s="143"/>
      <c r="V269" s="143"/>
      <c r="W269" s="17"/>
      <c r="X269" s="17"/>
      <c r="Y269" s="17"/>
      <c r="Z269" s="17"/>
      <c r="AA269" s="17"/>
      <c r="AB269" s="17"/>
    </row>
    <row r="270">
      <c r="A270" s="17"/>
      <c r="B270" s="17"/>
      <c r="C270" s="17"/>
      <c r="D270" s="17"/>
      <c r="E270" s="17"/>
      <c r="F270" s="288"/>
      <c r="G270" s="17"/>
      <c r="H270" s="17"/>
      <c r="I270" s="17"/>
      <c r="J270" s="17"/>
      <c r="K270" s="17"/>
      <c r="L270" s="17"/>
      <c r="M270" s="17"/>
      <c r="N270" s="17"/>
      <c r="O270" s="17"/>
      <c r="P270" s="17"/>
      <c r="Q270" s="17"/>
      <c r="R270" s="17"/>
      <c r="S270" s="143"/>
      <c r="T270" s="143"/>
      <c r="U270" s="143"/>
      <c r="V270" s="143"/>
      <c r="W270" s="17"/>
      <c r="X270" s="17"/>
      <c r="Y270" s="17"/>
      <c r="Z270" s="17"/>
      <c r="AA270" s="17"/>
      <c r="AB270" s="17"/>
    </row>
    <row r="271">
      <c r="A271" s="17"/>
      <c r="B271" s="17"/>
      <c r="C271" s="17"/>
      <c r="D271" s="17"/>
      <c r="E271" s="17"/>
      <c r="F271" s="288"/>
      <c r="G271" s="17"/>
      <c r="H271" s="17"/>
      <c r="I271" s="17"/>
      <c r="J271" s="17"/>
      <c r="K271" s="17"/>
      <c r="L271" s="17"/>
      <c r="M271" s="17"/>
      <c r="N271" s="17"/>
      <c r="O271" s="17"/>
      <c r="P271" s="17"/>
      <c r="Q271" s="17"/>
      <c r="R271" s="17"/>
      <c r="S271" s="143"/>
      <c r="T271" s="143"/>
      <c r="U271" s="143"/>
      <c r="V271" s="143"/>
      <c r="W271" s="17"/>
      <c r="X271" s="17"/>
      <c r="Y271" s="17"/>
      <c r="Z271" s="17"/>
      <c r="AA271" s="17"/>
      <c r="AB271" s="17"/>
    </row>
    <row r="272">
      <c r="A272" s="17"/>
      <c r="B272" s="17"/>
      <c r="C272" s="17"/>
      <c r="D272" s="17"/>
      <c r="E272" s="17"/>
      <c r="F272" s="288"/>
      <c r="G272" s="17"/>
      <c r="H272" s="17"/>
      <c r="I272" s="17"/>
      <c r="J272" s="17"/>
      <c r="K272" s="17"/>
      <c r="L272" s="17"/>
      <c r="M272" s="17"/>
      <c r="N272" s="17"/>
      <c r="O272" s="17"/>
      <c r="P272" s="17"/>
      <c r="Q272" s="17"/>
      <c r="R272" s="17"/>
      <c r="S272" s="143"/>
      <c r="T272" s="143"/>
      <c r="U272" s="143"/>
      <c r="V272" s="143"/>
      <c r="W272" s="17"/>
      <c r="X272" s="17"/>
      <c r="Y272" s="17"/>
      <c r="Z272" s="17"/>
      <c r="AA272" s="17"/>
      <c r="AB272" s="17"/>
    </row>
    <row r="273">
      <c r="A273" s="17"/>
      <c r="B273" s="17"/>
      <c r="C273" s="17"/>
      <c r="D273" s="17"/>
      <c r="E273" s="17"/>
      <c r="F273" s="288"/>
      <c r="G273" s="17"/>
      <c r="H273" s="17"/>
      <c r="I273" s="17"/>
      <c r="J273" s="17"/>
      <c r="K273" s="17"/>
      <c r="L273" s="17"/>
      <c r="M273" s="17"/>
      <c r="N273" s="17"/>
      <c r="O273" s="17"/>
      <c r="P273" s="17"/>
      <c r="Q273" s="17"/>
      <c r="R273" s="17"/>
      <c r="S273" s="143"/>
      <c r="T273" s="143"/>
      <c r="U273" s="143"/>
      <c r="V273" s="143"/>
      <c r="W273" s="17"/>
      <c r="X273" s="17"/>
      <c r="Y273" s="17"/>
      <c r="Z273" s="17"/>
      <c r="AA273" s="17"/>
      <c r="AB273" s="17"/>
    </row>
    <row r="274">
      <c r="A274" s="17"/>
      <c r="B274" s="17"/>
      <c r="C274" s="17"/>
      <c r="D274" s="17"/>
      <c r="E274" s="17"/>
      <c r="F274" s="288"/>
      <c r="G274" s="17"/>
      <c r="H274" s="17"/>
      <c r="I274" s="17"/>
      <c r="J274" s="17"/>
      <c r="K274" s="17"/>
      <c r="L274" s="17"/>
      <c r="M274" s="17"/>
      <c r="N274" s="17"/>
      <c r="O274" s="17"/>
      <c r="P274" s="17"/>
      <c r="Q274" s="17"/>
      <c r="R274" s="17"/>
      <c r="S274" s="143"/>
      <c r="T274" s="143"/>
      <c r="U274" s="143"/>
      <c r="V274" s="143"/>
      <c r="W274" s="17"/>
      <c r="X274" s="17"/>
      <c r="Y274" s="17"/>
      <c r="Z274" s="17"/>
      <c r="AA274" s="17"/>
      <c r="AB274" s="17"/>
    </row>
    <row r="275">
      <c r="A275" s="17"/>
      <c r="B275" s="17"/>
      <c r="C275" s="17"/>
      <c r="D275" s="17"/>
      <c r="E275" s="17"/>
      <c r="F275" s="288"/>
      <c r="G275" s="17"/>
      <c r="H275" s="17"/>
      <c r="I275" s="17"/>
      <c r="J275" s="17"/>
      <c r="K275" s="17"/>
      <c r="L275" s="17"/>
      <c r="M275" s="17"/>
      <c r="N275" s="17"/>
      <c r="O275" s="17"/>
      <c r="P275" s="17"/>
      <c r="Q275" s="17"/>
      <c r="R275" s="17"/>
      <c r="S275" s="143"/>
      <c r="T275" s="143"/>
      <c r="U275" s="143"/>
      <c r="V275" s="143"/>
      <c r="W275" s="17"/>
      <c r="X275" s="17"/>
      <c r="Y275" s="17"/>
      <c r="Z275" s="17"/>
      <c r="AA275" s="17"/>
      <c r="AB275" s="17"/>
    </row>
    <row r="276">
      <c r="A276" s="17"/>
      <c r="B276" s="17"/>
      <c r="C276" s="17"/>
      <c r="D276" s="17"/>
      <c r="E276" s="17"/>
      <c r="F276" s="288"/>
      <c r="G276" s="17"/>
      <c r="H276" s="17"/>
      <c r="I276" s="17"/>
      <c r="J276" s="17"/>
      <c r="K276" s="17"/>
      <c r="L276" s="17"/>
      <c r="M276" s="17"/>
      <c r="N276" s="17"/>
      <c r="O276" s="17"/>
      <c r="P276" s="17"/>
      <c r="Q276" s="17"/>
      <c r="R276" s="17"/>
      <c r="S276" s="143"/>
      <c r="T276" s="143"/>
      <c r="U276" s="143"/>
      <c r="V276" s="143"/>
      <c r="W276" s="17"/>
      <c r="X276" s="17"/>
      <c r="Y276" s="17"/>
      <c r="Z276" s="17"/>
      <c r="AA276" s="17"/>
      <c r="AB276" s="17"/>
    </row>
    <row r="277">
      <c r="A277" s="17"/>
      <c r="B277" s="17"/>
      <c r="C277" s="17"/>
      <c r="D277" s="17"/>
      <c r="E277" s="17"/>
      <c r="F277" s="288"/>
      <c r="G277" s="17"/>
      <c r="H277" s="17"/>
      <c r="I277" s="17"/>
      <c r="J277" s="17"/>
      <c r="K277" s="17"/>
      <c r="L277" s="17"/>
      <c r="M277" s="17"/>
      <c r="N277" s="17"/>
      <c r="O277" s="17"/>
      <c r="P277" s="17"/>
      <c r="Q277" s="17"/>
      <c r="R277" s="17"/>
      <c r="S277" s="143"/>
      <c r="T277" s="143"/>
      <c r="U277" s="143"/>
      <c r="V277" s="143"/>
      <c r="W277" s="17"/>
      <c r="X277" s="17"/>
      <c r="Y277" s="17"/>
      <c r="Z277" s="17"/>
      <c r="AA277" s="17"/>
      <c r="AB277" s="17"/>
    </row>
    <row r="278">
      <c r="A278" s="17"/>
      <c r="B278" s="17"/>
      <c r="C278" s="17"/>
      <c r="D278" s="17"/>
      <c r="E278" s="17"/>
      <c r="F278" s="288"/>
      <c r="G278" s="17"/>
      <c r="H278" s="17"/>
      <c r="I278" s="17"/>
      <c r="J278" s="17"/>
      <c r="K278" s="17"/>
      <c r="L278" s="17"/>
      <c r="M278" s="17"/>
      <c r="N278" s="17"/>
      <c r="O278" s="17"/>
      <c r="P278" s="17"/>
      <c r="Q278" s="17"/>
      <c r="R278" s="17"/>
      <c r="S278" s="143"/>
      <c r="T278" s="143"/>
      <c r="U278" s="143"/>
      <c r="V278" s="143"/>
      <c r="W278" s="17"/>
      <c r="X278" s="17"/>
      <c r="Y278" s="17"/>
      <c r="Z278" s="17"/>
      <c r="AA278" s="17"/>
      <c r="AB278" s="17"/>
    </row>
    <row r="279">
      <c r="A279" s="17"/>
      <c r="B279" s="17"/>
      <c r="C279" s="17"/>
      <c r="D279" s="17"/>
      <c r="E279" s="17"/>
      <c r="F279" s="288"/>
      <c r="G279" s="17"/>
      <c r="H279" s="17"/>
      <c r="I279" s="17"/>
      <c r="J279" s="17"/>
      <c r="K279" s="17"/>
      <c r="L279" s="17"/>
      <c r="M279" s="17"/>
      <c r="N279" s="17"/>
      <c r="O279" s="17"/>
      <c r="P279" s="17"/>
      <c r="Q279" s="17"/>
      <c r="R279" s="17"/>
      <c r="S279" s="143"/>
      <c r="T279" s="143"/>
      <c r="U279" s="143"/>
      <c r="V279" s="143"/>
      <c r="W279" s="17"/>
      <c r="X279" s="17"/>
      <c r="Y279" s="17"/>
      <c r="Z279" s="17"/>
      <c r="AA279" s="17"/>
      <c r="AB279" s="17"/>
    </row>
    <row r="280">
      <c r="A280" s="17"/>
      <c r="B280" s="17"/>
      <c r="C280" s="17"/>
      <c r="D280" s="17"/>
      <c r="E280" s="17"/>
      <c r="F280" s="288"/>
      <c r="G280" s="17"/>
      <c r="H280" s="17"/>
      <c r="I280" s="17"/>
      <c r="J280" s="17"/>
      <c r="K280" s="17"/>
      <c r="L280" s="17"/>
      <c r="M280" s="17"/>
      <c r="N280" s="17"/>
      <c r="O280" s="17"/>
      <c r="P280" s="17"/>
      <c r="Q280" s="17"/>
      <c r="R280" s="17"/>
      <c r="S280" s="143"/>
      <c r="T280" s="143"/>
      <c r="U280" s="143"/>
      <c r="V280" s="143"/>
      <c r="W280" s="17"/>
      <c r="X280" s="17"/>
      <c r="Y280" s="17"/>
      <c r="Z280" s="17"/>
      <c r="AA280" s="17"/>
      <c r="AB280" s="17"/>
    </row>
    <row r="281">
      <c r="A281" s="17"/>
      <c r="B281" s="17"/>
      <c r="C281" s="17"/>
      <c r="D281" s="17"/>
      <c r="E281" s="17"/>
      <c r="F281" s="288"/>
      <c r="G281" s="17"/>
      <c r="H281" s="17"/>
      <c r="I281" s="17"/>
      <c r="J281" s="17"/>
      <c r="K281" s="17"/>
      <c r="L281" s="17"/>
      <c r="M281" s="17"/>
      <c r="N281" s="17"/>
      <c r="O281" s="17"/>
      <c r="P281" s="17"/>
      <c r="Q281" s="17"/>
      <c r="R281" s="17"/>
      <c r="S281" s="143"/>
      <c r="T281" s="143"/>
      <c r="U281" s="143"/>
      <c r="V281" s="143"/>
      <c r="W281" s="17"/>
      <c r="X281" s="17"/>
      <c r="Y281" s="17"/>
      <c r="Z281" s="17"/>
      <c r="AA281" s="17"/>
      <c r="AB281" s="17"/>
    </row>
    <row r="282">
      <c r="A282" s="17"/>
      <c r="B282" s="17"/>
      <c r="C282" s="17"/>
      <c r="D282" s="17"/>
      <c r="E282" s="17"/>
      <c r="F282" s="288"/>
      <c r="G282" s="17"/>
      <c r="H282" s="17"/>
      <c r="I282" s="17"/>
      <c r="J282" s="17"/>
      <c r="K282" s="17"/>
      <c r="L282" s="17"/>
      <c r="M282" s="17"/>
      <c r="N282" s="17"/>
      <c r="O282" s="17"/>
      <c r="P282" s="17"/>
      <c r="Q282" s="17"/>
      <c r="R282" s="17"/>
      <c r="S282" s="143"/>
      <c r="T282" s="143"/>
      <c r="U282" s="143"/>
      <c r="V282" s="143"/>
      <c r="W282" s="17"/>
      <c r="X282" s="17"/>
      <c r="Y282" s="17"/>
      <c r="Z282" s="17"/>
      <c r="AA282" s="17"/>
      <c r="AB282" s="17"/>
    </row>
    <row r="283">
      <c r="A283" s="17"/>
      <c r="B283" s="17"/>
      <c r="C283" s="17"/>
      <c r="D283" s="17"/>
      <c r="E283" s="17"/>
      <c r="F283" s="288"/>
      <c r="G283" s="17"/>
      <c r="H283" s="17"/>
      <c r="I283" s="17"/>
      <c r="J283" s="17"/>
      <c r="K283" s="17"/>
      <c r="L283" s="17"/>
      <c r="M283" s="17"/>
      <c r="N283" s="17"/>
      <c r="O283" s="17"/>
      <c r="P283" s="17"/>
      <c r="Q283" s="17"/>
      <c r="R283" s="17"/>
      <c r="S283" s="143"/>
      <c r="T283" s="143"/>
      <c r="U283" s="143"/>
      <c r="V283" s="143"/>
      <c r="W283" s="17"/>
      <c r="X283" s="17"/>
      <c r="Y283" s="17"/>
      <c r="Z283" s="17"/>
      <c r="AA283" s="17"/>
      <c r="AB283" s="17"/>
    </row>
    <row r="284">
      <c r="A284" s="17"/>
      <c r="B284" s="17"/>
      <c r="C284" s="17"/>
      <c r="D284" s="17"/>
      <c r="E284" s="17"/>
      <c r="F284" s="288"/>
      <c r="G284" s="17"/>
      <c r="H284" s="17"/>
      <c r="I284" s="17"/>
      <c r="J284" s="17"/>
      <c r="K284" s="17"/>
      <c r="L284" s="17"/>
      <c r="M284" s="17"/>
      <c r="N284" s="17"/>
      <c r="O284" s="17"/>
      <c r="P284" s="17"/>
      <c r="Q284" s="17"/>
      <c r="R284" s="17"/>
      <c r="S284" s="143"/>
      <c r="T284" s="143"/>
      <c r="U284" s="143"/>
      <c r="V284" s="143"/>
      <c r="W284" s="17"/>
      <c r="X284" s="17"/>
      <c r="Y284" s="17"/>
      <c r="Z284" s="17"/>
      <c r="AA284" s="17"/>
      <c r="AB284" s="17"/>
    </row>
    <row r="285">
      <c r="A285" s="17"/>
      <c r="B285" s="17"/>
      <c r="C285" s="17"/>
      <c r="D285" s="17"/>
      <c r="E285" s="17"/>
      <c r="F285" s="288"/>
      <c r="G285" s="17"/>
      <c r="H285" s="17"/>
      <c r="I285" s="17"/>
      <c r="J285" s="17"/>
      <c r="K285" s="17"/>
      <c r="L285" s="17"/>
      <c r="M285" s="17"/>
      <c r="N285" s="17"/>
      <c r="O285" s="17"/>
      <c r="P285" s="17"/>
      <c r="Q285" s="17"/>
      <c r="R285" s="17"/>
      <c r="S285" s="143"/>
      <c r="T285" s="143"/>
      <c r="U285" s="143"/>
      <c r="V285" s="143"/>
      <c r="W285" s="17"/>
      <c r="X285" s="17"/>
      <c r="Y285" s="17"/>
      <c r="Z285" s="17"/>
      <c r="AA285" s="17"/>
      <c r="AB285" s="17"/>
    </row>
    <row r="286">
      <c r="A286" s="17"/>
      <c r="B286" s="17"/>
      <c r="C286" s="17"/>
      <c r="D286" s="17"/>
      <c r="E286" s="17"/>
      <c r="F286" s="288"/>
      <c r="G286" s="17"/>
      <c r="H286" s="17"/>
      <c r="I286" s="17"/>
      <c r="J286" s="17"/>
      <c r="K286" s="17"/>
      <c r="L286" s="17"/>
      <c r="M286" s="17"/>
      <c r="N286" s="17"/>
      <c r="O286" s="17"/>
      <c r="P286" s="17"/>
      <c r="Q286" s="17"/>
      <c r="R286" s="17"/>
      <c r="S286" s="143"/>
      <c r="T286" s="143"/>
      <c r="U286" s="143"/>
      <c r="V286" s="143"/>
      <c r="W286" s="17"/>
      <c r="X286" s="17"/>
      <c r="Y286" s="17"/>
      <c r="Z286" s="17"/>
      <c r="AA286" s="17"/>
      <c r="AB286" s="17"/>
    </row>
    <row r="287">
      <c r="A287" s="17"/>
      <c r="B287" s="17"/>
      <c r="C287" s="17"/>
      <c r="D287" s="17"/>
      <c r="E287" s="17"/>
      <c r="F287" s="288"/>
      <c r="G287" s="17"/>
      <c r="H287" s="17"/>
      <c r="I287" s="17"/>
      <c r="J287" s="17"/>
      <c r="K287" s="17"/>
      <c r="L287" s="17"/>
      <c r="M287" s="17"/>
      <c r="N287" s="17"/>
      <c r="O287" s="17"/>
      <c r="P287" s="17"/>
      <c r="Q287" s="17"/>
      <c r="R287" s="17"/>
      <c r="S287" s="143"/>
      <c r="T287" s="143"/>
      <c r="U287" s="143"/>
      <c r="V287" s="143"/>
      <c r="W287" s="17"/>
      <c r="X287" s="17"/>
      <c r="Y287" s="17"/>
      <c r="Z287" s="17"/>
      <c r="AA287" s="17"/>
      <c r="AB287" s="17"/>
    </row>
    <row r="288">
      <c r="A288" s="17"/>
      <c r="B288" s="17"/>
      <c r="C288" s="17"/>
      <c r="D288" s="17"/>
      <c r="E288" s="17"/>
      <c r="F288" s="288"/>
      <c r="G288" s="17"/>
      <c r="H288" s="17"/>
      <c r="I288" s="17"/>
      <c r="J288" s="17"/>
      <c r="K288" s="17"/>
      <c r="L288" s="17"/>
      <c r="M288" s="17"/>
      <c r="N288" s="17"/>
      <c r="O288" s="17"/>
      <c r="P288" s="17"/>
      <c r="Q288" s="17"/>
      <c r="R288" s="17"/>
      <c r="S288" s="143"/>
      <c r="T288" s="143"/>
      <c r="U288" s="143"/>
      <c r="V288" s="143"/>
      <c r="W288" s="17"/>
      <c r="X288" s="17"/>
      <c r="Y288" s="17"/>
      <c r="Z288" s="17"/>
      <c r="AA288" s="17"/>
      <c r="AB288" s="17"/>
    </row>
    <row r="289">
      <c r="A289" s="17"/>
      <c r="B289" s="17"/>
      <c r="C289" s="17"/>
      <c r="D289" s="17"/>
      <c r="E289" s="17"/>
      <c r="F289" s="288"/>
      <c r="G289" s="17"/>
      <c r="H289" s="17"/>
      <c r="I289" s="17"/>
      <c r="J289" s="17"/>
      <c r="K289" s="17"/>
      <c r="L289" s="17"/>
      <c r="M289" s="17"/>
      <c r="N289" s="17"/>
      <c r="O289" s="17"/>
      <c r="P289" s="17"/>
      <c r="Q289" s="17"/>
      <c r="R289" s="17"/>
      <c r="S289" s="143"/>
      <c r="T289" s="143"/>
      <c r="U289" s="143"/>
      <c r="V289" s="143"/>
      <c r="W289" s="17"/>
      <c r="X289" s="17"/>
      <c r="Y289" s="17"/>
      <c r="Z289" s="17"/>
      <c r="AA289" s="17"/>
      <c r="AB289" s="17"/>
    </row>
    <row r="290">
      <c r="A290" s="17"/>
      <c r="B290" s="17"/>
      <c r="C290" s="17"/>
      <c r="D290" s="17"/>
      <c r="E290" s="17"/>
      <c r="F290" s="288"/>
      <c r="G290" s="17"/>
      <c r="H290" s="17"/>
      <c r="I290" s="17"/>
      <c r="J290" s="17"/>
      <c r="K290" s="17"/>
      <c r="L290" s="17"/>
      <c r="M290" s="17"/>
      <c r="N290" s="17"/>
      <c r="O290" s="17"/>
      <c r="P290" s="17"/>
      <c r="Q290" s="17"/>
      <c r="R290" s="17"/>
      <c r="S290" s="143"/>
      <c r="T290" s="143"/>
      <c r="U290" s="143"/>
      <c r="V290" s="143"/>
      <c r="W290" s="17"/>
      <c r="X290" s="17"/>
      <c r="Y290" s="17"/>
      <c r="Z290" s="17"/>
      <c r="AA290" s="17"/>
      <c r="AB290" s="17"/>
    </row>
    <row r="291">
      <c r="A291" s="17"/>
      <c r="B291" s="17"/>
      <c r="C291" s="17"/>
      <c r="D291" s="17"/>
      <c r="E291" s="17"/>
      <c r="F291" s="288"/>
      <c r="G291" s="17"/>
      <c r="H291" s="17"/>
      <c r="I291" s="17"/>
      <c r="J291" s="17"/>
      <c r="K291" s="17"/>
      <c r="L291" s="17"/>
      <c r="M291" s="17"/>
      <c r="N291" s="17"/>
      <c r="O291" s="17"/>
      <c r="P291" s="17"/>
      <c r="Q291" s="17"/>
      <c r="R291" s="17"/>
      <c r="S291" s="143"/>
      <c r="T291" s="143"/>
      <c r="U291" s="143"/>
      <c r="V291" s="143"/>
      <c r="W291" s="17"/>
      <c r="X291" s="17"/>
      <c r="Y291" s="17"/>
      <c r="Z291" s="17"/>
      <c r="AA291" s="17"/>
      <c r="AB291" s="17"/>
    </row>
    <row r="292">
      <c r="A292" s="17"/>
      <c r="B292" s="17"/>
      <c r="C292" s="17"/>
      <c r="D292" s="17"/>
      <c r="E292" s="17"/>
      <c r="F292" s="288"/>
      <c r="G292" s="17"/>
      <c r="H292" s="17"/>
      <c r="I292" s="17"/>
      <c r="J292" s="17"/>
      <c r="K292" s="17"/>
      <c r="L292" s="17"/>
      <c r="M292" s="17"/>
      <c r="N292" s="17"/>
      <c r="O292" s="17"/>
      <c r="P292" s="17"/>
      <c r="Q292" s="17"/>
      <c r="R292" s="17"/>
      <c r="S292" s="143"/>
      <c r="T292" s="143"/>
      <c r="U292" s="143"/>
      <c r="V292" s="143"/>
      <c r="W292" s="17"/>
      <c r="X292" s="17"/>
      <c r="Y292" s="17"/>
      <c r="Z292" s="17"/>
      <c r="AA292" s="17"/>
      <c r="AB292" s="17"/>
    </row>
    <row r="293">
      <c r="A293" s="17"/>
      <c r="B293" s="17"/>
      <c r="C293" s="17"/>
      <c r="D293" s="17"/>
      <c r="E293" s="17"/>
      <c r="F293" s="288"/>
      <c r="G293" s="17"/>
      <c r="H293" s="17"/>
      <c r="I293" s="17"/>
      <c r="J293" s="17"/>
      <c r="K293" s="17"/>
      <c r="L293" s="17"/>
      <c r="M293" s="17"/>
      <c r="N293" s="17"/>
      <c r="O293" s="17"/>
      <c r="P293" s="17"/>
      <c r="Q293" s="17"/>
      <c r="R293" s="17"/>
      <c r="S293" s="143"/>
      <c r="T293" s="143"/>
      <c r="U293" s="143"/>
      <c r="V293" s="143"/>
      <c r="W293" s="17"/>
      <c r="X293" s="17"/>
      <c r="Y293" s="17"/>
      <c r="Z293" s="17"/>
      <c r="AA293" s="17"/>
      <c r="AB293" s="17"/>
    </row>
    <row r="294">
      <c r="A294" s="17"/>
      <c r="B294" s="17"/>
      <c r="C294" s="17"/>
      <c r="D294" s="17"/>
      <c r="E294" s="17"/>
      <c r="F294" s="288"/>
      <c r="G294" s="17"/>
      <c r="H294" s="17"/>
      <c r="I294" s="17"/>
      <c r="J294" s="17"/>
      <c r="K294" s="17"/>
      <c r="L294" s="17"/>
      <c r="M294" s="17"/>
      <c r="N294" s="17"/>
      <c r="O294" s="17"/>
      <c r="P294" s="17"/>
      <c r="Q294" s="17"/>
      <c r="R294" s="17"/>
      <c r="S294" s="143"/>
      <c r="T294" s="143"/>
      <c r="U294" s="143"/>
      <c r="V294" s="143"/>
      <c r="W294" s="17"/>
      <c r="X294" s="17"/>
      <c r="Y294" s="17"/>
      <c r="Z294" s="17"/>
      <c r="AA294" s="17"/>
      <c r="AB294" s="17"/>
    </row>
    <row r="295">
      <c r="A295" s="17"/>
      <c r="B295" s="17"/>
      <c r="C295" s="17"/>
      <c r="D295" s="17"/>
      <c r="E295" s="17"/>
      <c r="F295" s="288"/>
      <c r="G295" s="17"/>
      <c r="H295" s="17"/>
      <c r="I295" s="17"/>
      <c r="J295" s="17"/>
      <c r="K295" s="17"/>
      <c r="L295" s="17"/>
      <c r="M295" s="17"/>
      <c r="N295" s="17"/>
      <c r="O295" s="17"/>
      <c r="P295" s="17"/>
      <c r="Q295" s="17"/>
      <c r="R295" s="17"/>
      <c r="S295" s="143"/>
      <c r="T295" s="143"/>
      <c r="U295" s="143"/>
      <c r="V295" s="143"/>
      <c r="W295" s="17"/>
      <c r="X295" s="17"/>
      <c r="Y295" s="17"/>
      <c r="Z295" s="17"/>
      <c r="AA295" s="17"/>
      <c r="AB295" s="17"/>
    </row>
    <row r="296">
      <c r="A296" s="17"/>
      <c r="B296" s="17"/>
      <c r="C296" s="17"/>
      <c r="D296" s="17"/>
      <c r="E296" s="17"/>
      <c r="F296" s="288"/>
      <c r="G296" s="17"/>
      <c r="H296" s="17"/>
      <c r="I296" s="17"/>
      <c r="J296" s="17"/>
      <c r="K296" s="17"/>
      <c r="L296" s="17"/>
      <c r="M296" s="17"/>
      <c r="N296" s="17"/>
      <c r="O296" s="17"/>
      <c r="P296" s="17"/>
      <c r="Q296" s="17"/>
      <c r="R296" s="17"/>
      <c r="S296" s="143"/>
      <c r="T296" s="143"/>
      <c r="U296" s="143"/>
      <c r="V296" s="143"/>
      <c r="W296" s="17"/>
      <c r="X296" s="17"/>
      <c r="Y296" s="17"/>
      <c r="Z296" s="17"/>
      <c r="AA296" s="17"/>
      <c r="AB296" s="17"/>
    </row>
    <row r="297">
      <c r="A297" s="17"/>
      <c r="B297" s="17"/>
      <c r="C297" s="17"/>
      <c r="D297" s="17"/>
      <c r="E297" s="17"/>
      <c r="F297" s="288"/>
      <c r="G297" s="17"/>
      <c r="H297" s="17"/>
      <c r="I297" s="17"/>
      <c r="J297" s="17"/>
      <c r="K297" s="17"/>
      <c r="L297" s="17"/>
      <c r="M297" s="17"/>
      <c r="N297" s="17"/>
      <c r="O297" s="17"/>
      <c r="P297" s="17"/>
      <c r="Q297" s="17"/>
      <c r="R297" s="17"/>
      <c r="S297" s="143"/>
      <c r="T297" s="143"/>
      <c r="U297" s="143"/>
      <c r="V297" s="143"/>
      <c r="W297" s="17"/>
      <c r="X297" s="17"/>
      <c r="Y297" s="17"/>
      <c r="Z297" s="17"/>
      <c r="AA297" s="17"/>
      <c r="AB297" s="17"/>
    </row>
    <row r="298">
      <c r="A298" s="17"/>
      <c r="B298" s="17"/>
      <c r="C298" s="17"/>
      <c r="D298" s="17"/>
      <c r="E298" s="17"/>
      <c r="F298" s="288"/>
      <c r="G298" s="17"/>
      <c r="H298" s="17"/>
      <c r="I298" s="17"/>
      <c r="J298" s="17"/>
      <c r="K298" s="17"/>
      <c r="L298" s="17"/>
      <c r="M298" s="17"/>
      <c r="N298" s="17"/>
      <c r="O298" s="17"/>
      <c r="P298" s="17"/>
      <c r="Q298" s="17"/>
      <c r="R298" s="17"/>
      <c r="S298" s="143"/>
      <c r="T298" s="143"/>
      <c r="U298" s="143"/>
      <c r="V298" s="143"/>
      <c r="W298" s="17"/>
      <c r="X298" s="17"/>
      <c r="Y298" s="17"/>
      <c r="Z298" s="17"/>
      <c r="AA298" s="17"/>
      <c r="AB298" s="17"/>
    </row>
    <row r="299">
      <c r="A299" s="17"/>
      <c r="B299" s="17"/>
      <c r="C299" s="17"/>
      <c r="D299" s="17"/>
      <c r="E299" s="17"/>
      <c r="F299" s="288"/>
      <c r="G299" s="17"/>
      <c r="H299" s="17"/>
      <c r="I299" s="17"/>
      <c r="J299" s="17"/>
      <c r="K299" s="17"/>
      <c r="L299" s="17"/>
      <c r="M299" s="17"/>
      <c r="N299" s="17"/>
      <c r="O299" s="17"/>
      <c r="P299" s="17"/>
      <c r="Q299" s="17"/>
      <c r="R299" s="17"/>
      <c r="S299" s="143"/>
      <c r="T299" s="143"/>
      <c r="U299" s="143"/>
      <c r="V299" s="143"/>
      <c r="W299" s="17"/>
      <c r="X299" s="17"/>
      <c r="Y299" s="17"/>
      <c r="Z299" s="17"/>
      <c r="AA299" s="17"/>
      <c r="AB299" s="17"/>
    </row>
    <row r="300">
      <c r="A300" s="17"/>
      <c r="B300" s="17"/>
      <c r="C300" s="17"/>
      <c r="D300" s="17"/>
      <c r="E300" s="17"/>
      <c r="F300" s="288"/>
      <c r="G300" s="17"/>
      <c r="H300" s="17"/>
      <c r="I300" s="17"/>
      <c r="J300" s="17"/>
      <c r="K300" s="17"/>
      <c r="L300" s="17"/>
      <c r="M300" s="17"/>
      <c r="N300" s="17"/>
      <c r="O300" s="17"/>
      <c r="P300" s="17"/>
      <c r="Q300" s="17"/>
      <c r="R300" s="17"/>
      <c r="S300" s="143"/>
      <c r="T300" s="143"/>
      <c r="U300" s="143"/>
      <c r="V300" s="143"/>
      <c r="W300" s="17"/>
      <c r="X300" s="17"/>
      <c r="Y300" s="17"/>
      <c r="Z300" s="17"/>
      <c r="AA300" s="17"/>
      <c r="AB300" s="17"/>
    </row>
    <row r="301">
      <c r="A301" s="17"/>
      <c r="B301" s="17"/>
      <c r="C301" s="17"/>
      <c r="D301" s="17"/>
      <c r="E301" s="17"/>
      <c r="F301" s="288"/>
      <c r="G301" s="17"/>
      <c r="H301" s="17"/>
      <c r="I301" s="17"/>
      <c r="J301" s="17"/>
      <c r="K301" s="17"/>
      <c r="L301" s="17"/>
      <c r="M301" s="17"/>
      <c r="N301" s="17"/>
      <c r="O301" s="17"/>
      <c r="P301" s="17"/>
      <c r="Q301" s="17"/>
      <c r="R301" s="17"/>
      <c r="S301" s="143"/>
      <c r="T301" s="143"/>
      <c r="U301" s="143"/>
      <c r="V301" s="143"/>
      <c r="W301" s="17"/>
      <c r="X301" s="17"/>
      <c r="Y301" s="17"/>
      <c r="Z301" s="17"/>
      <c r="AA301" s="17"/>
      <c r="AB301" s="17"/>
    </row>
    <row r="302">
      <c r="A302" s="17"/>
      <c r="B302" s="17"/>
      <c r="C302" s="17"/>
      <c r="D302" s="17"/>
      <c r="E302" s="17"/>
      <c r="F302" s="288"/>
      <c r="G302" s="17"/>
      <c r="H302" s="17"/>
      <c r="I302" s="17"/>
      <c r="J302" s="17"/>
      <c r="K302" s="17"/>
      <c r="L302" s="17"/>
      <c r="M302" s="17"/>
      <c r="N302" s="17"/>
      <c r="O302" s="17"/>
      <c r="P302" s="17"/>
      <c r="Q302" s="17"/>
      <c r="R302" s="17"/>
      <c r="S302" s="143"/>
      <c r="T302" s="143"/>
      <c r="U302" s="143"/>
      <c r="V302" s="143"/>
      <c r="W302" s="17"/>
      <c r="X302" s="17"/>
      <c r="Y302" s="17"/>
      <c r="Z302" s="17"/>
      <c r="AA302" s="17"/>
      <c r="AB302" s="17"/>
    </row>
    <row r="303">
      <c r="A303" s="17"/>
      <c r="B303" s="17"/>
      <c r="C303" s="17"/>
      <c r="D303" s="17"/>
      <c r="E303" s="17"/>
      <c r="F303" s="288"/>
      <c r="G303" s="17"/>
      <c r="H303" s="17"/>
      <c r="I303" s="17"/>
      <c r="J303" s="17"/>
      <c r="K303" s="17"/>
      <c r="L303" s="17"/>
      <c r="M303" s="17"/>
      <c r="N303" s="17"/>
      <c r="O303" s="17"/>
      <c r="P303" s="17"/>
      <c r="Q303" s="17"/>
      <c r="R303" s="17"/>
      <c r="S303" s="143"/>
      <c r="T303" s="143"/>
      <c r="U303" s="143"/>
      <c r="V303" s="143"/>
      <c r="W303" s="17"/>
      <c r="X303" s="17"/>
      <c r="Y303" s="17"/>
      <c r="Z303" s="17"/>
      <c r="AA303" s="17"/>
      <c r="AB303" s="17"/>
    </row>
    <row r="304">
      <c r="A304" s="17"/>
      <c r="B304" s="17"/>
      <c r="C304" s="17"/>
      <c r="D304" s="17"/>
      <c r="E304" s="17"/>
      <c r="F304" s="288"/>
      <c r="G304" s="17"/>
      <c r="H304" s="17"/>
      <c r="I304" s="17"/>
      <c r="J304" s="17"/>
      <c r="K304" s="17"/>
      <c r="L304" s="17"/>
      <c r="M304" s="17"/>
      <c r="N304" s="17"/>
      <c r="O304" s="17"/>
      <c r="P304" s="17"/>
      <c r="Q304" s="17"/>
      <c r="R304" s="17"/>
      <c r="S304" s="143"/>
      <c r="T304" s="143"/>
      <c r="U304" s="143"/>
      <c r="V304" s="143"/>
      <c r="W304" s="17"/>
      <c r="X304" s="17"/>
      <c r="Y304" s="17"/>
      <c r="Z304" s="17"/>
      <c r="AA304" s="17"/>
      <c r="AB304" s="17"/>
    </row>
    <row r="305">
      <c r="A305" s="17"/>
      <c r="B305" s="17"/>
      <c r="C305" s="17"/>
      <c r="D305" s="17"/>
      <c r="E305" s="17"/>
      <c r="F305" s="288"/>
      <c r="G305" s="17"/>
      <c r="H305" s="17"/>
      <c r="I305" s="17"/>
      <c r="J305" s="17"/>
      <c r="K305" s="17"/>
      <c r="L305" s="17"/>
      <c r="M305" s="17"/>
      <c r="N305" s="17"/>
      <c r="O305" s="17"/>
      <c r="P305" s="17"/>
      <c r="Q305" s="17"/>
      <c r="R305" s="17"/>
      <c r="S305" s="143"/>
      <c r="T305" s="143"/>
      <c r="U305" s="143"/>
      <c r="V305" s="143"/>
      <c r="W305" s="17"/>
      <c r="X305" s="17"/>
      <c r="Y305" s="17"/>
      <c r="Z305" s="17"/>
      <c r="AA305" s="17"/>
      <c r="AB305" s="17"/>
    </row>
    <row r="306">
      <c r="A306" s="17"/>
      <c r="B306" s="17"/>
      <c r="C306" s="17"/>
      <c r="D306" s="17"/>
      <c r="E306" s="17"/>
      <c r="F306" s="288"/>
      <c r="G306" s="17"/>
      <c r="H306" s="17"/>
      <c r="I306" s="17"/>
      <c r="J306" s="17"/>
      <c r="K306" s="17"/>
      <c r="L306" s="17"/>
      <c r="M306" s="17"/>
      <c r="N306" s="17"/>
      <c r="O306" s="17"/>
      <c r="P306" s="17"/>
      <c r="Q306" s="17"/>
      <c r="R306" s="17"/>
      <c r="S306" s="143"/>
      <c r="T306" s="143"/>
      <c r="U306" s="143"/>
      <c r="V306" s="143"/>
      <c r="W306" s="17"/>
      <c r="X306" s="17"/>
      <c r="Y306" s="17"/>
      <c r="Z306" s="17"/>
      <c r="AA306" s="17"/>
      <c r="AB306" s="17"/>
    </row>
    <row r="307">
      <c r="A307" s="17"/>
      <c r="B307" s="17"/>
      <c r="C307" s="17"/>
      <c r="D307" s="17"/>
      <c r="E307" s="17"/>
      <c r="F307" s="288"/>
      <c r="G307" s="17"/>
      <c r="H307" s="17"/>
      <c r="I307" s="17"/>
      <c r="J307" s="17"/>
      <c r="K307" s="17"/>
      <c r="L307" s="17"/>
      <c r="M307" s="17"/>
      <c r="N307" s="17"/>
      <c r="O307" s="17"/>
      <c r="P307" s="17"/>
      <c r="Q307" s="17"/>
      <c r="R307" s="17"/>
      <c r="S307" s="143"/>
      <c r="T307" s="143"/>
      <c r="U307" s="143"/>
      <c r="V307" s="143"/>
      <c r="W307" s="17"/>
      <c r="X307" s="17"/>
      <c r="Y307" s="17"/>
      <c r="Z307" s="17"/>
      <c r="AA307" s="17"/>
      <c r="AB307" s="17"/>
    </row>
    <row r="308">
      <c r="A308" s="17"/>
      <c r="B308" s="17"/>
      <c r="C308" s="17"/>
      <c r="D308" s="17"/>
      <c r="E308" s="17"/>
      <c r="F308" s="288"/>
      <c r="G308" s="17"/>
      <c r="H308" s="17"/>
      <c r="I308" s="17"/>
      <c r="J308" s="17"/>
      <c r="K308" s="17"/>
      <c r="L308" s="17"/>
      <c r="M308" s="17"/>
      <c r="N308" s="17"/>
      <c r="O308" s="17"/>
      <c r="P308" s="17"/>
      <c r="Q308" s="17"/>
      <c r="R308" s="17"/>
      <c r="S308" s="143"/>
      <c r="T308" s="143"/>
      <c r="U308" s="143"/>
      <c r="V308" s="143"/>
      <c r="W308" s="17"/>
      <c r="X308" s="17"/>
      <c r="Y308" s="17"/>
      <c r="Z308" s="17"/>
      <c r="AA308" s="17"/>
      <c r="AB308" s="17"/>
    </row>
    <row r="309">
      <c r="A309" s="17"/>
      <c r="B309" s="17"/>
      <c r="C309" s="17"/>
      <c r="D309" s="17"/>
      <c r="E309" s="17"/>
      <c r="F309" s="288"/>
      <c r="G309" s="17"/>
      <c r="H309" s="17"/>
      <c r="I309" s="17"/>
      <c r="J309" s="17"/>
      <c r="K309" s="17"/>
      <c r="L309" s="17"/>
      <c r="M309" s="17"/>
      <c r="N309" s="17"/>
      <c r="O309" s="17"/>
      <c r="P309" s="17"/>
      <c r="Q309" s="17"/>
      <c r="R309" s="17"/>
      <c r="S309" s="143"/>
      <c r="T309" s="143"/>
      <c r="U309" s="143"/>
      <c r="V309" s="143"/>
      <c r="W309" s="17"/>
      <c r="X309" s="17"/>
      <c r="Y309" s="17"/>
      <c r="Z309" s="17"/>
      <c r="AA309" s="17"/>
      <c r="AB309" s="17"/>
    </row>
    <row r="310">
      <c r="A310" s="17"/>
      <c r="B310" s="17"/>
      <c r="C310" s="17"/>
      <c r="D310" s="17"/>
      <c r="E310" s="17"/>
      <c r="F310" s="288"/>
      <c r="G310" s="17"/>
      <c r="H310" s="17"/>
      <c r="I310" s="17"/>
      <c r="J310" s="17"/>
      <c r="K310" s="17"/>
      <c r="L310" s="17"/>
      <c r="M310" s="17"/>
      <c r="N310" s="17"/>
      <c r="O310" s="17"/>
      <c r="P310" s="17"/>
      <c r="Q310" s="17"/>
      <c r="R310" s="17"/>
      <c r="S310" s="143"/>
      <c r="T310" s="143"/>
      <c r="U310" s="143"/>
      <c r="V310" s="143"/>
      <c r="W310" s="17"/>
      <c r="X310" s="17"/>
      <c r="Y310" s="17"/>
      <c r="Z310" s="17"/>
      <c r="AA310" s="17"/>
      <c r="AB310" s="17"/>
    </row>
    <row r="311">
      <c r="A311" s="17"/>
      <c r="B311" s="17"/>
      <c r="C311" s="17"/>
      <c r="D311" s="17"/>
      <c r="E311" s="17"/>
      <c r="F311" s="288"/>
      <c r="G311" s="17"/>
      <c r="H311" s="17"/>
      <c r="I311" s="17"/>
      <c r="J311" s="17"/>
      <c r="K311" s="17"/>
      <c r="L311" s="17"/>
      <c r="M311" s="17"/>
      <c r="N311" s="17"/>
      <c r="O311" s="17"/>
      <c r="P311" s="17"/>
      <c r="Q311" s="17"/>
      <c r="R311" s="17"/>
      <c r="S311" s="143"/>
      <c r="T311" s="143"/>
      <c r="U311" s="143"/>
      <c r="V311" s="143"/>
      <c r="W311" s="17"/>
      <c r="X311" s="17"/>
      <c r="Y311" s="17"/>
      <c r="Z311" s="17"/>
      <c r="AA311" s="17"/>
      <c r="AB311" s="17"/>
    </row>
    <row r="312">
      <c r="A312" s="17"/>
      <c r="B312" s="17"/>
      <c r="C312" s="17"/>
      <c r="D312" s="17"/>
      <c r="E312" s="17"/>
      <c r="F312" s="288"/>
      <c r="G312" s="17"/>
      <c r="H312" s="17"/>
      <c r="I312" s="17"/>
      <c r="J312" s="17"/>
      <c r="K312" s="17"/>
      <c r="L312" s="17"/>
      <c r="M312" s="17"/>
      <c r="N312" s="17"/>
      <c r="O312" s="17"/>
      <c r="P312" s="17"/>
      <c r="Q312" s="17"/>
      <c r="R312" s="17"/>
      <c r="S312" s="143"/>
      <c r="T312" s="143"/>
      <c r="U312" s="143"/>
      <c r="V312" s="143"/>
      <c r="W312" s="17"/>
      <c r="X312" s="17"/>
      <c r="Y312" s="17"/>
      <c r="Z312" s="17"/>
      <c r="AA312" s="17"/>
      <c r="AB312" s="17"/>
    </row>
    <row r="313">
      <c r="A313" s="17"/>
      <c r="B313" s="17"/>
      <c r="C313" s="17"/>
      <c r="D313" s="17"/>
      <c r="E313" s="17"/>
      <c r="F313" s="288"/>
      <c r="G313" s="17"/>
      <c r="H313" s="17"/>
      <c r="I313" s="17"/>
      <c r="J313" s="17"/>
      <c r="K313" s="17"/>
      <c r="L313" s="17"/>
      <c r="M313" s="17"/>
      <c r="N313" s="17"/>
      <c r="O313" s="17"/>
      <c r="P313" s="17"/>
      <c r="Q313" s="17"/>
      <c r="R313" s="17"/>
      <c r="S313" s="143"/>
      <c r="T313" s="143"/>
      <c r="U313" s="143"/>
      <c r="V313" s="143"/>
      <c r="W313" s="17"/>
      <c r="X313" s="17"/>
      <c r="Y313" s="17"/>
      <c r="Z313" s="17"/>
      <c r="AA313" s="17"/>
      <c r="AB313" s="17"/>
    </row>
    <row r="314">
      <c r="A314" s="17"/>
      <c r="B314" s="17"/>
      <c r="C314" s="17"/>
      <c r="D314" s="17"/>
      <c r="E314" s="17"/>
      <c r="F314" s="288"/>
      <c r="G314" s="17"/>
      <c r="H314" s="17"/>
      <c r="I314" s="17"/>
      <c r="J314" s="17"/>
      <c r="K314" s="17"/>
      <c r="L314" s="17"/>
      <c r="M314" s="17"/>
      <c r="N314" s="17"/>
      <c r="O314" s="17"/>
      <c r="P314" s="17"/>
      <c r="Q314" s="17"/>
      <c r="R314" s="17"/>
      <c r="S314" s="143"/>
      <c r="T314" s="143"/>
      <c r="U314" s="143"/>
      <c r="V314" s="143"/>
      <c r="W314" s="17"/>
      <c r="X314" s="17"/>
      <c r="Y314" s="17"/>
      <c r="Z314" s="17"/>
      <c r="AA314" s="17"/>
      <c r="AB314" s="17"/>
    </row>
    <row r="315">
      <c r="A315" s="17"/>
      <c r="B315" s="17"/>
      <c r="C315" s="17"/>
      <c r="D315" s="17"/>
      <c r="E315" s="17"/>
      <c r="F315" s="288"/>
      <c r="G315" s="17"/>
      <c r="H315" s="17"/>
      <c r="I315" s="17"/>
      <c r="J315" s="17"/>
      <c r="K315" s="17"/>
      <c r="L315" s="17"/>
      <c r="M315" s="17"/>
      <c r="N315" s="17"/>
      <c r="O315" s="17"/>
      <c r="P315" s="17"/>
      <c r="Q315" s="17"/>
      <c r="R315" s="17"/>
      <c r="S315" s="143"/>
      <c r="T315" s="143"/>
      <c r="U315" s="143"/>
      <c r="V315" s="143"/>
      <c r="W315" s="17"/>
      <c r="X315" s="17"/>
      <c r="Y315" s="17"/>
      <c r="Z315" s="17"/>
      <c r="AA315" s="17"/>
      <c r="AB315" s="17"/>
    </row>
    <row r="316">
      <c r="A316" s="17"/>
      <c r="B316" s="17"/>
      <c r="C316" s="17"/>
      <c r="D316" s="17"/>
      <c r="E316" s="17"/>
      <c r="F316" s="288"/>
      <c r="G316" s="17"/>
      <c r="H316" s="17"/>
      <c r="I316" s="17"/>
      <c r="J316" s="17"/>
      <c r="K316" s="17"/>
      <c r="L316" s="17"/>
      <c r="M316" s="17"/>
      <c r="N316" s="17"/>
      <c r="O316" s="17"/>
      <c r="P316" s="17"/>
      <c r="Q316" s="17"/>
      <c r="R316" s="17"/>
      <c r="S316" s="143"/>
      <c r="T316" s="143"/>
      <c r="U316" s="143"/>
      <c r="V316" s="143"/>
      <c r="W316" s="17"/>
      <c r="X316" s="17"/>
      <c r="Y316" s="17"/>
      <c r="Z316" s="17"/>
      <c r="AA316" s="17"/>
      <c r="AB316" s="17"/>
    </row>
    <row r="317">
      <c r="A317" s="17"/>
      <c r="B317" s="17"/>
      <c r="C317" s="17"/>
      <c r="D317" s="17"/>
      <c r="E317" s="17"/>
      <c r="F317" s="288"/>
      <c r="G317" s="17"/>
      <c r="H317" s="17"/>
      <c r="I317" s="17"/>
      <c r="J317" s="17"/>
      <c r="K317" s="17"/>
      <c r="L317" s="17"/>
      <c r="M317" s="17"/>
      <c r="N317" s="17"/>
      <c r="O317" s="17"/>
      <c r="P317" s="17"/>
      <c r="Q317" s="17"/>
      <c r="R317" s="17"/>
      <c r="S317" s="143"/>
      <c r="T317" s="143"/>
      <c r="U317" s="143"/>
      <c r="V317" s="143"/>
      <c r="W317" s="17"/>
      <c r="X317" s="17"/>
      <c r="Y317" s="17"/>
      <c r="Z317" s="17"/>
      <c r="AA317" s="17"/>
      <c r="AB317" s="17"/>
    </row>
    <row r="318">
      <c r="A318" s="17"/>
      <c r="B318" s="17"/>
      <c r="C318" s="17"/>
      <c r="D318" s="17"/>
      <c r="E318" s="17"/>
      <c r="F318" s="288"/>
      <c r="G318" s="17"/>
      <c r="H318" s="17"/>
      <c r="I318" s="17"/>
      <c r="J318" s="17"/>
      <c r="K318" s="17"/>
      <c r="L318" s="17"/>
      <c r="M318" s="17"/>
      <c r="N318" s="17"/>
      <c r="O318" s="17"/>
      <c r="P318" s="17"/>
      <c r="Q318" s="17"/>
      <c r="R318" s="17"/>
      <c r="S318" s="143"/>
      <c r="T318" s="143"/>
      <c r="U318" s="143"/>
      <c r="V318" s="143"/>
      <c r="W318" s="17"/>
      <c r="X318" s="17"/>
      <c r="Y318" s="17"/>
      <c r="Z318" s="17"/>
      <c r="AA318" s="17"/>
      <c r="AB318" s="17"/>
    </row>
    <row r="319">
      <c r="A319" s="17"/>
      <c r="B319" s="17"/>
      <c r="C319" s="17"/>
      <c r="D319" s="17"/>
      <c r="E319" s="17"/>
      <c r="F319" s="288"/>
      <c r="G319" s="17"/>
      <c r="H319" s="17"/>
      <c r="I319" s="17"/>
      <c r="J319" s="17"/>
      <c r="K319" s="17"/>
      <c r="L319" s="17"/>
      <c r="M319" s="17"/>
      <c r="N319" s="17"/>
      <c r="O319" s="17"/>
      <c r="P319" s="17"/>
      <c r="Q319" s="17"/>
      <c r="R319" s="17"/>
      <c r="S319" s="143"/>
      <c r="T319" s="143"/>
      <c r="U319" s="143"/>
      <c r="V319" s="143"/>
      <c r="W319" s="17"/>
      <c r="X319" s="17"/>
      <c r="Y319" s="17"/>
      <c r="Z319" s="17"/>
      <c r="AA319" s="17"/>
      <c r="AB319" s="17"/>
    </row>
    <row r="320">
      <c r="A320" s="17"/>
      <c r="B320" s="17"/>
      <c r="C320" s="17"/>
      <c r="D320" s="17"/>
      <c r="E320" s="17"/>
      <c r="F320" s="288"/>
      <c r="G320" s="17"/>
      <c r="H320" s="17"/>
      <c r="I320" s="17"/>
      <c r="J320" s="17"/>
      <c r="K320" s="17"/>
      <c r="L320" s="17"/>
      <c r="M320" s="17"/>
      <c r="N320" s="17"/>
      <c r="O320" s="17"/>
      <c r="P320" s="17"/>
      <c r="Q320" s="17"/>
      <c r="R320" s="17"/>
      <c r="S320" s="143"/>
      <c r="T320" s="143"/>
      <c r="U320" s="143"/>
      <c r="V320" s="143"/>
      <c r="W320" s="17"/>
      <c r="X320" s="17"/>
      <c r="Y320" s="17"/>
      <c r="Z320" s="17"/>
      <c r="AA320" s="17"/>
      <c r="AB320" s="17"/>
    </row>
    <row r="321">
      <c r="A321" s="17"/>
      <c r="B321" s="17"/>
      <c r="C321" s="17"/>
      <c r="D321" s="17"/>
      <c r="E321" s="17"/>
      <c r="F321" s="288"/>
      <c r="G321" s="17"/>
      <c r="H321" s="17"/>
      <c r="I321" s="17"/>
      <c r="J321" s="17"/>
      <c r="K321" s="17"/>
      <c r="L321" s="17"/>
      <c r="M321" s="17"/>
      <c r="N321" s="17"/>
      <c r="O321" s="17"/>
      <c r="P321" s="17"/>
      <c r="Q321" s="17"/>
      <c r="R321" s="17"/>
      <c r="S321" s="143"/>
      <c r="T321" s="143"/>
      <c r="U321" s="143"/>
      <c r="V321" s="143"/>
      <c r="W321" s="17"/>
      <c r="X321" s="17"/>
      <c r="Y321" s="17"/>
      <c r="Z321" s="17"/>
      <c r="AA321" s="17"/>
      <c r="AB321" s="17"/>
    </row>
    <row r="322">
      <c r="A322" s="17"/>
      <c r="B322" s="17"/>
      <c r="C322" s="17"/>
      <c r="D322" s="17"/>
      <c r="E322" s="17"/>
      <c r="F322" s="288"/>
      <c r="G322" s="17"/>
      <c r="H322" s="17"/>
      <c r="I322" s="17"/>
      <c r="J322" s="17"/>
      <c r="K322" s="17"/>
      <c r="L322" s="17"/>
      <c r="M322" s="17"/>
      <c r="N322" s="17"/>
      <c r="O322" s="17"/>
      <c r="P322" s="17"/>
      <c r="Q322" s="17"/>
      <c r="R322" s="17"/>
      <c r="S322" s="143"/>
      <c r="T322" s="143"/>
      <c r="U322" s="143"/>
      <c r="V322" s="143"/>
      <c r="W322" s="17"/>
      <c r="X322" s="17"/>
      <c r="Y322" s="17"/>
      <c r="Z322" s="17"/>
      <c r="AA322" s="17"/>
      <c r="AB322" s="17"/>
    </row>
    <row r="323">
      <c r="A323" s="17"/>
      <c r="B323" s="17"/>
      <c r="C323" s="17"/>
      <c r="D323" s="17"/>
      <c r="E323" s="17"/>
      <c r="F323" s="288"/>
      <c r="G323" s="17"/>
      <c r="H323" s="17"/>
      <c r="I323" s="17"/>
      <c r="J323" s="17"/>
      <c r="K323" s="17"/>
      <c r="L323" s="17"/>
      <c r="M323" s="17"/>
      <c r="N323" s="17"/>
      <c r="O323" s="17"/>
      <c r="P323" s="17"/>
      <c r="Q323" s="17"/>
      <c r="R323" s="17"/>
      <c r="S323" s="143"/>
      <c r="T323" s="143"/>
      <c r="U323" s="143"/>
      <c r="V323" s="143"/>
      <c r="W323" s="17"/>
      <c r="X323" s="17"/>
      <c r="Y323" s="17"/>
      <c r="Z323" s="17"/>
      <c r="AA323" s="17"/>
      <c r="AB323" s="17"/>
    </row>
    <row r="324">
      <c r="A324" s="17"/>
      <c r="B324" s="17"/>
      <c r="C324" s="17"/>
      <c r="D324" s="17"/>
      <c r="E324" s="17"/>
      <c r="F324" s="288"/>
      <c r="G324" s="17"/>
      <c r="H324" s="17"/>
      <c r="I324" s="17"/>
      <c r="J324" s="17"/>
      <c r="K324" s="17"/>
      <c r="L324" s="17"/>
      <c r="M324" s="17"/>
      <c r="N324" s="17"/>
      <c r="O324" s="17"/>
      <c r="P324" s="17"/>
      <c r="Q324" s="17"/>
      <c r="R324" s="17"/>
      <c r="S324" s="143"/>
      <c r="T324" s="143"/>
      <c r="U324" s="143"/>
      <c r="V324" s="143"/>
      <c r="W324" s="17"/>
      <c r="X324" s="17"/>
      <c r="Y324" s="17"/>
      <c r="Z324" s="17"/>
      <c r="AA324" s="17"/>
      <c r="AB324" s="17"/>
    </row>
    <row r="325">
      <c r="A325" s="17"/>
      <c r="B325" s="17"/>
      <c r="C325" s="17"/>
      <c r="D325" s="17"/>
      <c r="E325" s="17"/>
      <c r="F325" s="288"/>
      <c r="G325" s="17"/>
      <c r="H325" s="17"/>
      <c r="I325" s="17"/>
      <c r="J325" s="17"/>
      <c r="K325" s="17"/>
      <c r="L325" s="17"/>
      <c r="M325" s="17"/>
      <c r="N325" s="17"/>
      <c r="O325" s="17"/>
      <c r="P325" s="17"/>
      <c r="Q325" s="17"/>
      <c r="R325" s="17"/>
      <c r="S325" s="143"/>
      <c r="T325" s="143"/>
      <c r="U325" s="143"/>
      <c r="V325" s="143"/>
      <c r="W325" s="17"/>
      <c r="X325" s="17"/>
      <c r="Y325" s="17"/>
      <c r="Z325" s="17"/>
      <c r="AA325" s="17"/>
      <c r="AB325" s="17"/>
    </row>
    <row r="326">
      <c r="A326" s="17"/>
      <c r="B326" s="17"/>
      <c r="C326" s="17"/>
      <c r="D326" s="17"/>
      <c r="E326" s="17"/>
      <c r="F326" s="288"/>
      <c r="G326" s="17"/>
      <c r="H326" s="17"/>
      <c r="I326" s="17"/>
      <c r="J326" s="17"/>
      <c r="K326" s="17"/>
      <c r="L326" s="17"/>
      <c r="M326" s="17"/>
      <c r="N326" s="17"/>
      <c r="O326" s="17"/>
      <c r="P326" s="17"/>
      <c r="Q326" s="17"/>
      <c r="R326" s="17"/>
      <c r="S326" s="143"/>
      <c r="T326" s="143"/>
      <c r="U326" s="143"/>
      <c r="V326" s="143"/>
      <c r="W326" s="17"/>
      <c r="X326" s="17"/>
      <c r="Y326" s="17"/>
      <c r="Z326" s="17"/>
      <c r="AA326" s="17"/>
      <c r="AB326" s="17"/>
    </row>
    <row r="327">
      <c r="A327" s="17"/>
      <c r="B327" s="17"/>
      <c r="C327" s="17"/>
      <c r="D327" s="17"/>
      <c r="E327" s="17"/>
      <c r="F327" s="288"/>
      <c r="G327" s="17"/>
      <c r="H327" s="17"/>
      <c r="I327" s="17"/>
      <c r="J327" s="17"/>
      <c r="K327" s="17"/>
      <c r="L327" s="17"/>
      <c r="M327" s="17"/>
      <c r="N327" s="17"/>
      <c r="O327" s="17"/>
      <c r="P327" s="17"/>
      <c r="Q327" s="17"/>
      <c r="R327" s="17"/>
      <c r="S327" s="143"/>
      <c r="T327" s="143"/>
      <c r="U327" s="143"/>
      <c r="V327" s="143"/>
      <c r="W327" s="17"/>
      <c r="X327" s="17"/>
      <c r="Y327" s="17"/>
      <c r="Z327" s="17"/>
      <c r="AA327" s="17"/>
      <c r="AB327" s="17"/>
    </row>
    <row r="328">
      <c r="A328" s="17"/>
      <c r="B328" s="17"/>
      <c r="C328" s="17"/>
      <c r="D328" s="17"/>
      <c r="E328" s="17"/>
      <c r="F328" s="288"/>
      <c r="G328" s="17"/>
      <c r="H328" s="17"/>
      <c r="I328" s="17"/>
      <c r="J328" s="17"/>
      <c r="K328" s="17"/>
      <c r="L328" s="17"/>
      <c r="M328" s="17"/>
      <c r="N328" s="17"/>
      <c r="O328" s="17"/>
      <c r="P328" s="17"/>
      <c r="Q328" s="17"/>
      <c r="R328" s="17"/>
      <c r="S328" s="143"/>
      <c r="T328" s="143"/>
      <c r="U328" s="143"/>
      <c r="V328" s="143"/>
      <c r="W328" s="17"/>
      <c r="X328" s="17"/>
      <c r="Y328" s="17"/>
      <c r="Z328" s="17"/>
      <c r="AA328" s="17"/>
      <c r="AB328" s="17"/>
    </row>
    <row r="329">
      <c r="A329" s="17"/>
      <c r="B329" s="17"/>
      <c r="C329" s="17"/>
      <c r="D329" s="17"/>
      <c r="E329" s="17"/>
      <c r="F329" s="288"/>
      <c r="G329" s="17"/>
      <c r="H329" s="17"/>
      <c r="I329" s="17"/>
      <c r="J329" s="17"/>
      <c r="K329" s="17"/>
      <c r="L329" s="17"/>
      <c r="M329" s="17"/>
      <c r="N329" s="17"/>
      <c r="O329" s="17"/>
      <c r="P329" s="17"/>
      <c r="Q329" s="17"/>
      <c r="R329" s="17"/>
      <c r="S329" s="143"/>
      <c r="T329" s="143"/>
      <c r="U329" s="143"/>
      <c r="V329" s="143"/>
      <c r="W329" s="17"/>
      <c r="X329" s="17"/>
      <c r="Y329" s="17"/>
      <c r="Z329" s="17"/>
      <c r="AA329" s="17"/>
      <c r="AB329" s="17"/>
    </row>
    <row r="330">
      <c r="A330" s="17"/>
      <c r="B330" s="17"/>
      <c r="C330" s="17"/>
      <c r="D330" s="17"/>
      <c r="E330" s="17"/>
      <c r="F330" s="288"/>
      <c r="G330" s="17"/>
      <c r="H330" s="17"/>
      <c r="I330" s="17"/>
      <c r="J330" s="17"/>
      <c r="K330" s="17"/>
      <c r="L330" s="17"/>
      <c r="M330" s="17"/>
      <c r="N330" s="17"/>
      <c r="O330" s="17"/>
      <c r="P330" s="17"/>
      <c r="Q330" s="17"/>
      <c r="R330" s="17"/>
      <c r="S330" s="143"/>
      <c r="T330" s="143"/>
      <c r="U330" s="143"/>
      <c r="V330" s="143"/>
      <c r="W330" s="17"/>
      <c r="X330" s="17"/>
      <c r="Y330" s="17"/>
      <c r="Z330" s="17"/>
      <c r="AA330" s="17"/>
      <c r="AB330" s="17"/>
    </row>
    <row r="331">
      <c r="A331" s="17"/>
      <c r="B331" s="17"/>
      <c r="C331" s="17"/>
      <c r="D331" s="17"/>
      <c r="E331" s="17"/>
      <c r="F331" s="288"/>
      <c r="G331" s="17"/>
      <c r="H331" s="17"/>
      <c r="I331" s="17"/>
      <c r="J331" s="17"/>
      <c r="K331" s="17"/>
      <c r="L331" s="17"/>
      <c r="M331" s="17"/>
      <c r="N331" s="17"/>
      <c r="O331" s="17"/>
      <c r="P331" s="17"/>
      <c r="Q331" s="17"/>
      <c r="R331" s="17"/>
      <c r="S331" s="143"/>
      <c r="T331" s="143"/>
      <c r="U331" s="143"/>
      <c r="V331" s="143"/>
      <c r="W331" s="17"/>
      <c r="X331" s="17"/>
      <c r="Y331" s="17"/>
      <c r="Z331" s="17"/>
      <c r="AA331" s="17"/>
      <c r="AB331" s="17"/>
    </row>
    <row r="332">
      <c r="A332" s="17"/>
      <c r="B332" s="17"/>
      <c r="C332" s="17"/>
      <c r="D332" s="17"/>
      <c r="E332" s="17"/>
      <c r="F332" s="288"/>
      <c r="G332" s="17"/>
      <c r="H332" s="17"/>
      <c r="I332" s="17"/>
      <c r="J332" s="17"/>
      <c r="K332" s="17"/>
      <c r="L332" s="17"/>
      <c r="M332" s="17"/>
      <c r="N332" s="17"/>
      <c r="O332" s="17"/>
      <c r="P332" s="17"/>
      <c r="Q332" s="17"/>
      <c r="R332" s="17"/>
      <c r="S332" s="143"/>
      <c r="T332" s="143"/>
      <c r="U332" s="143"/>
      <c r="V332" s="143"/>
      <c r="W332" s="17"/>
      <c r="X332" s="17"/>
      <c r="Y332" s="17"/>
      <c r="Z332" s="17"/>
      <c r="AA332" s="17"/>
      <c r="AB332" s="17"/>
    </row>
    <row r="333">
      <c r="A333" s="17"/>
      <c r="B333" s="17"/>
      <c r="C333" s="17"/>
      <c r="D333" s="17"/>
      <c r="E333" s="17"/>
      <c r="F333" s="288"/>
      <c r="G333" s="17"/>
      <c r="H333" s="17"/>
      <c r="I333" s="17"/>
      <c r="J333" s="17"/>
      <c r="K333" s="17"/>
      <c r="L333" s="17"/>
      <c r="M333" s="17"/>
      <c r="N333" s="17"/>
      <c r="O333" s="17"/>
      <c r="P333" s="17"/>
      <c r="Q333" s="17"/>
      <c r="R333" s="17"/>
      <c r="S333" s="143"/>
      <c r="T333" s="143"/>
      <c r="U333" s="143"/>
      <c r="V333" s="143"/>
      <c r="W333" s="17"/>
      <c r="X333" s="17"/>
      <c r="Y333" s="17"/>
      <c r="Z333" s="17"/>
      <c r="AA333" s="17"/>
      <c r="AB333" s="17"/>
    </row>
    <row r="334">
      <c r="A334" s="17"/>
      <c r="B334" s="17"/>
      <c r="C334" s="17"/>
      <c r="D334" s="17"/>
      <c r="E334" s="17"/>
      <c r="F334" s="288"/>
      <c r="G334" s="17"/>
      <c r="H334" s="17"/>
      <c r="I334" s="17"/>
      <c r="J334" s="17"/>
      <c r="K334" s="17"/>
      <c r="L334" s="17"/>
      <c r="M334" s="17"/>
      <c r="N334" s="17"/>
      <c r="O334" s="17"/>
      <c r="P334" s="17"/>
      <c r="Q334" s="17"/>
      <c r="R334" s="17"/>
      <c r="S334" s="143"/>
      <c r="T334" s="143"/>
      <c r="U334" s="143"/>
      <c r="V334" s="143"/>
      <c r="W334" s="17"/>
      <c r="X334" s="17"/>
      <c r="Y334" s="17"/>
      <c r="Z334" s="17"/>
      <c r="AA334" s="17"/>
      <c r="AB334" s="17"/>
    </row>
    <row r="335">
      <c r="A335" s="17"/>
      <c r="B335" s="17"/>
      <c r="C335" s="17"/>
      <c r="D335" s="17"/>
      <c r="E335" s="17"/>
      <c r="F335" s="288"/>
      <c r="G335" s="17"/>
      <c r="H335" s="17"/>
      <c r="I335" s="17"/>
      <c r="J335" s="17"/>
      <c r="K335" s="17"/>
      <c r="L335" s="17"/>
      <c r="M335" s="17"/>
      <c r="N335" s="17"/>
      <c r="O335" s="17"/>
      <c r="P335" s="17"/>
      <c r="Q335" s="17"/>
      <c r="R335" s="17"/>
      <c r="S335" s="143"/>
      <c r="T335" s="143"/>
      <c r="U335" s="143"/>
      <c r="V335" s="143"/>
      <c r="W335" s="17"/>
      <c r="X335" s="17"/>
      <c r="Y335" s="17"/>
      <c r="Z335" s="17"/>
      <c r="AA335" s="17"/>
      <c r="AB335" s="17"/>
    </row>
    <row r="336">
      <c r="A336" s="17"/>
      <c r="B336" s="17"/>
      <c r="C336" s="17"/>
      <c r="D336" s="17"/>
      <c r="E336" s="17"/>
      <c r="F336" s="288"/>
      <c r="G336" s="17"/>
      <c r="H336" s="17"/>
      <c r="I336" s="17"/>
      <c r="J336" s="17"/>
      <c r="K336" s="17"/>
      <c r="L336" s="17"/>
      <c r="M336" s="17"/>
      <c r="N336" s="17"/>
      <c r="O336" s="17"/>
      <c r="P336" s="17"/>
      <c r="Q336" s="17"/>
      <c r="R336" s="17"/>
      <c r="S336" s="143"/>
      <c r="T336" s="143"/>
      <c r="U336" s="143"/>
      <c r="V336" s="143"/>
      <c r="W336" s="17"/>
      <c r="X336" s="17"/>
      <c r="Y336" s="17"/>
      <c r="Z336" s="17"/>
      <c r="AA336" s="17"/>
      <c r="AB336" s="17"/>
    </row>
    <row r="337">
      <c r="A337" s="17"/>
      <c r="B337" s="17"/>
      <c r="C337" s="17"/>
      <c r="D337" s="17"/>
      <c r="E337" s="17"/>
      <c r="F337" s="288"/>
      <c r="G337" s="17"/>
      <c r="H337" s="17"/>
      <c r="I337" s="17"/>
      <c r="J337" s="17"/>
      <c r="K337" s="17"/>
      <c r="L337" s="17"/>
      <c r="M337" s="17"/>
      <c r="N337" s="17"/>
      <c r="O337" s="17"/>
      <c r="P337" s="17"/>
      <c r="Q337" s="17"/>
      <c r="R337" s="17"/>
      <c r="S337" s="143"/>
      <c r="T337" s="143"/>
      <c r="U337" s="143"/>
      <c r="V337" s="143"/>
      <c r="W337" s="17"/>
      <c r="X337" s="17"/>
      <c r="Y337" s="17"/>
      <c r="Z337" s="17"/>
      <c r="AA337" s="17"/>
      <c r="AB337" s="17"/>
    </row>
    <row r="338">
      <c r="A338" s="17"/>
      <c r="B338" s="17"/>
      <c r="C338" s="17"/>
      <c r="D338" s="17"/>
      <c r="E338" s="17"/>
      <c r="F338" s="288"/>
      <c r="G338" s="17"/>
      <c r="H338" s="17"/>
      <c r="I338" s="17"/>
      <c r="J338" s="17"/>
      <c r="K338" s="17"/>
      <c r="L338" s="17"/>
      <c r="M338" s="17"/>
      <c r="N338" s="17"/>
      <c r="O338" s="17"/>
      <c r="P338" s="17"/>
      <c r="Q338" s="17"/>
      <c r="R338" s="17"/>
      <c r="S338" s="143"/>
      <c r="T338" s="143"/>
      <c r="U338" s="143"/>
      <c r="V338" s="143"/>
      <c r="W338" s="17"/>
      <c r="X338" s="17"/>
      <c r="Y338" s="17"/>
      <c r="Z338" s="17"/>
      <c r="AA338" s="17"/>
      <c r="AB338" s="17"/>
    </row>
    <row r="339">
      <c r="A339" s="17"/>
      <c r="B339" s="17"/>
      <c r="C339" s="17"/>
      <c r="D339" s="17"/>
      <c r="E339" s="17"/>
      <c r="F339" s="288"/>
      <c r="G339" s="17"/>
      <c r="H339" s="17"/>
      <c r="I339" s="17"/>
      <c r="J339" s="17"/>
      <c r="K339" s="17"/>
      <c r="L339" s="17"/>
      <c r="M339" s="17"/>
      <c r="N339" s="17"/>
      <c r="O339" s="17"/>
      <c r="P339" s="17"/>
      <c r="Q339" s="17"/>
      <c r="R339" s="17"/>
      <c r="S339" s="143"/>
      <c r="T339" s="143"/>
      <c r="U339" s="143"/>
      <c r="V339" s="143"/>
      <c r="W339" s="17"/>
      <c r="X339" s="17"/>
      <c r="Y339" s="17"/>
      <c r="Z339" s="17"/>
      <c r="AA339" s="17"/>
      <c r="AB339" s="17"/>
    </row>
    <row r="340">
      <c r="A340" s="17"/>
      <c r="B340" s="17"/>
      <c r="C340" s="17"/>
      <c r="D340" s="17"/>
      <c r="E340" s="17"/>
      <c r="F340" s="288"/>
      <c r="G340" s="17"/>
      <c r="H340" s="17"/>
      <c r="I340" s="17"/>
      <c r="J340" s="17"/>
      <c r="K340" s="17"/>
      <c r="L340" s="17"/>
      <c r="M340" s="17"/>
      <c r="N340" s="17"/>
      <c r="O340" s="17"/>
      <c r="P340" s="17"/>
      <c r="Q340" s="17"/>
      <c r="R340" s="17"/>
      <c r="S340" s="143"/>
      <c r="T340" s="143"/>
      <c r="U340" s="143"/>
      <c r="V340" s="143"/>
      <c r="W340" s="17"/>
      <c r="X340" s="17"/>
      <c r="Y340" s="17"/>
      <c r="Z340" s="17"/>
      <c r="AA340" s="17"/>
      <c r="AB340" s="17"/>
    </row>
    <row r="341">
      <c r="A341" s="17"/>
      <c r="B341" s="17"/>
      <c r="C341" s="17"/>
      <c r="D341" s="17"/>
      <c r="E341" s="17"/>
      <c r="F341" s="288"/>
      <c r="G341" s="17"/>
      <c r="H341" s="17"/>
      <c r="I341" s="17"/>
      <c r="J341" s="17"/>
      <c r="K341" s="17"/>
      <c r="L341" s="17"/>
      <c r="M341" s="17"/>
      <c r="N341" s="17"/>
      <c r="O341" s="17"/>
      <c r="P341" s="17"/>
      <c r="Q341" s="17"/>
      <c r="R341" s="17"/>
      <c r="S341" s="143"/>
      <c r="T341" s="143"/>
      <c r="U341" s="143"/>
      <c r="V341" s="143"/>
      <c r="W341" s="17"/>
      <c r="X341" s="17"/>
      <c r="Y341" s="17"/>
      <c r="Z341" s="17"/>
      <c r="AA341" s="17"/>
      <c r="AB341" s="17"/>
    </row>
    <row r="342">
      <c r="A342" s="17"/>
      <c r="B342" s="17"/>
      <c r="C342" s="17"/>
      <c r="D342" s="17"/>
      <c r="E342" s="17"/>
      <c r="F342" s="288"/>
      <c r="G342" s="17"/>
      <c r="H342" s="17"/>
      <c r="I342" s="17"/>
      <c r="J342" s="17"/>
      <c r="K342" s="17"/>
      <c r="L342" s="17"/>
      <c r="M342" s="17"/>
      <c r="N342" s="17"/>
      <c r="O342" s="17"/>
      <c r="P342" s="17"/>
      <c r="Q342" s="17"/>
      <c r="R342" s="17"/>
      <c r="S342" s="143"/>
      <c r="T342" s="143"/>
      <c r="U342" s="143"/>
      <c r="V342" s="143"/>
      <c r="W342" s="17"/>
      <c r="X342" s="17"/>
      <c r="Y342" s="17"/>
      <c r="Z342" s="17"/>
      <c r="AA342" s="17"/>
      <c r="AB342" s="17"/>
    </row>
    <row r="343">
      <c r="A343" s="17"/>
      <c r="B343" s="17"/>
      <c r="C343" s="17"/>
      <c r="D343" s="17"/>
      <c r="E343" s="17"/>
      <c r="F343" s="288"/>
      <c r="G343" s="17"/>
      <c r="H343" s="17"/>
      <c r="I343" s="17"/>
      <c r="J343" s="17"/>
      <c r="K343" s="17"/>
      <c r="L343" s="17"/>
      <c r="M343" s="17"/>
      <c r="N343" s="17"/>
      <c r="O343" s="17"/>
      <c r="P343" s="17"/>
      <c r="Q343" s="17"/>
      <c r="R343" s="17"/>
      <c r="S343" s="143"/>
      <c r="T343" s="143"/>
      <c r="U343" s="143"/>
      <c r="V343" s="143"/>
      <c r="W343" s="17"/>
      <c r="X343" s="17"/>
      <c r="Y343" s="17"/>
      <c r="Z343" s="17"/>
      <c r="AA343" s="17"/>
      <c r="AB343" s="17"/>
    </row>
    <row r="344">
      <c r="A344" s="17"/>
      <c r="B344" s="17"/>
      <c r="C344" s="17"/>
      <c r="D344" s="17"/>
      <c r="E344" s="17"/>
      <c r="F344" s="288"/>
      <c r="G344" s="17"/>
      <c r="H344" s="17"/>
      <c r="I344" s="17"/>
      <c r="J344" s="17"/>
      <c r="K344" s="17"/>
      <c r="L344" s="17"/>
      <c r="M344" s="17"/>
      <c r="N344" s="17"/>
      <c r="O344" s="17"/>
      <c r="P344" s="17"/>
      <c r="Q344" s="17"/>
      <c r="R344" s="17"/>
      <c r="S344" s="143"/>
      <c r="T344" s="143"/>
      <c r="U344" s="143"/>
      <c r="V344" s="143"/>
      <c r="W344" s="17"/>
      <c r="X344" s="17"/>
      <c r="Y344" s="17"/>
      <c r="Z344" s="17"/>
      <c r="AA344" s="17"/>
      <c r="AB344" s="17"/>
    </row>
    <row r="345">
      <c r="A345" s="17"/>
      <c r="B345" s="17"/>
      <c r="C345" s="17"/>
      <c r="D345" s="17"/>
      <c r="E345" s="17"/>
      <c r="F345" s="288"/>
      <c r="G345" s="17"/>
      <c r="H345" s="17"/>
      <c r="I345" s="17"/>
      <c r="J345" s="17"/>
      <c r="K345" s="17"/>
      <c r="L345" s="17"/>
      <c r="M345" s="17"/>
      <c r="N345" s="17"/>
      <c r="O345" s="17"/>
      <c r="P345" s="17"/>
      <c r="Q345" s="17"/>
      <c r="R345" s="17"/>
      <c r="S345" s="143"/>
      <c r="T345" s="143"/>
      <c r="U345" s="143"/>
      <c r="V345" s="143"/>
      <c r="W345" s="17"/>
      <c r="X345" s="17"/>
      <c r="Y345" s="17"/>
      <c r="Z345" s="17"/>
      <c r="AA345" s="17"/>
      <c r="AB345" s="17"/>
    </row>
    <row r="346">
      <c r="A346" s="17"/>
      <c r="B346" s="17"/>
      <c r="C346" s="17"/>
      <c r="D346" s="17"/>
      <c r="E346" s="17"/>
      <c r="F346" s="288"/>
      <c r="G346" s="17"/>
      <c r="H346" s="17"/>
      <c r="I346" s="17"/>
      <c r="J346" s="17"/>
      <c r="K346" s="17"/>
      <c r="L346" s="17"/>
      <c r="M346" s="17"/>
      <c r="N346" s="17"/>
      <c r="O346" s="17"/>
      <c r="P346" s="17"/>
      <c r="Q346" s="17"/>
      <c r="R346" s="17"/>
      <c r="S346" s="143"/>
      <c r="T346" s="143"/>
      <c r="U346" s="143"/>
      <c r="V346" s="143"/>
      <c r="W346" s="17"/>
      <c r="X346" s="17"/>
      <c r="Y346" s="17"/>
      <c r="Z346" s="17"/>
      <c r="AA346" s="17"/>
      <c r="AB346" s="17"/>
    </row>
    <row r="347">
      <c r="A347" s="17"/>
      <c r="B347" s="17"/>
      <c r="C347" s="17"/>
      <c r="D347" s="17"/>
      <c r="E347" s="17"/>
      <c r="F347" s="288"/>
      <c r="G347" s="17"/>
      <c r="H347" s="17"/>
      <c r="I347" s="17"/>
      <c r="J347" s="17"/>
      <c r="K347" s="17"/>
      <c r="L347" s="17"/>
      <c r="M347" s="17"/>
      <c r="N347" s="17"/>
      <c r="O347" s="17"/>
      <c r="P347" s="17"/>
      <c r="Q347" s="17"/>
      <c r="R347" s="17"/>
      <c r="S347" s="143"/>
      <c r="T347" s="143"/>
      <c r="U347" s="143"/>
      <c r="V347" s="143"/>
      <c r="W347" s="17"/>
      <c r="X347" s="17"/>
      <c r="Y347" s="17"/>
      <c r="Z347" s="17"/>
      <c r="AA347" s="17"/>
      <c r="AB347" s="17"/>
    </row>
    <row r="348">
      <c r="A348" s="17"/>
      <c r="B348" s="17"/>
      <c r="C348" s="17"/>
      <c r="D348" s="17"/>
      <c r="E348" s="17"/>
      <c r="F348" s="288"/>
      <c r="G348" s="17"/>
      <c r="H348" s="17"/>
      <c r="I348" s="17"/>
      <c r="J348" s="17"/>
      <c r="K348" s="17"/>
      <c r="L348" s="17"/>
      <c r="M348" s="17"/>
      <c r="N348" s="17"/>
      <c r="O348" s="17"/>
      <c r="P348" s="17"/>
      <c r="Q348" s="17"/>
      <c r="R348" s="17"/>
      <c r="S348" s="143"/>
      <c r="T348" s="143"/>
      <c r="U348" s="143"/>
      <c r="V348" s="143"/>
      <c r="W348" s="17"/>
      <c r="X348" s="17"/>
      <c r="Y348" s="17"/>
      <c r="Z348" s="17"/>
      <c r="AA348" s="17"/>
      <c r="AB348" s="17"/>
    </row>
    <row r="349">
      <c r="A349" s="17"/>
      <c r="B349" s="17"/>
      <c r="C349" s="17"/>
      <c r="D349" s="17"/>
      <c r="E349" s="17"/>
      <c r="F349" s="288"/>
      <c r="G349" s="17"/>
      <c r="H349" s="17"/>
      <c r="I349" s="17"/>
      <c r="J349" s="17"/>
      <c r="K349" s="17"/>
      <c r="L349" s="17"/>
      <c r="M349" s="17"/>
      <c r="N349" s="17"/>
      <c r="O349" s="17"/>
      <c r="P349" s="17"/>
      <c r="Q349" s="17"/>
      <c r="R349" s="17"/>
      <c r="S349" s="143"/>
      <c r="T349" s="143"/>
      <c r="U349" s="143"/>
      <c r="V349" s="143"/>
      <c r="W349" s="17"/>
      <c r="X349" s="17"/>
      <c r="Y349" s="17"/>
      <c r="Z349" s="17"/>
      <c r="AA349" s="17"/>
      <c r="AB349" s="17"/>
    </row>
    <row r="350">
      <c r="A350" s="17"/>
      <c r="B350" s="17"/>
      <c r="C350" s="17"/>
      <c r="D350" s="17"/>
      <c r="E350" s="17"/>
      <c r="F350" s="288"/>
      <c r="G350" s="17"/>
      <c r="H350" s="17"/>
      <c r="I350" s="17"/>
      <c r="J350" s="17"/>
      <c r="K350" s="17"/>
      <c r="L350" s="17"/>
      <c r="M350" s="17"/>
      <c r="N350" s="17"/>
      <c r="O350" s="17"/>
      <c r="P350" s="17"/>
      <c r="Q350" s="17"/>
      <c r="R350" s="17"/>
      <c r="S350" s="143"/>
      <c r="T350" s="143"/>
      <c r="U350" s="143"/>
      <c r="V350" s="143"/>
      <c r="W350" s="17"/>
      <c r="X350" s="17"/>
      <c r="Y350" s="17"/>
      <c r="Z350" s="17"/>
      <c r="AA350" s="17"/>
      <c r="AB350" s="17"/>
    </row>
    <row r="351">
      <c r="A351" s="17"/>
      <c r="B351" s="17"/>
      <c r="C351" s="17"/>
      <c r="D351" s="17"/>
      <c r="E351" s="17"/>
      <c r="F351" s="288"/>
      <c r="G351" s="17"/>
      <c r="H351" s="17"/>
      <c r="I351" s="17"/>
      <c r="J351" s="17"/>
      <c r="K351" s="17"/>
      <c r="L351" s="17"/>
      <c r="M351" s="17"/>
      <c r="N351" s="17"/>
      <c r="O351" s="17"/>
      <c r="P351" s="17"/>
      <c r="Q351" s="17"/>
      <c r="R351" s="17"/>
      <c r="S351" s="143"/>
      <c r="T351" s="143"/>
      <c r="U351" s="143"/>
      <c r="V351" s="143"/>
      <c r="W351" s="17"/>
      <c r="X351" s="17"/>
      <c r="Y351" s="17"/>
      <c r="Z351" s="17"/>
      <c r="AA351" s="17"/>
      <c r="AB351" s="17"/>
    </row>
    <row r="352">
      <c r="A352" s="17"/>
      <c r="B352" s="17"/>
      <c r="C352" s="17"/>
      <c r="D352" s="17"/>
      <c r="E352" s="17"/>
      <c r="F352" s="288"/>
      <c r="G352" s="17"/>
      <c r="H352" s="17"/>
      <c r="I352" s="17"/>
      <c r="J352" s="17"/>
      <c r="K352" s="17"/>
      <c r="L352" s="17"/>
      <c r="M352" s="17"/>
      <c r="N352" s="17"/>
      <c r="O352" s="17"/>
      <c r="P352" s="17"/>
      <c r="Q352" s="17"/>
      <c r="R352" s="17"/>
      <c r="S352" s="143"/>
      <c r="T352" s="143"/>
      <c r="U352" s="143"/>
      <c r="V352" s="143"/>
      <c r="W352" s="17"/>
      <c r="X352" s="17"/>
      <c r="Y352" s="17"/>
      <c r="Z352" s="17"/>
      <c r="AA352" s="17"/>
      <c r="AB352" s="17"/>
    </row>
    <row r="353">
      <c r="A353" s="17"/>
      <c r="B353" s="17"/>
      <c r="C353" s="17"/>
      <c r="D353" s="17"/>
      <c r="E353" s="17"/>
      <c r="F353" s="288"/>
      <c r="G353" s="17"/>
      <c r="H353" s="17"/>
      <c r="I353" s="17"/>
      <c r="J353" s="17"/>
      <c r="K353" s="17"/>
      <c r="L353" s="17"/>
      <c r="M353" s="17"/>
      <c r="N353" s="17"/>
      <c r="O353" s="17"/>
      <c r="P353" s="17"/>
      <c r="Q353" s="17"/>
      <c r="R353" s="17"/>
      <c r="S353" s="143"/>
      <c r="T353" s="143"/>
      <c r="U353" s="143"/>
      <c r="V353" s="143"/>
      <c r="W353" s="17"/>
      <c r="X353" s="17"/>
      <c r="Y353" s="17"/>
      <c r="Z353" s="17"/>
      <c r="AA353" s="17"/>
      <c r="AB353" s="17"/>
    </row>
    <row r="354">
      <c r="A354" s="17"/>
      <c r="B354" s="17"/>
      <c r="C354" s="17"/>
      <c r="D354" s="17"/>
      <c r="E354" s="17"/>
      <c r="F354" s="288"/>
      <c r="G354" s="17"/>
      <c r="H354" s="17"/>
      <c r="I354" s="17"/>
      <c r="J354" s="17"/>
      <c r="K354" s="17"/>
      <c r="L354" s="17"/>
      <c r="M354" s="17"/>
      <c r="N354" s="17"/>
      <c r="O354" s="17"/>
      <c r="P354" s="17"/>
      <c r="Q354" s="17"/>
      <c r="R354" s="17"/>
      <c r="S354" s="143"/>
      <c r="T354" s="143"/>
      <c r="U354" s="143"/>
      <c r="V354" s="143"/>
      <c r="W354" s="17"/>
      <c r="X354" s="17"/>
      <c r="Y354" s="17"/>
      <c r="Z354" s="17"/>
      <c r="AA354" s="17"/>
      <c r="AB354" s="17"/>
    </row>
    <row r="355">
      <c r="A355" s="17"/>
      <c r="B355" s="17"/>
      <c r="C355" s="17"/>
      <c r="D355" s="17"/>
      <c r="E355" s="17"/>
      <c r="F355" s="288"/>
      <c r="G355" s="17"/>
      <c r="H355" s="17"/>
      <c r="I355" s="17"/>
      <c r="J355" s="17"/>
      <c r="K355" s="17"/>
      <c r="L355" s="17"/>
      <c r="M355" s="17"/>
      <c r="N355" s="17"/>
      <c r="O355" s="17"/>
      <c r="P355" s="17"/>
      <c r="Q355" s="17"/>
      <c r="R355" s="17"/>
      <c r="S355" s="143"/>
      <c r="T355" s="143"/>
      <c r="U355" s="143"/>
      <c r="V355" s="143"/>
      <c r="W355" s="17"/>
      <c r="X355" s="17"/>
      <c r="Y355" s="17"/>
      <c r="Z355" s="17"/>
      <c r="AA355" s="17"/>
      <c r="AB355" s="17"/>
    </row>
    <row r="356">
      <c r="A356" s="17"/>
      <c r="B356" s="17"/>
      <c r="C356" s="17"/>
      <c r="D356" s="17"/>
      <c r="E356" s="17"/>
      <c r="F356" s="288"/>
      <c r="G356" s="17"/>
      <c r="H356" s="17"/>
      <c r="I356" s="17"/>
      <c r="J356" s="17"/>
      <c r="K356" s="17"/>
      <c r="L356" s="17"/>
      <c r="M356" s="17"/>
      <c r="N356" s="17"/>
      <c r="O356" s="17"/>
      <c r="P356" s="17"/>
      <c r="Q356" s="17"/>
      <c r="R356" s="17"/>
      <c r="S356" s="143"/>
      <c r="T356" s="143"/>
      <c r="U356" s="143"/>
      <c r="V356" s="143"/>
      <c r="W356" s="17"/>
      <c r="X356" s="17"/>
      <c r="Y356" s="17"/>
      <c r="Z356" s="17"/>
      <c r="AA356" s="17"/>
      <c r="AB356" s="17"/>
    </row>
    <row r="357">
      <c r="A357" s="17"/>
      <c r="B357" s="17"/>
      <c r="C357" s="17"/>
      <c r="D357" s="17"/>
      <c r="E357" s="17"/>
      <c r="F357" s="288"/>
      <c r="G357" s="17"/>
      <c r="H357" s="17"/>
      <c r="I357" s="17"/>
      <c r="J357" s="17"/>
      <c r="K357" s="17"/>
      <c r="L357" s="17"/>
      <c r="M357" s="17"/>
      <c r="N357" s="17"/>
      <c r="O357" s="17"/>
      <c r="P357" s="17"/>
      <c r="Q357" s="17"/>
      <c r="R357" s="17"/>
      <c r="S357" s="143"/>
      <c r="T357" s="143"/>
      <c r="U357" s="143"/>
      <c r="V357" s="143"/>
      <c r="W357" s="17"/>
      <c r="X357" s="17"/>
      <c r="Y357" s="17"/>
      <c r="Z357" s="17"/>
      <c r="AA357" s="17"/>
      <c r="AB357" s="17"/>
    </row>
    <row r="358">
      <c r="A358" s="17"/>
      <c r="B358" s="17"/>
      <c r="C358" s="17"/>
      <c r="D358" s="17"/>
      <c r="E358" s="17"/>
      <c r="F358" s="288"/>
      <c r="G358" s="17"/>
      <c r="H358" s="17"/>
      <c r="I358" s="17"/>
      <c r="J358" s="17"/>
      <c r="K358" s="17"/>
      <c r="L358" s="17"/>
      <c r="M358" s="17"/>
      <c r="N358" s="17"/>
      <c r="O358" s="17"/>
      <c r="P358" s="17"/>
      <c r="Q358" s="17"/>
      <c r="R358" s="17"/>
      <c r="S358" s="143"/>
      <c r="T358" s="143"/>
      <c r="U358" s="143"/>
      <c r="V358" s="143"/>
      <c r="W358" s="17"/>
      <c r="X358" s="17"/>
      <c r="Y358" s="17"/>
      <c r="Z358" s="17"/>
      <c r="AA358" s="17"/>
      <c r="AB358" s="17"/>
    </row>
    <row r="359">
      <c r="A359" s="17"/>
      <c r="B359" s="17"/>
      <c r="C359" s="17"/>
      <c r="D359" s="17"/>
      <c r="E359" s="17"/>
      <c r="F359" s="288"/>
      <c r="G359" s="17"/>
      <c r="H359" s="17"/>
      <c r="I359" s="17"/>
      <c r="J359" s="17"/>
      <c r="K359" s="17"/>
      <c r="L359" s="17"/>
      <c r="M359" s="17"/>
      <c r="N359" s="17"/>
      <c r="O359" s="17"/>
      <c r="P359" s="17"/>
      <c r="Q359" s="17"/>
      <c r="R359" s="17"/>
      <c r="S359" s="143"/>
      <c r="T359" s="143"/>
      <c r="U359" s="143"/>
      <c r="V359" s="143"/>
      <c r="W359" s="17"/>
      <c r="X359" s="17"/>
      <c r="Y359" s="17"/>
      <c r="Z359" s="17"/>
      <c r="AA359" s="17"/>
      <c r="AB359" s="17"/>
    </row>
    <row r="360">
      <c r="A360" s="17"/>
      <c r="B360" s="17"/>
      <c r="C360" s="17"/>
      <c r="D360" s="17"/>
      <c r="E360" s="17"/>
      <c r="F360" s="288"/>
      <c r="G360" s="17"/>
      <c r="H360" s="17"/>
      <c r="I360" s="17"/>
      <c r="J360" s="17"/>
      <c r="K360" s="17"/>
      <c r="L360" s="17"/>
      <c r="M360" s="17"/>
      <c r="N360" s="17"/>
      <c r="O360" s="17"/>
      <c r="P360" s="17"/>
      <c r="Q360" s="17"/>
      <c r="R360" s="17"/>
      <c r="S360" s="143"/>
      <c r="T360" s="143"/>
      <c r="U360" s="143"/>
      <c r="V360" s="143"/>
      <c r="W360" s="17"/>
      <c r="X360" s="17"/>
      <c r="Y360" s="17"/>
      <c r="Z360" s="17"/>
      <c r="AA360" s="17"/>
      <c r="AB360" s="17"/>
    </row>
    <row r="361">
      <c r="A361" s="17"/>
      <c r="B361" s="17"/>
      <c r="C361" s="17"/>
      <c r="D361" s="17"/>
      <c r="E361" s="17"/>
      <c r="F361" s="288"/>
      <c r="G361" s="17"/>
      <c r="H361" s="17"/>
      <c r="I361" s="17"/>
      <c r="J361" s="17"/>
      <c r="K361" s="17"/>
      <c r="L361" s="17"/>
      <c r="M361" s="17"/>
      <c r="N361" s="17"/>
      <c r="O361" s="17"/>
      <c r="P361" s="17"/>
      <c r="Q361" s="17"/>
      <c r="R361" s="17"/>
      <c r="S361" s="143"/>
      <c r="T361" s="143"/>
      <c r="U361" s="143"/>
      <c r="V361" s="143"/>
      <c r="W361" s="17"/>
      <c r="X361" s="17"/>
      <c r="Y361" s="17"/>
      <c r="Z361" s="17"/>
      <c r="AA361" s="17"/>
      <c r="AB361" s="17"/>
    </row>
    <row r="362">
      <c r="A362" s="17"/>
      <c r="B362" s="17"/>
      <c r="C362" s="17"/>
      <c r="D362" s="17"/>
      <c r="E362" s="17"/>
      <c r="F362" s="288"/>
      <c r="G362" s="17"/>
      <c r="H362" s="17"/>
      <c r="I362" s="17"/>
      <c r="J362" s="17"/>
      <c r="K362" s="17"/>
      <c r="L362" s="17"/>
      <c r="M362" s="17"/>
      <c r="N362" s="17"/>
      <c r="O362" s="17"/>
      <c r="P362" s="17"/>
      <c r="Q362" s="17"/>
      <c r="R362" s="17"/>
      <c r="S362" s="143"/>
      <c r="T362" s="143"/>
      <c r="U362" s="143"/>
      <c r="V362" s="143"/>
      <c r="W362" s="17"/>
      <c r="X362" s="17"/>
      <c r="Y362" s="17"/>
      <c r="Z362" s="17"/>
      <c r="AA362" s="17"/>
      <c r="AB362" s="17"/>
    </row>
    <row r="363">
      <c r="A363" s="17"/>
      <c r="B363" s="17"/>
      <c r="C363" s="17"/>
      <c r="D363" s="17"/>
      <c r="E363" s="17"/>
      <c r="F363" s="288"/>
      <c r="G363" s="17"/>
      <c r="H363" s="17"/>
      <c r="I363" s="17"/>
      <c r="J363" s="17"/>
      <c r="K363" s="17"/>
      <c r="L363" s="17"/>
      <c r="M363" s="17"/>
      <c r="N363" s="17"/>
      <c r="O363" s="17"/>
      <c r="P363" s="17"/>
      <c r="Q363" s="17"/>
      <c r="R363" s="17"/>
      <c r="S363" s="143"/>
      <c r="T363" s="143"/>
      <c r="U363" s="143"/>
      <c r="V363" s="143"/>
      <c r="W363" s="17"/>
      <c r="X363" s="17"/>
      <c r="Y363" s="17"/>
      <c r="Z363" s="17"/>
      <c r="AA363" s="17"/>
      <c r="AB363" s="17"/>
    </row>
    <row r="364">
      <c r="A364" s="17"/>
      <c r="B364" s="17"/>
      <c r="C364" s="17"/>
      <c r="D364" s="17"/>
      <c r="E364" s="17"/>
      <c r="F364" s="288"/>
      <c r="G364" s="17"/>
      <c r="H364" s="17"/>
      <c r="I364" s="17"/>
      <c r="J364" s="17"/>
      <c r="K364" s="17"/>
      <c r="L364" s="17"/>
      <c r="M364" s="17"/>
      <c r="N364" s="17"/>
      <c r="O364" s="17"/>
      <c r="P364" s="17"/>
      <c r="Q364" s="17"/>
      <c r="R364" s="17"/>
      <c r="S364" s="143"/>
      <c r="T364" s="143"/>
      <c r="U364" s="143"/>
      <c r="V364" s="143"/>
      <c r="W364" s="17"/>
      <c r="X364" s="17"/>
      <c r="Y364" s="17"/>
      <c r="Z364" s="17"/>
      <c r="AA364" s="17"/>
      <c r="AB364" s="17"/>
    </row>
    <row r="365">
      <c r="A365" s="17"/>
      <c r="B365" s="17"/>
      <c r="C365" s="17"/>
      <c r="D365" s="17"/>
      <c r="E365" s="17"/>
      <c r="F365" s="288"/>
      <c r="G365" s="17"/>
      <c r="H365" s="17"/>
      <c r="I365" s="17"/>
      <c r="J365" s="17"/>
      <c r="K365" s="17"/>
      <c r="L365" s="17"/>
      <c r="M365" s="17"/>
      <c r="N365" s="17"/>
      <c r="O365" s="17"/>
      <c r="P365" s="17"/>
      <c r="Q365" s="17"/>
      <c r="R365" s="17"/>
      <c r="S365" s="143"/>
      <c r="T365" s="143"/>
      <c r="U365" s="143"/>
      <c r="V365" s="143"/>
      <c r="W365" s="17"/>
      <c r="X365" s="17"/>
      <c r="Y365" s="17"/>
      <c r="Z365" s="17"/>
      <c r="AA365" s="17"/>
      <c r="AB365" s="17"/>
    </row>
    <row r="366">
      <c r="A366" s="17"/>
      <c r="B366" s="17"/>
      <c r="C366" s="17"/>
      <c r="D366" s="17"/>
      <c r="E366" s="17"/>
      <c r="F366" s="288"/>
      <c r="G366" s="17"/>
      <c r="H366" s="17"/>
      <c r="I366" s="17"/>
      <c r="J366" s="17"/>
      <c r="K366" s="17"/>
      <c r="L366" s="17"/>
      <c r="M366" s="17"/>
      <c r="N366" s="17"/>
      <c r="O366" s="17"/>
      <c r="P366" s="17"/>
      <c r="Q366" s="17"/>
      <c r="R366" s="17"/>
      <c r="S366" s="143"/>
      <c r="T366" s="143"/>
      <c r="U366" s="143"/>
      <c r="V366" s="143"/>
      <c r="W366" s="17"/>
      <c r="X366" s="17"/>
      <c r="Y366" s="17"/>
      <c r="Z366" s="17"/>
      <c r="AA366" s="17"/>
      <c r="AB366" s="17"/>
    </row>
    <row r="367">
      <c r="A367" s="17"/>
      <c r="B367" s="17"/>
      <c r="C367" s="17"/>
      <c r="D367" s="17"/>
      <c r="E367" s="17"/>
      <c r="F367" s="288"/>
      <c r="G367" s="17"/>
      <c r="H367" s="17"/>
      <c r="I367" s="17"/>
      <c r="J367" s="17"/>
      <c r="K367" s="17"/>
      <c r="L367" s="17"/>
      <c r="M367" s="17"/>
      <c r="N367" s="17"/>
      <c r="O367" s="17"/>
      <c r="P367" s="17"/>
      <c r="Q367" s="17"/>
      <c r="R367" s="17"/>
      <c r="S367" s="143"/>
      <c r="T367" s="143"/>
      <c r="U367" s="143"/>
      <c r="V367" s="143"/>
      <c r="W367" s="17"/>
      <c r="X367" s="17"/>
      <c r="Y367" s="17"/>
      <c r="Z367" s="17"/>
      <c r="AA367" s="17"/>
      <c r="AB367" s="17"/>
    </row>
    <row r="368">
      <c r="A368" s="17"/>
      <c r="B368" s="17"/>
      <c r="C368" s="17"/>
      <c r="D368" s="17"/>
      <c r="E368" s="17"/>
      <c r="F368" s="288"/>
      <c r="G368" s="17"/>
      <c r="H368" s="17"/>
      <c r="I368" s="17"/>
      <c r="J368" s="17"/>
      <c r="K368" s="17"/>
      <c r="L368" s="17"/>
      <c r="M368" s="17"/>
      <c r="N368" s="17"/>
      <c r="O368" s="17"/>
      <c r="P368" s="17"/>
      <c r="Q368" s="17"/>
      <c r="R368" s="17"/>
      <c r="S368" s="143"/>
      <c r="T368" s="143"/>
      <c r="U368" s="143"/>
      <c r="V368" s="143"/>
      <c r="W368" s="17"/>
      <c r="X368" s="17"/>
      <c r="Y368" s="17"/>
      <c r="Z368" s="17"/>
      <c r="AA368" s="17"/>
      <c r="AB368" s="17"/>
    </row>
    <row r="369">
      <c r="A369" s="17"/>
      <c r="B369" s="17"/>
      <c r="C369" s="17"/>
      <c r="D369" s="17"/>
      <c r="E369" s="17"/>
      <c r="F369" s="288"/>
      <c r="G369" s="17"/>
      <c r="H369" s="17"/>
      <c r="I369" s="17"/>
      <c r="J369" s="17"/>
      <c r="K369" s="17"/>
      <c r="L369" s="17"/>
      <c r="M369" s="17"/>
      <c r="N369" s="17"/>
      <c r="O369" s="17"/>
      <c r="P369" s="17"/>
      <c r="Q369" s="17"/>
      <c r="R369" s="17"/>
      <c r="S369" s="143"/>
      <c r="T369" s="143"/>
      <c r="U369" s="143"/>
      <c r="V369" s="143"/>
      <c r="W369" s="17"/>
      <c r="X369" s="17"/>
      <c r="Y369" s="17"/>
      <c r="Z369" s="17"/>
      <c r="AA369" s="17"/>
      <c r="AB369" s="17"/>
    </row>
    <row r="370">
      <c r="A370" s="17"/>
      <c r="B370" s="17"/>
      <c r="C370" s="17"/>
      <c r="D370" s="17"/>
      <c r="E370" s="17"/>
      <c r="F370" s="288"/>
      <c r="G370" s="17"/>
      <c r="H370" s="17"/>
      <c r="I370" s="17"/>
      <c r="J370" s="17"/>
      <c r="K370" s="17"/>
      <c r="L370" s="17"/>
      <c r="M370" s="17"/>
      <c r="N370" s="17"/>
      <c r="O370" s="17"/>
      <c r="P370" s="17"/>
      <c r="Q370" s="17"/>
      <c r="R370" s="17"/>
      <c r="S370" s="143"/>
      <c r="T370" s="143"/>
      <c r="U370" s="143"/>
      <c r="V370" s="143"/>
      <c r="W370" s="17"/>
      <c r="X370" s="17"/>
      <c r="Y370" s="17"/>
      <c r="Z370" s="17"/>
      <c r="AA370" s="17"/>
      <c r="AB370" s="17"/>
    </row>
    <row r="371">
      <c r="A371" s="17"/>
      <c r="B371" s="17"/>
      <c r="C371" s="17"/>
      <c r="D371" s="17"/>
      <c r="E371" s="17"/>
      <c r="F371" s="288"/>
      <c r="G371" s="17"/>
      <c r="H371" s="17"/>
      <c r="I371" s="17"/>
      <c r="J371" s="17"/>
      <c r="K371" s="17"/>
      <c r="L371" s="17"/>
      <c r="M371" s="17"/>
      <c r="N371" s="17"/>
      <c r="O371" s="17"/>
      <c r="P371" s="17"/>
      <c r="Q371" s="17"/>
      <c r="R371" s="17"/>
      <c r="S371" s="143"/>
      <c r="T371" s="143"/>
      <c r="U371" s="143"/>
      <c r="V371" s="143"/>
      <c r="W371" s="17"/>
      <c r="X371" s="17"/>
      <c r="Y371" s="17"/>
      <c r="Z371" s="17"/>
      <c r="AA371" s="17"/>
      <c r="AB371" s="17"/>
    </row>
    <row r="372">
      <c r="A372" s="17"/>
      <c r="B372" s="17"/>
      <c r="C372" s="17"/>
      <c r="D372" s="17"/>
      <c r="E372" s="17"/>
      <c r="F372" s="288"/>
      <c r="G372" s="17"/>
      <c r="H372" s="17"/>
      <c r="I372" s="17"/>
      <c r="J372" s="17"/>
      <c r="K372" s="17"/>
      <c r="L372" s="17"/>
      <c r="M372" s="17"/>
      <c r="N372" s="17"/>
      <c r="O372" s="17"/>
      <c r="P372" s="17"/>
      <c r="Q372" s="17"/>
      <c r="R372" s="17"/>
      <c r="S372" s="143"/>
      <c r="T372" s="143"/>
      <c r="U372" s="143"/>
      <c r="V372" s="143"/>
      <c r="W372" s="17"/>
      <c r="X372" s="17"/>
      <c r="Y372" s="17"/>
      <c r="Z372" s="17"/>
      <c r="AA372" s="17"/>
      <c r="AB372" s="17"/>
    </row>
    <row r="373">
      <c r="A373" s="17"/>
      <c r="B373" s="17"/>
      <c r="C373" s="17"/>
      <c r="D373" s="17"/>
      <c r="E373" s="17"/>
      <c r="F373" s="288"/>
      <c r="G373" s="17"/>
      <c r="H373" s="17"/>
      <c r="I373" s="17"/>
      <c r="J373" s="17"/>
      <c r="K373" s="17"/>
      <c r="L373" s="17"/>
      <c r="M373" s="17"/>
      <c r="N373" s="17"/>
      <c r="O373" s="17"/>
      <c r="P373" s="17"/>
      <c r="Q373" s="17"/>
      <c r="R373" s="17"/>
      <c r="S373" s="143"/>
      <c r="T373" s="143"/>
      <c r="U373" s="143"/>
      <c r="V373" s="143"/>
      <c r="W373" s="17"/>
      <c r="X373" s="17"/>
      <c r="Y373" s="17"/>
      <c r="Z373" s="17"/>
      <c r="AA373" s="17"/>
      <c r="AB373" s="17"/>
    </row>
    <row r="374">
      <c r="A374" s="17"/>
      <c r="B374" s="17"/>
      <c r="C374" s="17"/>
      <c r="D374" s="17"/>
      <c r="E374" s="17"/>
      <c r="F374" s="288"/>
      <c r="G374" s="17"/>
      <c r="H374" s="17"/>
      <c r="I374" s="17"/>
      <c r="J374" s="17"/>
      <c r="K374" s="17"/>
      <c r="L374" s="17"/>
      <c r="M374" s="17"/>
      <c r="N374" s="17"/>
      <c r="O374" s="17"/>
      <c r="P374" s="17"/>
      <c r="Q374" s="17"/>
      <c r="R374" s="17"/>
      <c r="S374" s="143"/>
      <c r="T374" s="143"/>
      <c r="U374" s="143"/>
      <c r="V374" s="143"/>
      <c r="W374" s="17"/>
      <c r="X374" s="17"/>
      <c r="Y374" s="17"/>
      <c r="Z374" s="17"/>
      <c r="AA374" s="17"/>
      <c r="AB374" s="17"/>
    </row>
    <row r="375">
      <c r="A375" s="17"/>
      <c r="B375" s="17"/>
      <c r="C375" s="17"/>
      <c r="D375" s="17"/>
      <c r="E375" s="17"/>
      <c r="F375" s="288"/>
      <c r="G375" s="17"/>
      <c r="H375" s="17"/>
      <c r="I375" s="17"/>
      <c r="J375" s="17"/>
      <c r="K375" s="17"/>
      <c r="L375" s="17"/>
      <c r="M375" s="17"/>
      <c r="N375" s="17"/>
      <c r="O375" s="17"/>
      <c r="P375" s="17"/>
      <c r="Q375" s="17"/>
      <c r="R375" s="17"/>
      <c r="S375" s="143"/>
      <c r="T375" s="143"/>
      <c r="U375" s="143"/>
      <c r="V375" s="143"/>
      <c r="W375" s="17"/>
      <c r="X375" s="17"/>
      <c r="Y375" s="17"/>
      <c r="Z375" s="17"/>
      <c r="AA375" s="17"/>
      <c r="AB375" s="17"/>
    </row>
    <row r="376">
      <c r="A376" s="17"/>
      <c r="B376" s="17"/>
      <c r="C376" s="17"/>
      <c r="D376" s="17"/>
      <c r="E376" s="17"/>
      <c r="F376" s="288"/>
      <c r="G376" s="17"/>
      <c r="H376" s="17"/>
      <c r="I376" s="17"/>
      <c r="J376" s="17"/>
      <c r="K376" s="17"/>
      <c r="L376" s="17"/>
      <c r="M376" s="17"/>
      <c r="N376" s="17"/>
      <c r="O376" s="17"/>
      <c r="P376" s="17"/>
      <c r="Q376" s="17"/>
      <c r="R376" s="17"/>
      <c r="S376" s="143"/>
      <c r="T376" s="143"/>
      <c r="U376" s="143"/>
      <c r="V376" s="143"/>
      <c r="W376" s="17"/>
      <c r="X376" s="17"/>
      <c r="Y376" s="17"/>
      <c r="Z376" s="17"/>
      <c r="AA376" s="17"/>
      <c r="AB376" s="17"/>
    </row>
    <row r="377">
      <c r="A377" s="17"/>
      <c r="B377" s="17"/>
      <c r="C377" s="17"/>
      <c r="D377" s="17"/>
      <c r="E377" s="17"/>
      <c r="F377" s="288"/>
      <c r="G377" s="17"/>
      <c r="H377" s="17"/>
      <c r="I377" s="17"/>
      <c r="J377" s="17"/>
      <c r="K377" s="17"/>
      <c r="L377" s="17"/>
      <c r="M377" s="17"/>
      <c r="N377" s="17"/>
      <c r="O377" s="17"/>
      <c r="P377" s="17"/>
      <c r="Q377" s="17"/>
      <c r="R377" s="17"/>
      <c r="S377" s="143"/>
      <c r="T377" s="143"/>
      <c r="U377" s="143"/>
      <c r="V377" s="143"/>
      <c r="W377" s="17"/>
      <c r="X377" s="17"/>
      <c r="Y377" s="17"/>
      <c r="Z377" s="17"/>
      <c r="AA377" s="17"/>
      <c r="AB377" s="17"/>
    </row>
    <row r="378">
      <c r="A378" s="17"/>
      <c r="B378" s="17"/>
      <c r="C378" s="17"/>
      <c r="D378" s="17"/>
      <c r="E378" s="17"/>
      <c r="F378" s="288"/>
      <c r="G378" s="17"/>
      <c r="H378" s="17"/>
      <c r="I378" s="17"/>
      <c r="J378" s="17"/>
      <c r="K378" s="17"/>
      <c r="L378" s="17"/>
      <c r="M378" s="17"/>
      <c r="N378" s="17"/>
      <c r="O378" s="17"/>
      <c r="P378" s="17"/>
      <c r="Q378" s="17"/>
      <c r="R378" s="17"/>
      <c r="S378" s="143"/>
      <c r="T378" s="143"/>
      <c r="U378" s="143"/>
      <c r="V378" s="143"/>
      <c r="W378" s="17"/>
      <c r="X378" s="17"/>
      <c r="Y378" s="17"/>
      <c r="Z378" s="17"/>
      <c r="AA378" s="17"/>
      <c r="AB378" s="17"/>
    </row>
    <row r="379">
      <c r="A379" s="17"/>
      <c r="B379" s="17"/>
      <c r="C379" s="17"/>
      <c r="D379" s="17"/>
      <c r="E379" s="17"/>
      <c r="F379" s="288"/>
      <c r="G379" s="17"/>
      <c r="H379" s="17"/>
      <c r="I379" s="17"/>
      <c r="J379" s="17"/>
      <c r="K379" s="17"/>
      <c r="L379" s="17"/>
      <c r="M379" s="17"/>
      <c r="N379" s="17"/>
      <c r="O379" s="17"/>
      <c r="P379" s="17"/>
      <c r="Q379" s="17"/>
      <c r="R379" s="17"/>
      <c r="S379" s="143"/>
      <c r="T379" s="143"/>
      <c r="U379" s="143"/>
      <c r="V379" s="143"/>
      <c r="W379" s="17"/>
      <c r="X379" s="17"/>
      <c r="Y379" s="17"/>
      <c r="Z379" s="17"/>
      <c r="AA379" s="17"/>
      <c r="AB379" s="17"/>
    </row>
    <row r="380">
      <c r="A380" s="17"/>
      <c r="B380" s="17"/>
      <c r="C380" s="17"/>
      <c r="D380" s="17"/>
      <c r="E380" s="17"/>
      <c r="F380" s="288"/>
      <c r="G380" s="17"/>
      <c r="H380" s="17"/>
      <c r="I380" s="17"/>
      <c r="J380" s="17"/>
      <c r="K380" s="17"/>
      <c r="L380" s="17"/>
      <c r="M380" s="17"/>
      <c r="N380" s="17"/>
      <c r="O380" s="17"/>
      <c r="P380" s="17"/>
      <c r="Q380" s="17"/>
      <c r="R380" s="17"/>
      <c r="S380" s="143"/>
      <c r="T380" s="143"/>
      <c r="U380" s="143"/>
      <c r="V380" s="143"/>
      <c r="W380" s="17"/>
      <c r="X380" s="17"/>
      <c r="Y380" s="17"/>
      <c r="Z380" s="17"/>
      <c r="AA380" s="17"/>
      <c r="AB380" s="17"/>
    </row>
    <row r="381">
      <c r="A381" s="17"/>
      <c r="B381" s="17"/>
      <c r="C381" s="17"/>
      <c r="D381" s="17"/>
      <c r="E381" s="17"/>
      <c r="F381" s="288"/>
      <c r="G381" s="17"/>
      <c r="H381" s="17"/>
      <c r="I381" s="17"/>
      <c r="J381" s="17"/>
      <c r="K381" s="17"/>
      <c r="L381" s="17"/>
      <c r="M381" s="17"/>
      <c r="N381" s="17"/>
      <c r="O381" s="17"/>
      <c r="P381" s="17"/>
      <c r="Q381" s="17"/>
      <c r="R381" s="17"/>
      <c r="S381" s="143"/>
      <c r="T381" s="143"/>
      <c r="U381" s="143"/>
      <c r="V381" s="143"/>
      <c r="W381" s="17"/>
      <c r="X381" s="17"/>
      <c r="Y381" s="17"/>
      <c r="Z381" s="17"/>
      <c r="AA381" s="17"/>
      <c r="AB381" s="17"/>
    </row>
    <row r="382">
      <c r="A382" s="17"/>
      <c r="B382" s="17"/>
      <c r="C382" s="17"/>
      <c r="D382" s="17"/>
      <c r="E382" s="17"/>
      <c r="F382" s="288"/>
      <c r="G382" s="17"/>
      <c r="H382" s="17"/>
      <c r="I382" s="17"/>
      <c r="J382" s="17"/>
      <c r="K382" s="17"/>
      <c r="L382" s="17"/>
      <c r="M382" s="17"/>
      <c r="N382" s="17"/>
      <c r="O382" s="17"/>
      <c r="P382" s="17"/>
      <c r="Q382" s="17"/>
      <c r="R382" s="17"/>
      <c r="S382" s="143"/>
      <c r="T382" s="143"/>
      <c r="U382" s="143"/>
      <c r="V382" s="143"/>
      <c r="W382" s="17"/>
      <c r="X382" s="17"/>
      <c r="Y382" s="17"/>
      <c r="Z382" s="17"/>
      <c r="AA382" s="17"/>
      <c r="AB382" s="17"/>
    </row>
    <row r="383">
      <c r="A383" s="17"/>
      <c r="B383" s="17"/>
      <c r="C383" s="17"/>
      <c r="D383" s="17"/>
      <c r="E383" s="17"/>
      <c r="F383" s="288"/>
      <c r="G383" s="17"/>
      <c r="H383" s="17"/>
      <c r="I383" s="17"/>
      <c r="J383" s="17"/>
      <c r="K383" s="17"/>
      <c r="L383" s="17"/>
      <c r="M383" s="17"/>
      <c r="N383" s="17"/>
      <c r="O383" s="17"/>
      <c r="P383" s="17"/>
      <c r="Q383" s="17"/>
      <c r="R383" s="17"/>
      <c r="S383" s="143"/>
      <c r="T383" s="143"/>
      <c r="U383" s="143"/>
      <c r="V383" s="143"/>
      <c r="W383" s="17"/>
      <c r="X383" s="17"/>
      <c r="Y383" s="17"/>
      <c r="Z383" s="17"/>
      <c r="AA383" s="17"/>
      <c r="AB383" s="17"/>
    </row>
    <row r="384">
      <c r="A384" s="17"/>
      <c r="B384" s="17"/>
      <c r="C384" s="17"/>
      <c r="D384" s="17"/>
      <c r="E384" s="17"/>
      <c r="F384" s="288"/>
      <c r="G384" s="17"/>
      <c r="H384" s="17"/>
      <c r="I384" s="17"/>
      <c r="J384" s="17"/>
      <c r="K384" s="17"/>
      <c r="L384" s="17"/>
      <c r="M384" s="17"/>
      <c r="N384" s="17"/>
      <c r="O384" s="17"/>
      <c r="P384" s="17"/>
      <c r="Q384" s="17"/>
      <c r="R384" s="17"/>
      <c r="S384" s="143"/>
      <c r="T384" s="143"/>
      <c r="U384" s="143"/>
      <c r="V384" s="143"/>
      <c r="W384" s="17"/>
      <c r="X384" s="17"/>
      <c r="Y384" s="17"/>
      <c r="Z384" s="17"/>
      <c r="AA384" s="17"/>
      <c r="AB384" s="17"/>
    </row>
    <row r="385">
      <c r="A385" s="17"/>
      <c r="B385" s="17"/>
      <c r="C385" s="17"/>
      <c r="D385" s="17"/>
      <c r="E385" s="17"/>
      <c r="F385" s="288"/>
      <c r="G385" s="17"/>
      <c r="H385" s="17"/>
      <c r="I385" s="17"/>
      <c r="J385" s="17"/>
      <c r="K385" s="17"/>
      <c r="L385" s="17"/>
      <c r="M385" s="17"/>
      <c r="N385" s="17"/>
      <c r="O385" s="17"/>
      <c r="P385" s="17"/>
      <c r="Q385" s="17"/>
      <c r="R385" s="17"/>
      <c r="S385" s="143"/>
      <c r="T385" s="143"/>
      <c r="U385" s="143"/>
      <c r="V385" s="143"/>
      <c r="W385" s="17"/>
      <c r="X385" s="17"/>
      <c r="Y385" s="17"/>
      <c r="Z385" s="17"/>
      <c r="AA385" s="17"/>
      <c r="AB385" s="17"/>
    </row>
    <row r="386">
      <c r="A386" s="17"/>
      <c r="B386" s="17"/>
      <c r="C386" s="17"/>
      <c r="D386" s="17"/>
      <c r="E386" s="17"/>
      <c r="F386" s="288"/>
      <c r="G386" s="17"/>
      <c r="H386" s="17"/>
      <c r="I386" s="17"/>
      <c r="J386" s="17"/>
      <c r="K386" s="17"/>
      <c r="L386" s="17"/>
      <c r="M386" s="17"/>
      <c r="N386" s="17"/>
      <c r="O386" s="17"/>
      <c r="P386" s="17"/>
      <c r="Q386" s="17"/>
      <c r="R386" s="17"/>
      <c r="S386" s="143"/>
      <c r="T386" s="143"/>
      <c r="U386" s="143"/>
      <c r="V386" s="143"/>
      <c r="W386" s="17"/>
      <c r="X386" s="17"/>
      <c r="Y386" s="17"/>
      <c r="Z386" s="17"/>
      <c r="AA386" s="17"/>
      <c r="AB386" s="17"/>
    </row>
    <row r="387">
      <c r="A387" s="17"/>
      <c r="B387" s="17"/>
      <c r="C387" s="17"/>
      <c r="D387" s="17"/>
      <c r="E387" s="17"/>
      <c r="F387" s="288"/>
      <c r="G387" s="17"/>
      <c r="H387" s="17"/>
      <c r="I387" s="17"/>
      <c r="J387" s="17"/>
      <c r="K387" s="17"/>
      <c r="L387" s="17"/>
      <c r="M387" s="17"/>
      <c r="N387" s="17"/>
      <c r="O387" s="17"/>
      <c r="P387" s="17"/>
      <c r="Q387" s="17"/>
      <c r="R387" s="17"/>
      <c r="S387" s="143"/>
      <c r="T387" s="143"/>
      <c r="U387" s="143"/>
      <c r="V387" s="143"/>
      <c r="W387" s="17"/>
      <c r="X387" s="17"/>
      <c r="Y387" s="17"/>
      <c r="Z387" s="17"/>
      <c r="AA387" s="17"/>
      <c r="AB387" s="17"/>
    </row>
    <row r="388">
      <c r="A388" s="17"/>
      <c r="B388" s="17"/>
      <c r="C388" s="17"/>
      <c r="D388" s="17"/>
      <c r="E388" s="17"/>
      <c r="F388" s="288"/>
      <c r="G388" s="17"/>
      <c r="H388" s="17"/>
      <c r="I388" s="17"/>
      <c r="J388" s="17"/>
      <c r="K388" s="17"/>
      <c r="L388" s="17"/>
      <c r="M388" s="17"/>
      <c r="N388" s="17"/>
      <c r="O388" s="17"/>
      <c r="P388" s="17"/>
      <c r="Q388" s="17"/>
      <c r="R388" s="17"/>
      <c r="S388" s="143"/>
      <c r="T388" s="143"/>
      <c r="U388" s="143"/>
      <c r="V388" s="143"/>
      <c r="W388" s="17"/>
      <c r="X388" s="17"/>
      <c r="Y388" s="17"/>
      <c r="Z388" s="17"/>
      <c r="AA388" s="17"/>
      <c r="AB388" s="17"/>
    </row>
    <row r="389">
      <c r="A389" s="17"/>
      <c r="B389" s="17"/>
      <c r="C389" s="17"/>
      <c r="D389" s="17"/>
      <c r="E389" s="17"/>
      <c r="F389" s="288"/>
      <c r="G389" s="17"/>
      <c r="H389" s="17"/>
      <c r="I389" s="17"/>
      <c r="J389" s="17"/>
      <c r="K389" s="17"/>
      <c r="L389" s="17"/>
      <c r="M389" s="17"/>
      <c r="N389" s="17"/>
      <c r="O389" s="17"/>
      <c r="P389" s="17"/>
      <c r="Q389" s="17"/>
      <c r="R389" s="17"/>
      <c r="S389" s="143"/>
      <c r="T389" s="143"/>
      <c r="U389" s="143"/>
      <c r="V389" s="143"/>
      <c r="W389" s="17"/>
      <c r="X389" s="17"/>
      <c r="Y389" s="17"/>
      <c r="Z389" s="17"/>
      <c r="AA389" s="17"/>
      <c r="AB389" s="17"/>
    </row>
    <row r="390">
      <c r="A390" s="17"/>
      <c r="B390" s="17"/>
      <c r="C390" s="17"/>
      <c r="D390" s="17"/>
      <c r="E390" s="17"/>
      <c r="F390" s="288"/>
      <c r="G390" s="17"/>
      <c r="H390" s="17"/>
      <c r="I390" s="17"/>
      <c r="J390" s="17"/>
      <c r="K390" s="17"/>
      <c r="L390" s="17"/>
      <c r="M390" s="17"/>
      <c r="N390" s="17"/>
      <c r="O390" s="17"/>
      <c r="P390" s="17"/>
      <c r="Q390" s="17"/>
      <c r="R390" s="17"/>
      <c r="S390" s="143"/>
      <c r="T390" s="143"/>
      <c r="U390" s="143"/>
      <c r="V390" s="143"/>
      <c r="W390" s="17"/>
      <c r="X390" s="17"/>
      <c r="Y390" s="17"/>
      <c r="Z390" s="17"/>
      <c r="AA390" s="17"/>
      <c r="AB390" s="17"/>
    </row>
    <row r="391">
      <c r="A391" s="17"/>
      <c r="B391" s="17"/>
      <c r="C391" s="17"/>
      <c r="D391" s="17"/>
      <c r="E391" s="17"/>
      <c r="F391" s="288"/>
      <c r="G391" s="17"/>
      <c r="H391" s="17"/>
      <c r="I391" s="17"/>
      <c r="J391" s="17"/>
      <c r="K391" s="17"/>
      <c r="L391" s="17"/>
      <c r="M391" s="17"/>
      <c r="N391" s="17"/>
      <c r="O391" s="17"/>
      <c r="P391" s="17"/>
      <c r="Q391" s="17"/>
      <c r="R391" s="17"/>
      <c r="S391" s="143"/>
      <c r="T391" s="143"/>
      <c r="U391" s="143"/>
      <c r="V391" s="143"/>
      <c r="W391" s="17"/>
      <c r="X391" s="17"/>
      <c r="Y391" s="17"/>
      <c r="Z391" s="17"/>
      <c r="AA391" s="17"/>
      <c r="AB391" s="17"/>
    </row>
    <row r="392">
      <c r="A392" s="17"/>
      <c r="B392" s="17"/>
      <c r="C392" s="17"/>
      <c r="D392" s="17"/>
      <c r="E392" s="17"/>
      <c r="F392" s="288"/>
      <c r="G392" s="17"/>
      <c r="H392" s="17"/>
      <c r="I392" s="17"/>
      <c r="J392" s="17"/>
      <c r="K392" s="17"/>
      <c r="L392" s="17"/>
      <c r="M392" s="17"/>
      <c r="N392" s="17"/>
      <c r="O392" s="17"/>
      <c r="P392" s="17"/>
      <c r="Q392" s="17"/>
      <c r="R392" s="17"/>
      <c r="S392" s="143"/>
      <c r="T392" s="143"/>
      <c r="U392" s="143"/>
      <c r="V392" s="143"/>
      <c r="W392" s="17"/>
      <c r="X392" s="17"/>
      <c r="Y392" s="17"/>
      <c r="Z392" s="17"/>
      <c r="AA392" s="17"/>
      <c r="AB392" s="17"/>
    </row>
    <row r="393">
      <c r="A393" s="17"/>
      <c r="B393" s="17"/>
      <c r="C393" s="17"/>
      <c r="D393" s="17"/>
      <c r="E393" s="17"/>
      <c r="F393" s="288"/>
      <c r="G393" s="17"/>
      <c r="H393" s="17"/>
      <c r="I393" s="17"/>
      <c r="J393" s="17"/>
      <c r="K393" s="17"/>
      <c r="L393" s="17"/>
      <c r="M393" s="17"/>
      <c r="N393" s="17"/>
      <c r="O393" s="17"/>
      <c r="P393" s="17"/>
      <c r="Q393" s="17"/>
      <c r="R393" s="17"/>
      <c r="S393" s="143"/>
      <c r="T393" s="143"/>
      <c r="U393" s="143"/>
      <c r="V393" s="143"/>
      <c r="W393" s="17"/>
      <c r="X393" s="17"/>
      <c r="Y393" s="17"/>
      <c r="Z393" s="17"/>
      <c r="AA393" s="17"/>
      <c r="AB393" s="17"/>
    </row>
    <row r="394">
      <c r="A394" s="17"/>
      <c r="B394" s="17"/>
      <c r="C394" s="17"/>
      <c r="D394" s="17"/>
      <c r="E394" s="17"/>
      <c r="F394" s="288"/>
      <c r="G394" s="17"/>
      <c r="H394" s="17"/>
      <c r="I394" s="17"/>
      <c r="J394" s="17"/>
      <c r="K394" s="17"/>
      <c r="L394" s="17"/>
      <c r="M394" s="17"/>
      <c r="N394" s="17"/>
      <c r="O394" s="17"/>
      <c r="P394" s="17"/>
      <c r="Q394" s="17"/>
      <c r="R394" s="17"/>
      <c r="S394" s="143"/>
      <c r="T394" s="143"/>
      <c r="U394" s="143"/>
      <c r="V394" s="143"/>
      <c r="W394" s="17"/>
      <c r="X394" s="17"/>
      <c r="Y394" s="17"/>
      <c r="Z394" s="17"/>
      <c r="AA394" s="17"/>
      <c r="AB394" s="17"/>
    </row>
    <row r="395">
      <c r="A395" s="17"/>
      <c r="B395" s="17"/>
      <c r="C395" s="17"/>
      <c r="D395" s="17"/>
      <c r="E395" s="17"/>
      <c r="F395" s="288"/>
      <c r="G395" s="17"/>
      <c r="H395" s="17"/>
      <c r="I395" s="17"/>
      <c r="J395" s="17"/>
      <c r="K395" s="17"/>
      <c r="L395" s="17"/>
      <c r="M395" s="17"/>
      <c r="N395" s="17"/>
      <c r="O395" s="17"/>
      <c r="P395" s="17"/>
      <c r="Q395" s="17"/>
      <c r="R395" s="17"/>
      <c r="S395" s="143"/>
      <c r="T395" s="143"/>
      <c r="U395" s="143"/>
      <c r="V395" s="143"/>
      <c r="W395" s="17"/>
      <c r="X395" s="17"/>
      <c r="Y395" s="17"/>
      <c r="Z395" s="17"/>
      <c r="AA395" s="17"/>
      <c r="AB395" s="17"/>
    </row>
    <row r="396">
      <c r="A396" s="17"/>
      <c r="B396" s="17"/>
      <c r="C396" s="17"/>
      <c r="D396" s="17"/>
      <c r="E396" s="17"/>
      <c r="F396" s="288"/>
      <c r="G396" s="17"/>
      <c r="H396" s="17"/>
      <c r="I396" s="17"/>
      <c r="J396" s="17"/>
      <c r="K396" s="17"/>
      <c r="L396" s="17"/>
      <c r="M396" s="17"/>
      <c r="N396" s="17"/>
      <c r="O396" s="17"/>
      <c r="P396" s="17"/>
      <c r="Q396" s="17"/>
      <c r="R396" s="17"/>
      <c r="S396" s="143"/>
      <c r="T396" s="143"/>
      <c r="U396" s="143"/>
      <c r="V396" s="143"/>
      <c r="W396" s="17"/>
      <c r="X396" s="17"/>
      <c r="Y396" s="17"/>
      <c r="Z396" s="17"/>
      <c r="AA396" s="17"/>
      <c r="AB396" s="17"/>
    </row>
    <row r="397">
      <c r="A397" s="17"/>
      <c r="B397" s="17"/>
      <c r="C397" s="17"/>
      <c r="D397" s="17"/>
      <c r="E397" s="17"/>
      <c r="F397" s="288"/>
      <c r="G397" s="17"/>
      <c r="H397" s="17"/>
      <c r="I397" s="17"/>
      <c r="J397" s="17"/>
      <c r="K397" s="17"/>
      <c r="L397" s="17"/>
      <c r="M397" s="17"/>
      <c r="N397" s="17"/>
      <c r="O397" s="17"/>
      <c r="P397" s="17"/>
      <c r="Q397" s="17"/>
      <c r="R397" s="17"/>
      <c r="S397" s="143"/>
      <c r="T397" s="143"/>
      <c r="U397" s="143"/>
      <c r="V397" s="143"/>
      <c r="W397" s="17"/>
      <c r="X397" s="17"/>
      <c r="Y397" s="17"/>
      <c r="Z397" s="17"/>
      <c r="AA397" s="17"/>
      <c r="AB397" s="17"/>
    </row>
    <row r="398">
      <c r="A398" s="17"/>
      <c r="B398" s="17"/>
      <c r="C398" s="17"/>
      <c r="D398" s="17"/>
      <c r="E398" s="17"/>
      <c r="F398" s="288"/>
      <c r="G398" s="17"/>
      <c r="H398" s="17"/>
      <c r="I398" s="17"/>
      <c r="J398" s="17"/>
      <c r="K398" s="17"/>
      <c r="L398" s="17"/>
      <c r="M398" s="17"/>
      <c r="N398" s="17"/>
      <c r="O398" s="17"/>
      <c r="P398" s="17"/>
      <c r="Q398" s="17"/>
      <c r="R398" s="17"/>
      <c r="S398" s="143"/>
      <c r="T398" s="143"/>
      <c r="U398" s="143"/>
      <c r="V398" s="143"/>
      <c r="W398" s="17"/>
      <c r="X398" s="17"/>
      <c r="Y398" s="17"/>
      <c r="Z398" s="17"/>
      <c r="AA398" s="17"/>
      <c r="AB398" s="17"/>
    </row>
    <row r="399">
      <c r="A399" s="17"/>
      <c r="B399" s="17"/>
      <c r="C399" s="17"/>
      <c r="D399" s="17"/>
      <c r="E399" s="17"/>
      <c r="F399" s="288"/>
      <c r="G399" s="17"/>
      <c r="H399" s="17"/>
      <c r="I399" s="17"/>
      <c r="J399" s="17"/>
      <c r="K399" s="17"/>
      <c r="L399" s="17"/>
      <c r="M399" s="17"/>
      <c r="N399" s="17"/>
      <c r="O399" s="17"/>
      <c r="P399" s="17"/>
      <c r="Q399" s="17"/>
      <c r="R399" s="17"/>
      <c r="S399" s="143"/>
      <c r="T399" s="143"/>
      <c r="U399" s="143"/>
      <c r="V399" s="143"/>
      <c r="W399" s="17"/>
      <c r="X399" s="17"/>
      <c r="Y399" s="17"/>
      <c r="Z399" s="17"/>
      <c r="AA399" s="17"/>
      <c r="AB399" s="17"/>
    </row>
    <row r="400">
      <c r="A400" s="17"/>
      <c r="B400" s="17"/>
      <c r="C400" s="17"/>
      <c r="D400" s="17"/>
      <c r="E400" s="17"/>
      <c r="F400" s="288"/>
      <c r="G400" s="17"/>
      <c r="H400" s="17"/>
      <c r="I400" s="17"/>
      <c r="J400" s="17"/>
      <c r="K400" s="17"/>
      <c r="L400" s="17"/>
      <c r="M400" s="17"/>
      <c r="N400" s="17"/>
      <c r="O400" s="17"/>
      <c r="P400" s="17"/>
      <c r="Q400" s="17"/>
      <c r="R400" s="17"/>
      <c r="S400" s="143"/>
      <c r="T400" s="143"/>
      <c r="U400" s="143"/>
      <c r="V400" s="143"/>
      <c r="W400" s="17"/>
      <c r="X400" s="17"/>
      <c r="Y400" s="17"/>
      <c r="Z400" s="17"/>
      <c r="AA400" s="17"/>
      <c r="AB400" s="17"/>
    </row>
    <row r="401">
      <c r="A401" s="17"/>
      <c r="B401" s="17"/>
      <c r="C401" s="17"/>
      <c r="D401" s="17"/>
      <c r="E401" s="17"/>
      <c r="F401" s="288"/>
      <c r="G401" s="17"/>
      <c r="H401" s="17"/>
      <c r="I401" s="17"/>
      <c r="J401" s="17"/>
      <c r="K401" s="17"/>
      <c r="L401" s="17"/>
      <c r="M401" s="17"/>
      <c r="N401" s="17"/>
      <c r="O401" s="17"/>
      <c r="P401" s="17"/>
      <c r="Q401" s="17"/>
      <c r="R401" s="17"/>
      <c r="S401" s="143"/>
      <c r="T401" s="143"/>
      <c r="U401" s="143"/>
      <c r="V401" s="143"/>
      <c r="W401" s="17"/>
      <c r="X401" s="17"/>
      <c r="Y401" s="17"/>
      <c r="Z401" s="17"/>
      <c r="AA401" s="17"/>
      <c r="AB401" s="17"/>
    </row>
    <row r="402">
      <c r="A402" s="17"/>
      <c r="B402" s="17"/>
      <c r="C402" s="17"/>
      <c r="D402" s="17"/>
      <c r="E402" s="17"/>
      <c r="F402" s="288"/>
      <c r="G402" s="17"/>
      <c r="H402" s="17"/>
      <c r="I402" s="17"/>
      <c r="J402" s="17"/>
      <c r="K402" s="17"/>
      <c r="L402" s="17"/>
      <c r="M402" s="17"/>
      <c r="N402" s="17"/>
      <c r="O402" s="17"/>
      <c r="P402" s="17"/>
      <c r="Q402" s="17"/>
      <c r="R402" s="17"/>
      <c r="S402" s="143"/>
      <c r="T402" s="143"/>
      <c r="U402" s="143"/>
      <c r="V402" s="143"/>
      <c r="W402" s="17"/>
      <c r="X402" s="17"/>
      <c r="Y402" s="17"/>
      <c r="Z402" s="17"/>
      <c r="AA402" s="17"/>
      <c r="AB402" s="17"/>
    </row>
    <row r="403">
      <c r="A403" s="17"/>
      <c r="B403" s="17"/>
      <c r="C403" s="17"/>
      <c r="D403" s="17"/>
      <c r="E403" s="17"/>
      <c r="F403" s="288"/>
      <c r="G403" s="17"/>
      <c r="H403" s="17"/>
      <c r="I403" s="17"/>
      <c r="J403" s="17"/>
      <c r="K403" s="17"/>
      <c r="L403" s="17"/>
      <c r="M403" s="17"/>
      <c r="N403" s="17"/>
      <c r="O403" s="17"/>
      <c r="P403" s="17"/>
      <c r="Q403" s="17"/>
      <c r="R403" s="17"/>
      <c r="S403" s="143"/>
      <c r="T403" s="143"/>
      <c r="U403" s="143"/>
      <c r="V403" s="143"/>
      <c r="W403" s="17"/>
      <c r="X403" s="17"/>
      <c r="Y403" s="17"/>
      <c r="Z403" s="17"/>
      <c r="AA403" s="17"/>
      <c r="AB403" s="17"/>
    </row>
    <row r="404">
      <c r="A404" s="17"/>
      <c r="B404" s="17"/>
      <c r="C404" s="17"/>
      <c r="D404" s="17"/>
      <c r="E404" s="17"/>
      <c r="F404" s="288"/>
      <c r="G404" s="17"/>
      <c r="H404" s="17"/>
      <c r="I404" s="17"/>
      <c r="J404" s="17"/>
      <c r="K404" s="17"/>
      <c r="L404" s="17"/>
      <c r="M404" s="17"/>
      <c r="N404" s="17"/>
      <c r="O404" s="17"/>
      <c r="P404" s="17"/>
      <c r="Q404" s="17"/>
      <c r="R404" s="17"/>
      <c r="S404" s="143"/>
      <c r="T404" s="143"/>
      <c r="U404" s="143"/>
      <c r="V404" s="143"/>
      <c r="W404" s="17"/>
      <c r="X404" s="17"/>
      <c r="Y404" s="17"/>
      <c r="Z404" s="17"/>
      <c r="AA404" s="17"/>
      <c r="AB404" s="17"/>
    </row>
    <row r="405">
      <c r="A405" s="17"/>
      <c r="B405" s="17"/>
      <c r="C405" s="17"/>
      <c r="D405" s="17"/>
      <c r="E405" s="17"/>
      <c r="F405" s="288"/>
      <c r="G405" s="17"/>
      <c r="H405" s="17"/>
      <c r="I405" s="17"/>
      <c r="J405" s="17"/>
      <c r="K405" s="17"/>
      <c r="L405" s="17"/>
      <c r="M405" s="17"/>
      <c r="N405" s="17"/>
      <c r="O405" s="17"/>
      <c r="P405" s="17"/>
      <c r="Q405" s="17"/>
      <c r="R405" s="17"/>
      <c r="S405" s="143"/>
      <c r="T405" s="143"/>
      <c r="U405" s="143"/>
      <c r="V405" s="143"/>
      <c r="W405" s="17"/>
      <c r="X405" s="17"/>
      <c r="Y405" s="17"/>
      <c r="Z405" s="17"/>
      <c r="AA405" s="17"/>
      <c r="AB405" s="17"/>
    </row>
    <row r="406">
      <c r="A406" s="17"/>
      <c r="B406" s="17"/>
      <c r="C406" s="17"/>
      <c r="D406" s="17"/>
      <c r="E406" s="17"/>
      <c r="F406" s="288"/>
      <c r="G406" s="17"/>
      <c r="H406" s="17"/>
      <c r="I406" s="17"/>
      <c r="J406" s="17"/>
      <c r="K406" s="17"/>
      <c r="L406" s="17"/>
      <c r="M406" s="17"/>
      <c r="N406" s="17"/>
      <c r="O406" s="17"/>
      <c r="P406" s="17"/>
      <c r="Q406" s="17"/>
      <c r="R406" s="17"/>
      <c r="S406" s="143"/>
      <c r="T406" s="143"/>
      <c r="U406" s="143"/>
      <c r="V406" s="143"/>
      <c r="W406" s="17"/>
      <c r="X406" s="17"/>
      <c r="Y406" s="17"/>
      <c r="Z406" s="17"/>
      <c r="AA406" s="17"/>
      <c r="AB406" s="17"/>
    </row>
    <row r="407">
      <c r="A407" s="17"/>
      <c r="B407" s="17"/>
      <c r="C407" s="17"/>
      <c r="D407" s="17"/>
      <c r="E407" s="17"/>
      <c r="F407" s="288"/>
      <c r="G407" s="17"/>
      <c r="H407" s="17"/>
      <c r="I407" s="17"/>
      <c r="J407" s="17"/>
      <c r="K407" s="17"/>
      <c r="L407" s="17"/>
      <c r="M407" s="17"/>
      <c r="N407" s="17"/>
      <c r="O407" s="17"/>
      <c r="P407" s="17"/>
      <c r="Q407" s="17"/>
      <c r="R407" s="17"/>
      <c r="S407" s="143"/>
      <c r="T407" s="143"/>
      <c r="U407" s="143"/>
      <c r="V407" s="143"/>
      <c r="W407" s="17"/>
      <c r="X407" s="17"/>
      <c r="Y407" s="17"/>
      <c r="Z407" s="17"/>
      <c r="AA407" s="17"/>
      <c r="AB407" s="17"/>
    </row>
    <row r="408">
      <c r="A408" s="17"/>
      <c r="B408" s="17"/>
      <c r="C408" s="17"/>
      <c r="D408" s="17"/>
      <c r="E408" s="17"/>
      <c r="F408" s="288"/>
      <c r="G408" s="17"/>
      <c r="H408" s="17"/>
      <c r="I408" s="17"/>
      <c r="J408" s="17"/>
      <c r="K408" s="17"/>
      <c r="L408" s="17"/>
      <c r="M408" s="17"/>
      <c r="N408" s="17"/>
      <c r="O408" s="17"/>
      <c r="P408" s="17"/>
      <c r="Q408" s="17"/>
      <c r="R408" s="17"/>
      <c r="S408" s="143"/>
      <c r="T408" s="143"/>
      <c r="U408" s="143"/>
      <c r="V408" s="143"/>
      <c r="W408" s="17"/>
      <c r="X408" s="17"/>
      <c r="Y408" s="17"/>
      <c r="Z408" s="17"/>
      <c r="AA408" s="17"/>
      <c r="AB408" s="17"/>
    </row>
    <row r="409">
      <c r="A409" s="17"/>
      <c r="B409" s="17"/>
      <c r="C409" s="17"/>
      <c r="D409" s="17"/>
      <c r="E409" s="17"/>
      <c r="F409" s="288"/>
      <c r="G409" s="17"/>
      <c r="H409" s="17"/>
      <c r="I409" s="17"/>
      <c r="J409" s="17"/>
      <c r="K409" s="17"/>
      <c r="L409" s="17"/>
      <c r="M409" s="17"/>
      <c r="N409" s="17"/>
      <c r="O409" s="17"/>
      <c r="P409" s="17"/>
      <c r="Q409" s="17"/>
      <c r="R409" s="17"/>
      <c r="S409" s="143"/>
      <c r="T409" s="143"/>
      <c r="U409" s="143"/>
      <c r="V409" s="143"/>
      <c r="W409" s="17"/>
      <c r="X409" s="17"/>
      <c r="Y409" s="17"/>
      <c r="Z409" s="17"/>
      <c r="AA409" s="17"/>
      <c r="AB409" s="17"/>
    </row>
    <row r="410">
      <c r="A410" s="17"/>
      <c r="B410" s="17"/>
      <c r="C410" s="17"/>
      <c r="D410" s="17"/>
      <c r="E410" s="17"/>
      <c r="F410" s="288"/>
      <c r="G410" s="17"/>
      <c r="H410" s="17"/>
      <c r="I410" s="17"/>
      <c r="J410" s="17"/>
      <c r="K410" s="17"/>
      <c r="L410" s="17"/>
      <c r="M410" s="17"/>
      <c r="N410" s="17"/>
      <c r="O410" s="17"/>
      <c r="P410" s="17"/>
      <c r="Q410" s="17"/>
      <c r="R410" s="17"/>
      <c r="S410" s="143"/>
      <c r="T410" s="143"/>
      <c r="U410" s="143"/>
      <c r="V410" s="143"/>
      <c r="W410" s="17"/>
      <c r="X410" s="17"/>
      <c r="Y410" s="17"/>
      <c r="Z410" s="17"/>
      <c r="AA410" s="17"/>
      <c r="AB410" s="17"/>
    </row>
    <row r="411">
      <c r="A411" s="17"/>
      <c r="B411" s="17"/>
      <c r="C411" s="17"/>
      <c r="D411" s="17"/>
      <c r="E411" s="17"/>
      <c r="F411" s="288"/>
      <c r="G411" s="17"/>
      <c r="H411" s="17"/>
      <c r="I411" s="17"/>
      <c r="J411" s="17"/>
      <c r="K411" s="17"/>
      <c r="L411" s="17"/>
      <c r="M411" s="17"/>
      <c r="N411" s="17"/>
      <c r="O411" s="17"/>
      <c r="P411" s="17"/>
      <c r="Q411" s="17"/>
      <c r="R411" s="17"/>
      <c r="S411" s="143"/>
      <c r="T411" s="143"/>
      <c r="U411" s="143"/>
      <c r="V411" s="143"/>
      <c r="W411" s="17"/>
      <c r="X411" s="17"/>
      <c r="Y411" s="17"/>
      <c r="Z411" s="17"/>
      <c r="AA411" s="17"/>
      <c r="AB411" s="17"/>
    </row>
    <row r="412">
      <c r="A412" s="17"/>
      <c r="B412" s="17"/>
      <c r="C412" s="17"/>
      <c r="D412" s="17"/>
      <c r="E412" s="17"/>
      <c r="F412" s="288"/>
      <c r="G412" s="17"/>
      <c r="H412" s="17"/>
      <c r="I412" s="17"/>
      <c r="J412" s="17"/>
      <c r="K412" s="17"/>
      <c r="L412" s="17"/>
      <c r="M412" s="17"/>
      <c r="N412" s="17"/>
      <c r="O412" s="17"/>
      <c r="P412" s="17"/>
      <c r="Q412" s="17"/>
      <c r="R412" s="17"/>
      <c r="S412" s="143"/>
      <c r="T412" s="143"/>
      <c r="U412" s="143"/>
      <c r="V412" s="143"/>
      <c r="W412" s="17"/>
      <c r="X412" s="17"/>
      <c r="Y412" s="17"/>
      <c r="Z412" s="17"/>
      <c r="AA412" s="17"/>
      <c r="AB412" s="17"/>
    </row>
    <row r="413">
      <c r="A413" s="17"/>
      <c r="B413" s="17"/>
      <c r="C413" s="17"/>
      <c r="D413" s="17"/>
      <c r="E413" s="17"/>
      <c r="F413" s="288"/>
      <c r="G413" s="17"/>
      <c r="H413" s="17"/>
      <c r="I413" s="17"/>
      <c r="J413" s="17"/>
      <c r="K413" s="17"/>
      <c r="L413" s="17"/>
      <c r="M413" s="17"/>
      <c r="N413" s="17"/>
      <c r="O413" s="17"/>
      <c r="P413" s="17"/>
      <c r="Q413" s="17"/>
      <c r="R413" s="17"/>
      <c r="S413" s="143"/>
      <c r="T413" s="143"/>
      <c r="U413" s="143"/>
      <c r="V413" s="143"/>
      <c r="W413" s="17"/>
      <c r="X413" s="17"/>
      <c r="Y413" s="17"/>
      <c r="Z413" s="17"/>
      <c r="AA413" s="17"/>
      <c r="AB413" s="17"/>
    </row>
    <row r="414">
      <c r="A414" s="17"/>
      <c r="B414" s="17"/>
      <c r="C414" s="17"/>
      <c r="D414" s="17"/>
      <c r="E414" s="17"/>
      <c r="F414" s="288"/>
      <c r="G414" s="17"/>
      <c r="H414" s="17"/>
      <c r="I414" s="17"/>
      <c r="J414" s="17"/>
      <c r="K414" s="17"/>
      <c r="L414" s="17"/>
      <c r="M414" s="17"/>
      <c r="N414" s="17"/>
      <c r="O414" s="17"/>
      <c r="P414" s="17"/>
      <c r="Q414" s="17"/>
      <c r="R414" s="17"/>
      <c r="S414" s="143"/>
      <c r="T414" s="143"/>
      <c r="U414" s="143"/>
      <c r="V414" s="143"/>
      <c r="W414" s="17"/>
      <c r="X414" s="17"/>
      <c r="Y414" s="17"/>
      <c r="Z414" s="17"/>
      <c r="AA414" s="17"/>
      <c r="AB414" s="17"/>
    </row>
    <row r="415">
      <c r="A415" s="17"/>
      <c r="B415" s="17"/>
      <c r="C415" s="17"/>
      <c r="D415" s="17"/>
      <c r="E415" s="17"/>
      <c r="F415" s="288"/>
      <c r="G415" s="17"/>
      <c r="H415" s="17"/>
      <c r="I415" s="17"/>
      <c r="J415" s="17"/>
      <c r="K415" s="17"/>
      <c r="L415" s="17"/>
      <c r="M415" s="17"/>
      <c r="N415" s="17"/>
      <c r="O415" s="17"/>
      <c r="P415" s="17"/>
      <c r="Q415" s="17"/>
      <c r="R415" s="17"/>
      <c r="S415" s="143"/>
      <c r="T415" s="143"/>
      <c r="U415" s="143"/>
      <c r="V415" s="143"/>
      <c r="W415" s="17"/>
      <c r="X415" s="17"/>
      <c r="Y415" s="17"/>
      <c r="Z415" s="17"/>
      <c r="AA415" s="17"/>
      <c r="AB415" s="17"/>
    </row>
    <row r="416">
      <c r="A416" s="17"/>
      <c r="B416" s="17"/>
      <c r="C416" s="17"/>
      <c r="D416" s="17"/>
      <c r="E416" s="17"/>
      <c r="F416" s="288"/>
      <c r="G416" s="17"/>
      <c r="H416" s="17"/>
      <c r="I416" s="17"/>
      <c r="J416" s="17"/>
      <c r="K416" s="17"/>
      <c r="L416" s="17"/>
      <c r="M416" s="17"/>
      <c r="N416" s="17"/>
      <c r="O416" s="17"/>
      <c r="P416" s="17"/>
      <c r="Q416" s="17"/>
      <c r="R416" s="17"/>
      <c r="S416" s="143"/>
      <c r="T416" s="143"/>
      <c r="U416" s="143"/>
      <c r="V416" s="143"/>
      <c r="W416" s="17"/>
      <c r="X416" s="17"/>
      <c r="Y416" s="17"/>
      <c r="Z416" s="17"/>
      <c r="AA416" s="17"/>
      <c r="AB416" s="17"/>
    </row>
    <row r="417">
      <c r="A417" s="17"/>
      <c r="B417" s="17"/>
      <c r="C417" s="17"/>
      <c r="D417" s="17"/>
      <c r="E417" s="17"/>
      <c r="F417" s="288"/>
      <c r="G417" s="17"/>
      <c r="H417" s="17"/>
      <c r="I417" s="17"/>
      <c r="J417" s="17"/>
      <c r="K417" s="17"/>
      <c r="L417" s="17"/>
      <c r="M417" s="17"/>
      <c r="N417" s="17"/>
      <c r="O417" s="17"/>
      <c r="P417" s="17"/>
      <c r="Q417" s="17"/>
      <c r="R417" s="17"/>
      <c r="S417" s="143"/>
      <c r="T417" s="143"/>
      <c r="U417" s="143"/>
      <c r="V417" s="143"/>
      <c r="W417" s="17"/>
      <c r="X417" s="17"/>
      <c r="Y417" s="17"/>
      <c r="Z417" s="17"/>
      <c r="AA417" s="17"/>
      <c r="AB417" s="17"/>
    </row>
    <row r="418">
      <c r="A418" s="17"/>
      <c r="B418" s="17"/>
      <c r="C418" s="17"/>
      <c r="D418" s="17"/>
      <c r="E418" s="17"/>
      <c r="F418" s="288"/>
      <c r="G418" s="17"/>
      <c r="H418" s="17"/>
      <c r="I418" s="17"/>
      <c r="J418" s="17"/>
      <c r="K418" s="17"/>
      <c r="L418" s="17"/>
      <c r="M418" s="17"/>
      <c r="N418" s="17"/>
      <c r="O418" s="17"/>
      <c r="P418" s="17"/>
      <c r="Q418" s="17"/>
      <c r="R418" s="17"/>
      <c r="S418" s="143"/>
      <c r="T418" s="143"/>
      <c r="U418" s="143"/>
      <c r="V418" s="143"/>
      <c r="W418" s="17"/>
      <c r="X418" s="17"/>
      <c r="Y418" s="17"/>
      <c r="Z418" s="17"/>
      <c r="AA418" s="17"/>
      <c r="AB418" s="17"/>
    </row>
    <row r="419">
      <c r="A419" s="17"/>
      <c r="B419" s="17"/>
      <c r="C419" s="17"/>
      <c r="D419" s="17"/>
      <c r="E419" s="17"/>
      <c r="F419" s="288"/>
      <c r="G419" s="17"/>
      <c r="H419" s="17"/>
      <c r="I419" s="17"/>
      <c r="J419" s="17"/>
      <c r="K419" s="17"/>
      <c r="L419" s="17"/>
      <c r="M419" s="17"/>
      <c r="N419" s="17"/>
      <c r="O419" s="17"/>
      <c r="P419" s="17"/>
      <c r="Q419" s="17"/>
      <c r="R419" s="17"/>
      <c r="S419" s="143"/>
      <c r="T419" s="143"/>
      <c r="U419" s="143"/>
      <c r="V419" s="143"/>
      <c r="W419" s="17"/>
      <c r="X419" s="17"/>
      <c r="Y419" s="17"/>
      <c r="Z419" s="17"/>
      <c r="AA419" s="17"/>
      <c r="AB419" s="17"/>
    </row>
    <row r="420">
      <c r="A420" s="17"/>
      <c r="B420" s="17"/>
      <c r="C420" s="17"/>
      <c r="D420" s="17"/>
      <c r="E420" s="17"/>
      <c r="F420" s="288"/>
      <c r="G420" s="17"/>
      <c r="H420" s="17"/>
      <c r="I420" s="17"/>
      <c r="J420" s="17"/>
      <c r="K420" s="17"/>
      <c r="L420" s="17"/>
      <c r="M420" s="17"/>
      <c r="N420" s="17"/>
      <c r="O420" s="17"/>
      <c r="P420" s="17"/>
      <c r="Q420" s="17"/>
      <c r="R420" s="17"/>
      <c r="S420" s="143"/>
      <c r="T420" s="143"/>
      <c r="U420" s="143"/>
      <c r="V420" s="143"/>
      <c r="W420" s="17"/>
      <c r="X420" s="17"/>
      <c r="Y420" s="17"/>
      <c r="Z420" s="17"/>
      <c r="AA420" s="17"/>
      <c r="AB420" s="17"/>
    </row>
    <row r="421">
      <c r="A421" s="17"/>
      <c r="B421" s="17"/>
      <c r="C421" s="17"/>
      <c r="D421" s="17"/>
      <c r="E421" s="17"/>
      <c r="F421" s="288"/>
      <c r="G421" s="17"/>
      <c r="H421" s="17"/>
      <c r="I421" s="17"/>
      <c r="J421" s="17"/>
      <c r="K421" s="17"/>
      <c r="L421" s="17"/>
      <c r="M421" s="17"/>
      <c r="N421" s="17"/>
      <c r="O421" s="17"/>
      <c r="P421" s="17"/>
      <c r="Q421" s="17"/>
      <c r="R421" s="17"/>
      <c r="S421" s="143"/>
      <c r="T421" s="143"/>
      <c r="U421" s="143"/>
      <c r="V421" s="143"/>
      <c r="W421" s="17"/>
      <c r="X421" s="17"/>
      <c r="Y421" s="17"/>
      <c r="Z421" s="17"/>
      <c r="AA421" s="17"/>
      <c r="AB421" s="17"/>
    </row>
    <row r="422">
      <c r="A422" s="17"/>
      <c r="B422" s="17"/>
      <c r="C422" s="17"/>
      <c r="D422" s="17"/>
      <c r="E422" s="17"/>
      <c r="F422" s="288"/>
      <c r="G422" s="17"/>
      <c r="H422" s="17"/>
      <c r="I422" s="17"/>
      <c r="J422" s="17"/>
      <c r="K422" s="17"/>
      <c r="L422" s="17"/>
      <c r="M422" s="17"/>
      <c r="N422" s="17"/>
      <c r="O422" s="17"/>
      <c r="P422" s="17"/>
      <c r="Q422" s="17"/>
      <c r="R422" s="17"/>
      <c r="S422" s="143"/>
      <c r="T422" s="143"/>
      <c r="U422" s="143"/>
      <c r="V422" s="143"/>
      <c r="W422" s="17"/>
      <c r="X422" s="17"/>
      <c r="Y422" s="17"/>
      <c r="Z422" s="17"/>
      <c r="AA422" s="17"/>
      <c r="AB422" s="17"/>
    </row>
    <row r="423">
      <c r="A423" s="17"/>
      <c r="B423" s="17"/>
      <c r="C423" s="17"/>
      <c r="D423" s="17"/>
      <c r="E423" s="17"/>
      <c r="F423" s="288"/>
      <c r="G423" s="17"/>
      <c r="H423" s="17"/>
      <c r="I423" s="17"/>
      <c r="J423" s="17"/>
      <c r="K423" s="17"/>
      <c r="L423" s="17"/>
      <c r="M423" s="17"/>
      <c r="N423" s="17"/>
      <c r="O423" s="17"/>
      <c r="P423" s="17"/>
      <c r="Q423" s="17"/>
      <c r="R423" s="17"/>
      <c r="S423" s="143"/>
      <c r="T423" s="143"/>
      <c r="U423" s="143"/>
      <c r="V423" s="143"/>
      <c r="W423" s="17"/>
      <c r="X423" s="17"/>
      <c r="Y423" s="17"/>
      <c r="Z423" s="17"/>
      <c r="AA423" s="17"/>
      <c r="AB423" s="17"/>
    </row>
    <row r="424">
      <c r="A424" s="17"/>
      <c r="B424" s="17"/>
      <c r="C424" s="17"/>
      <c r="D424" s="17"/>
      <c r="E424" s="17"/>
      <c r="F424" s="288"/>
      <c r="G424" s="17"/>
      <c r="H424" s="17"/>
      <c r="I424" s="17"/>
      <c r="J424" s="17"/>
      <c r="K424" s="17"/>
      <c r="L424" s="17"/>
      <c r="M424" s="17"/>
      <c r="N424" s="17"/>
      <c r="O424" s="17"/>
      <c r="P424" s="17"/>
      <c r="Q424" s="17"/>
      <c r="R424" s="17"/>
      <c r="S424" s="143"/>
      <c r="T424" s="143"/>
      <c r="U424" s="143"/>
      <c r="V424" s="143"/>
      <c r="W424" s="17"/>
      <c r="X424" s="17"/>
      <c r="Y424" s="17"/>
      <c r="Z424" s="17"/>
      <c r="AA424" s="17"/>
      <c r="AB424" s="17"/>
    </row>
    <row r="425">
      <c r="A425" s="17"/>
      <c r="B425" s="17"/>
      <c r="C425" s="17"/>
      <c r="D425" s="17"/>
      <c r="E425" s="17"/>
      <c r="F425" s="288"/>
      <c r="G425" s="17"/>
      <c r="H425" s="17"/>
      <c r="I425" s="17"/>
      <c r="J425" s="17"/>
      <c r="K425" s="17"/>
      <c r="L425" s="17"/>
      <c r="M425" s="17"/>
      <c r="N425" s="17"/>
      <c r="O425" s="17"/>
      <c r="P425" s="17"/>
      <c r="Q425" s="17"/>
      <c r="R425" s="17"/>
      <c r="S425" s="143"/>
      <c r="T425" s="143"/>
      <c r="U425" s="143"/>
      <c r="V425" s="143"/>
      <c r="W425" s="17"/>
      <c r="X425" s="17"/>
      <c r="Y425" s="17"/>
      <c r="Z425" s="17"/>
      <c r="AA425" s="17"/>
      <c r="AB425" s="17"/>
    </row>
    <row r="426">
      <c r="A426" s="17"/>
      <c r="B426" s="17"/>
      <c r="C426" s="17"/>
      <c r="D426" s="17"/>
      <c r="E426" s="17"/>
      <c r="F426" s="288"/>
      <c r="G426" s="17"/>
      <c r="H426" s="17"/>
      <c r="I426" s="17"/>
      <c r="J426" s="17"/>
      <c r="K426" s="17"/>
      <c r="L426" s="17"/>
      <c r="M426" s="17"/>
      <c r="N426" s="17"/>
      <c r="O426" s="17"/>
      <c r="P426" s="17"/>
      <c r="Q426" s="17"/>
      <c r="R426" s="17"/>
      <c r="S426" s="143"/>
      <c r="T426" s="143"/>
      <c r="U426" s="143"/>
      <c r="V426" s="143"/>
      <c r="W426" s="17"/>
      <c r="X426" s="17"/>
      <c r="Y426" s="17"/>
      <c r="Z426" s="17"/>
      <c r="AA426" s="17"/>
      <c r="AB426" s="17"/>
    </row>
    <row r="427">
      <c r="A427" s="17"/>
      <c r="B427" s="17"/>
      <c r="C427" s="17"/>
      <c r="D427" s="17"/>
      <c r="E427" s="17"/>
      <c r="F427" s="288"/>
      <c r="G427" s="17"/>
      <c r="H427" s="17"/>
      <c r="I427" s="17"/>
      <c r="J427" s="17"/>
      <c r="K427" s="17"/>
      <c r="L427" s="17"/>
      <c r="M427" s="17"/>
      <c r="N427" s="17"/>
      <c r="O427" s="17"/>
      <c r="P427" s="17"/>
      <c r="Q427" s="17"/>
      <c r="R427" s="17"/>
      <c r="S427" s="143"/>
      <c r="T427" s="143"/>
      <c r="U427" s="143"/>
      <c r="V427" s="143"/>
      <c r="W427" s="17"/>
      <c r="X427" s="17"/>
      <c r="Y427" s="17"/>
      <c r="Z427" s="17"/>
      <c r="AA427" s="17"/>
      <c r="AB427" s="17"/>
    </row>
    <row r="428">
      <c r="A428" s="17"/>
      <c r="B428" s="17"/>
      <c r="C428" s="17"/>
      <c r="D428" s="17"/>
      <c r="E428" s="17"/>
      <c r="F428" s="288"/>
      <c r="G428" s="17"/>
      <c r="H428" s="17"/>
      <c r="I428" s="17"/>
      <c r="J428" s="17"/>
      <c r="K428" s="17"/>
      <c r="L428" s="17"/>
      <c r="M428" s="17"/>
      <c r="N428" s="17"/>
      <c r="O428" s="17"/>
      <c r="P428" s="17"/>
      <c r="Q428" s="17"/>
      <c r="R428" s="17"/>
      <c r="S428" s="143"/>
      <c r="T428" s="143"/>
      <c r="U428" s="143"/>
      <c r="V428" s="143"/>
      <c r="W428" s="17"/>
      <c r="X428" s="17"/>
      <c r="Y428" s="17"/>
      <c r="Z428" s="17"/>
      <c r="AA428" s="17"/>
      <c r="AB428" s="17"/>
    </row>
    <row r="429">
      <c r="A429" s="17"/>
      <c r="B429" s="17"/>
      <c r="C429" s="17"/>
      <c r="D429" s="17"/>
      <c r="E429" s="17"/>
      <c r="F429" s="288"/>
      <c r="G429" s="17"/>
      <c r="H429" s="17"/>
      <c r="I429" s="17"/>
      <c r="J429" s="17"/>
      <c r="K429" s="17"/>
      <c r="L429" s="17"/>
      <c r="M429" s="17"/>
      <c r="N429" s="17"/>
      <c r="O429" s="17"/>
      <c r="P429" s="17"/>
      <c r="Q429" s="17"/>
      <c r="R429" s="17"/>
      <c r="S429" s="143"/>
      <c r="T429" s="143"/>
      <c r="U429" s="143"/>
      <c r="V429" s="143"/>
      <c r="W429" s="17"/>
      <c r="X429" s="17"/>
      <c r="Y429" s="17"/>
      <c r="Z429" s="17"/>
      <c r="AA429" s="17"/>
      <c r="AB429" s="17"/>
    </row>
    <row r="430">
      <c r="A430" s="17"/>
      <c r="B430" s="17"/>
      <c r="C430" s="17"/>
      <c r="D430" s="17"/>
      <c r="E430" s="17"/>
      <c r="F430" s="288"/>
      <c r="G430" s="17"/>
      <c r="H430" s="17"/>
      <c r="I430" s="17"/>
      <c r="J430" s="17"/>
      <c r="K430" s="17"/>
      <c r="L430" s="17"/>
      <c r="M430" s="17"/>
      <c r="N430" s="17"/>
      <c r="O430" s="17"/>
      <c r="P430" s="17"/>
      <c r="Q430" s="17"/>
      <c r="R430" s="17"/>
      <c r="S430" s="143"/>
      <c r="T430" s="143"/>
      <c r="U430" s="143"/>
      <c r="V430" s="143"/>
      <c r="W430" s="17"/>
      <c r="X430" s="17"/>
      <c r="Y430" s="17"/>
      <c r="Z430" s="17"/>
      <c r="AA430" s="17"/>
      <c r="AB430" s="17"/>
    </row>
    <row r="431">
      <c r="A431" s="17"/>
      <c r="B431" s="17"/>
      <c r="C431" s="17"/>
      <c r="D431" s="17"/>
      <c r="E431" s="17"/>
      <c r="F431" s="288"/>
      <c r="G431" s="17"/>
      <c r="H431" s="17"/>
      <c r="I431" s="17"/>
      <c r="J431" s="17"/>
      <c r="K431" s="17"/>
      <c r="L431" s="17"/>
      <c r="M431" s="17"/>
      <c r="N431" s="17"/>
      <c r="O431" s="17"/>
      <c r="P431" s="17"/>
      <c r="Q431" s="17"/>
      <c r="R431" s="17"/>
      <c r="S431" s="143"/>
      <c r="T431" s="143"/>
      <c r="U431" s="143"/>
      <c r="V431" s="143"/>
      <c r="W431" s="17"/>
      <c r="X431" s="17"/>
      <c r="Y431" s="17"/>
      <c r="Z431" s="17"/>
      <c r="AA431" s="17"/>
      <c r="AB431" s="17"/>
    </row>
    <row r="432">
      <c r="A432" s="17"/>
      <c r="B432" s="17"/>
      <c r="C432" s="17"/>
      <c r="D432" s="17"/>
      <c r="E432" s="17"/>
      <c r="F432" s="288"/>
      <c r="G432" s="17"/>
      <c r="H432" s="17"/>
      <c r="I432" s="17"/>
      <c r="J432" s="17"/>
      <c r="K432" s="17"/>
      <c r="L432" s="17"/>
      <c r="M432" s="17"/>
      <c r="N432" s="17"/>
      <c r="O432" s="17"/>
      <c r="P432" s="17"/>
      <c r="Q432" s="17"/>
      <c r="R432" s="17"/>
      <c r="S432" s="143"/>
      <c r="T432" s="143"/>
      <c r="U432" s="143"/>
      <c r="V432" s="143"/>
      <c r="W432" s="17"/>
      <c r="X432" s="17"/>
      <c r="Y432" s="17"/>
      <c r="Z432" s="17"/>
      <c r="AA432" s="17"/>
      <c r="AB432" s="17"/>
    </row>
    <row r="433">
      <c r="A433" s="17"/>
      <c r="B433" s="17"/>
      <c r="C433" s="17"/>
      <c r="D433" s="17"/>
      <c r="E433" s="17"/>
      <c r="F433" s="288"/>
      <c r="G433" s="17"/>
      <c r="H433" s="17"/>
      <c r="I433" s="17"/>
      <c r="J433" s="17"/>
      <c r="K433" s="17"/>
      <c r="L433" s="17"/>
      <c r="M433" s="17"/>
      <c r="N433" s="17"/>
      <c r="O433" s="17"/>
      <c r="P433" s="17"/>
      <c r="Q433" s="17"/>
      <c r="R433" s="17"/>
      <c r="S433" s="143"/>
      <c r="T433" s="143"/>
      <c r="U433" s="143"/>
      <c r="V433" s="143"/>
      <c r="W433" s="17"/>
      <c r="X433" s="17"/>
      <c r="Y433" s="17"/>
      <c r="Z433" s="17"/>
      <c r="AA433" s="17"/>
      <c r="AB433" s="17"/>
    </row>
    <row r="434">
      <c r="A434" s="17"/>
      <c r="B434" s="17"/>
      <c r="C434" s="17"/>
      <c r="D434" s="17"/>
      <c r="E434" s="17"/>
      <c r="F434" s="288"/>
      <c r="G434" s="17"/>
      <c r="H434" s="17"/>
      <c r="I434" s="17"/>
      <c r="J434" s="17"/>
      <c r="K434" s="17"/>
      <c r="L434" s="17"/>
      <c r="M434" s="17"/>
      <c r="N434" s="17"/>
      <c r="O434" s="17"/>
      <c r="P434" s="17"/>
      <c r="Q434" s="17"/>
      <c r="R434" s="17"/>
      <c r="S434" s="143"/>
      <c r="T434" s="143"/>
      <c r="U434" s="143"/>
      <c r="V434" s="143"/>
      <c r="W434" s="17"/>
      <c r="X434" s="17"/>
      <c r="Y434" s="17"/>
      <c r="Z434" s="17"/>
      <c r="AA434" s="17"/>
      <c r="AB434" s="17"/>
    </row>
    <row r="435">
      <c r="A435" s="17"/>
      <c r="B435" s="17"/>
      <c r="C435" s="17"/>
      <c r="D435" s="17"/>
      <c r="E435" s="17"/>
      <c r="F435" s="288"/>
      <c r="G435" s="17"/>
      <c r="H435" s="17"/>
      <c r="I435" s="17"/>
      <c r="J435" s="17"/>
      <c r="K435" s="17"/>
      <c r="L435" s="17"/>
      <c r="M435" s="17"/>
      <c r="N435" s="17"/>
      <c r="O435" s="17"/>
      <c r="P435" s="17"/>
      <c r="Q435" s="17"/>
      <c r="R435" s="17"/>
      <c r="S435" s="143"/>
      <c r="T435" s="143"/>
      <c r="U435" s="143"/>
      <c r="V435" s="143"/>
      <c r="W435" s="17"/>
      <c r="X435" s="17"/>
      <c r="Y435" s="17"/>
      <c r="Z435" s="17"/>
      <c r="AA435" s="17"/>
      <c r="AB435" s="17"/>
    </row>
    <row r="436">
      <c r="A436" s="17"/>
      <c r="B436" s="17"/>
      <c r="C436" s="17"/>
      <c r="D436" s="17"/>
      <c r="E436" s="17"/>
      <c r="F436" s="288"/>
      <c r="G436" s="17"/>
      <c r="H436" s="17"/>
      <c r="I436" s="17"/>
      <c r="J436" s="17"/>
      <c r="K436" s="17"/>
      <c r="L436" s="17"/>
      <c r="M436" s="17"/>
      <c r="N436" s="17"/>
      <c r="O436" s="17"/>
      <c r="P436" s="17"/>
      <c r="Q436" s="17"/>
      <c r="R436" s="17"/>
      <c r="S436" s="143"/>
      <c r="T436" s="143"/>
      <c r="U436" s="143"/>
      <c r="V436" s="143"/>
      <c r="W436" s="17"/>
      <c r="X436" s="17"/>
      <c r="Y436" s="17"/>
      <c r="Z436" s="17"/>
      <c r="AA436" s="17"/>
      <c r="AB436" s="17"/>
    </row>
    <row r="437">
      <c r="A437" s="17"/>
      <c r="B437" s="17"/>
      <c r="C437" s="17"/>
      <c r="D437" s="17"/>
      <c r="E437" s="17"/>
      <c r="F437" s="288"/>
      <c r="G437" s="17"/>
      <c r="H437" s="17"/>
      <c r="I437" s="17"/>
      <c r="J437" s="17"/>
      <c r="K437" s="17"/>
      <c r="L437" s="17"/>
      <c r="M437" s="17"/>
      <c r="N437" s="17"/>
      <c r="O437" s="17"/>
      <c r="P437" s="17"/>
      <c r="Q437" s="17"/>
      <c r="R437" s="17"/>
      <c r="S437" s="143"/>
      <c r="T437" s="143"/>
      <c r="U437" s="143"/>
      <c r="V437" s="143"/>
      <c r="W437" s="17"/>
      <c r="X437" s="17"/>
      <c r="Y437" s="17"/>
      <c r="Z437" s="17"/>
      <c r="AA437" s="17"/>
      <c r="AB437" s="17"/>
    </row>
    <row r="438">
      <c r="A438" s="17"/>
      <c r="B438" s="17"/>
      <c r="C438" s="17"/>
      <c r="D438" s="17"/>
      <c r="E438" s="17"/>
      <c r="F438" s="288"/>
      <c r="G438" s="17"/>
      <c r="H438" s="17"/>
      <c r="I438" s="17"/>
      <c r="J438" s="17"/>
      <c r="K438" s="17"/>
      <c r="L438" s="17"/>
      <c r="M438" s="17"/>
      <c r="N438" s="17"/>
      <c r="O438" s="17"/>
      <c r="P438" s="17"/>
      <c r="Q438" s="17"/>
      <c r="R438" s="17"/>
      <c r="S438" s="143"/>
      <c r="T438" s="143"/>
      <c r="U438" s="143"/>
      <c r="V438" s="143"/>
      <c r="W438" s="17"/>
      <c r="X438" s="17"/>
      <c r="Y438" s="17"/>
      <c r="Z438" s="17"/>
      <c r="AA438" s="17"/>
      <c r="AB438" s="17"/>
    </row>
    <row r="439">
      <c r="A439" s="17"/>
      <c r="B439" s="17"/>
      <c r="C439" s="17"/>
      <c r="D439" s="17"/>
      <c r="E439" s="17"/>
      <c r="F439" s="288"/>
      <c r="G439" s="17"/>
      <c r="H439" s="17"/>
      <c r="I439" s="17"/>
      <c r="J439" s="17"/>
      <c r="K439" s="17"/>
      <c r="L439" s="17"/>
      <c r="M439" s="17"/>
      <c r="N439" s="17"/>
      <c r="O439" s="17"/>
      <c r="P439" s="17"/>
      <c r="Q439" s="17"/>
      <c r="R439" s="17"/>
      <c r="S439" s="143"/>
      <c r="T439" s="143"/>
      <c r="U439" s="143"/>
      <c r="V439" s="143"/>
      <c r="W439" s="17"/>
      <c r="X439" s="17"/>
      <c r="Y439" s="17"/>
      <c r="Z439" s="17"/>
      <c r="AA439" s="17"/>
      <c r="AB439" s="17"/>
    </row>
    <row r="440">
      <c r="A440" s="17"/>
      <c r="B440" s="17"/>
      <c r="C440" s="17"/>
      <c r="D440" s="17"/>
      <c r="E440" s="17"/>
      <c r="F440" s="288"/>
      <c r="G440" s="17"/>
      <c r="H440" s="17"/>
      <c r="I440" s="17"/>
      <c r="J440" s="17"/>
      <c r="K440" s="17"/>
      <c r="L440" s="17"/>
      <c r="M440" s="17"/>
      <c r="N440" s="17"/>
      <c r="O440" s="17"/>
      <c r="P440" s="17"/>
      <c r="Q440" s="17"/>
      <c r="R440" s="17"/>
      <c r="S440" s="143"/>
      <c r="T440" s="143"/>
      <c r="U440" s="143"/>
      <c r="V440" s="143"/>
      <c r="W440" s="17"/>
      <c r="X440" s="17"/>
      <c r="Y440" s="17"/>
      <c r="Z440" s="17"/>
      <c r="AA440" s="17"/>
      <c r="AB440" s="17"/>
    </row>
    <row r="441">
      <c r="A441" s="17"/>
      <c r="B441" s="17"/>
      <c r="C441" s="17"/>
      <c r="D441" s="17"/>
      <c r="E441" s="17"/>
      <c r="F441" s="288"/>
      <c r="G441" s="17"/>
      <c r="H441" s="17"/>
      <c r="I441" s="17"/>
      <c r="J441" s="17"/>
      <c r="K441" s="17"/>
      <c r="L441" s="17"/>
      <c r="M441" s="17"/>
      <c r="N441" s="17"/>
      <c r="O441" s="17"/>
      <c r="P441" s="17"/>
      <c r="Q441" s="17"/>
      <c r="R441" s="17"/>
      <c r="S441" s="143"/>
      <c r="T441" s="143"/>
      <c r="U441" s="143"/>
      <c r="V441" s="143"/>
      <c r="W441" s="17"/>
      <c r="X441" s="17"/>
      <c r="Y441" s="17"/>
      <c r="Z441" s="17"/>
      <c r="AA441" s="17"/>
      <c r="AB441" s="17"/>
    </row>
    <row r="442">
      <c r="A442" s="17"/>
      <c r="B442" s="17"/>
      <c r="C442" s="17"/>
      <c r="D442" s="17"/>
      <c r="E442" s="17"/>
      <c r="F442" s="288"/>
      <c r="G442" s="17"/>
      <c r="H442" s="17"/>
      <c r="I442" s="17"/>
      <c r="J442" s="17"/>
      <c r="K442" s="17"/>
      <c r="L442" s="17"/>
      <c r="M442" s="17"/>
      <c r="N442" s="17"/>
      <c r="O442" s="17"/>
      <c r="P442" s="17"/>
      <c r="Q442" s="17"/>
      <c r="R442" s="17"/>
      <c r="S442" s="143"/>
      <c r="T442" s="143"/>
      <c r="U442" s="143"/>
      <c r="V442" s="143"/>
      <c r="W442" s="17"/>
      <c r="X442" s="17"/>
      <c r="Y442" s="17"/>
      <c r="Z442" s="17"/>
      <c r="AA442" s="17"/>
      <c r="AB442" s="17"/>
    </row>
    <row r="443">
      <c r="A443" s="17"/>
      <c r="B443" s="17"/>
      <c r="C443" s="17"/>
      <c r="D443" s="17"/>
      <c r="E443" s="17"/>
      <c r="F443" s="288"/>
      <c r="G443" s="17"/>
      <c r="H443" s="17"/>
      <c r="I443" s="17"/>
      <c r="J443" s="17"/>
      <c r="K443" s="17"/>
      <c r="L443" s="17"/>
      <c r="M443" s="17"/>
      <c r="N443" s="17"/>
      <c r="O443" s="17"/>
      <c r="P443" s="17"/>
      <c r="Q443" s="17"/>
      <c r="R443" s="17"/>
      <c r="S443" s="143"/>
      <c r="T443" s="143"/>
      <c r="U443" s="143"/>
      <c r="V443" s="143"/>
      <c r="W443" s="17"/>
      <c r="X443" s="17"/>
      <c r="Y443" s="17"/>
      <c r="Z443" s="17"/>
      <c r="AA443" s="17"/>
      <c r="AB443" s="17"/>
    </row>
    <row r="444">
      <c r="A444" s="17"/>
      <c r="B444" s="17"/>
      <c r="C444" s="17"/>
      <c r="D444" s="17"/>
      <c r="E444" s="17"/>
      <c r="F444" s="288"/>
      <c r="G444" s="17"/>
      <c r="H444" s="17"/>
      <c r="I444" s="17"/>
      <c r="J444" s="17"/>
      <c r="K444" s="17"/>
      <c r="L444" s="17"/>
      <c r="M444" s="17"/>
      <c r="N444" s="17"/>
      <c r="O444" s="17"/>
      <c r="P444" s="17"/>
      <c r="Q444" s="17"/>
      <c r="R444" s="17"/>
      <c r="S444" s="143"/>
      <c r="T444" s="143"/>
      <c r="U444" s="143"/>
      <c r="V444" s="143"/>
      <c r="W444" s="17"/>
      <c r="X444" s="17"/>
      <c r="Y444" s="17"/>
      <c r="Z444" s="17"/>
      <c r="AA444" s="17"/>
      <c r="AB444" s="17"/>
    </row>
    <row r="445">
      <c r="A445" s="17"/>
      <c r="B445" s="17"/>
      <c r="C445" s="17"/>
      <c r="D445" s="17"/>
      <c r="E445" s="17"/>
      <c r="F445" s="288"/>
      <c r="G445" s="17"/>
      <c r="H445" s="17"/>
      <c r="I445" s="17"/>
      <c r="J445" s="17"/>
      <c r="K445" s="17"/>
      <c r="L445" s="17"/>
      <c r="M445" s="17"/>
      <c r="N445" s="17"/>
      <c r="O445" s="17"/>
      <c r="P445" s="17"/>
      <c r="Q445" s="17"/>
      <c r="R445" s="17"/>
      <c r="S445" s="143"/>
      <c r="T445" s="143"/>
      <c r="U445" s="143"/>
      <c r="V445" s="143"/>
      <c r="W445" s="17"/>
      <c r="X445" s="17"/>
      <c r="Y445" s="17"/>
      <c r="Z445" s="17"/>
      <c r="AA445" s="17"/>
      <c r="AB445" s="17"/>
    </row>
    <row r="446">
      <c r="A446" s="17"/>
      <c r="B446" s="17"/>
      <c r="C446" s="17"/>
      <c r="D446" s="17"/>
      <c r="E446" s="17"/>
      <c r="F446" s="288"/>
      <c r="G446" s="17"/>
      <c r="H446" s="17"/>
      <c r="I446" s="17"/>
      <c r="J446" s="17"/>
      <c r="K446" s="17"/>
      <c r="L446" s="17"/>
      <c r="M446" s="17"/>
      <c r="N446" s="17"/>
      <c r="O446" s="17"/>
      <c r="P446" s="17"/>
      <c r="Q446" s="17"/>
      <c r="R446" s="17"/>
      <c r="S446" s="143"/>
      <c r="T446" s="143"/>
      <c r="U446" s="143"/>
      <c r="V446" s="143"/>
      <c r="W446" s="17"/>
      <c r="X446" s="17"/>
      <c r="Y446" s="17"/>
      <c r="Z446" s="17"/>
      <c r="AA446" s="17"/>
      <c r="AB446" s="17"/>
    </row>
    <row r="447">
      <c r="A447" s="17"/>
      <c r="B447" s="17"/>
      <c r="C447" s="17"/>
      <c r="D447" s="17"/>
      <c r="E447" s="17"/>
      <c r="F447" s="288"/>
      <c r="G447" s="17"/>
      <c r="H447" s="17"/>
      <c r="I447" s="17"/>
      <c r="J447" s="17"/>
      <c r="K447" s="17"/>
      <c r="L447" s="17"/>
      <c r="M447" s="17"/>
      <c r="N447" s="17"/>
      <c r="O447" s="17"/>
      <c r="P447" s="17"/>
      <c r="Q447" s="17"/>
      <c r="R447" s="17"/>
      <c r="S447" s="143"/>
      <c r="T447" s="143"/>
      <c r="U447" s="143"/>
      <c r="V447" s="143"/>
      <c r="W447" s="17"/>
      <c r="X447" s="17"/>
      <c r="Y447" s="17"/>
      <c r="Z447" s="17"/>
      <c r="AA447" s="17"/>
      <c r="AB447" s="17"/>
    </row>
    <row r="448">
      <c r="A448" s="17"/>
      <c r="B448" s="17"/>
      <c r="C448" s="17"/>
      <c r="D448" s="17"/>
      <c r="E448" s="17"/>
      <c r="F448" s="288"/>
      <c r="G448" s="17"/>
      <c r="H448" s="17"/>
      <c r="I448" s="17"/>
      <c r="J448" s="17"/>
      <c r="K448" s="17"/>
      <c r="L448" s="17"/>
      <c r="M448" s="17"/>
      <c r="N448" s="17"/>
      <c r="O448" s="17"/>
      <c r="P448" s="17"/>
      <c r="Q448" s="17"/>
      <c r="R448" s="17"/>
      <c r="S448" s="143"/>
      <c r="T448" s="143"/>
      <c r="U448" s="143"/>
      <c r="V448" s="143"/>
      <c r="W448" s="17"/>
      <c r="X448" s="17"/>
      <c r="Y448" s="17"/>
      <c r="Z448" s="17"/>
      <c r="AA448" s="17"/>
      <c r="AB448" s="17"/>
    </row>
    <row r="449">
      <c r="A449" s="17"/>
      <c r="B449" s="17"/>
      <c r="C449" s="17"/>
      <c r="D449" s="17"/>
      <c r="E449" s="17"/>
      <c r="F449" s="288"/>
      <c r="G449" s="17"/>
      <c r="H449" s="17"/>
      <c r="I449" s="17"/>
      <c r="J449" s="17"/>
      <c r="K449" s="17"/>
      <c r="L449" s="17"/>
      <c r="M449" s="17"/>
      <c r="N449" s="17"/>
      <c r="O449" s="17"/>
      <c r="P449" s="17"/>
      <c r="Q449" s="17"/>
      <c r="R449" s="17"/>
      <c r="S449" s="143"/>
      <c r="T449" s="143"/>
      <c r="U449" s="143"/>
      <c r="V449" s="143"/>
      <c r="W449" s="17"/>
      <c r="X449" s="17"/>
      <c r="Y449" s="17"/>
      <c r="Z449" s="17"/>
      <c r="AA449" s="17"/>
      <c r="AB449" s="17"/>
    </row>
    <row r="450">
      <c r="A450" s="17"/>
      <c r="B450" s="17"/>
      <c r="C450" s="17"/>
      <c r="D450" s="17"/>
      <c r="E450" s="17"/>
      <c r="F450" s="288"/>
      <c r="G450" s="17"/>
      <c r="H450" s="17"/>
      <c r="I450" s="17"/>
      <c r="J450" s="17"/>
      <c r="K450" s="17"/>
      <c r="L450" s="17"/>
      <c r="M450" s="17"/>
      <c r="N450" s="17"/>
      <c r="O450" s="17"/>
      <c r="P450" s="17"/>
      <c r="Q450" s="17"/>
      <c r="R450" s="17"/>
      <c r="S450" s="143"/>
      <c r="T450" s="143"/>
      <c r="U450" s="143"/>
      <c r="V450" s="143"/>
      <c r="W450" s="17"/>
      <c r="X450" s="17"/>
      <c r="Y450" s="17"/>
      <c r="Z450" s="17"/>
      <c r="AA450" s="17"/>
      <c r="AB450" s="17"/>
    </row>
    <row r="451">
      <c r="A451" s="17"/>
      <c r="B451" s="17"/>
      <c r="C451" s="17"/>
      <c r="D451" s="17"/>
      <c r="E451" s="17"/>
      <c r="F451" s="288"/>
      <c r="G451" s="17"/>
      <c r="H451" s="17"/>
      <c r="I451" s="17"/>
      <c r="J451" s="17"/>
      <c r="K451" s="17"/>
      <c r="L451" s="17"/>
      <c r="M451" s="17"/>
      <c r="N451" s="17"/>
      <c r="O451" s="17"/>
      <c r="P451" s="17"/>
      <c r="Q451" s="17"/>
      <c r="R451" s="17"/>
      <c r="S451" s="143"/>
      <c r="T451" s="143"/>
      <c r="U451" s="143"/>
      <c r="V451" s="143"/>
      <c r="W451" s="17"/>
      <c r="X451" s="17"/>
      <c r="Y451" s="17"/>
      <c r="Z451" s="17"/>
      <c r="AA451" s="17"/>
      <c r="AB451" s="17"/>
    </row>
    <row r="452">
      <c r="A452" s="17"/>
      <c r="B452" s="17"/>
      <c r="C452" s="17"/>
      <c r="D452" s="17"/>
      <c r="E452" s="17"/>
      <c r="F452" s="288"/>
      <c r="G452" s="17"/>
      <c r="H452" s="17"/>
      <c r="I452" s="17"/>
      <c r="J452" s="17"/>
      <c r="K452" s="17"/>
      <c r="L452" s="17"/>
      <c r="M452" s="17"/>
      <c r="N452" s="17"/>
      <c r="O452" s="17"/>
      <c r="P452" s="17"/>
      <c r="Q452" s="17"/>
      <c r="R452" s="17"/>
      <c r="S452" s="143"/>
      <c r="T452" s="143"/>
      <c r="U452" s="143"/>
      <c r="V452" s="143"/>
      <c r="W452" s="17"/>
      <c r="X452" s="17"/>
      <c r="Y452" s="17"/>
      <c r="Z452" s="17"/>
      <c r="AA452" s="17"/>
      <c r="AB452" s="17"/>
    </row>
    <row r="453">
      <c r="A453" s="17"/>
      <c r="B453" s="17"/>
      <c r="C453" s="17"/>
      <c r="D453" s="17"/>
      <c r="E453" s="17"/>
      <c r="F453" s="288"/>
      <c r="G453" s="17"/>
      <c r="H453" s="17"/>
      <c r="I453" s="17"/>
      <c r="J453" s="17"/>
      <c r="K453" s="17"/>
      <c r="L453" s="17"/>
      <c r="M453" s="17"/>
      <c r="N453" s="17"/>
      <c r="O453" s="17"/>
      <c r="P453" s="17"/>
      <c r="Q453" s="17"/>
      <c r="R453" s="17"/>
      <c r="S453" s="143"/>
      <c r="T453" s="143"/>
      <c r="U453" s="143"/>
      <c r="V453" s="143"/>
      <c r="W453" s="17"/>
      <c r="X453" s="17"/>
      <c r="Y453" s="17"/>
      <c r="Z453" s="17"/>
      <c r="AA453" s="17"/>
      <c r="AB453" s="17"/>
    </row>
    <row r="454">
      <c r="A454" s="17"/>
      <c r="B454" s="17"/>
      <c r="C454" s="17"/>
      <c r="D454" s="17"/>
      <c r="E454" s="17"/>
      <c r="F454" s="288"/>
      <c r="G454" s="17"/>
      <c r="H454" s="17"/>
      <c r="I454" s="17"/>
      <c r="J454" s="17"/>
      <c r="K454" s="17"/>
      <c r="L454" s="17"/>
      <c r="M454" s="17"/>
      <c r="N454" s="17"/>
      <c r="O454" s="17"/>
      <c r="P454" s="17"/>
      <c r="Q454" s="17"/>
      <c r="R454" s="17"/>
      <c r="S454" s="143"/>
      <c r="T454" s="143"/>
      <c r="U454" s="143"/>
      <c r="V454" s="143"/>
      <c r="W454" s="17"/>
      <c r="X454" s="17"/>
      <c r="Y454" s="17"/>
      <c r="Z454" s="17"/>
      <c r="AA454" s="17"/>
      <c r="AB454" s="17"/>
    </row>
    <row r="455">
      <c r="A455" s="17"/>
      <c r="B455" s="17"/>
      <c r="C455" s="17"/>
      <c r="D455" s="17"/>
      <c r="E455" s="17"/>
      <c r="F455" s="288"/>
      <c r="G455" s="17"/>
      <c r="H455" s="17"/>
      <c r="I455" s="17"/>
      <c r="J455" s="17"/>
      <c r="K455" s="17"/>
      <c r="L455" s="17"/>
      <c r="M455" s="17"/>
      <c r="N455" s="17"/>
      <c r="O455" s="17"/>
      <c r="P455" s="17"/>
      <c r="Q455" s="17"/>
      <c r="R455" s="17"/>
      <c r="S455" s="143"/>
      <c r="T455" s="143"/>
      <c r="U455" s="143"/>
      <c r="V455" s="143"/>
      <c r="W455" s="17"/>
      <c r="X455" s="17"/>
      <c r="Y455" s="17"/>
      <c r="Z455" s="17"/>
      <c r="AA455" s="17"/>
      <c r="AB455" s="17"/>
    </row>
    <row r="456">
      <c r="A456" s="17"/>
      <c r="B456" s="17"/>
      <c r="C456" s="17"/>
      <c r="D456" s="17"/>
      <c r="E456" s="17"/>
      <c r="F456" s="288"/>
      <c r="G456" s="17"/>
      <c r="H456" s="17"/>
      <c r="I456" s="17"/>
      <c r="J456" s="17"/>
      <c r="K456" s="17"/>
      <c r="L456" s="17"/>
      <c r="M456" s="17"/>
      <c r="N456" s="17"/>
      <c r="O456" s="17"/>
      <c r="P456" s="17"/>
      <c r="Q456" s="17"/>
      <c r="R456" s="17"/>
      <c r="S456" s="143"/>
      <c r="T456" s="143"/>
      <c r="U456" s="143"/>
      <c r="V456" s="143"/>
      <c r="W456" s="17"/>
      <c r="X456" s="17"/>
      <c r="Y456" s="17"/>
      <c r="Z456" s="17"/>
      <c r="AA456" s="17"/>
      <c r="AB456" s="17"/>
    </row>
    <row r="457">
      <c r="A457" s="17"/>
      <c r="B457" s="17"/>
      <c r="C457" s="17"/>
      <c r="D457" s="17"/>
      <c r="E457" s="17"/>
      <c r="F457" s="288"/>
      <c r="G457" s="17"/>
      <c r="H457" s="17"/>
      <c r="I457" s="17"/>
      <c r="J457" s="17"/>
      <c r="K457" s="17"/>
      <c r="L457" s="17"/>
      <c r="M457" s="17"/>
      <c r="N457" s="17"/>
      <c r="O457" s="17"/>
      <c r="P457" s="17"/>
      <c r="Q457" s="17"/>
      <c r="R457" s="17"/>
      <c r="S457" s="143"/>
      <c r="T457" s="143"/>
      <c r="U457" s="143"/>
      <c r="V457" s="143"/>
      <c r="W457" s="17"/>
      <c r="X457" s="17"/>
      <c r="Y457" s="17"/>
      <c r="Z457" s="17"/>
      <c r="AA457" s="17"/>
      <c r="AB457" s="17"/>
    </row>
    <row r="458">
      <c r="A458" s="17"/>
      <c r="B458" s="17"/>
      <c r="C458" s="17"/>
      <c r="D458" s="17"/>
      <c r="E458" s="17"/>
      <c r="F458" s="288"/>
      <c r="G458" s="17"/>
      <c r="H458" s="17"/>
      <c r="I458" s="17"/>
      <c r="J458" s="17"/>
      <c r="K458" s="17"/>
      <c r="L458" s="17"/>
      <c r="M458" s="17"/>
      <c r="N458" s="17"/>
      <c r="O458" s="17"/>
      <c r="P458" s="17"/>
      <c r="Q458" s="17"/>
      <c r="R458" s="17"/>
      <c r="S458" s="143"/>
      <c r="T458" s="143"/>
      <c r="U458" s="143"/>
      <c r="V458" s="143"/>
      <c r="W458" s="17"/>
      <c r="X458" s="17"/>
      <c r="Y458" s="17"/>
      <c r="Z458" s="17"/>
      <c r="AA458" s="17"/>
      <c r="AB458" s="17"/>
    </row>
    <row r="459">
      <c r="A459" s="17"/>
      <c r="B459" s="17"/>
      <c r="C459" s="17"/>
      <c r="D459" s="17"/>
      <c r="E459" s="17"/>
      <c r="F459" s="288"/>
      <c r="G459" s="17"/>
      <c r="H459" s="17"/>
      <c r="I459" s="17"/>
      <c r="J459" s="17"/>
      <c r="K459" s="17"/>
      <c r="L459" s="17"/>
      <c r="M459" s="17"/>
      <c r="N459" s="17"/>
      <c r="O459" s="17"/>
      <c r="P459" s="17"/>
      <c r="Q459" s="17"/>
      <c r="R459" s="17"/>
      <c r="S459" s="143"/>
      <c r="T459" s="143"/>
      <c r="U459" s="143"/>
      <c r="V459" s="143"/>
      <c r="W459" s="17"/>
      <c r="X459" s="17"/>
      <c r="Y459" s="17"/>
      <c r="Z459" s="17"/>
      <c r="AA459" s="17"/>
      <c r="AB459" s="17"/>
    </row>
    <row r="460">
      <c r="A460" s="17"/>
      <c r="B460" s="17"/>
      <c r="C460" s="17"/>
      <c r="D460" s="17"/>
      <c r="E460" s="17"/>
      <c r="F460" s="288"/>
      <c r="G460" s="17"/>
      <c r="H460" s="17"/>
      <c r="I460" s="17"/>
      <c r="J460" s="17"/>
      <c r="K460" s="17"/>
      <c r="L460" s="17"/>
      <c r="M460" s="17"/>
      <c r="N460" s="17"/>
      <c r="O460" s="17"/>
      <c r="P460" s="17"/>
      <c r="Q460" s="17"/>
      <c r="R460" s="17"/>
      <c r="S460" s="143"/>
      <c r="T460" s="143"/>
      <c r="U460" s="143"/>
      <c r="V460" s="143"/>
      <c r="W460" s="17"/>
      <c r="X460" s="17"/>
      <c r="Y460" s="17"/>
      <c r="Z460" s="17"/>
      <c r="AA460" s="17"/>
      <c r="AB460" s="17"/>
    </row>
    <row r="461">
      <c r="A461" s="17"/>
      <c r="B461" s="17"/>
      <c r="C461" s="17"/>
      <c r="D461" s="17"/>
      <c r="E461" s="17"/>
      <c r="F461" s="288"/>
      <c r="G461" s="17"/>
      <c r="H461" s="17"/>
      <c r="I461" s="17"/>
      <c r="J461" s="17"/>
      <c r="K461" s="17"/>
      <c r="L461" s="17"/>
      <c r="M461" s="17"/>
      <c r="N461" s="17"/>
      <c r="O461" s="17"/>
      <c r="P461" s="17"/>
      <c r="Q461" s="17"/>
      <c r="R461" s="17"/>
      <c r="S461" s="143"/>
      <c r="T461" s="143"/>
      <c r="U461" s="143"/>
      <c r="V461" s="143"/>
      <c r="W461" s="17"/>
      <c r="X461" s="17"/>
      <c r="Y461" s="17"/>
      <c r="Z461" s="17"/>
      <c r="AA461" s="17"/>
      <c r="AB461" s="17"/>
    </row>
    <row r="462">
      <c r="A462" s="17"/>
      <c r="B462" s="17"/>
      <c r="C462" s="17"/>
      <c r="D462" s="17"/>
      <c r="E462" s="17"/>
      <c r="F462" s="288"/>
      <c r="G462" s="17"/>
      <c r="H462" s="17"/>
      <c r="I462" s="17"/>
      <c r="J462" s="17"/>
      <c r="K462" s="17"/>
      <c r="L462" s="17"/>
      <c r="M462" s="17"/>
      <c r="N462" s="17"/>
      <c r="O462" s="17"/>
      <c r="P462" s="17"/>
      <c r="Q462" s="17"/>
      <c r="R462" s="17"/>
      <c r="S462" s="143"/>
      <c r="T462" s="143"/>
      <c r="U462" s="143"/>
      <c r="V462" s="143"/>
      <c r="W462" s="17"/>
      <c r="X462" s="17"/>
      <c r="Y462" s="17"/>
      <c r="Z462" s="17"/>
      <c r="AA462" s="17"/>
      <c r="AB462" s="17"/>
    </row>
    <row r="463">
      <c r="A463" s="17"/>
      <c r="B463" s="17"/>
      <c r="C463" s="17"/>
      <c r="D463" s="17"/>
      <c r="E463" s="17"/>
      <c r="F463" s="288"/>
      <c r="G463" s="17"/>
      <c r="H463" s="17"/>
      <c r="I463" s="17"/>
      <c r="J463" s="17"/>
      <c r="K463" s="17"/>
      <c r="L463" s="17"/>
      <c r="M463" s="17"/>
      <c r="N463" s="17"/>
      <c r="O463" s="17"/>
      <c r="P463" s="17"/>
      <c r="Q463" s="17"/>
      <c r="R463" s="17"/>
      <c r="S463" s="143"/>
      <c r="T463" s="143"/>
      <c r="U463" s="143"/>
      <c r="V463" s="143"/>
      <c r="W463" s="17"/>
      <c r="X463" s="17"/>
      <c r="Y463" s="17"/>
      <c r="Z463" s="17"/>
      <c r="AA463" s="17"/>
      <c r="AB463" s="17"/>
    </row>
    <row r="464">
      <c r="A464" s="17"/>
      <c r="B464" s="17"/>
      <c r="C464" s="17"/>
      <c r="D464" s="17"/>
      <c r="E464" s="17"/>
      <c r="F464" s="288"/>
      <c r="G464" s="17"/>
      <c r="H464" s="17"/>
      <c r="I464" s="17"/>
      <c r="J464" s="17"/>
      <c r="K464" s="17"/>
      <c r="L464" s="17"/>
      <c r="M464" s="17"/>
      <c r="N464" s="17"/>
      <c r="O464" s="17"/>
      <c r="P464" s="17"/>
      <c r="Q464" s="17"/>
      <c r="R464" s="17"/>
      <c r="S464" s="143"/>
      <c r="T464" s="143"/>
      <c r="U464" s="143"/>
      <c r="V464" s="143"/>
      <c r="W464" s="17"/>
      <c r="X464" s="17"/>
      <c r="Y464" s="17"/>
      <c r="Z464" s="17"/>
      <c r="AA464" s="17"/>
      <c r="AB464" s="17"/>
    </row>
    <row r="465">
      <c r="A465" s="17"/>
      <c r="B465" s="17"/>
      <c r="C465" s="17"/>
      <c r="D465" s="17"/>
      <c r="E465" s="17"/>
      <c r="F465" s="288"/>
      <c r="G465" s="17"/>
      <c r="H465" s="17"/>
      <c r="I465" s="17"/>
      <c r="J465" s="17"/>
      <c r="K465" s="17"/>
      <c r="L465" s="17"/>
      <c r="M465" s="17"/>
      <c r="N465" s="17"/>
      <c r="O465" s="17"/>
      <c r="P465" s="17"/>
      <c r="Q465" s="17"/>
      <c r="R465" s="17"/>
      <c r="S465" s="143"/>
      <c r="T465" s="143"/>
      <c r="U465" s="143"/>
      <c r="V465" s="143"/>
      <c r="W465" s="17"/>
      <c r="X465" s="17"/>
      <c r="Y465" s="17"/>
      <c r="Z465" s="17"/>
      <c r="AA465" s="17"/>
      <c r="AB465" s="17"/>
    </row>
    <row r="466">
      <c r="A466" s="17"/>
      <c r="B466" s="17"/>
      <c r="C466" s="17"/>
      <c r="D466" s="17"/>
      <c r="E466" s="17"/>
      <c r="F466" s="288"/>
      <c r="G466" s="17"/>
      <c r="H466" s="17"/>
      <c r="I466" s="17"/>
      <c r="J466" s="17"/>
      <c r="K466" s="17"/>
      <c r="L466" s="17"/>
      <c r="M466" s="17"/>
      <c r="N466" s="17"/>
      <c r="O466" s="17"/>
      <c r="P466" s="17"/>
      <c r="Q466" s="17"/>
      <c r="R466" s="17"/>
      <c r="S466" s="143"/>
      <c r="T466" s="143"/>
      <c r="U466" s="143"/>
      <c r="V466" s="143"/>
      <c r="W466" s="17"/>
      <c r="X466" s="17"/>
      <c r="Y466" s="17"/>
      <c r="Z466" s="17"/>
      <c r="AA466" s="17"/>
      <c r="AB466" s="17"/>
    </row>
    <row r="467">
      <c r="A467" s="17"/>
      <c r="B467" s="17"/>
      <c r="C467" s="17"/>
      <c r="D467" s="17"/>
      <c r="E467" s="17"/>
      <c r="F467" s="288"/>
      <c r="G467" s="17"/>
      <c r="H467" s="17"/>
      <c r="I467" s="17"/>
      <c r="J467" s="17"/>
      <c r="K467" s="17"/>
      <c r="L467" s="17"/>
      <c r="M467" s="17"/>
      <c r="N467" s="17"/>
      <c r="O467" s="17"/>
      <c r="P467" s="17"/>
      <c r="Q467" s="17"/>
      <c r="R467" s="17"/>
      <c r="S467" s="143"/>
      <c r="T467" s="143"/>
      <c r="U467" s="143"/>
      <c r="V467" s="143"/>
      <c r="W467" s="17"/>
      <c r="X467" s="17"/>
      <c r="Y467" s="17"/>
      <c r="Z467" s="17"/>
      <c r="AA467" s="17"/>
      <c r="AB467" s="17"/>
    </row>
    <row r="468">
      <c r="A468" s="17"/>
      <c r="B468" s="17"/>
      <c r="C468" s="17"/>
      <c r="D468" s="17"/>
      <c r="E468" s="17"/>
      <c r="F468" s="288"/>
      <c r="G468" s="17"/>
      <c r="H468" s="17"/>
      <c r="I468" s="17"/>
      <c r="J468" s="17"/>
      <c r="K468" s="17"/>
      <c r="L468" s="17"/>
      <c r="M468" s="17"/>
      <c r="N468" s="17"/>
      <c r="O468" s="17"/>
      <c r="P468" s="17"/>
      <c r="Q468" s="17"/>
      <c r="R468" s="17"/>
      <c r="S468" s="143"/>
      <c r="T468" s="143"/>
      <c r="U468" s="143"/>
      <c r="V468" s="143"/>
      <c r="W468" s="17"/>
      <c r="X468" s="17"/>
      <c r="Y468" s="17"/>
      <c r="Z468" s="17"/>
      <c r="AA468" s="17"/>
      <c r="AB468" s="17"/>
    </row>
    <row r="469">
      <c r="A469" s="17"/>
      <c r="B469" s="17"/>
      <c r="C469" s="17"/>
      <c r="D469" s="17"/>
      <c r="E469" s="17"/>
      <c r="F469" s="288"/>
      <c r="G469" s="17"/>
      <c r="H469" s="17"/>
      <c r="I469" s="17"/>
      <c r="J469" s="17"/>
      <c r="K469" s="17"/>
      <c r="L469" s="17"/>
      <c r="M469" s="17"/>
      <c r="N469" s="17"/>
      <c r="O469" s="17"/>
      <c r="P469" s="17"/>
      <c r="Q469" s="17"/>
      <c r="R469" s="17"/>
      <c r="S469" s="143"/>
      <c r="T469" s="143"/>
      <c r="U469" s="143"/>
      <c r="V469" s="143"/>
      <c r="W469" s="17"/>
      <c r="X469" s="17"/>
      <c r="Y469" s="17"/>
      <c r="Z469" s="17"/>
      <c r="AA469" s="17"/>
      <c r="AB469" s="17"/>
    </row>
    <row r="470">
      <c r="A470" s="17"/>
      <c r="B470" s="17"/>
      <c r="C470" s="17"/>
      <c r="D470" s="17"/>
      <c r="E470" s="17"/>
      <c r="F470" s="288"/>
      <c r="G470" s="17"/>
      <c r="H470" s="17"/>
      <c r="I470" s="17"/>
      <c r="J470" s="17"/>
      <c r="K470" s="17"/>
      <c r="L470" s="17"/>
      <c r="M470" s="17"/>
      <c r="N470" s="17"/>
      <c r="O470" s="17"/>
      <c r="P470" s="17"/>
      <c r="Q470" s="17"/>
      <c r="R470" s="17"/>
      <c r="S470" s="143"/>
      <c r="T470" s="143"/>
      <c r="U470" s="143"/>
      <c r="V470" s="143"/>
      <c r="W470" s="17"/>
      <c r="X470" s="17"/>
      <c r="Y470" s="17"/>
      <c r="Z470" s="17"/>
      <c r="AA470" s="17"/>
      <c r="AB470" s="17"/>
    </row>
    <row r="471">
      <c r="A471" s="17"/>
      <c r="B471" s="17"/>
      <c r="C471" s="17"/>
      <c r="D471" s="17"/>
      <c r="E471" s="17"/>
      <c r="F471" s="288"/>
      <c r="G471" s="17"/>
      <c r="H471" s="17"/>
      <c r="I471" s="17"/>
      <c r="J471" s="17"/>
      <c r="K471" s="17"/>
      <c r="L471" s="17"/>
      <c r="M471" s="17"/>
      <c r="N471" s="17"/>
      <c r="O471" s="17"/>
      <c r="P471" s="17"/>
      <c r="Q471" s="17"/>
      <c r="R471" s="17"/>
      <c r="S471" s="143"/>
      <c r="T471" s="143"/>
      <c r="U471" s="143"/>
      <c r="V471" s="143"/>
      <c r="W471" s="17"/>
      <c r="X471" s="17"/>
      <c r="Y471" s="17"/>
      <c r="Z471" s="17"/>
      <c r="AA471" s="17"/>
      <c r="AB471" s="17"/>
    </row>
    <row r="472">
      <c r="A472" s="17"/>
      <c r="B472" s="17"/>
      <c r="C472" s="17"/>
      <c r="D472" s="17"/>
      <c r="E472" s="17"/>
      <c r="F472" s="288"/>
      <c r="G472" s="17"/>
      <c r="H472" s="17"/>
      <c r="I472" s="17"/>
      <c r="J472" s="17"/>
      <c r="K472" s="17"/>
      <c r="L472" s="17"/>
      <c r="M472" s="17"/>
      <c r="N472" s="17"/>
      <c r="O472" s="17"/>
      <c r="P472" s="17"/>
      <c r="Q472" s="17"/>
      <c r="R472" s="17"/>
      <c r="S472" s="143"/>
      <c r="T472" s="143"/>
      <c r="U472" s="143"/>
      <c r="V472" s="143"/>
      <c r="W472" s="17"/>
      <c r="X472" s="17"/>
      <c r="Y472" s="17"/>
      <c r="Z472" s="17"/>
      <c r="AA472" s="17"/>
      <c r="AB472" s="17"/>
    </row>
    <row r="473">
      <c r="A473" s="17"/>
      <c r="B473" s="17"/>
      <c r="C473" s="17"/>
      <c r="D473" s="17"/>
      <c r="E473" s="17"/>
      <c r="F473" s="288"/>
      <c r="G473" s="17"/>
      <c r="H473" s="17"/>
      <c r="I473" s="17"/>
      <c r="J473" s="17"/>
      <c r="K473" s="17"/>
      <c r="L473" s="17"/>
      <c r="M473" s="17"/>
      <c r="N473" s="17"/>
      <c r="O473" s="17"/>
      <c r="P473" s="17"/>
      <c r="Q473" s="17"/>
      <c r="R473" s="17"/>
      <c r="S473" s="143"/>
      <c r="T473" s="143"/>
      <c r="U473" s="143"/>
      <c r="V473" s="143"/>
      <c r="W473" s="17"/>
      <c r="X473" s="17"/>
      <c r="Y473" s="17"/>
      <c r="Z473" s="17"/>
      <c r="AA473" s="17"/>
      <c r="AB473" s="17"/>
    </row>
    <row r="474">
      <c r="A474" s="17"/>
      <c r="B474" s="17"/>
      <c r="C474" s="17"/>
      <c r="D474" s="17"/>
      <c r="E474" s="17"/>
      <c r="F474" s="288"/>
      <c r="G474" s="17"/>
      <c r="H474" s="17"/>
      <c r="I474" s="17"/>
      <c r="J474" s="17"/>
      <c r="K474" s="17"/>
      <c r="L474" s="17"/>
      <c r="M474" s="17"/>
      <c r="N474" s="17"/>
      <c r="O474" s="17"/>
      <c r="P474" s="17"/>
      <c r="Q474" s="17"/>
      <c r="R474" s="17"/>
      <c r="S474" s="143"/>
      <c r="T474" s="143"/>
      <c r="U474" s="143"/>
      <c r="V474" s="143"/>
      <c r="W474" s="17"/>
      <c r="X474" s="17"/>
      <c r="Y474" s="17"/>
      <c r="Z474" s="17"/>
      <c r="AA474" s="17"/>
      <c r="AB474" s="17"/>
    </row>
    <row r="475">
      <c r="A475" s="17"/>
      <c r="B475" s="17"/>
      <c r="C475" s="17"/>
      <c r="D475" s="17"/>
      <c r="E475" s="17"/>
      <c r="F475" s="288"/>
      <c r="G475" s="17"/>
      <c r="H475" s="17"/>
      <c r="I475" s="17"/>
      <c r="J475" s="17"/>
      <c r="K475" s="17"/>
      <c r="L475" s="17"/>
      <c r="M475" s="17"/>
      <c r="N475" s="17"/>
      <c r="O475" s="17"/>
      <c r="P475" s="17"/>
      <c r="Q475" s="17"/>
      <c r="R475" s="17"/>
      <c r="S475" s="143"/>
      <c r="T475" s="143"/>
      <c r="U475" s="143"/>
      <c r="V475" s="143"/>
      <c r="W475" s="17"/>
      <c r="X475" s="17"/>
      <c r="Y475" s="17"/>
      <c r="Z475" s="17"/>
      <c r="AA475" s="17"/>
      <c r="AB475" s="17"/>
    </row>
    <row r="476">
      <c r="A476" s="17"/>
      <c r="B476" s="17"/>
      <c r="C476" s="17"/>
      <c r="D476" s="17"/>
      <c r="E476" s="17"/>
      <c r="F476" s="288"/>
      <c r="G476" s="17"/>
      <c r="H476" s="17"/>
      <c r="I476" s="17"/>
      <c r="J476" s="17"/>
      <c r="K476" s="17"/>
      <c r="L476" s="17"/>
      <c r="M476" s="17"/>
      <c r="N476" s="17"/>
      <c r="O476" s="17"/>
      <c r="P476" s="17"/>
      <c r="Q476" s="17"/>
      <c r="R476" s="17"/>
      <c r="S476" s="143"/>
      <c r="T476" s="143"/>
      <c r="U476" s="143"/>
      <c r="V476" s="143"/>
      <c r="W476" s="17"/>
      <c r="X476" s="17"/>
      <c r="Y476" s="17"/>
      <c r="Z476" s="17"/>
      <c r="AA476" s="17"/>
      <c r="AB476" s="17"/>
    </row>
    <row r="477">
      <c r="A477" s="17"/>
      <c r="B477" s="17"/>
      <c r="C477" s="17"/>
      <c r="D477" s="17"/>
      <c r="E477" s="17"/>
      <c r="F477" s="288"/>
      <c r="G477" s="17"/>
      <c r="H477" s="17"/>
      <c r="I477" s="17"/>
      <c r="J477" s="17"/>
      <c r="K477" s="17"/>
      <c r="L477" s="17"/>
      <c r="M477" s="17"/>
      <c r="N477" s="17"/>
      <c r="O477" s="17"/>
      <c r="P477" s="17"/>
      <c r="Q477" s="17"/>
      <c r="R477" s="17"/>
      <c r="S477" s="143"/>
      <c r="T477" s="143"/>
      <c r="U477" s="143"/>
      <c r="V477" s="143"/>
      <c r="W477" s="17"/>
      <c r="X477" s="17"/>
      <c r="Y477" s="17"/>
      <c r="Z477" s="17"/>
      <c r="AA477" s="17"/>
      <c r="AB477" s="17"/>
    </row>
    <row r="478">
      <c r="A478" s="17"/>
      <c r="B478" s="17"/>
      <c r="C478" s="17"/>
      <c r="D478" s="17"/>
      <c r="E478" s="17"/>
      <c r="F478" s="288"/>
      <c r="G478" s="17"/>
      <c r="H478" s="17"/>
      <c r="I478" s="17"/>
      <c r="J478" s="17"/>
      <c r="K478" s="17"/>
      <c r="L478" s="17"/>
      <c r="M478" s="17"/>
      <c r="N478" s="17"/>
      <c r="O478" s="17"/>
      <c r="P478" s="17"/>
      <c r="Q478" s="17"/>
      <c r="R478" s="17"/>
      <c r="S478" s="143"/>
      <c r="T478" s="143"/>
      <c r="U478" s="143"/>
      <c r="V478" s="143"/>
      <c r="W478" s="17"/>
      <c r="X478" s="17"/>
      <c r="Y478" s="17"/>
      <c r="Z478" s="17"/>
      <c r="AA478" s="17"/>
      <c r="AB478" s="17"/>
    </row>
    <row r="479">
      <c r="A479" s="17"/>
      <c r="B479" s="17"/>
      <c r="C479" s="17"/>
      <c r="D479" s="17"/>
      <c r="E479" s="17"/>
      <c r="F479" s="288"/>
      <c r="G479" s="17"/>
      <c r="H479" s="17"/>
      <c r="I479" s="17"/>
      <c r="J479" s="17"/>
      <c r="K479" s="17"/>
      <c r="L479" s="17"/>
      <c r="M479" s="17"/>
      <c r="N479" s="17"/>
      <c r="O479" s="17"/>
      <c r="P479" s="17"/>
      <c r="Q479" s="17"/>
      <c r="R479" s="17"/>
      <c r="S479" s="143"/>
      <c r="T479" s="143"/>
      <c r="U479" s="143"/>
      <c r="V479" s="143"/>
      <c r="W479" s="17"/>
      <c r="X479" s="17"/>
      <c r="Y479" s="17"/>
      <c r="Z479" s="17"/>
      <c r="AA479" s="17"/>
      <c r="AB479" s="17"/>
    </row>
    <row r="480">
      <c r="A480" s="17"/>
      <c r="B480" s="17"/>
      <c r="C480" s="17"/>
      <c r="D480" s="17"/>
      <c r="E480" s="17"/>
      <c r="F480" s="288"/>
      <c r="G480" s="17"/>
      <c r="H480" s="17"/>
      <c r="I480" s="17"/>
      <c r="J480" s="17"/>
      <c r="K480" s="17"/>
      <c r="L480" s="17"/>
      <c r="M480" s="17"/>
      <c r="N480" s="17"/>
      <c r="O480" s="17"/>
      <c r="P480" s="17"/>
      <c r="Q480" s="17"/>
      <c r="R480" s="17"/>
      <c r="S480" s="143"/>
      <c r="T480" s="143"/>
      <c r="U480" s="143"/>
      <c r="V480" s="143"/>
      <c r="W480" s="17"/>
      <c r="X480" s="17"/>
      <c r="Y480" s="17"/>
      <c r="Z480" s="17"/>
      <c r="AA480" s="17"/>
      <c r="AB480" s="17"/>
    </row>
    <row r="481">
      <c r="A481" s="17"/>
      <c r="B481" s="17"/>
      <c r="C481" s="17"/>
      <c r="D481" s="17"/>
      <c r="E481" s="17"/>
      <c r="F481" s="288"/>
      <c r="G481" s="17"/>
      <c r="H481" s="17"/>
      <c r="I481" s="17"/>
      <c r="J481" s="17"/>
      <c r="K481" s="17"/>
      <c r="L481" s="17"/>
      <c r="M481" s="17"/>
      <c r="N481" s="17"/>
      <c r="O481" s="17"/>
      <c r="P481" s="17"/>
      <c r="Q481" s="17"/>
      <c r="R481" s="17"/>
      <c r="S481" s="143"/>
      <c r="T481" s="143"/>
      <c r="U481" s="143"/>
      <c r="V481" s="143"/>
      <c r="W481" s="17"/>
      <c r="X481" s="17"/>
      <c r="Y481" s="17"/>
      <c r="Z481" s="17"/>
      <c r="AA481" s="17"/>
      <c r="AB481" s="17"/>
    </row>
    <row r="482">
      <c r="A482" s="17"/>
      <c r="B482" s="17"/>
      <c r="C482" s="17"/>
      <c r="D482" s="17"/>
      <c r="E482" s="17"/>
      <c r="F482" s="288"/>
      <c r="G482" s="17"/>
      <c r="H482" s="17"/>
      <c r="I482" s="17"/>
      <c r="J482" s="17"/>
      <c r="K482" s="17"/>
      <c r="L482" s="17"/>
      <c r="M482" s="17"/>
      <c r="N482" s="17"/>
      <c r="O482" s="17"/>
      <c r="P482" s="17"/>
      <c r="Q482" s="17"/>
      <c r="R482" s="17"/>
      <c r="S482" s="143"/>
      <c r="T482" s="143"/>
      <c r="U482" s="143"/>
      <c r="V482" s="143"/>
      <c r="W482" s="17"/>
      <c r="X482" s="17"/>
      <c r="Y482" s="17"/>
      <c r="Z482" s="17"/>
      <c r="AA482" s="17"/>
      <c r="AB482" s="17"/>
    </row>
    <row r="483">
      <c r="A483" s="17"/>
      <c r="B483" s="17"/>
      <c r="C483" s="17"/>
      <c r="D483" s="17"/>
      <c r="E483" s="17"/>
      <c r="F483" s="288"/>
      <c r="G483" s="17"/>
      <c r="H483" s="17"/>
      <c r="I483" s="17"/>
      <c r="J483" s="17"/>
      <c r="K483" s="17"/>
      <c r="L483" s="17"/>
      <c r="M483" s="17"/>
      <c r="N483" s="17"/>
      <c r="O483" s="17"/>
      <c r="P483" s="17"/>
      <c r="Q483" s="17"/>
      <c r="R483" s="17"/>
      <c r="S483" s="143"/>
      <c r="T483" s="143"/>
      <c r="U483" s="143"/>
      <c r="V483" s="143"/>
      <c r="W483" s="17"/>
      <c r="X483" s="17"/>
      <c r="Y483" s="17"/>
      <c r="Z483" s="17"/>
      <c r="AA483" s="17"/>
      <c r="AB483" s="17"/>
    </row>
    <row r="484">
      <c r="A484" s="17"/>
      <c r="B484" s="17"/>
      <c r="C484" s="17"/>
      <c r="D484" s="17"/>
      <c r="E484" s="17"/>
      <c r="F484" s="288"/>
      <c r="G484" s="17"/>
      <c r="H484" s="17"/>
      <c r="I484" s="17"/>
      <c r="J484" s="17"/>
      <c r="K484" s="17"/>
      <c r="L484" s="17"/>
      <c r="M484" s="17"/>
      <c r="N484" s="17"/>
      <c r="O484" s="17"/>
      <c r="P484" s="17"/>
      <c r="Q484" s="17"/>
      <c r="R484" s="17"/>
      <c r="S484" s="143"/>
      <c r="T484" s="143"/>
      <c r="U484" s="143"/>
      <c r="V484" s="143"/>
      <c r="W484" s="17"/>
      <c r="X484" s="17"/>
      <c r="Y484" s="17"/>
      <c r="Z484" s="17"/>
      <c r="AA484" s="17"/>
      <c r="AB484" s="17"/>
    </row>
    <row r="485">
      <c r="A485" s="17"/>
      <c r="B485" s="17"/>
      <c r="C485" s="17"/>
      <c r="D485" s="17"/>
      <c r="E485" s="17"/>
      <c r="F485" s="288"/>
      <c r="G485" s="17"/>
      <c r="H485" s="17"/>
      <c r="I485" s="17"/>
      <c r="J485" s="17"/>
      <c r="K485" s="17"/>
      <c r="L485" s="17"/>
      <c r="M485" s="17"/>
      <c r="N485" s="17"/>
      <c r="O485" s="17"/>
      <c r="P485" s="17"/>
      <c r="Q485" s="17"/>
      <c r="R485" s="17"/>
      <c r="S485" s="143"/>
      <c r="T485" s="143"/>
      <c r="U485" s="143"/>
      <c r="V485" s="143"/>
      <c r="W485" s="17"/>
      <c r="X485" s="17"/>
      <c r="Y485" s="17"/>
      <c r="Z485" s="17"/>
      <c r="AA485" s="17"/>
      <c r="AB485" s="17"/>
    </row>
    <row r="486">
      <c r="A486" s="17"/>
      <c r="B486" s="17"/>
      <c r="C486" s="17"/>
      <c r="D486" s="17"/>
      <c r="E486" s="17"/>
      <c r="F486" s="288"/>
      <c r="G486" s="17"/>
      <c r="H486" s="17"/>
      <c r="I486" s="17"/>
      <c r="J486" s="17"/>
      <c r="K486" s="17"/>
      <c r="L486" s="17"/>
      <c r="M486" s="17"/>
      <c r="N486" s="17"/>
      <c r="O486" s="17"/>
      <c r="P486" s="17"/>
      <c r="Q486" s="17"/>
      <c r="R486" s="17"/>
      <c r="S486" s="143"/>
      <c r="T486" s="143"/>
      <c r="U486" s="143"/>
      <c r="V486" s="143"/>
      <c r="W486" s="17"/>
      <c r="X486" s="17"/>
      <c r="Y486" s="17"/>
      <c r="Z486" s="17"/>
      <c r="AA486" s="17"/>
      <c r="AB486" s="17"/>
    </row>
    <row r="487">
      <c r="A487" s="17"/>
      <c r="B487" s="17"/>
      <c r="C487" s="17"/>
      <c r="D487" s="17"/>
      <c r="E487" s="17"/>
      <c r="F487" s="288"/>
      <c r="G487" s="17"/>
      <c r="H487" s="17"/>
      <c r="I487" s="17"/>
      <c r="J487" s="17"/>
      <c r="K487" s="17"/>
      <c r="L487" s="17"/>
      <c r="M487" s="17"/>
      <c r="N487" s="17"/>
      <c r="O487" s="17"/>
      <c r="P487" s="17"/>
      <c r="Q487" s="17"/>
      <c r="R487" s="17"/>
      <c r="S487" s="143"/>
      <c r="T487" s="143"/>
      <c r="U487" s="143"/>
      <c r="V487" s="143"/>
      <c r="W487" s="17"/>
      <c r="X487" s="17"/>
      <c r="Y487" s="17"/>
      <c r="Z487" s="17"/>
      <c r="AA487" s="17"/>
      <c r="AB487" s="17"/>
    </row>
    <row r="488">
      <c r="A488" s="17"/>
      <c r="B488" s="17"/>
      <c r="C488" s="17"/>
      <c r="D488" s="17"/>
      <c r="E488" s="17"/>
      <c r="F488" s="288"/>
      <c r="G488" s="17"/>
      <c r="H488" s="17"/>
      <c r="I488" s="17"/>
      <c r="J488" s="17"/>
      <c r="K488" s="17"/>
      <c r="L488" s="17"/>
      <c r="M488" s="17"/>
      <c r="N488" s="17"/>
      <c r="O488" s="17"/>
      <c r="P488" s="17"/>
      <c r="Q488" s="17"/>
      <c r="R488" s="17"/>
      <c r="S488" s="143"/>
      <c r="T488" s="143"/>
      <c r="U488" s="143"/>
      <c r="V488" s="143"/>
      <c r="W488" s="17"/>
      <c r="X488" s="17"/>
      <c r="Y488" s="17"/>
      <c r="Z488" s="17"/>
      <c r="AA488" s="17"/>
      <c r="AB488" s="17"/>
    </row>
    <row r="489">
      <c r="A489" s="17"/>
      <c r="B489" s="17"/>
      <c r="C489" s="17"/>
      <c r="D489" s="17"/>
      <c r="E489" s="17"/>
      <c r="F489" s="288"/>
      <c r="G489" s="17"/>
      <c r="H489" s="17"/>
      <c r="I489" s="17"/>
      <c r="J489" s="17"/>
      <c r="K489" s="17"/>
      <c r="L489" s="17"/>
      <c r="M489" s="17"/>
      <c r="N489" s="17"/>
      <c r="O489" s="17"/>
      <c r="P489" s="17"/>
      <c r="Q489" s="17"/>
      <c r="R489" s="17"/>
      <c r="S489" s="143"/>
      <c r="T489" s="143"/>
      <c r="U489" s="143"/>
      <c r="V489" s="143"/>
      <c r="W489" s="17"/>
      <c r="X489" s="17"/>
      <c r="Y489" s="17"/>
      <c r="Z489" s="17"/>
      <c r="AA489" s="17"/>
      <c r="AB489" s="17"/>
    </row>
    <row r="490">
      <c r="A490" s="17"/>
      <c r="B490" s="17"/>
      <c r="C490" s="17"/>
      <c r="D490" s="17"/>
      <c r="E490" s="17"/>
      <c r="F490" s="288"/>
      <c r="G490" s="17"/>
      <c r="H490" s="17"/>
      <c r="I490" s="17"/>
      <c r="J490" s="17"/>
      <c r="K490" s="17"/>
      <c r="L490" s="17"/>
      <c r="M490" s="17"/>
      <c r="N490" s="17"/>
      <c r="O490" s="17"/>
      <c r="P490" s="17"/>
      <c r="Q490" s="17"/>
      <c r="R490" s="17"/>
      <c r="S490" s="143"/>
      <c r="T490" s="143"/>
      <c r="U490" s="143"/>
      <c r="V490" s="143"/>
      <c r="W490" s="17"/>
      <c r="X490" s="17"/>
      <c r="Y490" s="17"/>
      <c r="Z490" s="17"/>
      <c r="AA490" s="17"/>
      <c r="AB490" s="17"/>
    </row>
    <row r="491">
      <c r="A491" s="17"/>
      <c r="B491" s="17"/>
      <c r="C491" s="17"/>
      <c r="D491" s="17"/>
      <c r="E491" s="17"/>
      <c r="F491" s="288"/>
      <c r="G491" s="17"/>
      <c r="H491" s="17"/>
      <c r="I491" s="17"/>
      <c r="J491" s="17"/>
      <c r="K491" s="17"/>
      <c r="L491" s="17"/>
      <c r="M491" s="17"/>
      <c r="N491" s="17"/>
      <c r="O491" s="17"/>
      <c r="P491" s="17"/>
      <c r="Q491" s="17"/>
      <c r="R491" s="17"/>
      <c r="S491" s="143"/>
      <c r="T491" s="143"/>
      <c r="U491" s="143"/>
      <c r="V491" s="143"/>
      <c r="W491" s="17"/>
      <c r="X491" s="17"/>
      <c r="Y491" s="17"/>
      <c r="Z491" s="17"/>
      <c r="AA491" s="17"/>
      <c r="AB491" s="17"/>
    </row>
    <row r="492">
      <c r="A492" s="17"/>
      <c r="B492" s="17"/>
      <c r="C492" s="17"/>
      <c r="D492" s="17"/>
      <c r="E492" s="17"/>
      <c r="F492" s="288"/>
      <c r="G492" s="17"/>
      <c r="H492" s="17"/>
      <c r="I492" s="17"/>
      <c r="J492" s="17"/>
      <c r="K492" s="17"/>
      <c r="L492" s="17"/>
      <c r="M492" s="17"/>
      <c r="N492" s="17"/>
      <c r="O492" s="17"/>
      <c r="P492" s="17"/>
      <c r="Q492" s="17"/>
      <c r="R492" s="17"/>
      <c r="S492" s="143"/>
      <c r="T492" s="143"/>
      <c r="U492" s="143"/>
      <c r="V492" s="143"/>
      <c r="W492" s="17"/>
      <c r="X492" s="17"/>
      <c r="Y492" s="17"/>
      <c r="Z492" s="17"/>
      <c r="AA492" s="17"/>
      <c r="AB492" s="17"/>
    </row>
    <row r="493">
      <c r="A493" s="17"/>
      <c r="B493" s="17"/>
      <c r="C493" s="17"/>
      <c r="D493" s="17"/>
      <c r="E493" s="17"/>
      <c r="F493" s="288"/>
      <c r="G493" s="17"/>
      <c r="H493" s="17"/>
      <c r="I493" s="17"/>
      <c r="J493" s="17"/>
      <c r="K493" s="17"/>
      <c r="L493" s="17"/>
      <c r="M493" s="17"/>
      <c r="N493" s="17"/>
      <c r="O493" s="17"/>
      <c r="P493" s="17"/>
      <c r="Q493" s="17"/>
      <c r="R493" s="17"/>
      <c r="S493" s="143"/>
      <c r="T493" s="143"/>
      <c r="U493" s="143"/>
      <c r="V493" s="143"/>
      <c r="W493" s="17"/>
      <c r="X493" s="17"/>
      <c r="Y493" s="17"/>
      <c r="Z493" s="17"/>
      <c r="AA493" s="17"/>
      <c r="AB493" s="17"/>
    </row>
    <row r="494">
      <c r="A494" s="17"/>
      <c r="B494" s="17"/>
      <c r="C494" s="17"/>
      <c r="D494" s="17"/>
      <c r="E494" s="17"/>
      <c r="F494" s="288"/>
      <c r="G494" s="17"/>
      <c r="H494" s="17"/>
      <c r="I494" s="17"/>
      <c r="J494" s="17"/>
      <c r="K494" s="17"/>
      <c r="L494" s="17"/>
      <c r="M494" s="17"/>
      <c r="N494" s="17"/>
      <c r="O494" s="17"/>
      <c r="P494" s="17"/>
      <c r="Q494" s="17"/>
      <c r="R494" s="17"/>
      <c r="S494" s="143"/>
      <c r="T494" s="143"/>
      <c r="U494" s="143"/>
      <c r="V494" s="143"/>
      <c r="W494" s="17"/>
      <c r="X494" s="17"/>
      <c r="Y494" s="17"/>
      <c r="Z494" s="17"/>
      <c r="AA494" s="17"/>
      <c r="AB494" s="17"/>
    </row>
    <row r="495">
      <c r="A495" s="17"/>
      <c r="B495" s="17"/>
      <c r="C495" s="17"/>
      <c r="D495" s="17"/>
      <c r="E495" s="17"/>
      <c r="F495" s="288"/>
      <c r="G495" s="17"/>
      <c r="H495" s="17"/>
      <c r="I495" s="17"/>
      <c r="J495" s="17"/>
      <c r="K495" s="17"/>
      <c r="L495" s="17"/>
      <c r="M495" s="17"/>
      <c r="N495" s="17"/>
      <c r="O495" s="17"/>
      <c r="P495" s="17"/>
      <c r="Q495" s="17"/>
      <c r="R495" s="17"/>
      <c r="S495" s="143"/>
      <c r="T495" s="143"/>
      <c r="U495" s="143"/>
      <c r="V495" s="143"/>
      <c r="W495" s="17"/>
      <c r="X495" s="17"/>
      <c r="Y495" s="17"/>
      <c r="Z495" s="17"/>
      <c r="AA495" s="17"/>
      <c r="AB495" s="17"/>
    </row>
    <row r="496">
      <c r="A496" s="17"/>
      <c r="B496" s="17"/>
      <c r="C496" s="17"/>
      <c r="D496" s="17"/>
      <c r="E496" s="17"/>
      <c r="F496" s="288"/>
      <c r="G496" s="17"/>
      <c r="H496" s="17"/>
      <c r="I496" s="17"/>
      <c r="J496" s="17"/>
      <c r="K496" s="17"/>
      <c r="L496" s="17"/>
      <c r="M496" s="17"/>
      <c r="N496" s="17"/>
      <c r="O496" s="17"/>
      <c r="P496" s="17"/>
      <c r="Q496" s="17"/>
      <c r="R496" s="17"/>
      <c r="S496" s="143"/>
      <c r="T496" s="143"/>
      <c r="U496" s="143"/>
      <c r="V496" s="143"/>
      <c r="W496" s="17"/>
      <c r="X496" s="17"/>
      <c r="Y496" s="17"/>
      <c r="Z496" s="17"/>
      <c r="AA496" s="17"/>
      <c r="AB496" s="17"/>
    </row>
    <row r="497">
      <c r="A497" s="17"/>
      <c r="B497" s="17"/>
      <c r="C497" s="17"/>
      <c r="D497" s="17"/>
      <c r="E497" s="17"/>
      <c r="F497" s="288"/>
      <c r="G497" s="17"/>
      <c r="H497" s="17"/>
      <c r="I497" s="17"/>
      <c r="J497" s="17"/>
      <c r="K497" s="17"/>
      <c r="L497" s="17"/>
      <c r="M497" s="17"/>
      <c r="N497" s="17"/>
      <c r="O497" s="17"/>
      <c r="P497" s="17"/>
      <c r="Q497" s="17"/>
      <c r="R497" s="17"/>
      <c r="S497" s="143"/>
      <c r="T497" s="143"/>
      <c r="U497" s="143"/>
      <c r="V497" s="143"/>
      <c r="W497" s="17"/>
      <c r="X497" s="17"/>
      <c r="Y497" s="17"/>
      <c r="Z497" s="17"/>
      <c r="AA497" s="17"/>
      <c r="AB497" s="17"/>
    </row>
    <row r="498">
      <c r="A498" s="17"/>
      <c r="B498" s="17"/>
      <c r="C498" s="17"/>
      <c r="D498" s="17"/>
      <c r="E498" s="17"/>
      <c r="F498" s="288"/>
      <c r="G498" s="17"/>
      <c r="H498" s="17"/>
      <c r="I498" s="17"/>
      <c r="J498" s="17"/>
      <c r="K498" s="17"/>
      <c r="L498" s="17"/>
      <c r="M498" s="17"/>
      <c r="N498" s="17"/>
      <c r="O498" s="17"/>
      <c r="P498" s="17"/>
      <c r="Q498" s="17"/>
      <c r="R498" s="17"/>
      <c r="S498" s="143"/>
      <c r="T498" s="143"/>
      <c r="U498" s="143"/>
      <c r="V498" s="143"/>
      <c r="W498" s="17"/>
      <c r="X498" s="17"/>
      <c r="Y498" s="17"/>
      <c r="Z498" s="17"/>
      <c r="AA498" s="17"/>
      <c r="AB498" s="17"/>
    </row>
    <row r="499">
      <c r="A499" s="17"/>
      <c r="B499" s="17"/>
      <c r="C499" s="17"/>
      <c r="D499" s="17"/>
      <c r="E499" s="17"/>
      <c r="F499" s="288"/>
      <c r="G499" s="17"/>
      <c r="H499" s="17"/>
      <c r="I499" s="17"/>
      <c r="J499" s="17"/>
      <c r="K499" s="17"/>
      <c r="L499" s="17"/>
      <c r="M499" s="17"/>
      <c r="N499" s="17"/>
      <c r="O499" s="17"/>
      <c r="P499" s="17"/>
      <c r="Q499" s="17"/>
      <c r="R499" s="17"/>
      <c r="S499" s="143"/>
      <c r="T499" s="143"/>
      <c r="U499" s="143"/>
      <c r="V499" s="143"/>
      <c r="W499" s="17"/>
      <c r="X499" s="17"/>
      <c r="Y499" s="17"/>
      <c r="Z499" s="17"/>
      <c r="AA499" s="17"/>
      <c r="AB499" s="17"/>
    </row>
    <row r="500">
      <c r="A500" s="17"/>
      <c r="B500" s="17"/>
      <c r="C500" s="17"/>
      <c r="D500" s="17"/>
      <c r="E500" s="17"/>
      <c r="F500" s="288"/>
      <c r="G500" s="17"/>
      <c r="H500" s="17"/>
      <c r="I500" s="17"/>
      <c r="J500" s="17"/>
      <c r="K500" s="17"/>
      <c r="L500" s="17"/>
      <c r="M500" s="17"/>
      <c r="N500" s="17"/>
      <c r="O500" s="17"/>
      <c r="P500" s="17"/>
      <c r="Q500" s="17"/>
      <c r="R500" s="17"/>
      <c r="S500" s="143"/>
      <c r="T500" s="143"/>
      <c r="U500" s="143"/>
      <c r="V500" s="143"/>
      <c r="W500" s="17"/>
      <c r="X500" s="17"/>
      <c r="Y500" s="17"/>
      <c r="Z500" s="17"/>
      <c r="AA500" s="17"/>
      <c r="AB500" s="17"/>
    </row>
    <row r="501">
      <c r="A501" s="17"/>
      <c r="B501" s="17"/>
      <c r="C501" s="17"/>
      <c r="D501" s="17"/>
      <c r="E501" s="17"/>
      <c r="F501" s="288"/>
      <c r="G501" s="17"/>
      <c r="H501" s="17"/>
      <c r="I501" s="17"/>
      <c r="J501" s="17"/>
      <c r="K501" s="17"/>
      <c r="L501" s="17"/>
      <c r="M501" s="17"/>
      <c r="N501" s="17"/>
      <c r="O501" s="17"/>
      <c r="P501" s="17"/>
      <c r="Q501" s="17"/>
      <c r="R501" s="17"/>
      <c r="S501" s="143"/>
      <c r="T501" s="143"/>
      <c r="U501" s="143"/>
      <c r="V501" s="143"/>
      <c r="W501" s="17"/>
      <c r="X501" s="17"/>
      <c r="Y501" s="17"/>
      <c r="Z501" s="17"/>
      <c r="AA501" s="17"/>
      <c r="AB501" s="17"/>
    </row>
    <row r="502">
      <c r="A502" s="17"/>
      <c r="B502" s="17"/>
      <c r="C502" s="17"/>
      <c r="D502" s="17"/>
      <c r="E502" s="17"/>
      <c r="F502" s="288"/>
      <c r="G502" s="17"/>
      <c r="H502" s="17"/>
      <c r="I502" s="17"/>
      <c r="J502" s="17"/>
      <c r="K502" s="17"/>
      <c r="L502" s="17"/>
      <c r="M502" s="17"/>
      <c r="N502" s="17"/>
      <c r="O502" s="17"/>
      <c r="P502" s="17"/>
      <c r="Q502" s="17"/>
      <c r="R502" s="17"/>
      <c r="S502" s="143"/>
      <c r="T502" s="143"/>
      <c r="U502" s="143"/>
      <c r="V502" s="143"/>
      <c r="W502" s="17"/>
      <c r="X502" s="17"/>
      <c r="Y502" s="17"/>
      <c r="Z502" s="17"/>
      <c r="AA502" s="17"/>
      <c r="AB502" s="17"/>
    </row>
    <row r="503">
      <c r="A503" s="17"/>
      <c r="B503" s="17"/>
      <c r="C503" s="17"/>
      <c r="D503" s="17"/>
      <c r="E503" s="17"/>
      <c r="F503" s="288"/>
      <c r="G503" s="17"/>
      <c r="H503" s="17"/>
      <c r="I503" s="17"/>
      <c r="J503" s="17"/>
      <c r="K503" s="17"/>
      <c r="L503" s="17"/>
      <c r="M503" s="17"/>
      <c r="N503" s="17"/>
      <c r="O503" s="17"/>
      <c r="P503" s="17"/>
      <c r="Q503" s="17"/>
      <c r="R503" s="17"/>
      <c r="S503" s="143"/>
      <c r="T503" s="143"/>
      <c r="U503" s="143"/>
      <c r="V503" s="143"/>
      <c r="W503" s="17"/>
      <c r="X503" s="17"/>
      <c r="Y503" s="17"/>
      <c r="Z503" s="17"/>
      <c r="AA503" s="17"/>
      <c r="AB503" s="17"/>
    </row>
    <row r="504">
      <c r="A504" s="17"/>
      <c r="B504" s="17"/>
      <c r="C504" s="17"/>
      <c r="D504" s="17"/>
      <c r="E504" s="17"/>
      <c r="F504" s="288"/>
      <c r="G504" s="17"/>
      <c r="H504" s="17"/>
      <c r="I504" s="17"/>
      <c r="J504" s="17"/>
      <c r="K504" s="17"/>
      <c r="L504" s="17"/>
      <c r="M504" s="17"/>
      <c r="N504" s="17"/>
      <c r="O504" s="17"/>
      <c r="P504" s="17"/>
      <c r="Q504" s="17"/>
      <c r="R504" s="17"/>
      <c r="S504" s="143"/>
      <c r="T504" s="143"/>
      <c r="U504" s="143"/>
      <c r="V504" s="143"/>
      <c r="W504" s="17"/>
      <c r="X504" s="17"/>
      <c r="Y504" s="17"/>
      <c r="Z504" s="17"/>
      <c r="AA504" s="17"/>
      <c r="AB504" s="17"/>
    </row>
    <row r="505">
      <c r="A505" s="17"/>
      <c r="B505" s="17"/>
      <c r="C505" s="17"/>
      <c r="D505" s="17"/>
      <c r="E505" s="17"/>
      <c r="F505" s="288"/>
      <c r="G505" s="17"/>
      <c r="H505" s="17"/>
      <c r="I505" s="17"/>
      <c r="J505" s="17"/>
      <c r="K505" s="17"/>
      <c r="L505" s="17"/>
      <c r="M505" s="17"/>
      <c r="N505" s="17"/>
      <c r="O505" s="17"/>
      <c r="P505" s="17"/>
      <c r="Q505" s="17"/>
      <c r="R505" s="17"/>
      <c r="S505" s="143"/>
      <c r="T505" s="143"/>
      <c r="U505" s="143"/>
      <c r="V505" s="143"/>
      <c r="W505" s="17"/>
      <c r="X505" s="17"/>
      <c r="Y505" s="17"/>
      <c r="Z505" s="17"/>
      <c r="AA505" s="17"/>
      <c r="AB505" s="17"/>
    </row>
    <row r="506">
      <c r="A506" s="17"/>
      <c r="B506" s="17"/>
      <c r="C506" s="17"/>
      <c r="D506" s="17"/>
      <c r="E506" s="17"/>
      <c r="F506" s="288"/>
      <c r="G506" s="17"/>
      <c r="H506" s="17"/>
      <c r="I506" s="17"/>
      <c r="J506" s="17"/>
      <c r="K506" s="17"/>
      <c r="L506" s="17"/>
      <c r="M506" s="17"/>
      <c r="N506" s="17"/>
      <c r="O506" s="17"/>
      <c r="P506" s="17"/>
      <c r="Q506" s="17"/>
      <c r="R506" s="17"/>
      <c r="S506" s="143"/>
      <c r="T506" s="143"/>
      <c r="U506" s="143"/>
      <c r="V506" s="143"/>
      <c r="W506" s="17"/>
      <c r="X506" s="17"/>
      <c r="Y506" s="17"/>
      <c r="Z506" s="17"/>
      <c r="AA506" s="17"/>
      <c r="AB506" s="17"/>
    </row>
    <row r="507">
      <c r="A507" s="17"/>
      <c r="B507" s="17"/>
      <c r="C507" s="17"/>
      <c r="D507" s="17"/>
      <c r="E507" s="17"/>
      <c r="F507" s="288"/>
      <c r="G507" s="17"/>
      <c r="H507" s="17"/>
      <c r="I507" s="17"/>
      <c r="J507" s="17"/>
      <c r="K507" s="17"/>
      <c r="L507" s="17"/>
      <c r="M507" s="17"/>
      <c r="N507" s="17"/>
      <c r="O507" s="17"/>
      <c r="P507" s="17"/>
      <c r="Q507" s="17"/>
      <c r="R507" s="17"/>
      <c r="S507" s="143"/>
      <c r="T507" s="143"/>
      <c r="U507" s="143"/>
      <c r="V507" s="143"/>
      <c r="W507" s="17"/>
      <c r="X507" s="17"/>
      <c r="Y507" s="17"/>
      <c r="Z507" s="17"/>
      <c r="AA507" s="17"/>
      <c r="AB507" s="17"/>
    </row>
    <row r="508">
      <c r="A508" s="17"/>
      <c r="B508" s="17"/>
      <c r="C508" s="17"/>
      <c r="D508" s="17"/>
      <c r="E508" s="17"/>
      <c r="F508" s="288"/>
      <c r="G508" s="17"/>
      <c r="H508" s="17"/>
      <c r="I508" s="17"/>
      <c r="J508" s="17"/>
      <c r="K508" s="17"/>
      <c r="L508" s="17"/>
      <c r="M508" s="17"/>
      <c r="N508" s="17"/>
      <c r="O508" s="17"/>
      <c r="P508" s="17"/>
      <c r="Q508" s="17"/>
      <c r="R508" s="17"/>
      <c r="S508" s="143"/>
      <c r="T508" s="143"/>
      <c r="U508" s="143"/>
      <c r="V508" s="143"/>
      <c r="W508" s="17"/>
      <c r="X508" s="17"/>
      <c r="Y508" s="17"/>
      <c r="Z508" s="17"/>
      <c r="AA508" s="17"/>
      <c r="AB508" s="17"/>
    </row>
    <row r="509">
      <c r="A509" s="17"/>
      <c r="B509" s="17"/>
      <c r="C509" s="17"/>
      <c r="D509" s="17"/>
      <c r="E509" s="17"/>
      <c r="F509" s="288"/>
      <c r="G509" s="17"/>
      <c r="H509" s="17"/>
      <c r="I509" s="17"/>
      <c r="J509" s="17"/>
      <c r="K509" s="17"/>
      <c r="L509" s="17"/>
      <c r="M509" s="17"/>
      <c r="N509" s="17"/>
      <c r="O509" s="17"/>
      <c r="P509" s="17"/>
      <c r="Q509" s="17"/>
      <c r="R509" s="17"/>
      <c r="S509" s="143"/>
      <c r="T509" s="143"/>
      <c r="U509" s="143"/>
      <c r="V509" s="143"/>
      <c r="W509" s="17"/>
      <c r="X509" s="17"/>
      <c r="Y509" s="17"/>
      <c r="Z509" s="17"/>
      <c r="AA509" s="17"/>
      <c r="AB509" s="17"/>
    </row>
    <row r="510">
      <c r="A510" s="17"/>
      <c r="B510" s="17"/>
      <c r="C510" s="17"/>
      <c r="D510" s="17"/>
      <c r="E510" s="17"/>
      <c r="F510" s="288"/>
      <c r="G510" s="17"/>
      <c r="H510" s="17"/>
      <c r="I510" s="17"/>
      <c r="J510" s="17"/>
      <c r="K510" s="17"/>
      <c r="L510" s="17"/>
      <c r="M510" s="17"/>
      <c r="N510" s="17"/>
      <c r="O510" s="17"/>
      <c r="P510" s="17"/>
      <c r="Q510" s="17"/>
      <c r="R510" s="17"/>
      <c r="S510" s="143"/>
      <c r="T510" s="143"/>
      <c r="U510" s="143"/>
      <c r="V510" s="143"/>
      <c r="W510" s="17"/>
      <c r="X510" s="17"/>
      <c r="Y510" s="17"/>
      <c r="Z510" s="17"/>
      <c r="AA510" s="17"/>
      <c r="AB510" s="17"/>
    </row>
    <row r="511">
      <c r="A511" s="17"/>
      <c r="B511" s="17"/>
      <c r="C511" s="17"/>
      <c r="D511" s="17"/>
      <c r="E511" s="17"/>
      <c r="F511" s="288"/>
      <c r="G511" s="17"/>
      <c r="H511" s="17"/>
      <c r="I511" s="17"/>
      <c r="J511" s="17"/>
      <c r="K511" s="17"/>
      <c r="L511" s="17"/>
      <c r="M511" s="17"/>
      <c r="N511" s="17"/>
      <c r="O511" s="17"/>
      <c r="P511" s="17"/>
      <c r="Q511" s="17"/>
      <c r="R511" s="17"/>
      <c r="S511" s="143"/>
      <c r="T511" s="143"/>
      <c r="U511" s="143"/>
      <c r="V511" s="143"/>
      <c r="W511" s="17"/>
      <c r="X511" s="17"/>
      <c r="Y511" s="17"/>
      <c r="Z511" s="17"/>
      <c r="AA511" s="17"/>
      <c r="AB511" s="17"/>
    </row>
    <row r="512">
      <c r="A512" s="17"/>
      <c r="B512" s="17"/>
      <c r="C512" s="17"/>
      <c r="D512" s="17"/>
      <c r="E512" s="17"/>
      <c r="F512" s="288"/>
      <c r="G512" s="17"/>
      <c r="H512" s="17"/>
      <c r="I512" s="17"/>
      <c r="J512" s="17"/>
      <c r="K512" s="17"/>
      <c r="L512" s="17"/>
      <c r="M512" s="17"/>
      <c r="N512" s="17"/>
      <c r="O512" s="17"/>
      <c r="P512" s="17"/>
      <c r="Q512" s="17"/>
      <c r="R512" s="17"/>
      <c r="S512" s="143"/>
      <c r="T512" s="143"/>
      <c r="U512" s="143"/>
      <c r="V512" s="143"/>
      <c r="W512" s="17"/>
      <c r="X512" s="17"/>
      <c r="Y512" s="17"/>
      <c r="Z512" s="17"/>
      <c r="AA512" s="17"/>
      <c r="AB512" s="17"/>
    </row>
    <row r="513">
      <c r="A513" s="17"/>
      <c r="B513" s="17"/>
      <c r="C513" s="17"/>
      <c r="D513" s="17"/>
      <c r="E513" s="17"/>
      <c r="F513" s="288"/>
      <c r="G513" s="17"/>
      <c r="H513" s="17"/>
      <c r="I513" s="17"/>
      <c r="J513" s="17"/>
      <c r="K513" s="17"/>
      <c r="L513" s="17"/>
      <c r="M513" s="17"/>
      <c r="N513" s="17"/>
      <c r="O513" s="17"/>
      <c r="P513" s="17"/>
      <c r="Q513" s="17"/>
      <c r="R513" s="17"/>
      <c r="S513" s="143"/>
      <c r="T513" s="143"/>
      <c r="U513" s="143"/>
      <c r="V513" s="143"/>
      <c r="W513" s="17"/>
      <c r="X513" s="17"/>
      <c r="Y513" s="17"/>
      <c r="Z513" s="17"/>
      <c r="AA513" s="17"/>
      <c r="AB513" s="17"/>
    </row>
    <row r="514">
      <c r="A514" s="17"/>
      <c r="B514" s="17"/>
      <c r="C514" s="17"/>
      <c r="D514" s="17"/>
      <c r="E514" s="17"/>
      <c r="F514" s="288"/>
      <c r="G514" s="17"/>
      <c r="H514" s="17"/>
      <c r="I514" s="17"/>
      <c r="J514" s="17"/>
      <c r="K514" s="17"/>
      <c r="L514" s="17"/>
      <c r="M514" s="17"/>
      <c r="N514" s="17"/>
      <c r="O514" s="17"/>
      <c r="P514" s="17"/>
      <c r="Q514" s="17"/>
      <c r="R514" s="17"/>
      <c r="S514" s="143"/>
      <c r="T514" s="143"/>
      <c r="U514" s="143"/>
      <c r="V514" s="143"/>
      <c r="W514" s="17"/>
      <c r="X514" s="17"/>
      <c r="Y514" s="17"/>
      <c r="Z514" s="17"/>
      <c r="AA514" s="17"/>
      <c r="AB514" s="17"/>
    </row>
    <row r="515">
      <c r="A515" s="17"/>
      <c r="B515" s="17"/>
      <c r="C515" s="17"/>
      <c r="D515" s="17"/>
      <c r="E515" s="17"/>
      <c r="F515" s="288"/>
      <c r="G515" s="17"/>
      <c r="H515" s="17"/>
      <c r="I515" s="17"/>
      <c r="J515" s="17"/>
      <c r="K515" s="17"/>
      <c r="L515" s="17"/>
      <c r="M515" s="17"/>
      <c r="N515" s="17"/>
      <c r="O515" s="17"/>
      <c r="P515" s="17"/>
      <c r="Q515" s="17"/>
      <c r="R515" s="17"/>
      <c r="S515" s="143"/>
      <c r="T515" s="143"/>
      <c r="U515" s="143"/>
      <c r="V515" s="143"/>
      <c r="W515" s="17"/>
      <c r="X515" s="17"/>
      <c r="Y515" s="17"/>
      <c r="Z515" s="17"/>
      <c r="AA515" s="17"/>
      <c r="AB515" s="17"/>
    </row>
    <row r="516">
      <c r="A516" s="17"/>
      <c r="B516" s="17"/>
      <c r="C516" s="17"/>
      <c r="D516" s="17"/>
      <c r="E516" s="17"/>
      <c r="F516" s="288"/>
      <c r="G516" s="17"/>
      <c r="H516" s="17"/>
      <c r="I516" s="17"/>
      <c r="J516" s="17"/>
      <c r="K516" s="17"/>
      <c r="L516" s="17"/>
      <c r="M516" s="17"/>
      <c r="N516" s="17"/>
      <c r="O516" s="17"/>
      <c r="P516" s="17"/>
      <c r="Q516" s="17"/>
      <c r="R516" s="17"/>
      <c r="S516" s="143"/>
      <c r="T516" s="143"/>
      <c r="U516" s="143"/>
      <c r="V516" s="143"/>
      <c r="W516" s="17"/>
      <c r="X516" s="17"/>
      <c r="Y516" s="17"/>
      <c r="Z516" s="17"/>
      <c r="AA516" s="17"/>
      <c r="AB516" s="17"/>
    </row>
    <row r="517">
      <c r="A517" s="17"/>
      <c r="B517" s="17"/>
      <c r="C517" s="17"/>
      <c r="D517" s="17"/>
      <c r="E517" s="17"/>
      <c r="F517" s="288"/>
      <c r="G517" s="17"/>
      <c r="H517" s="17"/>
      <c r="I517" s="17"/>
      <c r="J517" s="17"/>
      <c r="K517" s="17"/>
      <c r="L517" s="17"/>
      <c r="M517" s="17"/>
      <c r="N517" s="17"/>
      <c r="O517" s="17"/>
      <c r="P517" s="17"/>
      <c r="Q517" s="17"/>
      <c r="R517" s="17"/>
      <c r="S517" s="143"/>
      <c r="T517" s="143"/>
      <c r="U517" s="143"/>
      <c r="V517" s="143"/>
      <c r="W517" s="17"/>
      <c r="X517" s="17"/>
      <c r="Y517" s="17"/>
      <c r="Z517" s="17"/>
      <c r="AA517" s="17"/>
      <c r="AB517" s="17"/>
    </row>
    <row r="518">
      <c r="A518" s="17"/>
      <c r="B518" s="17"/>
      <c r="C518" s="17"/>
      <c r="D518" s="17"/>
      <c r="E518" s="17"/>
      <c r="F518" s="288"/>
      <c r="G518" s="17"/>
      <c r="H518" s="17"/>
      <c r="I518" s="17"/>
      <c r="J518" s="17"/>
      <c r="K518" s="17"/>
      <c r="L518" s="17"/>
      <c r="M518" s="17"/>
      <c r="N518" s="17"/>
      <c r="O518" s="17"/>
      <c r="P518" s="17"/>
      <c r="Q518" s="17"/>
      <c r="R518" s="17"/>
      <c r="S518" s="143"/>
      <c r="T518" s="143"/>
      <c r="U518" s="143"/>
      <c r="V518" s="143"/>
      <c r="W518" s="17"/>
      <c r="X518" s="17"/>
      <c r="Y518" s="17"/>
      <c r="Z518" s="17"/>
      <c r="AA518" s="17"/>
      <c r="AB518" s="17"/>
    </row>
    <row r="519">
      <c r="A519" s="17"/>
      <c r="B519" s="17"/>
      <c r="C519" s="17"/>
      <c r="D519" s="17"/>
      <c r="E519" s="17"/>
      <c r="F519" s="288"/>
      <c r="G519" s="17"/>
      <c r="H519" s="17"/>
      <c r="I519" s="17"/>
      <c r="J519" s="17"/>
      <c r="K519" s="17"/>
      <c r="L519" s="17"/>
      <c r="M519" s="17"/>
      <c r="N519" s="17"/>
      <c r="O519" s="17"/>
      <c r="P519" s="17"/>
      <c r="Q519" s="17"/>
      <c r="R519" s="17"/>
      <c r="S519" s="143"/>
      <c r="T519" s="143"/>
      <c r="U519" s="143"/>
      <c r="V519" s="143"/>
      <c r="W519" s="17"/>
      <c r="X519" s="17"/>
      <c r="Y519" s="17"/>
      <c r="Z519" s="17"/>
      <c r="AA519" s="17"/>
      <c r="AB519" s="17"/>
    </row>
    <row r="520">
      <c r="A520" s="17"/>
      <c r="B520" s="17"/>
      <c r="C520" s="17"/>
      <c r="D520" s="17"/>
      <c r="E520" s="17"/>
      <c r="F520" s="288"/>
      <c r="G520" s="17"/>
      <c r="H520" s="17"/>
      <c r="I520" s="17"/>
      <c r="J520" s="17"/>
      <c r="K520" s="17"/>
      <c r="L520" s="17"/>
      <c r="M520" s="17"/>
      <c r="N520" s="17"/>
      <c r="O520" s="17"/>
      <c r="P520" s="17"/>
      <c r="Q520" s="17"/>
      <c r="R520" s="17"/>
      <c r="S520" s="143"/>
      <c r="T520" s="143"/>
      <c r="U520" s="143"/>
      <c r="V520" s="143"/>
      <c r="W520" s="17"/>
      <c r="X520" s="17"/>
      <c r="Y520" s="17"/>
      <c r="Z520" s="17"/>
      <c r="AA520" s="17"/>
      <c r="AB520" s="17"/>
    </row>
    <row r="521">
      <c r="A521" s="17"/>
      <c r="B521" s="17"/>
      <c r="C521" s="17"/>
      <c r="D521" s="17"/>
      <c r="E521" s="17"/>
      <c r="F521" s="288"/>
      <c r="G521" s="17"/>
      <c r="H521" s="17"/>
      <c r="I521" s="17"/>
      <c r="J521" s="17"/>
      <c r="K521" s="17"/>
      <c r="L521" s="17"/>
      <c r="M521" s="17"/>
      <c r="N521" s="17"/>
      <c r="O521" s="17"/>
      <c r="P521" s="17"/>
      <c r="Q521" s="17"/>
      <c r="R521" s="17"/>
      <c r="S521" s="143"/>
      <c r="T521" s="143"/>
      <c r="U521" s="143"/>
      <c r="V521" s="143"/>
      <c r="W521" s="17"/>
      <c r="X521" s="17"/>
      <c r="Y521" s="17"/>
      <c r="Z521" s="17"/>
      <c r="AA521" s="17"/>
      <c r="AB521" s="17"/>
    </row>
    <row r="522">
      <c r="A522" s="17"/>
      <c r="B522" s="17"/>
      <c r="C522" s="17"/>
      <c r="D522" s="17"/>
      <c r="E522" s="17"/>
      <c r="F522" s="288"/>
      <c r="G522" s="17"/>
      <c r="H522" s="17"/>
      <c r="I522" s="17"/>
      <c r="J522" s="17"/>
      <c r="K522" s="17"/>
      <c r="L522" s="17"/>
      <c r="M522" s="17"/>
      <c r="N522" s="17"/>
      <c r="O522" s="17"/>
      <c r="P522" s="17"/>
      <c r="Q522" s="17"/>
      <c r="R522" s="17"/>
      <c r="S522" s="143"/>
      <c r="T522" s="143"/>
      <c r="U522" s="143"/>
      <c r="V522" s="143"/>
      <c r="W522" s="17"/>
      <c r="X522" s="17"/>
      <c r="Y522" s="17"/>
      <c r="Z522" s="17"/>
      <c r="AA522" s="17"/>
      <c r="AB522" s="17"/>
    </row>
    <row r="523">
      <c r="A523" s="17"/>
      <c r="B523" s="17"/>
      <c r="C523" s="17"/>
      <c r="D523" s="17"/>
      <c r="E523" s="17"/>
      <c r="F523" s="288"/>
      <c r="G523" s="17"/>
      <c r="H523" s="17"/>
      <c r="I523" s="17"/>
      <c r="J523" s="17"/>
      <c r="K523" s="17"/>
      <c r="L523" s="17"/>
      <c r="M523" s="17"/>
      <c r="N523" s="17"/>
      <c r="O523" s="17"/>
      <c r="P523" s="17"/>
      <c r="Q523" s="17"/>
      <c r="R523" s="17"/>
      <c r="S523" s="143"/>
      <c r="T523" s="143"/>
      <c r="U523" s="143"/>
      <c r="V523" s="143"/>
      <c r="W523" s="17"/>
      <c r="X523" s="17"/>
      <c r="Y523" s="17"/>
      <c r="Z523" s="17"/>
      <c r="AA523" s="17"/>
      <c r="AB523" s="17"/>
    </row>
    <row r="524">
      <c r="A524" s="17"/>
      <c r="B524" s="17"/>
      <c r="C524" s="17"/>
      <c r="D524" s="17"/>
      <c r="E524" s="17"/>
      <c r="F524" s="288"/>
      <c r="G524" s="17"/>
      <c r="H524" s="17"/>
      <c r="I524" s="17"/>
      <c r="J524" s="17"/>
      <c r="K524" s="17"/>
      <c r="L524" s="17"/>
      <c r="M524" s="17"/>
      <c r="N524" s="17"/>
      <c r="O524" s="17"/>
      <c r="P524" s="17"/>
      <c r="Q524" s="17"/>
      <c r="R524" s="17"/>
      <c r="S524" s="143"/>
      <c r="T524" s="143"/>
      <c r="U524" s="143"/>
      <c r="V524" s="143"/>
      <c r="W524" s="17"/>
      <c r="X524" s="17"/>
      <c r="Y524" s="17"/>
      <c r="Z524" s="17"/>
      <c r="AA524" s="17"/>
      <c r="AB524" s="17"/>
    </row>
    <row r="525">
      <c r="A525" s="17"/>
      <c r="B525" s="17"/>
      <c r="C525" s="17"/>
      <c r="D525" s="17"/>
      <c r="E525" s="17"/>
      <c r="F525" s="288"/>
      <c r="G525" s="17"/>
      <c r="H525" s="17"/>
      <c r="I525" s="17"/>
      <c r="J525" s="17"/>
      <c r="K525" s="17"/>
      <c r="L525" s="17"/>
      <c r="M525" s="17"/>
      <c r="N525" s="17"/>
      <c r="O525" s="17"/>
      <c r="P525" s="17"/>
      <c r="Q525" s="17"/>
      <c r="R525" s="17"/>
      <c r="S525" s="143"/>
      <c r="T525" s="143"/>
      <c r="U525" s="143"/>
      <c r="V525" s="143"/>
      <c r="W525" s="17"/>
      <c r="X525" s="17"/>
      <c r="Y525" s="17"/>
      <c r="Z525" s="17"/>
      <c r="AA525" s="17"/>
      <c r="AB525" s="17"/>
    </row>
    <row r="526">
      <c r="A526" s="17"/>
      <c r="B526" s="17"/>
      <c r="C526" s="17"/>
      <c r="D526" s="17"/>
      <c r="E526" s="17"/>
      <c r="F526" s="288"/>
      <c r="G526" s="17"/>
      <c r="H526" s="17"/>
      <c r="I526" s="17"/>
      <c r="J526" s="17"/>
      <c r="K526" s="17"/>
      <c r="L526" s="17"/>
      <c r="M526" s="17"/>
      <c r="N526" s="17"/>
      <c r="O526" s="17"/>
      <c r="P526" s="17"/>
      <c r="Q526" s="17"/>
      <c r="R526" s="17"/>
      <c r="S526" s="143"/>
      <c r="T526" s="143"/>
      <c r="U526" s="143"/>
      <c r="V526" s="143"/>
      <c r="W526" s="17"/>
      <c r="X526" s="17"/>
      <c r="Y526" s="17"/>
      <c r="Z526" s="17"/>
      <c r="AA526" s="17"/>
      <c r="AB526" s="17"/>
    </row>
    <row r="527">
      <c r="A527" s="17"/>
      <c r="B527" s="17"/>
      <c r="C527" s="17"/>
      <c r="D527" s="17"/>
      <c r="E527" s="17"/>
      <c r="F527" s="288"/>
      <c r="G527" s="17"/>
      <c r="H527" s="17"/>
      <c r="I527" s="17"/>
      <c r="J527" s="17"/>
      <c r="K527" s="17"/>
      <c r="L527" s="17"/>
      <c r="M527" s="17"/>
      <c r="N527" s="17"/>
      <c r="O527" s="17"/>
      <c r="P527" s="17"/>
      <c r="Q527" s="17"/>
      <c r="R527" s="17"/>
      <c r="S527" s="143"/>
      <c r="T527" s="143"/>
      <c r="U527" s="143"/>
      <c r="V527" s="143"/>
      <c r="W527" s="17"/>
      <c r="X527" s="17"/>
      <c r="Y527" s="17"/>
      <c r="Z527" s="17"/>
      <c r="AA527" s="17"/>
      <c r="AB527" s="17"/>
    </row>
    <row r="528">
      <c r="A528" s="17"/>
      <c r="B528" s="17"/>
      <c r="C528" s="17"/>
      <c r="D528" s="17"/>
      <c r="E528" s="17"/>
      <c r="F528" s="288"/>
      <c r="G528" s="17"/>
      <c r="H528" s="17"/>
      <c r="I528" s="17"/>
      <c r="J528" s="17"/>
      <c r="K528" s="17"/>
      <c r="L528" s="17"/>
      <c r="M528" s="17"/>
      <c r="N528" s="17"/>
      <c r="O528" s="17"/>
      <c r="P528" s="17"/>
      <c r="Q528" s="17"/>
      <c r="R528" s="17"/>
      <c r="S528" s="143"/>
      <c r="T528" s="143"/>
      <c r="U528" s="143"/>
      <c r="V528" s="143"/>
      <c r="W528" s="17"/>
      <c r="X528" s="17"/>
      <c r="Y528" s="17"/>
      <c r="Z528" s="17"/>
      <c r="AA528" s="17"/>
      <c r="AB528" s="17"/>
    </row>
    <row r="529">
      <c r="A529" s="17"/>
      <c r="B529" s="17"/>
      <c r="C529" s="17"/>
      <c r="D529" s="17"/>
      <c r="E529" s="17"/>
      <c r="F529" s="288"/>
      <c r="G529" s="17"/>
      <c r="H529" s="17"/>
      <c r="I529" s="17"/>
      <c r="J529" s="17"/>
      <c r="K529" s="17"/>
      <c r="L529" s="17"/>
      <c r="M529" s="17"/>
      <c r="N529" s="17"/>
      <c r="O529" s="17"/>
      <c r="P529" s="17"/>
      <c r="Q529" s="17"/>
      <c r="R529" s="17"/>
      <c r="S529" s="143"/>
      <c r="T529" s="143"/>
      <c r="U529" s="143"/>
      <c r="V529" s="143"/>
      <c r="W529" s="17"/>
      <c r="X529" s="17"/>
      <c r="Y529" s="17"/>
      <c r="Z529" s="17"/>
      <c r="AA529" s="17"/>
      <c r="AB529" s="17"/>
    </row>
    <row r="530">
      <c r="A530" s="17"/>
      <c r="B530" s="17"/>
      <c r="C530" s="17"/>
      <c r="D530" s="17"/>
      <c r="E530" s="17"/>
      <c r="F530" s="288"/>
      <c r="G530" s="17"/>
      <c r="H530" s="17"/>
      <c r="I530" s="17"/>
      <c r="J530" s="17"/>
      <c r="K530" s="17"/>
      <c r="L530" s="17"/>
      <c r="M530" s="17"/>
      <c r="N530" s="17"/>
      <c r="O530" s="17"/>
      <c r="P530" s="17"/>
      <c r="Q530" s="17"/>
      <c r="R530" s="17"/>
      <c r="S530" s="143"/>
      <c r="T530" s="143"/>
      <c r="U530" s="143"/>
      <c r="V530" s="143"/>
      <c r="W530" s="17"/>
      <c r="X530" s="17"/>
      <c r="Y530" s="17"/>
      <c r="Z530" s="17"/>
      <c r="AA530" s="17"/>
      <c r="AB530" s="17"/>
    </row>
    <row r="531">
      <c r="A531" s="17"/>
      <c r="B531" s="17"/>
      <c r="C531" s="17"/>
      <c r="D531" s="17"/>
      <c r="E531" s="17"/>
      <c r="F531" s="288"/>
      <c r="G531" s="17"/>
      <c r="H531" s="17"/>
      <c r="I531" s="17"/>
      <c r="J531" s="17"/>
      <c r="K531" s="17"/>
      <c r="L531" s="17"/>
      <c r="M531" s="17"/>
      <c r="N531" s="17"/>
      <c r="O531" s="17"/>
      <c r="P531" s="17"/>
      <c r="Q531" s="17"/>
      <c r="R531" s="17"/>
      <c r="S531" s="143"/>
      <c r="T531" s="143"/>
      <c r="U531" s="143"/>
      <c r="V531" s="143"/>
      <c r="W531" s="17"/>
      <c r="X531" s="17"/>
      <c r="Y531" s="17"/>
      <c r="Z531" s="17"/>
      <c r="AA531" s="17"/>
      <c r="AB531" s="17"/>
    </row>
    <row r="532">
      <c r="A532" s="17"/>
      <c r="B532" s="17"/>
      <c r="C532" s="17"/>
      <c r="D532" s="17"/>
      <c r="E532" s="17"/>
      <c r="F532" s="288"/>
      <c r="G532" s="17"/>
      <c r="H532" s="17"/>
      <c r="I532" s="17"/>
      <c r="J532" s="17"/>
      <c r="K532" s="17"/>
      <c r="L532" s="17"/>
      <c r="M532" s="17"/>
      <c r="N532" s="17"/>
      <c r="O532" s="17"/>
      <c r="P532" s="17"/>
      <c r="Q532" s="17"/>
      <c r="R532" s="17"/>
      <c r="S532" s="143"/>
      <c r="T532" s="143"/>
      <c r="U532" s="143"/>
      <c r="V532" s="143"/>
      <c r="W532" s="17"/>
      <c r="X532" s="17"/>
      <c r="Y532" s="17"/>
      <c r="Z532" s="17"/>
      <c r="AA532" s="17"/>
      <c r="AB532" s="17"/>
    </row>
    <row r="533">
      <c r="A533" s="17"/>
      <c r="B533" s="17"/>
      <c r="C533" s="17"/>
      <c r="D533" s="17"/>
      <c r="E533" s="17"/>
      <c r="F533" s="288"/>
      <c r="G533" s="17"/>
      <c r="H533" s="17"/>
      <c r="I533" s="17"/>
      <c r="J533" s="17"/>
      <c r="K533" s="17"/>
      <c r="L533" s="17"/>
      <c r="M533" s="17"/>
      <c r="N533" s="17"/>
      <c r="O533" s="17"/>
      <c r="P533" s="17"/>
      <c r="Q533" s="17"/>
      <c r="R533" s="17"/>
      <c r="S533" s="143"/>
      <c r="T533" s="143"/>
      <c r="U533" s="143"/>
      <c r="V533" s="143"/>
      <c r="W533" s="17"/>
      <c r="X533" s="17"/>
      <c r="Y533" s="17"/>
      <c r="Z533" s="17"/>
      <c r="AA533" s="17"/>
      <c r="AB533" s="17"/>
    </row>
    <row r="534">
      <c r="A534" s="17"/>
      <c r="B534" s="17"/>
      <c r="C534" s="17"/>
      <c r="D534" s="17"/>
      <c r="E534" s="17"/>
      <c r="F534" s="288"/>
      <c r="G534" s="17"/>
      <c r="H534" s="17"/>
      <c r="I534" s="17"/>
      <c r="J534" s="17"/>
      <c r="K534" s="17"/>
      <c r="L534" s="17"/>
      <c r="M534" s="17"/>
      <c r="N534" s="17"/>
      <c r="O534" s="17"/>
      <c r="P534" s="17"/>
      <c r="Q534" s="17"/>
      <c r="R534" s="17"/>
      <c r="S534" s="143"/>
      <c r="T534" s="143"/>
      <c r="U534" s="143"/>
      <c r="V534" s="143"/>
      <c r="W534" s="17"/>
      <c r="X534" s="17"/>
      <c r="Y534" s="17"/>
      <c r="Z534" s="17"/>
      <c r="AA534" s="17"/>
      <c r="AB534" s="17"/>
    </row>
    <row r="535">
      <c r="A535" s="17"/>
      <c r="B535" s="17"/>
      <c r="C535" s="17"/>
      <c r="D535" s="17"/>
      <c r="E535" s="17"/>
      <c r="F535" s="288"/>
      <c r="G535" s="17"/>
      <c r="H535" s="17"/>
      <c r="I535" s="17"/>
      <c r="J535" s="17"/>
      <c r="K535" s="17"/>
      <c r="L535" s="17"/>
      <c r="M535" s="17"/>
      <c r="N535" s="17"/>
      <c r="O535" s="17"/>
      <c r="P535" s="17"/>
      <c r="Q535" s="17"/>
      <c r="R535" s="17"/>
      <c r="S535" s="143"/>
      <c r="T535" s="143"/>
      <c r="U535" s="143"/>
      <c r="V535" s="143"/>
      <c r="W535" s="17"/>
      <c r="X535" s="17"/>
      <c r="Y535" s="17"/>
      <c r="Z535" s="17"/>
      <c r="AA535" s="17"/>
      <c r="AB535" s="17"/>
    </row>
    <row r="536">
      <c r="A536" s="17"/>
      <c r="B536" s="17"/>
      <c r="C536" s="17"/>
      <c r="D536" s="17"/>
      <c r="E536" s="17"/>
      <c r="F536" s="288"/>
      <c r="G536" s="17"/>
      <c r="H536" s="17"/>
      <c r="I536" s="17"/>
      <c r="J536" s="17"/>
      <c r="K536" s="17"/>
      <c r="L536" s="17"/>
      <c r="M536" s="17"/>
      <c r="N536" s="17"/>
      <c r="O536" s="17"/>
      <c r="P536" s="17"/>
      <c r="Q536" s="17"/>
      <c r="R536" s="17"/>
      <c r="S536" s="143"/>
      <c r="T536" s="143"/>
      <c r="U536" s="143"/>
      <c r="V536" s="143"/>
      <c r="W536" s="17"/>
      <c r="X536" s="17"/>
      <c r="Y536" s="17"/>
      <c r="Z536" s="17"/>
      <c r="AA536" s="17"/>
      <c r="AB536" s="17"/>
    </row>
    <row r="537">
      <c r="A537" s="17"/>
      <c r="B537" s="17"/>
      <c r="C537" s="17"/>
      <c r="D537" s="17"/>
      <c r="E537" s="17"/>
      <c r="F537" s="288"/>
      <c r="G537" s="17"/>
      <c r="H537" s="17"/>
      <c r="I537" s="17"/>
      <c r="J537" s="17"/>
      <c r="K537" s="17"/>
      <c r="L537" s="17"/>
      <c r="M537" s="17"/>
      <c r="N537" s="17"/>
      <c r="O537" s="17"/>
      <c r="P537" s="17"/>
      <c r="Q537" s="17"/>
      <c r="R537" s="17"/>
      <c r="S537" s="143"/>
      <c r="T537" s="143"/>
      <c r="U537" s="143"/>
      <c r="V537" s="143"/>
      <c r="W537" s="17"/>
      <c r="X537" s="17"/>
      <c r="Y537" s="17"/>
      <c r="Z537" s="17"/>
      <c r="AA537" s="17"/>
      <c r="AB537" s="17"/>
    </row>
    <row r="538">
      <c r="A538" s="17"/>
      <c r="B538" s="17"/>
      <c r="C538" s="17"/>
      <c r="D538" s="17"/>
      <c r="E538" s="17"/>
      <c r="F538" s="288"/>
      <c r="G538" s="17"/>
      <c r="H538" s="17"/>
      <c r="I538" s="17"/>
      <c r="J538" s="17"/>
      <c r="K538" s="17"/>
      <c r="L538" s="17"/>
      <c r="M538" s="17"/>
      <c r="N538" s="17"/>
      <c r="O538" s="17"/>
      <c r="P538" s="17"/>
      <c r="Q538" s="17"/>
      <c r="R538" s="17"/>
      <c r="S538" s="143"/>
      <c r="T538" s="143"/>
      <c r="U538" s="143"/>
      <c r="V538" s="143"/>
      <c r="W538" s="17"/>
      <c r="X538" s="17"/>
      <c r="Y538" s="17"/>
      <c r="Z538" s="17"/>
      <c r="AA538" s="17"/>
      <c r="AB538" s="17"/>
    </row>
    <row r="539">
      <c r="A539" s="17"/>
      <c r="B539" s="17"/>
      <c r="C539" s="17"/>
      <c r="D539" s="17"/>
      <c r="E539" s="17"/>
      <c r="F539" s="288"/>
      <c r="G539" s="17"/>
      <c r="H539" s="17"/>
      <c r="I539" s="17"/>
      <c r="J539" s="17"/>
      <c r="K539" s="17"/>
      <c r="L539" s="17"/>
      <c r="M539" s="17"/>
      <c r="N539" s="17"/>
      <c r="O539" s="17"/>
      <c r="P539" s="17"/>
      <c r="Q539" s="17"/>
      <c r="R539" s="17"/>
      <c r="S539" s="143"/>
      <c r="T539" s="143"/>
      <c r="U539" s="143"/>
      <c r="V539" s="143"/>
      <c r="W539" s="17"/>
      <c r="X539" s="17"/>
      <c r="Y539" s="17"/>
      <c r="Z539" s="17"/>
      <c r="AA539" s="17"/>
      <c r="AB539" s="17"/>
    </row>
    <row r="540">
      <c r="A540" s="17"/>
      <c r="B540" s="17"/>
      <c r="C540" s="17"/>
      <c r="D540" s="17"/>
      <c r="E540" s="17"/>
      <c r="F540" s="288"/>
      <c r="G540" s="17"/>
      <c r="H540" s="17"/>
      <c r="I540" s="17"/>
      <c r="J540" s="17"/>
      <c r="K540" s="17"/>
      <c r="L540" s="17"/>
      <c r="M540" s="17"/>
      <c r="N540" s="17"/>
      <c r="O540" s="17"/>
      <c r="P540" s="17"/>
      <c r="Q540" s="17"/>
      <c r="R540" s="17"/>
      <c r="S540" s="143"/>
      <c r="T540" s="143"/>
      <c r="U540" s="143"/>
      <c r="V540" s="143"/>
      <c r="W540" s="17"/>
      <c r="X540" s="17"/>
      <c r="Y540" s="17"/>
      <c r="Z540" s="17"/>
      <c r="AA540" s="17"/>
      <c r="AB540" s="17"/>
    </row>
    <row r="541">
      <c r="A541" s="17"/>
      <c r="B541" s="17"/>
      <c r="C541" s="17"/>
      <c r="D541" s="17"/>
      <c r="E541" s="17"/>
      <c r="F541" s="288"/>
      <c r="G541" s="17"/>
      <c r="H541" s="17"/>
      <c r="I541" s="17"/>
      <c r="J541" s="17"/>
      <c r="K541" s="17"/>
      <c r="L541" s="17"/>
      <c r="M541" s="17"/>
      <c r="N541" s="17"/>
      <c r="O541" s="17"/>
      <c r="P541" s="17"/>
      <c r="Q541" s="17"/>
      <c r="R541" s="17"/>
      <c r="S541" s="143"/>
      <c r="T541" s="143"/>
      <c r="U541" s="143"/>
      <c r="V541" s="143"/>
      <c r="W541" s="17"/>
      <c r="X541" s="17"/>
      <c r="Y541" s="17"/>
      <c r="Z541" s="17"/>
      <c r="AA541" s="17"/>
      <c r="AB541" s="17"/>
    </row>
    <row r="542">
      <c r="A542" s="17"/>
      <c r="B542" s="17"/>
      <c r="C542" s="17"/>
      <c r="D542" s="17"/>
      <c r="E542" s="17"/>
      <c r="F542" s="288"/>
      <c r="G542" s="17"/>
      <c r="H542" s="17"/>
      <c r="I542" s="17"/>
      <c r="J542" s="17"/>
      <c r="K542" s="17"/>
      <c r="L542" s="17"/>
      <c r="M542" s="17"/>
      <c r="N542" s="17"/>
      <c r="O542" s="17"/>
      <c r="P542" s="17"/>
      <c r="Q542" s="17"/>
      <c r="R542" s="17"/>
      <c r="S542" s="143"/>
      <c r="T542" s="143"/>
      <c r="U542" s="143"/>
      <c r="V542" s="143"/>
      <c r="W542" s="17"/>
      <c r="X542" s="17"/>
      <c r="Y542" s="17"/>
      <c r="Z542" s="17"/>
      <c r="AA542" s="17"/>
      <c r="AB542" s="17"/>
    </row>
    <row r="543">
      <c r="A543" s="17"/>
      <c r="B543" s="17"/>
      <c r="C543" s="17"/>
      <c r="D543" s="17"/>
      <c r="E543" s="17"/>
      <c r="F543" s="288"/>
      <c r="G543" s="17"/>
      <c r="H543" s="17"/>
      <c r="I543" s="17"/>
      <c r="J543" s="17"/>
      <c r="K543" s="17"/>
      <c r="L543" s="17"/>
      <c r="M543" s="17"/>
      <c r="N543" s="17"/>
      <c r="O543" s="17"/>
      <c r="P543" s="17"/>
      <c r="Q543" s="17"/>
      <c r="R543" s="17"/>
      <c r="S543" s="143"/>
      <c r="T543" s="143"/>
      <c r="U543" s="143"/>
      <c r="V543" s="143"/>
      <c r="W543" s="17"/>
      <c r="X543" s="17"/>
      <c r="Y543" s="17"/>
      <c r="Z543" s="17"/>
      <c r="AA543" s="17"/>
      <c r="AB543" s="17"/>
    </row>
    <row r="544">
      <c r="A544" s="17"/>
      <c r="B544" s="17"/>
      <c r="C544" s="17"/>
      <c r="D544" s="17"/>
      <c r="E544" s="17"/>
      <c r="F544" s="288"/>
      <c r="G544" s="17"/>
      <c r="H544" s="17"/>
      <c r="I544" s="17"/>
      <c r="J544" s="17"/>
      <c r="K544" s="17"/>
      <c r="L544" s="17"/>
      <c r="M544" s="17"/>
      <c r="N544" s="17"/>
      <c r="O544" s="17"/>
      <c r="P544" s="17"/>
      <c r="Q544" s="17"/>
      <c r="R544" s="17"/>
      <c r="S544" s="143"/>
      <c r="T544" s="143"/>
      <c r="U544" s="143"/>
      <c r="V544" s="143"/>
      <c r="W544" s="17"/>
      <c r="X544" s="17"/>
      <c r="Y544" s="17"/>
      <c r="Z544" s="17"/>
      <c r="AA544" s="17"/>
      <c r="AB544" s="17"/>
    </row>
    <row r="545">
      <c r="A545" s="17"/>
      <c r="B545" s="17"/>
      <c r="C545" s="17"/>
      <c r="D545" s="17"/>
      <c r="E545" s="17"/>
      <c r="F545" s="288"/>
      <c r="G545" s="17"/>
      <c r="H545" s="17"/>
      <c r="I545" s="17"/>
      <c r="J545" s="17"/>
      <c r="K545" s="17"/>
      <c r="L545" s="17"/>
      <c r="M545" s="17"/>
      <c r="N545" s="17"/>
      <c r="O545" s="17"/>
      <c r="P545" s="17"/>
      <c r="Q545" s="17"/>
      <c r="R545" s="17"/>
      <c r="S545" s="143"/>
      <c r="T545" s="143"/>
      <c r="U545" s="143"/>
      <c r="V545" s="143"/>
      <c r="W545" s="17"/>
      <c r="X545" s="17"/>
      <c r="Y545" s="17"/>
      <c r="Z545" s="17"/>
      <c r="AA545" s="17"/>
      <c r="AB545" s="17"/>
    </row>
    <row r="546">
      <c r="A546" s="17"/>
      <c r="B546" s="17"/>
      <c r="C546" s="17"/>
      <c r="D546" s="17"/>
      <c r="E546" s="17"/>
      <c r="F546" s="288"/>
      <c r="G546" s="17"/>
      <c r="H546" s="17"/>
      <c r="I546" s="17"/>
      <c r="J546" s="17"/>
      <c r="K546" s="17"/>
      <c r="L546" s="17"/>
      <c r="M546" s="17"/>
      <c r="N546" s="17"/>
      <c r="O546" s="17"/>
      <c r="P546" s="17"/>
      <c r="Q546" s="17"/>
      <c r="R546" s="17"/>
      <c r="S546" s="143"/>
      <c r="T546" s="143"/>
      <c r="U546" s="143"/>
      <c r="V546" s="143"/>
      <c r="W546" s="17"/>
      <c r="X546" s="17"/>
      <c r="Y546" s="17"/>
      <c r="Z546" s="17"/>
      <c r="AA546" s="17"/>
      <c r="AB546" s="17"/>
    </row>
    <row r="547">
      <c r="A547" s="17"/>
      <c r="B547" s="17"/>
      <c r="C547" s="17"/>
      <c r="D547" s="17"/>
      <c r="E547" s="17"/>
      <c r="F547" s="288"/>
      <c r="G547" s="17"/>
      <c r="H547" s="17"/>
      <c r="I547" s="17"/>
      <c r="J547" s="17"/>
      <c r="K547" s="17"/>
      <c r="L547" s="17"/>
      <c r="M547" s="17"/>
      <c r="N547" s="17"/>
      <c r="O547" s="17"/>
      <c r="P547" s="17"/>
      <c r="Q547" s="17"/>
      <c r="R547" s="17"/>
      <c r="S547" s="143"/>
      <c r="T547" s="143"/>
      <c r="U547" s="143"/>
      <c r="V547" s="143"/>
      <c r="W547" s="17"/>
      <c r="X547" s="17"/>
      <c r="Y547" s="17"/>
      <c r="Z547" s="17"/>
      <c r="AA547" s="17"/>
      <c r="AB547" s="17"/>
    </row>
    <row r="548">
      <c r="A548" s="17"/>
      <c r="B548" s="17"/>
      <c r="C548" s="17"/>
      <c r="D548" s="17"/>
      <c r="E548" s="17"/>
      <c r="F548" s="288"/>
      <c r="G548" s="17"/>
      <c r="H548" s="17"/>
      <c r="I548" s="17"/>
      <c r="J548" s="17"/>
      <c r="K548" s="17"/>
      <c r="L548" s="17"/>
      <c r="M548" s="17"/>
      <c r="N548" s="17"/>
      <c r="O548" s="17"/>
      <c r="P548" s="17"/>
      <c r="Q548" s="17"/>
      <c r="R548" s="17"/>
      <c r="S548" s="143"/>
      <c r="T548" s="143"/>
      <c r="U548" s="143"/>
      <c r="V548" s="143"/>
      <c r="W548" s="17"/>
      <c r="X548" s="17"/>
      <c r="Y548" s="17"/>
      <c r="Z548" s="17"/>
      <c r="AA548" s="17"/>
      <c r="AB548" s="17"/>
    </row>
    <row r="549">
      <c r="A549" s="17"/>
      <c r="B549" s="17"/>
      <c r="C549" s="17"/>
      <c r="D549" s="17"/>
      <c r="E549" s="17"/>
      <c r="F549" s="288"/>
      <c r="G549" s="17"/>
      <c r="H549" s="17"/>
      <c r="I549" s="17"/>
      <c r="J549" s="17"/>
      <c r="K549" s="17"/>
      <c r="L549" s="17"/>
      <c r="M549" s="17"/>
      <c r="N549" s="17"/>
      <c r="O549" s="17"/>
      <c r="P549" s="17"/>
      <c r="Q549" s="17"/>
      <c r="R549" s="17"/>
      <c r="S549" s="143"/>
      <c r="T549" s="143"/>
      <c r="U549" s="143"/>
      <c r="V549" s="143"/>
      <c r="W549" s="17"/>
      <c r="X549" s="17"/>
      <c r="Y549" s="17"/>
      <c r="Z549" s="17"/>
      <c r="AA549" s="17"/>
      <c r="AB549" s="17"/>
    </row>
    <row r="550">
      <c r="A550" s="17"/>
      <c r="B550" s="17"/>
      <c r="C550" s="17"/>
      <c r="D550" s="17"/>
      <c r="E550" s="17"/>
      <c r="F550" s="288"/>
      <c r="G550" s="17"/>
      <c r="H550" s="17"/>
      <c r="I550" s="17"/>
      <c r="J550" s="17"/>
      <c r="K550" s="17"/>
      <c r="L550" s="17"/>
      <c r="M550" s="17"/>
      <c r="N550" s="17"/>
      <c r="O550" s="17"/>
      <c r="P550" s="17"/>
      <c r="Q550" s="17"/>
      <c r="R550" s="17"/>
      <c r="S550" s="143"/>
      <c r="T550" s="143"/>
      <c r="U550" s="143"/>
      <c r="V550" s="143"/>
      <c r="W550" s="17"/>
      <c r="X550" s="17"/>
      <c r="Y550" s="17"/>
      <c r="Z550" s="17"/>
      <c r="AA550" s="17"/>
      <c r="AB550" s="17"/>
    </row>
    <row r="551">
      <c r="A551" s="17"/>
      <c r="B551" s="17"/>
      <c r="C551" s="17"/>
      <c r="D551" s="17"/>
      <c r="E551" s="17"/>
      <c r="F551" s="288"/>
      <c r="G551" s="17"/>
      <c r="H551" s="17"/>
      <c r="I551" s="17"/>
      <c r="J551" s="17"/>
      <c r="K551" s="17"/>
      <c r="L551" s="17"/>
      <c r="M551" s="17"/>
      <c r="N551" s="17"/>
      <c r="O551" s="17"/>
      <c r="P551" s="17"/>
      <c r="Q551" s="17"/>
      <c r="R551" s="17"/>
      <c r="S551" s="143"/>
      <c r="T551" s="143"/>
      <c r="U551" s="143"/>
      <c r="V551" s="143"/>
      <c r="W551" s="17"/>
      <c r="X551" s="17"/>
      <c r="Y551" s="17"/>
      <c r="Z551" s="17"/>
      <c r="AA551" s="17"/>
      <c r="AB551" s="17"/>
    </row>
    <row r="552">
      <c r="A552" s="17"/>
      <c r="B552" s="17"/>
      <c r="C552" s="17"/>
      <c r="D552" s="17"/>
      <c r="E552" s="17"/>
      <c r="F552" s="288"/>
      <c r="G552" s="17"/>
      <c r="H552" s="17"/>
      <c r="I552" s="17"/>
      <c r="J552" s="17"/>
      <c r="K552" s="17"/>
      <c r="L552" s="17"/>
      <c r="M552" s="17"/>
      <c r="N552" s="17"/>
      <c r="O552" s="17"/>
      <c r="P552" s="17"/>
      <c r="Q552" s="17"/>
      <c r="R552" s="17"/>
      <c r="S552" s="143"/>
      <c r="T552" s="143"/>
      <c r="U552" s="143"/>
      <c r="V552" s="143"/>
      <c r="W552" s="17"/>
      <c r="X552" s="17"/>
      <c r="Y552" s="17"/>
      <c r="Z552" s="17"/>
      <c r="AA552" s="17"/>
      <c r="AB552" s="17"/>
    </row>
    <row r="553">
      <c r="A553" s="17"/>
      <c r="B553" s="17"/>
      <c r="C553" s="17"/>
      <c r="D553" s="17"/>
      <c r="E553" s="17"/>
      <c r="F553" s="288"/>
      <c r="G553" s="17"/>
      <c r="H553" s="17"/>
      <c r="I553" s="17"/>
      <c r="J553" s="17"/>
      <c r="K553" s="17"/>
      <c r="L553" s="17"/>
      <c r="M553" s="17"/>
      <c r="N553" s="17"/>
      <c r="O553" s="17"/>
      <c r="P553" s="17"/>
      <c r="Q553" s="17"/>
      <c r="R553" s="17"/>
      <c r="S553" s="143"/>
      <c r="T553" s="143"/>
      <c r="U553" s="143"/>
      <c r="V553" s="143"/>
      <c r="W553" s="17"/>
      <c r="X553" s="17"/>
      <c r="Y553" s="17"/>
      <c r="Z553" s="17"/>
      <c r="AA553" s="17"/>
      <c r="AB553" s="17"/>
    </row>
    <row r="554">
      <c r="A554" s="17"/>
      <c r="B554" s="17"/>
      <c r="C554" s="17"/>
      <c r="D554" s="17"/>
      <c r="E554" s="17"/>
      <c r="F554" s="288"/>
      <c r="G554" s="17"/>
      <c r="H554" s="17"/>
      <c r="I554" s="17"/>
      <c r="J554" s="17"/>
      <c r="K554" s="17"/>
      <c r="L554" s="17"/>
      <c r="M554" s="17"/>
      <c r="N554" s="17"/>
      <c r="O554" s="17"/>
      <c r="P554" s="17"/>
      <c r="Q554" s="17"/>
      <c r="R554" s="17"/>
      <c r="S554" s="143"/>
      <c r="T554" s="143"/>
      <c r="U554" s="143"/>
      <c r="V554" s="143"/>
      <c r="W554" s="17"/>
      <c r="X554" s="17"/>
      <c r="Y554" s="17"/>
      <c r="Z554" s="17"/>
      <c r="AA554" s="17"/>
      <c r="AB554" s="17"/>
    </row>
    <row r="555">
      <c r="A555" s="17"/>
      <c r="B555" s="17"/>
      <c r="C555" s="17"/>
      <c r="D555" s="17"/>
      <c r="E555" s="17"/>
      <c r="F555" s="288"/>
      <c r="G555" s="17"/>
      <c r="H555" s="17"/>
      <c r="I555" s="17"/>
      <c r="J555" s="17"/>
      <c r="K555" s="17"/>
      <c r="L555" s="17"/>
      <c r="M555" s="17"/>
      <c r="N555" s="17"/>
      <c r="O555" s="17"/>
      <c r="P555" s="17"/>
      <c r="Q555" s="17"/>
      <c r="R555" s="17"/>
      <c r="S555" s="143"/>
      <c r="T555" s="143"/>
      <c r="U555" s="143"/>
      <c r="V555" s="143"/>
      <c r="W555" s="17"/>
      <c r="X555" s="17"/>
      <c r="Y555" s="17"/>
      <c r="Z555" s="17"/>
      <c r="AA555" s="17"/>
      <c r="AB555" s="17"/>
    </row>
    <row r="556">
      <c r="A556" s="17"/>
      <c r="B556" s="17"/>
      <c r="C556" s="17"/>
      <c r="D556" s="17"/>
      <c r="E556" s="17"/>
      <c r="F556" s="288"/>
      <c r="G556" s="17"/>
      <c r="H556" s="17"/>
      <c r="I556" s="17"/>
      <c r="J556" s="17"/>
      <c r="K556" s="17"/>
      <c r="L556" s="17"/>
      <c r="M556" s="17"/>
      <c r="N556" s="17"/>
      <c r="O556" s="17"/>
      <c r="P556" s="17"/>
      <c r="Q556" s="17"/>
      <c r="R556" s="17"/>
      <c r="S556" s="143"/>
      <c r="T556" s="143"/>
      <c r="U556" s="143"/>
      <c r="V556" s="143"/>
      <c r="W556" s="17"/>
      <c r="X556" s="17"/>
      <c r="Y556" s="17"/>
      <c r="Z556" s="17"/>
      <c r="AA556" s="17"/>
      <c r="AB556" s="17"/>
    </row>
    <row r="557">
      <c r="A557" s="17"/>
      <c r="B557" s="17"/>
      <c r="C557" s="17"/>
      <c r="D557" s="17"/>
      <c r="E557" s="17"/>
      <c r="F557" s="288"/>
      <c r="G557" s="17"/>
      <c r="H557" s="17"/>
      <c r="I557" s="17"/>
      <c r="J557" s="17"/>
      <c r="K557" s="17"/>
      <c r="L557" s="17"/>
      <c r="M557" s="17"/>
      <c r="N557" s="17"/>
      <c r="O557" s="17"/>
      <c r="P557" s="17"/>
      <c r="Q557" s="17"/>
      <c r="R557" s="17"/>
      <c r="S557" s="143"/>
      <c r="T557" s="143"/>
      <c r="U557" s="143"/>
      <c r="V557" s="143"/>
      <c r="W557" s="17"/>
      <c r="X557" s="17"/>
      <c r="Y557" s="17"/>
      <c r="Z557" s="17"/>
      <c r="AA557" s="17"/>
      <c r="AB557" s="17"/>
    </row>
    <row r="558">
      <c r="A558" s="17"/>
      <c r="B558" s="17"/>
      <c r="C558" s="17"/>
      <c r="D558" s="17"/>
      <c r="E558" s="17"/>
      <c r="F558" s="288"/>
      <c r="G558" s="17"/>
      <c r="H558" s="17"/>
      <c r="I558" s="17"/>
      <c r="J558" s="17"/>
      <c r="K558" s="17"/>
      <c r="L558" s="17"/>
      <c r="M558" s="17"/>
      <c r="N558" s="17"/>
      <c r="O558" s="17"/>
      <c r="P558" s="17"/>
      <c r="Q558" s="17"/>
      <c r="R558" s="17"/>
      <c r="S558" s="143"/>
      <c r="T558" s="143"/>
      <c r="U558" s="143"/>
      <c r="V558" s="143"/>
      <c r="W558" s="17"/>
      <c r="X558" s="17"/>
      <c r="Y558" s="17"/>
      <c r="Z558" s="17"/>
      <c r="AA558" s="17"/>
      <c r="AB558" s="17"/>
    </row>
    <row r="559">
      <c r="A559" s="17"/>
      <c r="B559" s="17"/>
      <c r="C559" s="17"/>
      <c r="D559" s="17"/>
      <c r="E559" s="17"/>
      <c r="F559" s="288"/>
      <c r="G559" s="17"/>
      <c r="H559" s="17"/>
      <c r="I559" s="17"/>
      <c r="J559" s="17"/>
      <c r="K559" s="17"/>
      <c r="L559" s="17"/>
      <c r="M559" s="17"/>
      <c r="N559" s="17"/>
      <c r="O559" s="17"/>
      <c r="P559" s="17"/>
      <c r="Q559" s="17"/>
      <c r="R559" s="17"/>
      <c r="S559" s="143"/>
      <c r="T559" s="143"/>
      <c r="U559" s="143"/>
      <c r="V559" s="143"/>
      <c r="W559" s="17"/>
      <c r="X559" s="17"/>
      <c r="Y559" s="17"/>
      <c r="Z559" s="17"/>
      <c r="AA559" s="17"/>
      <c r="AB559" s="17"/>
    </row>
    <row r="560">
      <c r="A560" s="17"/>
      <c r="B560" s="17"/>
      <c r="C560" s="17"/>
      <c r="D560" s="17"/>
      <c r="E560" s="17"/>
      <c r="F560" s="288"/>
      <c r="G560" s="17"/>
      <c r="H560" s="17"/>
      <c r="I560" s="17"/>
      <c r="J560" s="17"/>
      <c r="K560" s="17"/>
      <c r="L560" s="17"/>
      <c r="M560" s="17"/>
      <c r="N560" s="17"/>
      <c r="O560" s="17"/>
      <c r="P560" s="17"/>
      <c r="Q560" s="17"/>
      <c r="R560" s="17"/>
      <c r="S560" s="143"/>
      <c r="T560" s="143"/>
      <c r="U560" s="143"/>
      <c r="V560" s="143"/>
      <c r="W560" s="17"/>
      <c r="X560" s="17"/>
      <c r="Y560" s="17"/>
      <c r="Z560" s="17"/>
      <c r="AA560" s="17"/>
      <c r="AB560" s="17"/>
    </row>
    <row r="561">
      <c r="A561" s="17"/>
      <c r="B561" s="17"/>
      <c r="C561" s="17"/>
      <c r="D561" s="17"/>
      <c r="E561" s="17"/>
      <c r="F561" s="288"/>
      <c r="G561" s="17"/>
      <c r="H561" s="17"/>
      <c r="I561" s="17"/>
      <c r="J561" s="17"/>
      <c r="K561" s="17"/>
      <c r="L561" s="17"/>
      <c r="M561" s="17"/>
      <c r="N561" s="17"/>
      <c r="O561" s="17"/>
      <c r="P561" s="17"/>
      <c r="Q561" s="17"/>
      <c r="R561" s="17"/>
      <c r="S561" s="143"/>
      <c r="T561" s="143"/>
      <c r="U561" s="143"/>
      <c r="V561" s="143"/>
      <c r="W561" s="17"/>
      <c r="X561" s="17"/>
      <c r="Y561" s="17"/>
      <c r="Z561" s="17"/>
      <c r="AA561" s="17"/>
      <c r="AB561" s="17"/>
    </row>
    <row r="562">
      <c r="A562" s="17"/>
      <c r="B562" s="17"/>
      <c r="C562" s="17"/>
      <c r="D562" s="17"/>
      <c r="E562" s="17"/>
      <c r="F562" s="288"/>
      <c r="G562" s="17"/>
      <c r="H562" s="17"/>
      <c r="I562" s="17"/>
      <c r="J562" s="17"/>
      <c r="K562" s="17"/>
      <c r="L562" s="17"/>
      <c r="M562" s="17"/>
      <c r="N562" s="17"/>
      <c r="O562" s="17"/>
      <c r="P562" s="17"/>
      <c r="Q562" s="17"/>
      <c r="R562" s="17"/>
      <c r="S562" s="143"/>
      <c r="T562" s="143"/>
      <c r="U562" s="143"/>
      <c r="V562" s="143"/>
      <c r="W562" s="17"/>
      <c r="X562" s="17"/>
      <c r="Y562" s="17"/>
      <c r="Z562" s="17"/>
      <c r="AA562" s="17"/>
      <c r="AB562" s="17"/>
    </row>
    <row r="563">
      <c r="A563" s="17"/>
      <c r="B563" s="17"/>
      <c r="C563" s="17"/>
      <c r="D563" s="17"/>
      <c r="E563" s="17"/>
      <c r="F563" s="288"/>
      <c r="G563" s="17"/>
      <c r="H563" s="17"/>
      <c r="I563" s="17"/>
      <c r="J563" s="17"/>
      <c r="K563" s="17"/>
      <c r="L563" s="17"/>
      <c r="M563" s="17"/>
      <c r="N563" s="17"/>
      <c r="O563" s="17"/>
      <c r="P563" s="17"/>
      <c r="Q563" s="17"/>
      <c r="R563" s="17"/>
      <c r="S563" s="143"/>
      <c r="T563" s="143"/>
      <c r="U563" s="143"/>
      <c r="V563" s="143"/>
      <c r="W563" s="17"/>
      <c r="X563" s="17"/>
      <c r="Y563" s="17"/>
      <c r="Z563" s="17"/>
      <c r="AA563" s="17"/>
      <c r="AB563" s="17"/>
    </row>
    <row r="564">
      <c r="A564" s="17"/>
      <c r="B564" s="17"/>
      <c r="C564" s="17"/>
      <c r="D564" s="17"/>
      <c r="E564" s="17"/>
      <c r="F564" s="288"/>
      <c r="G564" s="17"/>
      <c r="H564" s="17"/>
      <c r="I564" s="17"/>
      <c r="J564" s="17"/>
      <c r="K564" s="17"/>
      <c r="L564" s="17"/>
      <c r="M564" s="17"/>
      <c r="N564" s="17"/>
      <c r="O564" s="17"/>
      <c r="P564" s="17"/>
      <c r="Q564" s="17"/>
      <c r="R564" s="17"/>
      <c r="S564" s="143"/>
      <c r="T564" s="143"/>
      <c r="U564" s="143"/>
      <c r="V564" s="143"/>
      <c r="W564" s="17"/>
      <c r="X564" s="17"/>
      <c r="Y564" s="17"/>
      <c r="Z564" s="17"/>
      <c r="AA564" s="17"/>
      <c r="AB564" s="17"/>
    </row>
    <row r="565">
      <c r="A565" s="17"/>
      <c r="B565" s="17"/>
      <c r="C565" s="17"/>
      <c r="D565" s="17"/>
      <c r="E565" s="17"/>
      <c r="F565" s="288"/>
      <c r="G565" s="17"/>
      <c r="H565" s="17"/>
      <c r="I565" s="17"/>
      <c r="J565" s="17"/>
      <c r="K565" s="17"/>
      <c r="L565" s="17"/>
      <c r="M565" s="17"/>
      <c r="N565" s="17"/>
      <c r="O565" s="17"/>
      <c r="P565" s="17"/>
      <c r="Q565" s="17"/>
      <c r="R565" s="17"/>
      <c r="S565" s="143"/>
      <c r="T565" s="143"/>
      <c r="U565" s="143"/>
      <c r="V565" s="143"/>
      <c r="W565" s="17"/>
      <c r="X565" s="17"/>
      <c r="Y565" s="17"/>
      <c r="Z565" s="17"/>
      <c r="AA565" s="17"/>
      <c r="AB565" s="17"/>
    </row>
    <row r="566">
      <c r="A566" s="17"/>
      <c r="B566" s="17"/>
      <c r="C566" s="17"/>
      <c r="D566" s="17"/>
      <c r="E566" s="17"/>
      <c r="F566" s="288"/>
      <c r="G566" s="17"/>
      <c r="H566" s="17"/>
      <c r="I566" s="17"/>
      <c r="J566" s="17"/>
      <c r="K566" s="17"/>
      <c r="L566" s="17"/>
      <c r="M566" s="17"/>
      <c r="N566" s="17"/>
      <c r="O566" s="17"/>
      <c r="P566" s="17"/>
      <c r="Q566" s="17"/>
      <c r="R566" s="17"/>
      <c r="S566" s="143"/>
      <c r="T566" s="143"/>
      <c r="U566" s="143"/>
      <c r="V566" s="143"/>
      <c r="W566" s="17"/>
      <c r="X566" s="17"/>
      <c r="Y566" s="17"/>
      <c r="Z566" s="17"/>
      <c r="AA566" s="17"/>
      <c r="AB566" s="17"/>
    </row>
    <row r="567">
      <c r="A567" s="17"/>
      <c r="B567" s="17"/>
      <c r="C567" s="17"/>
      <c r="D567" s="17"/>
      <c r="E567" s="17"/>
      <c r="F567" s="288"/>
      <c r="G567" s="17"/>
      <c r="H567" s="17"/>
      <c r="I567" s="17"/>
      <c r="J567" s="17"/>
      <c r="K567" s="17"/>
      <c r="L567" s="17"/>
      <c r="M567" s="17"/>
      <c r="N567" s="17"/>
      <c r="O567" s="17"/>
      <c r="P567" s="17"/>
      <c r="Q567" s="17"/>
      <c r="R567" s="17"/>
      <c r="S567" s="143"/>
      <c r="T567" s="143"/>
      <c r="U567" s="143"/>
      <c r="V567" s="143"/>
      <c r="W567" s="17"/>
      <c r="X567" s="17"/>
      <c r="Y567" s="17"/>
      <c r="Z567" s="17"/>
      <c r="AA567" s="17"/>
      <c r="AB567" s="17"/>
    </row>
    <row r="568">
      <c r="A568" s="17"/>
      <c r="B568" s="17"/>
      <c r="C568" s="17"/>
      <c r="D568" s="17"/>
      <c r="E568" s="17"/>
      <c r="F568" s="288"/>
      <c r="G568" s="17"/>
      <c r="H568" s="17"/>
      <c r="I568" s="17"/>
      <c r="J568" s="17"/>
      <c r="K568" s="17"/>
      <c r="L568" s="17"/>
      <c r="M568" s="17"/>
      <c r="N568" s="17"/>
      <c r="O568" s="17"/>
      <c r="P568" s="17"/>
      <c r="Q568" s="17"/>
      <c r="R568" s="17"/>
      <c r="S568" s="143"/>
      <c r="T568" s="143"/>
      <c r="U568" s="143"/>
      <c r="V568" s="143"/>
      <c r="W568" s="17"/>
      <c r="X568" s="17"/>
      <c r="Y568" s="17"/>
      <c r="Z568" s="17"/>
      <c r="AA568" s="17"/>
      <c r="AB568" s="17"/>
    </row>
    <row r="569">
      <c r="A569" s="17"/>
      <c r="B569" s="17"/>
      <c r="C569" s="17"/>
      <c r="D569" s="17"/>
      <c r="E569" s="17"/>
      <c r="F569" s="288"/>
      <c r="G569" s="17"/>
      <c r="H569" s="17"/>
      <c r="I569" s="17"/>
      <c r="J569" s="17"/>
      <c r="K569" s="17"/>
      <c r="L569" s="17"/>
      <c r="M569" s="17"/>
      <c r="N569" s="17"/>
      <c r="O569" s="17"/>
      <c r="P569" s="17"/>
      <c r="Q569" s="17"/>
      <c r="R569" s="17"/>
      <c r="S569" s="143"/>
      <c r="T569" s="143"/>
      <c r="U569" s="143"/>
      <c r="V569" s="143"/>
      <c r="W569" s="17"/>
      <c r="X569" s="17"/>
      <c r="Y569" s="17"/>
      <c r="Z569" s="17"/>
      <c r="AA569" s="17"/>
      <c r="AB569" s="17"/>
    </row>
    <row r="570">
      <c r="A570" s="17"/>
      <c r="B570" s="17"/>
      <c r="C570" s="17"/>
      <c r="D570" s="17"/>
      <c r="E570" s="17"/>
      <c r="F570" s="288"/>
      <c r="G570" s="17"/>
      <c r="H570" s="17"/>
      <c r="I570" s="17"/>
      <c r="J570" s="17"/>
      <c r="K570" s="17"/>
      <c r="L570" s="17"/>
      <c r="M570" s="17"/>
      <c r="N570" s="17"/>
      <c r="O570" s="17"/>
      <c r="P570" s="17"/>
      <c r="Q570" s="17"/>
      <c r="R570" s="17"/>
      <c r="S570" s="143"/>
      <c r="T570" s="143"/>
      <c r="U570" s="143"/>
      <c r="V570" s="143"/>
      <c r="W570" s="17"/>
      <c r="X570" s="17"/>
      <c r="Y570" s="17"/>
      <c r="Z570" s="17"/>
      <c r="AA570" s="17"/>
      <c r="AB570" s="17"/>
    </row>
    <row r="571">
      <c r="A571" s="17"/>
      <c r="B571" s="17"/>
      <c r="C571" s="17"/>
      <c r="D571" s="17"/>
      <c r="E571" s="17"/>
      <c r="F571" s="288"/>
      <c r="G571" s="17"/>
      <c r="H571" s="17"/>
      <c r="I571" s="17"/>
      <c r="J571" s="17"/>
      <c r="K571" s="17"/>
      <c r="L571" s="17"/>
      <c r="M571" s="17"/>
      <c r="N571" s="17"/>
      <c r="O571" s="17"/>
      <c r="P571" s="17"/>
      <c r="Q571" s="17"/>
      <c r="R571" s="17"/>
      <c r="S571" s="143"/>
      <c r="T571" s="143"/>
      <c r="U571" s="143"/>
      <c r="V571" s="143"/>
      <c r="W571" s="17"/>
      <c r="X571" s="17"/>
      <c r="Y571" s="17"/>
      <c r="Z571" s="17"/>
      <c r="AA571" s="17"/>
      <c r="AB571" s="17"/>
    </row>
    <row r="572">
      <c r="A572" s="17"/>
      <c r="B572" s="17"/>
      <c r="C572" s="17"/>
      <c r="D572" s="17"/>
      <c r="E572" s="17"/>
      <c r="F572" s="288"/>
      <c r="G572" s="17"/>
      <c r="H572" s="17"/>
      <c r="I572" s="17"/>
      <c r="J572" s="17"/>
      <c r="K572" s="17"/>
      <c r="L572" s="17"/>
      <c r="M572" s="17"/>
      <c r="N572" s="17"/>
      <c r="O572" s="17"/>
      <c r="P572" s="17"/>
      <c r="Q572" s="17"/>
      <c r="R572" s="17"/>
      <c r="S572" s="143"/>
      <c r="T572" s="143"/>
      <c r="U572" s="143"/>
      <c r="V572" s="143"/>
      <c r="W572" s="17"/>
      <c r="X572" s="17"/>
      <c r="Y572" s="17"/>
      <c r="Z572" s="17"/>
      <c r="AA572" s="17"/>
      <c r="AB572" s="17"/>
    </row>
    <row r="573">
      <c r="A573" s="17"/>
      <c r="B573" s="17"/>
      <c r="C573" s="17"/>
      <c r="D573" s="17"/>
      <c r="E573" s="17"/>
      <c r="F573" s="288"/>
      <c r="G573" s="17"/>
      <c r="H573" s="17"/>
      <c r="I573" s="17"/>
      <c r="J573" s="17"/>
      <c r="K573" s="17"/>
      <c r="L573" s="17"/>
      <c r="M573" s="17"/>
      <c r="N573" s="17"/>
      <c r="O573" s="17"/>
      <c r="P573" s="17"/>
      <c r="Q573" s="17"/>
      <c r="R573" s="17"/>
      <c r="S573" s="143"/>
      <c r="T573" s="143"/>
      <c r="U573" s="143"/>
      <c r="V573" s="143"/>
      <c r="W573" s="17"/>
      <c r="X573" s="17"/>
      <c r="Y573" s="17"/>
      <c r="Z573" s="17"/>
      <c r="AA573" s="17"/>
      <c r="AB573" s="17"/>
    </row>
    <row r="574">
      <c r="A574" s="17"/>
      <c r="B574" s="17"/>
      <c r="C574" s="17"/>
      <c r="D574" s="17"/>
      <c r="E574" s="17"/>
      <c r="F574" s="288"/>
      <c r="G574" s="17"/>
      <c r="H574" s="17"/>
      <c r="I574" s="17"/>
      <c r="J574" s="17"/>
      <c r="K574" s="17"/>
      <c r="L574" s="17"/>
      <c r="M574" s="17"/>
      <c r="N574" s="17"/>
      <c r="O574" s="17"/>
      <c r="P574" s="17"/>
      <c r="Q574" s="17"/>
      <c r="R574" s="17"/>
      <c r="S574" s="143"/>
      <c r="T574" s="143"/>
      <c r="U574" s="143"/>
      <c r="V574" s="143"/>
      <c r="W574" s="17"/>
      <c r="X574" s="17"/>
      <c r="Y574" s="17"/>
      <c r="Z574" s="17"/>
      <c r="AA574" s="17"/>
      <c r="AB574" s="17"/>
    </row>
    <row r="575">
      <c r="A575" s="17"/>
      <c r="B575" s="17"/>
      <c r="C575" s="17"/>
      <c r="D575" s="17"/>
      <c r="E575" s="17"/>
      <c r="F575" s="288"/>
      <c r="G575" s="17"/>
      <c r="H575" s="17"/>
      <c r="I575" s="17"/>
      <c r="J575" s="17"/>
      <c r="K575" s="17"/>
      <c r="L575" s="17"/>
      <c r="M575" s="17"/>
      <c r="N575" s="17"/>
      <c r="O575" s="17"/>
      <c r="P575" s="17"/>
      <c r="Q575" s="17"/>
      <c r="R575" s="17"/>
      <c r="S575" s="143"/>
      <c r="T575" s="143"/>
      <c r="U575" s="143"/>
      <c r="V575" s="143"/>
      <c r="W575" s="17"/>
      <c r="X575" s="17"/>
      <c r="Y575" s="17"/>
      <c r="Z575" s="17"/>
      <c r="AA575" s="17"/>
      <c r="AB575" s="17"/>
    </row>
    <row r="576">
      <c r="A576" s="17"/>
      <c r="B576" s="17"/>
      <c r="C576" s="17"/>
      <c r="D576" s="17"/>
      <c r="E576" s="17"/>
      <c r="F576" s="288"/>
      <c r="G576" s="17"/>
      <c r="H576" s="17"/>
      <c r="I576" s="17"/>
      <c r="J576" s="17"/>
      <c r="K576" s="17"/>
      <c r="L576" s="17"/>
      <c r="M576" s="17"/>
      <c r="N576" s="17"/>
      <c r="O576" s="17"/>
      <c r="P576" s="17"/>
      <c r="Q576" s="17"/>
      <c r="R576" s="17"/>
      <c r="S576" s="143"/>
      <c r="T576" s="143"/>
      <c r="U576" s="143"/>
      <c r="V576" s="143"/>
      <c r="W576" s="17"/>
      <c r="X576" s="17"/>
      <c r="Y576" s="17"/>
      <c r="Z576" s="17"/>
      <c r="AA576" s="17"/>
      <c r="AB576" s="17"/>
    </row>
    <row r="577">
      <c r="A577" s="17"/>
      <c r="B577" s="17"/>
      <c r="C577" s="17"/>
      <c r="D577" s="17"/>
      <c r="E577" s="17"/>
      <c r="F577" s="288"/>
      <c r="G577" s="17"/>
      <c r="H577" s="17"/>
      <c r="I577" s="17"/>
      <c r="J577" s="17"/>
      <c r="K577" s="17"/>
      <c r="L577" s="17"/>
      <c r="M577" s="17"/>
      <c r="N577" s="17"/>
      <c r="O577" s="17"/>
      <c r="P577" s="17"/>
      <c r="Q577" s="17"/>
      <c r="R577" s="17"/>
      <c r="S577" s="143"/>
      <c r="T577" s="143"/>
      <c r="U577" s="143"/>
      <c r="V577" s="143"/>
      <c r="W577" s="17"/>
      <c r="X577" s="17"/>
      <c r="Y577" s="17"/>
      <c r="Z577" s="17"/>
      <c r="AA577" s="17"/>
      <c r="AB577" s="17"/>
    </row>
    <row r="578">
      <c r="A578" s="17"/>
      <c r="B578" s="17"/>
      <c r="C578" s="17"/>
      <c r="D578" s="17"/>
      <c r="E578" s="17"/>
      <c r="F578" s="288"/>
      <c r="G578" s="17"/>
      <c r="H578" s="17"/>
      <c r="I578" s="17"/>
      <c r="J578" s="17"/>
      <c r="K578" s="17"/>
      <c r="L578" s="17"/>
      <c r="M578" s="17"/>
      <c r="N578" s="17"/>
      <c r="O578" s="17"/>
      <c r="P578" s="17"/>
      <c r="Q578" s="17"/>
      <c r="R578" s="17"/>
      <c r="S578" s="143"/>
      <c r="T578" s="143"/>
      <c r="U578" s="143"/>
      <c r="V578" s="143"/>
      <c r="W578" s="17"/>
      <c r="X578" s="17"/>
      <c r="Y578" s="17"/>
      <c r="Z578" s="17"/>
      <c r="AA578" s="17"/>
      <c r="AB578" s="17"/>
    </row>
    <row r="579">
      <c r="A579" s="17"/>
      <c r="B579" s="17"/>
      <c r="C579" s="17"/>
      <c r="D579" s="17"/>
      <c r="E579" s="17"/>
      <c r="F579" s="288"/>
      <c r="G579" s="17"/>
      <c r="H579" s="17"/>
      <c r="I579" s="17"/>
      <c r="J579" s="17"/>
      <c r="K579" s="17"/>
      <c r="L579" s="17"/>
      <c r="M579" s="17"/>
      <c r="N579" s="17"/>
      <c r="O579" s="17"/>
      <c r="P579" s="17"/>
      <c r="Q579" s="17"/>
      <c r="R579" s="17"/>
      <c r="S579" s="143"/>
      <c r="T579" s="143"/>
      <c r="U579" s="143"/>
      <c r="V579" s="143"/>
      <c r="W579" s="17"/>
      <c r="X579" s="17"/>
      <c r="Y579" s="17"/>
      <c r="Z579" s="17"/>
      <c r="AA579" s="17"/>
      <c r="AB579" s="17"/>
    </row>
    <row r="580">
      <c r="A580" s="17"/>
      <c r="B580" s="17"/>
      <c r="C580" s="17"/>
      <c r="D580" s="17"/>
      <c r="E580" s="17"/>
      <c r="F580" s="288"/>
      <c r="G580" s="17"/>
      <c r="H580" s="17"/>
      <c r="I580" s="17"/>
      <c r="J580" s="17"/>
      <c r="K580" s="17"/>
      <c r="L580" s="17"/>
      <c r="M580" s="17"/>
      <c r="N580" s="17"/>
      <c r="O580" s="17"/>
      <c r="P580" s="17"/>
      <c r="Q580" s="17"/>
      <c r="R580" s="17"/>
      <c r="S580" s="143"/>
      <c r="T580" s="143"/>
      <c r="U580" s="143"/>
      <c r="V580" s="143"/>
      <c r="W580" s="17"/>
      <c r="X580" s="17"/>
      <c r="Y580" s="17"/>
      <c r="Z580" s="17"/>
      <c r="AA580" s="17"/>
      <c r="AB580" s="17"/>
    </row>
    <row r="581">
      <c r="A581" s="17"/>
      <c r="B581" s="17"/>
      <c r="C581" s="17"/>
      <c r="D581" s="17"/>
      <c r="E581" s="17"/>
      <c r="F581" s="288"/>
      <c r="G581" s="17"/>
      <c r="H581" s="17"/>
      <c r="I581" s="17"/>
      <c r="J581" s="17"/>
      <c r="K581" s="17"/>
      <c r="L581" s="17"/>
      <c r="M581" s="17"/>
      <c r="N581" s="17"/>
      <c r="O581" s="17"/>
      <c r="P581" s="17"/>
      <c r="Q581" s="17"/>
      <c r="R581" s="17"/>
      <c r="S581" s="143"/>
      <c r="T581" s="143"/>
      <c r="U581" s="143"/>
      <c r="V581" s="143"/>
      <c r="W581" s="17"/>
      <c r="X581" s="17"/>
      <c r="Y581" s="17"/>
      <c r="Z581" s="17"/>
      <c r="AA581" s="17"/>
      <c r="AB581" s="17"/>
    </row>
    <row r="582">
      <c r="A582" s="17"/>
      <c r="B582" s="17"/>
      <c r="C582" s="17"/>
      <c r="D582" s="17"/>
      <c r="E582" s="17"/>
      <c r="F582" s="288"/>
      <c r="G582" s="17"/>
      <c r="H582" s="17"/>
      <c r="I582" s="17"/>
      <c r="J582" s="17"/>
      <c r="K582" s="17"/>
      <c r="L582" s="17"/>
      <c r="M582" s="17"/>
      <c r="N582" s="17"/>
      <c r="O582" s="17"/>
      <c r="P582" s="17"/>
      <c r="Q582" s="17"/>
      <c r="R582" s="17"/>
      <c r="S582" s="143"/>
      <c r="T582" s="143"/>
      <c r="U582" s="143"/>
      <c r="V582" s="143"/>
      <c r="W582" s="17"/>
      <c r="X582" s="17"/>
      <c r="Y582" s="17"/>
      <c r="Z582" s="17"/>
      <c r="AA582" s="17"/>
      <c r="AB582" s="17"/>
    </row>
    <row r="583">
      <c r="A583" s="17"/>
      <c r="B583" s="17"/>
      <c r="C583" s="17"/>
      <c r="D583" s="17"/>
      <c r="E583" s="17"/>
      <c r="F583" s="288"/>
      <c r="G583" s="17"/>
      <c r="H583" s="17"/>
      <c r="I583" s="17"/>
      <c r="J583" s="17"/>
      <c r="K583" s="17"/>
      <c r="L583" s="17"/>
      <c r="M583" s="17"/>
      <c r="N583" s="17"/>
      <c r="O583" s="17"/>
      <c r="P583" s="17"/>
      <c r="Q583" s="17"/>
      <c r="R583" s="17"/>
      <c r="S583" s="143"/>
      <c r="T583" s="143"/>
      <c r="U583" s="143"/>
      <c r="V583" s="143"/>
      <c r="W583" s="17"/>
      <c r="X583" s="17"/>
      <c r="Y583" s="17"/>
      <c r="Z583" s="17"/>
      <c r="AA583" s="17"/>
      <c r="AB583" s="17"/>
    </row>
    <row r="584">
      <c r="A584" s="17"/>
      <c r="B584" s="17"/>
      <c r="C584" s="17"/>
      <c r="D584" s="17"/>
      <c r="E584" s="17"/>
      <c r="F584" s="288"/>
      <c r="G584" s="17"/>
      <c r="H584" s="17"/>
      <c r="I584" s="17"/>
      <c r="J584" s="17"/>
      <c r="K584" s="17"/>
      <c r="L584" s="17"/>
      <c r="M584" s="17"/>
      <c r="N584" s="17"/>
      <c r="O584" s="17"/>
      <c r="P584" s="17"/>
      <c r="Q584" s="17"/>
      <c r="R584" s="17"/>
      <c r="S584" s="143"/>
      <c r="T584" s="143"/>
      <c r="U584" s="143"/>
      <c r="V584" s="143"/>
      <c r="W584" s="17"/>
      <c r="X584" s="17"/>
      <c r="Y584" s="17"/>
      <c r="Z584" s="17"/>
      <c r="AA584" s="17"/>
      <c r="AB584" s="17"/>
    </row>
    <row r="585">
      <c r="A585" s="17"/>
      <c r="B585" s="17"/>
      <c r="C585" s="17"/>
      <c r="D585" s="17"/>
      <c r="E585" s="17"/>
      <c r="F585" s="288"/>
      <c r="G585" s="17"/>
      <c r="H585" s="17"/>
      <c r="I585" s="17"/>
      <c r="J585" s="17"/>
      <c r="K585" s="17"/>
      <c r="L585" s="17"/>
      <c r="M585" s="17"/>
      <c r="N585" s="17"/>
      <c r="O585" s="17"/>
      <c r="P585" s="17"/>
      <c r="Q585" s="17"/>
      <c r="R585" s="17"/>
      <c r="S585" s="143"/>
      <c r="T585" s="143"/>
      <c r="U585" s="143"/>
      <c r="V585" s="143"/>
      <c r="W585" s="17"/>
      <c r="X585" s="17"/>
      <c r="Y585" s="17"/>
      <c r="Z585" s="17"/>
      <c r="AA585" s="17"/>
      <c r="AB585" s="17"/>
    </row>
    <row r="586">
      <c r="A586" s="17"/>
      <c r="B586" s="17"/>
      <c r="C586" s="17"/>
      <c r="D586" s="17"/>
      <c r="E586" s="17"/>
      <c r="F586" s="288"/>
      <c r="G586" s="17"/>
      <c r="H586" s="17"/>
      <c r="I586" s="17"/>
      <c r="J586" s="17"/>
      <c r="K586" s="17"/>
      <c r="L586" s="17"/>
      <c r="M586" s="17"/>
      <c r="N586" s="17"/>
      <c r="O586" s="17"/>
      <c r="P586" s="17"/>
      <c r="Q586" s="17"/>
      <c r="R586" s="17"/>
      <c r="S586" s="143"/>
      <c r="T586" s="143"/>
      <c r="U586" s="143"/>
      <c r="V586" s="143"/>
      <c r="W586" s="17"/>
      <c r="X586" s="17"/>
      <c r="Y586" s="17"/>
      <c r="Z586" s="17"/>
      <c r="AA586" s="17"/>
      <c r="AB586" s="17"/>
    </row>
    <row r="587">
      <c r="A587" s="17"/>
      <c r="B587" s="17"/>
      <c r="C587" s="17"/>
      <c r="D587" s="17"/>
      <c r="E587" s="17"/>
      <c r="F587" s="288"/>
      <c r="G587" s="17"/>
      <c r="H587" s="17"/>
      <c r="I587" s="17"/>
      <c r="J587" s="17"/>
      <c r="K587" s="17"/>
      <c r="L587" s="17"/>
      <c r="M587" s="17"/>
      <c r="N587" s="17"/>
      <c r="O587" s="17"/>
      <c r="P587" s="17"/>
      <c r="Q587" s="17"/>
      <c r="R587" s="17"/>
      <c r="S587" s="143"/>
      <c r="T587" s="143"/>
      <c r="U587" s="143"/>
      <c r="V587" s="143"/>
      <c r="W587" s="17"/>
      <c r="X587" s="17"/>
      <c r="Y587" s="17"/>
      <c r="Z587" s="17"/>
      <c r="AA587" s="17"/>
      <c r="AB587" s="17"/>
    </row>
    <row r="588">
      <c r="A588" s="17"/>
      <c r="B588" s="17"/>
      <c r="C588" s="17"/>
      <c r="D588" s="17"/>
      <c r="E588" s="17"/>
      <c r="F588" s="288"/>
      <c r="G588" s="17"/>
      <c r="H588" s="17"/>
      <c r="I588" s="17"/>
      <c r="J588" s="17"/>
      <c r="K588" s="17"/>
      <c r="L588" s="17"/>
      <c r="M588" s="17"/>
      <c r="N588" s="17"/>
      <c r="O588" s="17"/>
      <c r="P588" s="17"/>
      <c r="Q588" s="17"/>
      <c r="R588" s="17"/>
      <c r="S588" s="143"/>
      <c r="T588" s="143"/>
      <c r="U588" s="143"/>
      <c r="V588" s="143"/>
      <c r="W588" s="17"/>
      <c r="X588" s="17"/>
      <c r="Y588" s="17"/>
      <c r="Z588" s="17"/>
      <c r="AA588" s="17"/>
      <c r="AB588" s="17"/>
    </row>
    <row r="589">
      <c r="A589" s="17"/>
      <c r="B589" s="17"/>
      <c r="C589" s="17"/>
      <c r="D589" s="17"/>
      <c r="E589" s="17"/>
      <c r="F589" s="288"/>
      <c r="G589" s="17"/>
      <c r="H589" s="17"/>
      <c r="I589" s="17"/>
      <c r="J589" s="17"/>
      <c r="K589" s="17"/>
      <c r="L589" s="17"/>
      <c r="M589" s="17"/>
      <c r="N589" s="17"/>
      <c r="O589" s="17"/>
      <c r="P589" s="17"/>
      <c r="Q589" s="17"/>
      <c r="R589" s="17"/>
      <c r="S589" s="143"/>
      <c r="T589" s="143"/>
      <c r="U589" s="143"/>
      <c r="V589" s="143"/>
      <c r="W589" s="17"/>
      <c r="X589" s="17"/>
      <c r="Y589" s="17"/>
      <c r="Z589" s="17"/>
      <c r="AA589" s="17"/>
      <c r="AB589" s="17"/>
    </row>
    <row r="590">
      <c r="A590" s="17"/>
      <c r="B590" s="17"/>
      <c r="C590" s="17"/>
      <c r="D590" s="17"/>
      <c r="E590" s="17"/>
      <c r="F590" s="288"/>
      <c r="G590" s="17"/>
      <c r="H590" s="17"/>
      <c r="I590" s="17"/>
      <c r="J590" s="17"/>
      <c r="K590" s="17"/>
      <c r="L590" s="17"/>
      <c r="M590" s="17"/>
      <c r="N590" s="17"/>
      <c r="O590" s="17"/>
      <c r="P590" s="17"/>
      <c r="Q590" s="17"/>
      <c r="R590" s="17"/>
      <c r="S590" s="143"/>
      <c r="T590" s="143"/>
      <c r="U590" s="143"/>
      <c r="V590" s="143"/>
      <c r="W590" s="17"/>
      <c r="X590" s="17"/>
      <c r="Y590" s="17"/>
      <c r="Z590" s="17"/>
      <c r="AA590" s="17"/>
      <c r="AB590" s="17"/>
    </row>
    <row r="591">
      <c r="A591" s="17"/>
      <c r="B591" s="17"/>
      <c r="C591" s="17"/>
      <c r="D591" s="17"/>
      <c r="E591" s="17"/>
      <c r="F591" s="288"/>
      <c r="G591" s="17"/>
      <c r="H591" s="17"/>
      <c r="I591" s="17"/>
      <c r="J591" s="17"/>
      <c r="K591" s="17"/>
      <c r="L591" s="17"/>
      <c r="M591" s="17"/>
      <c r="N591" s="17"/>
      <c r="O591" s="17"/>
      <c r="P591" s="17"/>
      <c r="Q591" s="17"/>
      <c r="R591" s="17"/>
      <c r="S591" s="143"/>
      <c r="T591" s="143"/>
      <c r="U591" s="143"/>
      <c r="V591" s="143"/>
      <c r="W591" s="17"/>
      <c r="X591" s="17"/>
      <c r="Y591" s="17"/>
      <c r="Z591" s="17"/>
      <c r="AA591" s="17"/>
      <c r="AB591" s="17"/>
    </row>
    <row r="592">
      <c r="A592" s="17"/>
      <c r="B592" s="17"/>
      <c r="C592" s="17"/>
      <c r="D592" s="17"/>
      <c r="E592" s="17"/>
      <c r="F592" s="288"/>
      <c r="G592" s="17"/>
      <c r="H592" s="17"/>
      <c r="I592" s="17"/>
      <c r="J592" s="17"/>
      <c r="K592" s="17"/>
      <c r="L592" s="17"/>
      <c r="M592" s="17"/>
      <c r="N592" s="17"/>
      <c r="O592" s="17"/>
      <c r="P592" s="17"/>
      <c r="Q592" s="17"/>
      <c r="R592" s="17"/>
      <c r="S592" s="143"/>
      <c r="T592" s="143"/>
      <c r="U592" s="143"/>
      <c r="V592" s="143"/>
      <c r="W592" s="17"/>
      <c r="X592" s="17"/>
      <c r="Y592" s="17"/>
      <c r="Z592" s="17"/>
      <c r="AA592" s="17"/>
      <c r="AB592" s="17"/>
    </row>
    <row r="593">
      <c r="A593" s="17"/>
      <c r="B593" s="17"/>
      <c r="C593" s="17"/>
      <c r="D593" s="17"/>
      <c r="E593" s="17"/>
      <c r="F593" s="288"/>
      <c r="G593" s="17"/>
      <c r="H593" s="17"/>
      <c r="I593" s="17"/>
      <c r="J593" s="17"/>
      <c r="K593" s="17"/>
      <c r="L593" s="17"/>
      <c r="M593" s="17"/>
      <c r="N593" s="17"/>
      <c r="O593" s="17"/>
      <c r="P593" s="17"/>
      <c r="Q593" s="17"/>
      <c r="R593" s="17"/>
      <c r="S593" s="143"/>
      <c r="T593" s="143"/>
      <c r="U593" s="143"/>
      <c r="V593" s="143"/>
      <c r="W593" s="17"/>
      <c r="X593" s="17"/>
      <c r="Y593" s="17"/>
      <c r="Z593" s="17"/>
      <c r="AA593" s="17"/>
      <c r="AB593" s="17"/>
    </row>
    <row r="594">
      <c r="A594" s="17"/>
      <c r="B594" s="17"/>
      <c r="C594" s="17"/>
      <c r="D594" s="17"/>
      <c r="E594" s="17"/>
      <c r="F594" s="288"/>
      <c r="G594" s="17"/>
      <c r="H594" s="17"/>
      <c r="I594" s="17"/>
      <c r="J594" s="17"/>
      <c r="K594" s="17"/>
      <c r="L594" s="17"/>
      <c r="M594" s="17"/>
      <c r="N594" s="17"/>
      <c r="O594" s="17"/>
      <c r="P594" s="17"/>
      <c r="Q594" s="17"/>
      <c r="R594" s="17"/>
      <c r="S594" s="143"/>
      <c r="T594" s="143"/>
      <c r="U594" s="143"/>
      <c r="V594" s="143"/>
      <c r="W594" s="17"/>
      <c r="X594" s="17"/>
      <c r="Y594" s="17"/>
      <c r="Z594" s="17"/>
      <c r="AA594" s="17"/>
      <c r="AB594" s="17"/>
    </row>
    <row r="595">
      <c r="A595" s="17"/>
      <c r="B595" s="17"/>
      <c r="C595" s="17"/>
      <c r="D595" s="17"/>
      <c r="E595" s="17"/>
      <c r="F595" s="288"/>
      <c r="G595" s="17"/>
      <c r="H595" s="17"/>
      <c r="I595" s="17"/>
      <c r="J595" s="17"/>
      <c r="K595" s="17"/>
      <c r="L595" s="17"/>
      <c r="M595" s="17"/>
      <c r="N595" s="17"/>
      <c r="O595" s="17"/>
      <c r="P595" s="17"/>
      <c r="Q595" s="17"/>
      <c r="R595" s="17"/>
      <c r="S595" s="143"/>
      <c r="T595" s="143"/>
      <c r="U595" s="143"/>
      <c r="V595" s="143"/>
      <c r="W595" s="17"/>
      <c r="X595" s="17"/>
      <c r="Y595" s="17"/>
      <c r="Z595" s="17"/>
      <c r="AA595" s="17"/>
      <c r="AB595" s="17"/>
    </row>
    <row r="596">
      <c r="A596" s="17"/>
      <c r="B596" s="17"/>
      <c r="C596" s="17"/>
      <c r="D596" s="17"/>
      <c r="E596" s="17"/>
      <c r="F596" s="288"/>
      <c r="G596" s="17"/>
      <c r="H596" s="17"/>
      <c r="I596" s="17"/>
      <c r="J596" s="17"/>
      <c r="K596" s="17"/>
      <c r="L596" s="17"/>
      <c r="M596" s="17"/>
      <c r="N596" s="17"/>
      <c r="O596" s="17"/>
      <c r="P596" s="17"/>
      <c r="Q596" s="17"/>
      <c r="R596" s="17"/>
      <c r="S596" s="143"/>
      <c r="T596" s="143"/>
      <c r="U596" s="143"/>
      <c r="V596" s="143"/>
      <c r="W596" s="17"/>
      <c r="X596" s="17"/>
      <c r="Y596" s="17"/>
      <c r="Z596" s="17"/>
      <c r="AA596" s="17"/>
      <c r="AB596" s="17"/>
    </row>
    <row r="597">
      <c r="A597" s="17"/>
      <c r="B597" s="17"/>
      <c r="C597" s="17"/>
      <c r="D597" s="17"/>
      <c r="E597" s="17"/>
      <c r="F597" s="288"/>
      <c r="G597" s="17"/>
      <c r="H597" s="17"/>
      <c r="I597" s="17"/>
      <c r="J597" s="17"/>
      <c r="K597" s="17"/>
      <c r="L597" s="17"/>
      <c r="M597" s="17"/>
      <c r="N597" s="17"/>
      <c r="O597" s="17"/>
      <c r="P597" s="17"/>
      <c r="Q597" s="17"/>
      <c r="R597" s="17"/>
      <c r="S597" s="143"/>
      <c r="T597" s="143"/>
      <c r="U597" s="143"/>
      <c r="V597" s="143"/>
      <c r="W597" s="17"/>
      <c r="X597" s="17"/>
      <c r="Y597" s="17"/>
      <c r="Z597" s="17"/>
      <c r="AA597" s="17"/>
      <c r="AB597" s="17"/>
    </row>
    <row r="598">
      <c r="A598" s="17"/>
      <c r="B598" s="17"/>
      <c r="C598" s="17"/>
      <c r="D598" s="17"/>
      <c r="E598" s="17"/>
      <c r="F598" s="288"/>
      <c r="G598" s="17"/>
      <c r="H598" s="17"/>
      <c r="I598" s="17"/>
      <c r="J598" s="17"/>
      <c r="K598" s="17"/>
      <c r="L598" s="17"/>
      <c r="M598" s="17"/>
      <c r="N598" s="17"/>
      <c r="O598" s="17"/>
      <c r="P598" s="17"/>
      <c r="Q598" s="17"/>
      <c r="R598" s="17"/>
      <c r="S598" s="143"/>
      <c r="T598" s="143"/>
      <c r="U598" s="143"/>
      <c r="V598" s="143"/>
      <c r="W598" s="17"/>
      <c r="X598" s="17"/>
      <c r="Y598" s="17"/>
      <c r="Z598" s="17"/>
      <c r="AA598" s="17"/>
      <c r="AB598" s="17"/>
    </row>
    <row r="599">
      <c r="A599" s="17"/>
      <c r="B599" s="17"/>
      <c r="C599" s="17"/>
      <c r="D599" s="17"/>
      <c r="E599" s="17"/>
      <c r="F599" s="288"/>
      <c r="G599" s="17"/>
      <c r="H599" s="17"/>
      <c r="I599" s="17"/>
      <c r="J599" s="17"/>
      <c r="K599" s="17"/>
      <c r="L599" s="17"/>
      <c r="M599" s="17"/>
      <c r="N599" s="17"/>
      <c r="O599" s="17"/>
      <c r="P599" s="17"/>
      <c r="Q599" s="17"/>
      <c r="R599" s="17"/>
      <c r="S599" s="143"/>
      <c r="T599" s="143"/>
      <c r="U599" s="143"/>
      <c r="V599" s="143"/>
      <c r="W599" s="17"/>
      <c r="X599" s="17"/>
      <c r="Y599" s="17"/>
      <c r="Z599" s="17"/>
      <c r="AA599" s="17"/>
      <c r="AB599" s="17"/>
    </row>
    <row r="600">
      <c r="A600" s="17"/>
      <c r="B600" s="17"/>
      <c r="C600" s="17"/>
      <c r="D600" s="17"/>
      <c r="E600" s="17"/>
      <c r="F600" s="288"/>
      <c r="G600" s="17"/>
      <c r="H600" s="17"/>
      <c r="I600" s="17"/>
      <c r="J600" s="17"/>
      <c r="K600" s="17"/>
      <c r="L600" s="17"/>
      <c r="M600" s="17"/>
      <c r="N600" s="17"/>
      <c r="O600" s="17"/>
      <c r="P600" s="17"/>
      <c r="Q600" s="17"/>
      <c r="R600" s="17"/>
      <c r="S600" s="143"/>
      <c r="T600" s="143"/>
      <c r="U600" s="143"/>
      <c r="V600" s="143"/>
      <c r="W600" s="17"/>
      <c r="X600" s="17"/>
      <c r="Y600" s="17"/>
      <c r="Z600" s="17"/>
      <c r="AA600" s="17"/>
      <c r="AB600" s="17"/>
    </row>
    <row r="601">
      <c r="A601" s="17"/>
      <c r="B601" s="17"/>
      <c r="C601" s="17"/>
      <c r="D601" s="17"/>
      <c r="E601" s="17"/>
      <c r="F601" s="288"/>
      <c r="G601" s="17"/>
      <c r="H601" s="17"/>
      <c r="I601" s="17"/>
      <c r="J601" s="17"/>
      <c r="K601" s="17"/>
      <c r="L601" s="17"/>
      <c r="M601" s="17"/>
      <c r="N601" s="17"/>
      <c r="O601" s="17"/>
      <c r="P601" s="17"/>
      <c r="Q601" s="17"/>
      <c r="R601" s="17"/>
      <c r="S601" s="143"/>
      <c r="T601" s="143"/>
      <c r="U601" s="143"/>
      <c r="V601" s="143"/>
      <c r="W601" s="17"/>
      <c r="X601" s="17"/>
      <c r="Y601" s="17"/>
      <c r="Z601" s="17"/>
      <c r="AA601" s="17"/>
      <c r="AB601" s="17"/>
    </row>
    <row r="602">
      <c r="A602" s="17"/>
      <c r="B602" s="17"/>
      <c r="C602" s="17"/>
      <c r="D602" s="17"/>
      <c r="E602" s="17"/>
      <c r="F602" s="288"/>
      <c r="G602" s="17"/>
      <c r="H602" s="17"/>
      <c r="I602" s="17"/>
      <c r="J602" s="17"/>
      <c r="K602" s="17"/>
      <c r="L602" s="17"/>
      <c r="M602" s="17"/>
      <c r="N602" s="17"/>
      <c r="O602" s="17"/>
      <c r="P602" s="17"/>
      <c r="Q602" s="17"/>
      <c r="R602" s="17"/>
      <c r="S602" s="143"/>
      <c r="T602" s="143"/>
      <c r="U602" s="143"/>
      <c r="V602" s="143"/>
      <c r="W602" s="17"/>
      <c r="X602" s="17"/>
      <c r="Y602" s="17"/>
      <c r="Z602" s="17"/>
      <c r="AA602" s="17"/>
      <c r="AB602" s="17"/>
    </row>
    <row r="603">
      <c r="A603" s="17"/>
      <c r="B603" s="17"/>
      <c r="C603" s="17"/>
      <c r="D603" s="17"/>
      <c r="E603" s="17"/>
      <c r="F603" s="288"/>
      <c r="G603" s="17"/>
      <c r="H603" s="17"/>
      <c r="I603" s="17"/>
      <c r="J603" s="17"/>
      <c r="K603" s="17"/>
      <c r="L603" s="17"/>
      <c r="M603" s="17"/>
      <c r="N603" s="17"/>
      <c r="O603" s="17"/>
      <c r="P603" s="17"/>
      <c r="Q603" s="17"/>
      <c r="R603" s="17"/>
      <c r="S603" s="143"/>
      <c r="T603" s="143"/>
      <c r="U603" s="143"/>
      <c r="V603" s="143"/>
      <c r="W603" s="17"/>
      <c r="X603" s="17"/>
      <c r="Y603" s="17"/>
      <c r="Z603" s="17"/>
      <c r="AA603" s="17"/>
      <c r="AB603" s="17"/>
    </row>
    <row r="604">
      <c r="A604" s="17"/>
      <c r="B604" s="17"/>
      <c r="C604" s="17"/>
      <c r="D604" s="17"/>
      <c r="E604" s="17"/>
      <c r="F604" s="288"/>
      <c r="G604" s="17"/>
      <c r="H604" s="17"/>
      <c r="I604" s="17"/>
      <c r="J604" s="17"/>
      <c r="K604" s="17"/>
      <c r="L604" s="17"/>
      <c r="M604" s="17"/>
      <c r="N604" s="17"/>
      <c r="O604" s="17"/>
      <c r="P604" s="17"/>
      <c r="Q604" s="17"/>
      <c r="R604" s="17"/>
      <c r="S604" s="143"/>
      <c r="T604" s="143"/>
      <c r="U604" s="143"/>
      <c r="V604" s="143"/>
      <c r="W604" s="17"/>
      <c r="X604" s="17"/>
      <c r="Y604" s="17"/>
      <c r="Z604" s="17"/>
      <c r="AA604" s="17"/>
      <c r="AB604" s="17"/>
    </row>
    <row r="605">
      <c r="A605" s="17"/>
      <c r="B605" s="17"/>
      <c r="C605" s="17"/>
      <c r="D605" s="17"/>
      <c r="E605" s="17"/>
      <c r="F605" s="288"/>
      <c r="G605" s="17"/>
      <c r="H605" s="17"/>
      <c r="I605" s="17"/>
      <c r="J605" s="17"/>
      <c r="K605" s="17"/>
      <c r="L605" s="17"/>
      <c r="M605" s="17"/>
      <c r="N605" s="17"/>
      <c r="O605" s="17"/>
      <c r="P605" s="17"/>
      <c r="Q605" s="17"/>
      <c r="R605" s="17"/>
      <c r="S605" s="143"/>
      <c r="T605" s="143"/>
      <c r="U605" s="143"/>
      <c r="V605" s="143"/>
      <c r="W605" s="17"/>
      <c r="X605" s="17"/>
      <c r="Y605" s="17"/>
      <c r="Z605" s="17"/>
      <c r="AA605" s="17"/>
      <c r="AB605" s="17"/>
    </row>
    <row r="606">
      <c r="A606" s="17"/>
      <c r="B606" s="17"/>
      <c r="C606" s="17"/>
      <c r="D606" s="17"/>
      <c r="E606" s="17"/>
      <c r="F606" s="288"/>
      <c r="G606" s="17"/>
      <c r="H606" s="17"/>
      <c r="I606" s="17"/>
      <c r="J606" s="17"/>
      <c r="K606" s="17"/>
      <c r="L606" s="17"/>
      <c r="M606" s="17"/>
      <c r="N606" s="17"/>
      <c r="O606" s="17"/>
      <c r="P606" s="17"/>
      <c r="Q606" s="17"/>
      <c r="R606" s="17"/>
      <c r="S606" s="143"/>
      <c r="T606" s="143"/>
      <c r="U606" s="143"/>
      <c r="V606" s="143"/>
      <c r="W606" s="17"/>
      <c r="X606" s="17"/>
      <c r="Y606" s="17"/>
      <c r="Z606" s="17"/>
      <c r="AA606" s="17"/>
      <c r="AB606" s="17"/>
    </row>
    <row r="607">
      <c r="A607" s="17"/>
      <c r="B607" s="17"/>
      <c r="C607" s="17"/>
      <c r="D607" s="17"/>
      <c r="E607" s="17"/>
      <c r="F607" s="288"/>
      <c r="G607" s="17"/>
      <c r="H607" s="17"/>
      <c r="I607" s="17"/>
      <c r="J607" s="17"/>
      <c r="K607" s="17"/>
      <c r="L607" s="17"/>
      <c r="M607" s="17"/>
      <c r="N607" s="17"/>
      <c r="O607" s="17"/>
      <c r="P607" s="17"/>
      <c r="Q607" s="17"/>
      <c r="R607" s="17"/>
      <c r="S607" s="143"/>
      <c r="T607" s="143"/>
      <c r="U607" s="143"/>
      <c r="V607" s="143"/>
      <c r="W607" s="17"/>
      <c r="X607" s="17"/>
      <c r="Y607" s="17"/>
      <c r="Z607" s="17"/>
      <c r="AA607" s="17"/>
      <c r="AB607" s="17"/>
    </row>
    <row r="608">
      <c r="A608" s="17"/>
      <c r="B608" s="17"/>
      <c r="C608" s="17"/>
      <c r="D608" s="17"/>
      <c r="E608" s="17"/>
      <c r="F608" s="288"/>
      <c r="G608" s="17"/>
      <c r="H608" s="17"/>
      <c r="I608" s="17"/>
      <c r="J608" s="17"/>
      <c r="K608" s="17"/>
      <c r="L608" s="17"/>
      <c r="M608" s="17"/>
      <c r="N608" s="17"/>
      <c r="O608" s="17"/>
      <c r="P608" s="17"/>
      <c r="Q608" s="17"/>
      <c r="R608" s="17"/>
      <c r="S608" s="143"/>
      <c r="T608" s="143"/>
      <c r="U608" s="143"/>
      <c r="V608" s="143"/>
      <c r="W608" s="17"/>
      <c r="X608" s="17"/>
      <c r="Y608" s="17"/>
      <c r="Z608" s="17"/>
      <c r="AA608" s="17"/>
      <c r="AB608" s="17"/>
    </row>
    <row r="609">
      <c r="A609" s="17"/>
      <c r="B609" s="17"/>
      <c r="C609" s="17"/>
      <c r="D609" s="17"/>
      <c r="E609" s="17"/>
      <c r="F609" s="288"/>
      <c r="G609" s="17"/>
      <c r="H609" s="17"/>
      <c r="I609" s="17"/>
      <c r="J609" s="17"/>
      <c r="K609" s="17"/>
      <c r="L609" s="17"/>
      <c r="M609" s="17"/>
      <c r="N609" s="17"/>
      <c r="O609" s="17"/>
      <c r="P609" s="17"/>
      <c r="Q609" s="17"/>
      <c r="R609" s="17"/>
      <c r="S609" s="143"/>
      <c r="T609" s="143"/>
      <c r="U609" s="143"/>
      <c r="V609" s="143"/>
      <c r="W609" s="17"/>
      <c r="X609" s="17"/>
      <c r="Y609" s="17"/>
      <c r="Z609" s="17"/>
      <c r="AA609" s="17"/>
      <c r="AB609" s="17"/>
    </row>
    <row r="610">
      <c r="A610" s="17"/>
      <c r="B610" s="17"/>
      <c r="C610" s="17"/>
      <c r="D610" s="17"/>
      <c r="E610" s="17"/>
      <c r="F610" s="288"/>
      <c r="G610" s="17"/>
      <c r="H610" s="17"/>
      <c r="I610" s="17"/>
      <c r="J610" s="17"/>
      <c r="K610" s="17"/>
      <c r="L610" s="17"/>
      <c r="M610" s="17"/>
      <c r="N610" s="17"/>
      <c r="O610" s="17"/>
      <c r="P610" s="17"/>
      <c r="Q610" s="17"/>
      <c r="R610" s="17"/>
      <c r="S610" s="143"/>
      <c r="T610" s="143"/>
      <c r="U610" s="143"/>
      <c r="V610" s="143"/>
      <c r="W610" s="17"/>
      <c r="X610" s="17"/>
      <c r="Y610" s="17"/>
      <c r="Z610" s="17"/>
      <c r="AA610" s="17"/>
      <c r="AB610" s="17"/>
    </row>
    <row r="611">
      <c r="A611" s="17"/>
      <c r="B611" s="17"/>
      <c r="C611" s="17"/>
      <c r="D611" s="17"/>
      <c r="E611" s="17"/>
      <c r="F611" s="288"/>
      <c r="G611" s="17"/>
      <c r="H611" s="17"/>
      <c r="I611" s="17"/>
      <c r="J611" s="17"/>
      <c r="K611" s="17"/>
      <c r="L611" s="17"/>
      <c r="M611" s="17"/>
      <c r="N611" s="17"/>
      <c r="O611" s="17"/>
      <c r="P611" s="17"/>
      <c r="Q611" s="17"/>
      <c r="R611" s="17"/>
      <c r="S611" s="143"/>
      <c r="T611" s="143"/>
      <c r="U611" s="143"/>
      <c r="V611" s="143"/>
      <c r="W611" s="17"/>
      <c r="X611" s="17"/>
      <c r="Y611" s="17"/>
      <c r="Z611" s="17"/>
      <c r="AA611" s="17"/>
      <c r="AB611" s="17"/>
    </row>
    <row r="612">
      <c r="A612" s="17"/>
      <c r="B612" s="17"/>
      <c r="C612" s="17"/>
      <c r="D612" s="17"/>
      <c r="E612" s="17"/>
      <c r="F612" s="288"/>
      <c r="G612" s="17"/>
      <c r="H612" s="17"/>
      <c r="I612" s="17"/>
      <c r="J612" s="17"/>
      <c r="K612" s="17"/>
      <c r="L612" s="17"/>
      <c r="M612" s="17"/>
      <c r="N612" s="17"/>
      <c r="O612" s="17"/>
      <c r="P612" s="17"/>
      <c r="Q612" s="17"/>
      <c r="R612" s="17"/>
      <c r="S612" s="143"/>
      <c r="T612" s="143"/>
      <c r="U612" s="143"/>
      <c r="V612" s="143"/>
      <c r="W612" s="17"/>
      <c r="X612" s="17"/>
      <c r="Y612" s="17"/>
      <c r="Z612" s="17"/>
      <c r="AA612" s="17"/>
      <c r="AB612" s="17"/>
    </row>
    <row r="613">
      <c r="A613" s="17"/>
      <c r="B613" s="17"/>
      <c r="C613" s="17"/>
      <c r="D613" s="17"/>
      <c r="E613" s="17"/>
      <c r="F613" s="288"/>
      <c r="G613" s="17"/>
      <c r="H613" s="17"/>
      <c r="I613" s="17"/>
      <c r="J613" s="17"/>
      <c r="K613" s="17"/>
      <c r="L613" s="17"/>
      <c r="M613" s="17"/>
      <c r="N613" s="17"/>
      <c r="O613" s="17"/>
      <c r="P613" s="17"/>
      <c r="Q613" s="17"/>
      <c r="R613" s="17"/>
      <c r="S613" s="143"/>
      <c r="T613" s="143"/>
      <c r="U613" s="143"/>
      <c r="V613" s="143"/>
      <c r="W613" s="17"/>
      <c r="X613" s="17"/>
      <c r="Y613" s="17"/>
      <c r="Z613" s="17"/>
      <c r="AA613" s="17"/>
      <c r="AB613" s="17"/>
    </row>
    <row r="614">
      <c r="A614" s="17"/>
      <c r="B614" s="17"/>
      <c r="C614" s="17"/>
      <c r="D614" s="17"/>
      <c r="E614" s="17"/>
      <c r="F614" s="288"/>
      <c r="G614" s="17"/>
      <c r="H614" s="17"/>
      <c r="I614" s="17"/>
      <c r="J614" s="17"/>
      <c r="K614" s="17"/>
      <c r="L614" s="17"/>
      <c r="M614" s="17"/>
      <c r="N614" s="17"/>
      <c r="O614" s="17"/>
      <c r="P614" s="17"/>
      <c r="Q614" s="17"/>
      <c r="R614" s="17"/>
      <c r="S614" s="143"/>
      <c r="T614" s="143"/>
      <c r="U614" s="143"/>
      <c r="V614" s="143"/>
      <c r="W614" s="17"/>
      <c r="X614" s="17"/>
      <c r="Y614" s="17"/>
      <c r="Z614" s="17"/>
      <c r="AA614" s="17"/>
      <c r="AB614" s="17"/>
    </row>
    <row r="615">
      <c r="A615" s="17"/>
      <c r="B615" s="17"/>
      <c r="C615" s="17"/>
      <c r="D615" s="17"/>
      <c r="E615" s="17"/>
      <c r="F615" s="288"/>
      <c r="G615" s="17"/>
      <c r="H615" s="17"/>
      <c r="I615" s="17"/>
      <c r="J615" s="17"/>
      <c r="K615" s="17"/>
      <c r="L615" s="17"/>
      <c r="M615" s="17"/>
      <c r="N615" s="17"/>
      <c r="O615" s="17"/>
      <c r="P615" s="17"/>
      <c r="Q615" s="17"/>
      <c r="R615" s="17"/>
      <c r="S615" s="143"/>
      <c r="T615" s="143"/>
      <c r="U615" s="143"/>
      <c r="V615" s="143"/>
      <c r="W615" s="17"/>
      <c r="X615" s="17"/>
      <c r="Y615" s="17"/>
      <c r="Z615" s="17"/>
      <c r="AA615" s="17"/>
      <c r="AB615" s="17"/>
    </row>
    <row r="616">
      <c r="A616" s="17"/>
      <c r="B616" s="17"/>
      <c r="C616" s="17"/>
      <c r="D616" s="17"/>
      <c r="E616" s="17"/>
      <c r="F616" s="288"/>
      <c r="G616" s="17"/>
      <c r="H616" s="17"/>
      <c r="I616" s="17"/>
      <c r="J616" s="17"/>
      <c r="K616" s="17"/>
      <c r="L616" s="17"/>
      <c r="M616" s="17"/>
      <c r="N616" s="17"/>
      <c r="O616" s="17"/>
      <c r="P616" s="17"/>
      <c r="Q616" s="17"/>
      <c r="R616" s="17"/>
      <c r="S616" s="143"/>
      <c r="T616" s="143"/>
      <c r="U616" s="143"/>
      <c r="V616" s="143"/>
      <c r="W616" s="17"/>
      <c r="X616" s="17"/>
      <c r="Y616" s="17"/>
      <c r="Z616" s="17"/>
      <c r="AA616" s="17"/>
      <c r="AB616" s="17"/>
    </row>
    <row r="617">
      <c r="A617" s="17"/>
      <c r="B617" s="17"/>
      <c r="C617" s="17"/>
      <c r="D617" s="17"/>
      <c r="E617" s="17"/>
      <c r="F617" s="288"/>
      <c r="G617" s="17"/>
      <c r="H617" s="17"/>
      <c r="I617" s="17"/>
      <c r="J617" s="17"/>
      <c r="K617" s="17"/>
      <c r="L617" s="17"/>
      <c r="M617" s="17"/>
      <c r="N617" s="17"/>
      <c r="O617" s="17"/>
      <c r="P617" s="17"/>
      <c r="Q617" s="17"/>
      <c r="R617" s="17"/>
      <c r="S617" s="143"/>
      <c r="T617" s="143"/>
      <c r="U617" s="143"/>
      <c r="V617" s="143"/>
      <c r="W617" s="17"/>
      <c r="X617" s="17"/>
      <c r="Y617" s="17"/>
      <c r="Z617" s="17"/>
      <c r="AA617" s="17"/>
      <c r="AB617" s="17"/>
    </row>
    <row r="618">
      <c r="A618" s="17"/>
      <c r="B618" s="17"/>
      <c r="C618" s="17"/>
      <c r="D618" s="17"/>
      <c r="E618" s="17"/>
      <c r="F618" s="288"/>
      <c r="G618" s="17"/>
      <c r="H618" s="17"/>
      <c r="I618" s="17"/>
      <c r="J618" s="17"/>
      <c r="K618" s="17"/>
      <c r="L618" s="17"/>
      <c r="M618" s="17"/>
      <c r="N618" s="17"/>
      <c r="O618" s="17"/>
      <c r="P618" s="17"/>
      <c r="Q618" s="17"/>
      <c r="R618" s="17"/>
      <c r="S618" s="143"/>
      <c r="T618" s="143"/>
      <c r="U618" s="143"/>
      <c r="V618" s="143"/>
      <c r="W618" s="17"/>
      <c r="X618" s="17"/>
      <c r="Y618" s="17"/>
      <c r="Z618" s="17"/>
      <c r="AA618" s="17"/>
      <c r="AB618" s="17"/>
    </row>
    <row r="619">
      <c r="A619" s="17"/>
      <c r="B619" s="17"/>
      <c r="C619" s="17"/>
      <c r="D619" s="17"/>
      <c r="E619" s="17"/>
      <c r="F619" s="288"/>
      <c r="G619" s="17"/>
      <c r="H619" s="17"/>
      <c r="I619" s="17"/>
      <c r="J619" s="17"/>
      <c r="K619" s="17"/>
      <c r="L619" s="17"/>
      <c r="M619" s="17"/>
      <c r="N619" s="17"/>
      <c r="O619" s="17"/>
      <c r="P619" s="17"/>
      <c r="Q619" s="17"/>
      <c r="R619" s="17"/>
      <c r="S619" s="143"/>
      <c r="T619" s="143"/>
      <c r="U619" s="143"/>
      <c r="V619" s="143"/>
      <c r="W619" s="17"/>
      <c r="X619" s="17"/>
      <c r="Y619" s="17"/>
      <c r="Z619" s="17"/>
      <c r="AA619" s="17"/>
      <c r="AB619" s="17"/>
    </row>
    <row r="620">
      <c r="A620" s="17"/>
      <c r="B620" s="17"/>
      <c r="C620" s="17"/>
      <c r="D620" s="17"/>
      <c r="E620" s="17"/>
      <c r="F620" s="288"/>
      <c r="G620" s="17"/>
      <c r="H620" s="17"/>
      <c r="I620" s="17"/>
      <c r="J620" s="17"/>
      <c r="K620" s="17"/>
      <c r="L620" s="17"/>
      <c r="M620" s="17"/>
      <c r="N620" s="17"/>
      <c r="O620" s="17"/>
      <c r="P620" s="17"/>
      <c r="Q620" s="17"/>
      <c r="R620" s="17"/>
      <c r="S620" s="143"/>
      <c r="T620" s="143"/>
      <c r="U620" s="143"/>
      <c r="V620" s="143"/>
      <c r="W620" s="17"/>
      <c r="X620" s="17"/>
      <c r="Y620" s="17"/>
      <c r="Z620" s="17"/>
      <c r="AA620" s="17"/>
      <c r="AB620" s="17"/>
    </row>
    <row r="621">
      <c r="A621" s="17"/>
      <c r="B621" s="17"/>
      <c r="C621" s="17"/>
      <c r="D621" s="17"/>
      <c r="E621" s="17"/>
      <c r="F621" s="288"/>
      <c r="G621" s="17"/>
      <c r="H621" s="17"/>
      <c r="I621" s="17"/>
      <c r="J621" s="17"/>
      <c r="K621" s="17"/>
      <c r="L621" s="17"/>
      <c r="M621" s="17"/>
      <c r="N621" s="17"/>
      <c r="O621" s="17"/>
      <c r="P621" s="17"/>
      <c r="Q621" s="17"/>
      <c r="R621" s="17"/>
      <c r="S621" s="143"/>
      <c r="T621" s="143"/>
      <c r="U621" s="143"/>
      <c r="V621" s="143"/>
      <c r="W621" s="17"/>
      <c r="X621" s="17"/>
      <c r="Y621" s="17"/>
      <c r="Z621" s="17"/>
      <c r="AA621" s="17"/>
      <c r="AB621" s="17"/>
    </row>
    <row r="622">
      <c r="A622" s="17"/>
      <c r="B622" s="17"/>
      <c r="C622" s="17"/>
      <c r="D622" s="17"/>
      <c r="E622" s="17"/>
      <c r="F622" s="288"/>
      <c r="G622" s="17"/>
      <c r="H622" s="17"/>
      <c r="I622" s="17"/>
      <c r="J622" s="17"/>
      <c r="K622" s="17"/>
      <c r="L622" s="17"/>
      <c r="M622" s="17"/>
      <c r="N622" s="17"/>
      <c r="O622" s="17"/>
      <c r="P622" s="17"/>
      <c r="Q622" s="17"/>
      <c r="R622" s="17"/>
      <c r="S622" s="143"/>
      <c r="T622" s="143"/>
      <c r="U622" s="143"/>
      <c r="V622" s="143"/>
      <c r="W622" s="17"/>
      <c r="X622" s="17"/>
      <c r="Y622" s="17"/>
      <c r="Z622" s="17"/>
      <c r="AA622" s="17"/>
      <c r="AB622" s="17"/>
    </row>
    <row r="623">
      <c r="A623" s="17"/>
      <c r="B623" s="17"/>
      <c r="C623" s="17"/>
      <c r="D623" s="17"/>
      <c r="E623" s="17"/>
      <c r="F623" s="288"/>
      <c r="G623" s="17"/>
      <c r="H623" s="17"/>
      <c r="I623" s="17"/>
      <c r="J623" s="17"/>
      <c r="K623" s="17"/>
      <c r="L623" s="17"/>
      <c r="M623" s="17"/>
      <c r="N623" s="17"/>
      <c r="O623" s="17"/>
      <c r="P623" s="17"/>
      <c r="Q623" s="17"/>
      <c r="R623" s="17"/>
      <c r="S623" s="143"/>
      <c r="T623" s="143"/>
      <c r="U623" s="143"/>
      <c r="V623" s="143"/>
      <c r="W623" s="17"/>
      <c r="X623" s="17"/>
      <c r="Y623" s="17"/>
      <c r="Z623" s="17"/>
      <c r="AA623" s="17"/>
      <c r="AB623" s="17"/>
    </row>
    <row r="624">
      <c r="A624" s="17"/>
      <c r="B624" s="17"/>
      <c r="C624" s="17"/>
      <c r="D624" s="17"/>
      <c r="E624" s="17"/>
      <c r="F624" s="288"/>
      <c r="G624" s="17"/>
      <c r="H624" s="17"/>
      <c r="I624" s="17"/>
      <c r="J624" s="17"/>
      <c r="K624" s="17"/>
      <c r="L624" s="17"/>
      <c r="M624" s="17"/>
      <c r="N624" s="17"/>
      <c r="O624" s="17"/>
      <c r="P624" s="17"/>
      <c r="Q624" s="17"/>
      <c r="R624" s="17"/>
      <c r="S624" s="143"/>
      <c r="T624" s="143"/>
      <c r="U624" s="143"/>
      <c r="V624" s="143"/>
      <c r="W624" s="17"/>
      <c r="X624" s="17"/>
      <c r="Y624" s="17"/>
      <c r="Z624" s="17"/>
      <c r="AA624" s="17"/>
      <c r="AB624" s="17"/>
    </row>
    <row r="625">
      <c r="A625" s="17"/>
      <c r="B625" s="17"/>
      <c r="C625" s="17"/>
      <c r="D625" s="17"/>
      <c r="E625" s="17"/>
      <c r="F625" s="288"/>
      <c r="G625" s="17"/>
      <c r="H625" s="17"/>
      <c r="I625" s="17"/>
      <c r="J625" s="17"/>
      <c r="K625" s="17"/>
      <c r="L625" s="17"/>
      <c r="M625" s="17"/>
      <c r="N625" s="17"/>
      <c r="O625" s="17"/>
      <c r="P625" s="17"/>
      <c r="Q625" s="17"/>
      <c r="R625" s="17"/>
      <c r="S625" s="143"/>
      <c r="T625" s="143"/>
      <c r="U625" s="143"/>
      <c r="V625" s="143"/>
      <c r="W625" s="17"/>
      <c r="X625" s="17"/>
      <c r="Y625" s="17"/>
      <c r="Z625" s="17"/>
      <c r="AA625" s="17"/>
      <c r="AB625" s="17"/>
    </row>
    <row r="626">
      <c r="A626" s="17"/>
      <c r="B626" s="17"/>
      <c r="C626" s="17"/>
      <c r="D626" s="17"/>
      <c r="E626" s="17"/>
      <c r="F626" s="288"/>
      <c r="G626" s="17"/>
      <c r="H626" s="17"/>
      <c r="I626" s="17"/>
      <c r="J626" s="17"/>
      <c r="K626" s="17"/>
      <c r="L626" s="17"/>
      <c r="M626" s="17"/>
      <c r="N626" s="17"/>
      <c r="O626" s="17"/>
      <c r="P626" s="17"/>
      <c r="Q626" s="17"/>
      <c r="R626" s="17"/>
      <c r="S626" s="143"/>
      <c r="T626" s="143"/>
      <c r="U626" s="143"/>
      <c r="V626" s="143"/>
      <c r="W626" s="17"/>
      <c r="X626" s="17"/>
      <c r="Y626" s="17"/>
      <c r="Z626" s="17"/>
      <c r="AA626" s="17"/>
      <c r="AB626" s="17"/>
    </row>
    <row r="627">
      <c r="A627" s="17"/>
      <c r="B627" s="17"/>
      <c r="C627" s="17"/>
      <c r="D627" s="17"/>
      <c r="E627" s="17"/>
      <c r="F627" s="288"/>
      <c r="G627" s="17"/>
      <c r="H627" s="17"/>
      <c r="I627" s="17"/>
      <c r="J627" s="17"/>
      <c r="K627" s="17"/>
      <c r="L627" s="17"/>
      <c r="M627" s="17"/>
      <c r="N627" s="17"/>
      <c r="O627" s="17"/>
      <c r="P627" s="17"/>
      <c r="Q627" s="17"/>
      <c r="R627" s="17"/>
      <c r="S627" s="143"/>
      <c r="T627" s="143"/>
      <c r="U627" s="143"/>
      <c r="V627" s="143"/>
      <c r="W627" s="17"/>
      <c r="X627" s="17"/>
      <c r="Y627" s="17"/>
      <c r="Z627" s="17"/>
      <c r="AA627" s="17"/>
      <c r="AB627" s="17"/>
    </row>
    <row r="628">
      <c r="A628" s="17"/>
      <c r="B628" s="17"/>
      <c r="C628" s="17"/>
      <c r="D628" s="17"/>
      <c r="E628" s="17"/>
      <c r="F628" s="288"/>
      <c r="G628" s="17"/>
      <c r="H628" s="17"/>
      <c r="I628" s="17"/>
      <c r="J628" s="17"/>
      <c r="K628" s="17"/>
      <c r="L628" s="17"/>
      <c r="M628" s="17"/>
      <c r="N628" s="17"/>
      <c r="O628" s="17"/>
      <c r="P628" s="17"/>
      <c r="Q628" s="17"/>
      <c r="R628" s="17"/>
      <c r="S628" s="143"/>
      <c r="T628" s="143"/>
      <c r="U628" s="143"/>
      <c r="V628" s="143"/>
      <c r="W628" s="17"/>
      <c r="X628" s="17"/>
      <c r="Y628" s="17"/>
      <c r="Z628" s="17"/>
      <c r="AA628" s="17"/>
      <c r="AB628" s="17"/>
    </row>
    <row r="629">
      <c r="A629" s="17"/>
      <c r="B629" s="17"/>
      <c r="C629" s="17"/>
      <c r="D629" s="17"/>
      <c r="E629" s="17"/>
      <c r="F629" s="288"/>
      <c r="G629" s="17"/>
      <c r="H629" s="17"/>
      <c r="I629" s="17"/>
      <c r="J629" s="17"/>
      <c r="K629" s="17"/>
      <c r="L629" s="17"/>
      <c r="M629" s="17"/>
      <c r="N629" s="17"/>
      <c r="O629" s="17"/>
      <c r="P629" s="17"/>
      <c r="Q629" s="17"/>
      <c r="R629" s="17"/>
      <c r="S629" s="143"/>
      <c r="T629" s="143"/>
      <c r="U629" s="143"/>
      <c r="V629" s="143"/>
      <c r="W629" s="17"/>
      <c r="X629" s="17"/>
      <c r="Y629" s="17"/>
      <c r="Z629" s="17"/>
      <c r="AA629" s="17"/>
      <c r="AB629" s="17"/>
    </row>
    <row r="630">
      <c r="A630" s="17"/>
      <c r="B630" s="17"/>
      <c r="C630" s="17"/>
      <c r="D630" s="17"/>
      <c r="E630" s="17"/>
      <c r="F630" s="288"/>
      <c r="G630" s="17"/>
      <c r="H630" s="17"/>
      <c r="I630" s="17"/>
      <c r="J630" s="17"/>
      <c r="K630" s="17"/>
      <c r="L630" s="17"/>
      <c r="M630" s="17"/>
      <c r="N630" s="17"/>
      <c r="O630" s="17"/>
      <c r="P630" s="17"/>
      <c r="Q630" s="17"/>
      <c r="R630" s="17"/>
      <c r="S630" s="143"/>
      <c r="T630" s="143"/>
      <c r="U630" s="143"/>
      <c r="V630" s="143"/>
      <c r="W630" s="17"/>
      <c r="X630" s="17"/>
      <c r="Y630" s="17"/>
      <c r="Z630" s="17"/>
      <c r="AA630" s="17"/>
      <c r="AB630" s="17"/>
    </row>
    <row r="631">
      <c r="A631" s="17"/>
      <c r="B631" s="17"/>
      <c r="C631" s="17"/>
      <c r="D631" s="17"/>
      <c r="E631" s="17"/>
      <c r="F631" s="288"/>
      <c r="G631" s="17"/>
      <c r="H631" s="17"/>
      <c r="I631" s="17"/>
      <c r="J631" s="17"/>
      <c r="K631" s="17"/>
      <c r="L631" s="17"/>
      <c r="M631" s="17"/>
      <c r="N631" s="17"/>
      <c r="O631" s="17"/>
      <c r="P631" s="17"/>
      <c r="Q631" s="17"/>
      <c r="R631" s="17"/>
      <c r="S631" s="143"/>
      <c r="T631" s="143"/>
      <c r="U631" s="143"/>
      <c r="V631" s="143"/>
      <c r="W631" s="17"/>
      <c r="X631" s="17"/>
      <c r="Y631" s="17"/>
      <c r="Z631" s="17"/>
      <c r="AA631" s="17"/>
      <c r="AB631" s="17"/>
    </row>
    <row r="632">
      <c r="A632" s="17"/>
      <c r="B632" s="17"/>
      <c r="C632" s="17"/>
      <c r="D632" s="17"/>
      <c r="E632" s="17"/>
      <c r="F632" s="288"/>
      <c r="G632" s="17"/>
      <c r="H632" s="17"/>
      <c r="I632" s="17"/>
      <c r="J632" s="17"/>
      <c r="K632" s="17"/>
      <c r="L632" s="17"/>
      <c r="M632" s="17"/>
      <c r="N632" s="17"/>
      <c r="O632" s="17"/>
      <c r="P632" s="17"/>
      <c r="Q632" s="17"/>
      <c r="R632" s="17"/>
      <c r="S632" s="143"/>
      <c r="T632" s="143"/>
      <c r="U632" s="143"/>
      <c r="V632" s="143"/>
      <c r="W632" s="17"/>
      <c r="X632" s="17"/>
      <c r="Y632" s="17"/>
      <c r="Z632" s="17"/>
      <c r="AA632" s="17"/>
      <c r="AB632" s="17"/>
    </row>
    <row r="633">
      <c r="A633" s="17"/>
      <c r="B633" s="17"/>
      <c r="C633" s="17"/>
      <c r="D633" s="17"/>
      <c r="E633" s="17"/>
      <c r="F633" s="288"/>
      <c r="G633" s="17"/>
      <c r="H633" s="17"/>
      <c r="I633" s="17"/>
      <c r="J633" s="17"/>
      <c r="K633" s="17"/>
      <c r="L633" s="17"/>
      <c r="M633" s="17"/>
      <c r="N633" s="17"/>
      <c r="O633" s="17"/>
      <c r="P633" s="17"/>
      <c r="Q633" s="17"/>
      <c r="R633" s="17"/>
      <c r="S633" s="143"/>
      <c r="T633" s="143"/>
      <c r="U633" s="143"/>
      <c r="V633" s="143"/>
      <c r="W633" s="17"/>
      <c r="X633" s="17"/>
      <c r="Y633" s="17"/>
      <c r="Z633" s="17"/>
      <c r="AA633" s="17"/>
      <c r="AB633" s="17"/>
    </row>
    <row r="634">
      <c r="A634" s="17"/>
      <c r="B634" s="17"/>
      <c r="C634" s="17"/>
      <c r="D634" s="17"/>
      <c r="E634" s="17"/>
      <c r="F634" s="288"/>
      <c r="G634" s="17"/>
      <c r="H634" s="17"/>
      <c r="I634" s="17"/>
      <c r="J634" s="17"/>
      <c r="K634" s="17"/>
      <c r="L634" s="17"/>
      <c r="M634" s="17"/>
      <c r="N634" s="17"/>
      <c r="O634" s="17"/>
      <c r="P634" s="17"/>
      <c r="Q634" s="17"/>
      <c r="R634" s="17"/>
      <c r="S634" s="143"/>
      <c r="T634" s="143"/>
      <c r="U634" s="143"/>
      <c r="V634" s="143"/>
      <c r="W634" s="17"/>
      <c r="X634" s="17"/>
      <c r="Y634" s="17"/>
      <c r="Z634" s="17"/>
      <c r="AA634" s="17"/>
      <c r="AB634" s="17"/>
    </row>
    <row r="635">
      <c r="A635" s="17"/>
      <c r="B635" s="17"/>
      <c r="C635" s="17"/>
      <c r="D635" s="17"/>
      <c r="E635" s="17"/>
      <c r="F635" s="288"/>
      <c r="G635" s="17"/>
      <c r="H635" s="17"/>
      <c r="I635" s="17"/>
      <c r="J635" s="17"/>
      <c r="K635" s="17"/>
      <c r="L635" s="17"/>
      <c r="M635" s="17"/>
      <c r="N635" s="17"/>
      <c r="O635" s="17"/>
      <c r="P635" s="17"/>
      <c r="Q635" s="17"/>
      <c r="R635" s="17"/>
      <c r="S635" s="143"/>
      <c r="T635" s="143"/>
      <c r="U635" s="143"/>
      <c r="V635" s="143"/>
      <c r="W635" s="17"/>
      <c r="X635" s="17"/>
      <c r="Y635" s="17"/>
      <c r="Z635" s="17"/>
      <c r="AA635" s="17"/>
      <c r="AB635" s="17"/>
    </row>
    <row r="636">
      <c r="A636" s="17"/>
      <c r="B636" s="17"/>
      <c r="C636" s="17"/>
      <c r="D636" s="17"/>
      <c r="E636" s="17"/>
      <c r="F636" s="288"/>
      <c r="G636" s="17"/>
      <c r="H636" s="17"/>
      <c r="I636" s="17"/>
      <c r="J636" s="17"/>
      <c r="K636" s="17"/>
      <c r="L636" s="17"/>
      <c r="M636" s="17"/>
      <c r="N636" s="17"/>
      <c r="O636" s="17"/>
      <c r="P636" s="17"/>
      <c r="Q636" s="17"/>
      <c r="R636" s="17"/>
      <c r="S636" s="143"/>
      <c r="T636" s="143"/>
      <c r="U636" s="143"/>
      <c r="V636" s="143"/>
      <c r="W636" s="17"/>
      <c r="X636" s="17"/>
      <c r="Y636" s="17"/>
      <c r="Z636" s="17"/>
      <c r="AA636" s="17"/>
      <c r="AB636" s="17"/>
    </row>
    <row r="637">
      <c r="A637" s="17"/>
      <c r="B637" s="17"/>
      <c r="C637" s="17"/>
      <c r="D637" s="17"/>
      <c r="E637" s="17"/>
      <c r="F637" s="288"/>
      <c r="G637" s="17"/>
      <c r="H637" s="17"/>
      <c r="I637" s="17"/>
      <c r="J637" s="17"/>
      <c r="K637" s="17"/>
      <c r="L637" s="17"/>
      <c r="M637" s="17"/>
      <c r="N637" s="17"/>
      <c r="O637" s="17"/>
      <c r="P637" s="17"/>
      <c r="Q637" s="17"/>
      <c r="R637" s="17"/>
      <c r="S637" s="143"/>
      <c r="T637" s="143"/>
      <c r="U637" s="143"/>
      <c r="V637" s="143"/>
      <c r="W637" s="17"/>
      <c r="X637" s="17"/>
      <c r="Y637" s="17"/>
      <c r="Z637" s="17"/>
      <c r="AA637" s="17"/>
      <c r="AB637" s="17"/>
    </row>
    <row r="638">
      <c r="A638" s="17"/>
      <c r="B638" s="17"/>
      <c r="C638" s="17"/>
      <c r="D638" s="17"/>
      <c r="E638" s="17"/>
      <c r="F638" s="288"/>
      <c r="G638" s="17"/>
      <c r="H638" s="17"/>
      <c r="I638" s="17"/>
      <c r="J638" s="17"/>
      <c r="K638" s="17"/>
      <c r="L638" s="17"/>
      <c r="M638" s="17"/>
      <c r="N638" s="17"/>
      <c r="O638" s="17"/>
      <c r="P638" s="17"/>
      <c r="Q638" s="17"/>
      <c r="R638" s="17"/>
      <c r="S638" s="143"/>
      <c r="T638" s="143"/>
      <c r="U638" s="143"/>
      <c r="V638" s="143"/>
      <c r="W638" s="17"/>
      <c r="X638" s="17"/>
      <c r="Y638" s="17"/>
      <c r="Z638" s="17"/>
      <c r="AA638" s="17"/>
      <c r="AB638" s="17"/>
    </row>
    <row r="639">
      <c r="A639" s="17"/>
      <c r="B639" s="17"/>
      <c r="C639" s="17"/>
      <c r="D639" s="17"/>
      <c r="E639" s="17"/>
      <c r="F639" s="288"/>
      <c r="G639" s="17"/>
      <c r="H639" s="17"/>
      <c r="I639" s="17"/>
      <c r="J639" s="17"/>
      <c r="K639" s="17"/>
      <c r="L639" s="17"/>
      <c r="M639" s="17"/>
      <c r="N639" s="17"/>
      <c r="O639" s="17"/>
      <c r="P639" s="17"/>
      <c r="Q639" s="17"/>
      <c r="R639" s="17"/>
      <c r="S639" s="143"/>
      <c r="T639" s="143"/>
      <c r="U639" s="143"/>
      <c r="V639" s="143"/>
      <c r="W639" s="17"/>
      <c r="X639" s="17"/>
      <c r="Y639" s="17"/>
      <c r="Z639" s="17"/>
      <c r="AA639" s="17"/>
      <c r="AB639" s="17"/>
    </row>
    <row r="640">
      <c r="A640" s="17"/>
      <c r="B640" s="17"/>
      <c r="C640" s="17"/>
      <c r="D640" s="17"/>
      <c r="E640" s="17"/>
      <c r="F640" s="288"/>
      <c r="G640" s="17"/>
      <c r="H640" s="17"/>
      <c r="I640" s="17"/>
      <c r="J640" s="17"/>
      <c r="K640" s="17"/>
      <c r="L640" s="17"/>
      <c r="M640" s="17"/>
      <c r="N640" s="17"/>
      <c r="O640" s="17"/>
      <c r="P640" s="17"/>
      <c r="Q640" s="17"/>
      <c r="R640" s="17"/>
      <c r="S640" s="143"/>
      <c r="T640" s="143"/>
      <c r="U640" s="143"/>
      <c r="V640" s="143"/>
      <c r="W640" s="17"/>
      <c r="X640" s="17"/>
      <c r="Y640" s="17"/>
      <c r="Z640" s="17"/>
      <c r="AA640" s="17"/>
      <c r="AB640" s="17"/>
    </row>
    <row r="641">
      <c r="A641" s="17"/>
      <c r="B641" s="17"/>
      <c r="C641" s="17"/>
      <c r="D641" s="17"/>
      <c r="E641" s="17"/>
      <c r="F641" s="288"/>
      <c r="G641" s="17"/>
      <c r="H641" s="17"/>
      <c r="I641" s="17"/>
      <c r="J641" s="17"/>
      <c r="K641" s="17"/>
      <c r="L641" s="17"/>
      <c r="M641" s="17"/>
      <c r="N641" s="17"/>
      <c r="O641" s="17"/>
      <c r="P641" s="17"/>
      <c r="Q641" s="17"/>
      <c r="R641" s="17"/>
      <c r="S641" s="143"/>
      <c r="T641" s="143"/>
      <c r="U641" s="143"/>
      <c r="V641" s="143"/>
      <c r="W641" s="17"/>
      <c r="X641" s="17"/>
      <c r="Y641" s="17"/>
      <c r="Z641" s="17"/>
      <c r="AA641" s="17"/>
      <c r="AB641" s="17"/>
    </row>
    <row r="642">
      <c r="A642" s="17"/>
      <c r="B642" s="17"/>
      <c r="C642" s="17"/>
      <c r="D642" s="17"/>
      <c r="E642" s="17"/>
      <c r="F642" s="288"/>
      <c r="G642" s="17"/>
      <c r="H642" s="17"/>
      <c r="I642" s="17"/>
      <c r="J642" s="17"/>
      <c r="K642" s="17"/>
      <c r="L642" s="17"/>
      <c r="M642" s="17"/>
      <c r="N642" s="17"/>
      <c r="O642" s="17"/>
      <c r="P642" s="17"/>
      <c r="Q642" s="17"/>
      <c r="R642" s="17"/>
      <c r="S642" s="143"/>
      <c r="T642" s="143"/>
      <c r="U642" s="143"/>
      <c r="V642" s="143"/>
      <c r="W642" s="17"/>
      <c r="X642" s="17"/>
      <c r="Y642" s="17"/>
      <c r="Z642" s="17"/>
      <c r="AA642" s="17"/>
      <c r="AB642" s="17"/>
    </row>
    <row r="643">
      <c r="A643" s="17"/>
      <c r="B643" s="17"/>
      <c r="C643" s="17"/>
      <c r="D643" s="17"/>
      <c r="E643" s="17"/>
      <c r="F643" s="288"/>
      <c r="G643" s="17"/>
      <c r="H643" s="17"/>
      <c r="I643" s="17"/>
      <c r="J643" s="17"/>
      <c r="K643" s="17"/>
      <c r="L643" s="17"/>
      <c r="M643" s="17"/>
      <c r="N643" s="17"/>
      <c r="O643" s="17"/>
      <c r="P643" s="17"/>
      <c r="Q643" s="17"/>
      <c r="R643" s="17"/>
      <c r="S643" s="143"/>
      <c r="T643" s="143"/>
      <c r="U643" s="143"/>
      <c r="V643" s="143"/>
      <c r="W643" s="17"/>
      <c r="X643" s="17"/>
      <c r="Y643" s="17"/>
      <c r="Z643" s="17"/>
      <c r="AA643" s="17"/>
      <c r="AB643" s="17"/>
    </row>
    <row r="644">
      <c r="A644" s="17"/>
      <c r="B644" s="17"/>
      <c r="C644" s="17"/>
      <c r="D644" s="17"/>
      <c r="E644" s="17"/>
      <c r="F644" s="288"/>
      <c r="G644" s="17"/>
      <c r="H644" s="17"/>
      <c r="I644" s="17"/>
      <c r="J644" s="17"/>
      <c r="K644" s="17"/>
      <c r="L644" s="17"/>
      <c r="M644" s="17"/>
      <c r="N644" s="17"/>
      <c r="O644" s="17"/>
      <c r="P644" s="17"/>
      <c r="Q644" s="17"/>
      <c r="R644" s="17"/>
      <c r="S644" s="143"/>
      <c r="T644" s="143"/>
      <c r="U644" s="143"/>
      <c r="V644" s="143"/>
      <c r="W644" s="17"/>
      <c r="X644" s="17"/>
      <c r="Y644" s="17"/>
      <c r="Z644" s="17"/>
      <c r="AA644" s="17"/>
      <c r="AB644" s="17"/>
    </row>
    <row r="645">
      <c r="A645" s="17"/>
      <c r="B645" s="17"/>
      <c r="C645" s="17"/>
      <c r="D645" s="17"/>
      <c r="E645" s="17"/>
      <c r="F645" s="288"/>
      <c r="G645" s="17"/>
      <c r="H645" s="17"/>
      <c r="I645" s="17"/>
      <c r="J645" s="17"/>
      <c r="K645" s="17"/>
      <c r="L645" s="17"/>
      <c r="M645" s="17"/>
      <c r="N645" s="17"/>
      <c r="O645" s="17"/>
      <c r="P645" s="17"/>
      <c r="Q645" s="17"/>
      <c r="R645" s="17"/>
      <c r="S645" s="143"/>
      <c r="T645" s="143"/>
      <c r="U645" s="143"/>
      <c r="V645" s="143"/>
      <c r="W645" s="17"/>
      <c r="X645" s="17"/>
      <c r="Y645" s="17"/>
      <c r="Z645" s="17"/>
      <c r="AA645" s="17"/>
      <c r="AB645" s="17"/>
    </row>
    <row r="646">
      <c r="A646" s="17"/>
      <c r="B646" s="17"/>
      <c r="C646" s="17"/>
      <c r="D646" s="17"/>
      <c r="E646" s="17"/>
      <c r="F646" s="288"/>
      <c r="G646" s="17"/>
      <c r="H646" s="17"/>
      <c r="I646" s="17"/>
      <c r="J646" s="17"/>
      <c r="K646" s="17"/>
      <c r="L646" s="17"/>
      <c r="M646" s="17"/>
      <c r="N646" s="17"/>
      <c r="O646" s="17"/>
      <c r="P646" s="17"/>
      <c r="Q646" s="17"/>
      <c r="R646" s="17"/>
      <c r="S646" s="143"/>
      <c r="T646" s="143"/>
      <c r="U646" s="143"/>
      <c r="V646" s="143"/>
      <c r="W646" s="17"/>
      <c r="X646" s="17"/>
      <c r="Y646" s="17"/>
      <c r="Z646" s="17"/>
      <c r="AA646" s="17"/>
      <c r="AB646" s="17"/>
    </row>
    <row r="647">
      <c r="A647" s="17"/>
      <c r="B647" s="17"/>
      <c r="C647" s="17"/>
      <c r="D647" s="17"/>
      <c r="E647" s="17"/>
      <c r="F647" s="288"/>
      <c r="G647" s="17"/>
      <c r="H647" s="17"/>
      <c r="I647" s="17"/>
      <c r="J647" s="17"/>
      <c r="K647" s="17"/>
      <c r="L647" s="17"/>
      <c r="M647" s="17"/>
      <c r="N647" s="17"/>
      <c r="O647" s="17"/>
      <c r="P647" s="17"/>
      <c r="Q647" s="17"/>
      <c r="R647" s="17"/>
      <c r="S647" s="143"/>
      <c r="T647" s="143"/>
      <c r="U647" s="143"/>
      <c r="V647" s="143"/>
      <c r="W647" s="17"/>
      <c r="X647" s="17"/>
      <c r="Y647" s="17"/>
      <c r="Z647" s="17"/>
      <c r="AA647" s="17"/>
      <c r="AB647" s="17"/>
    </row>
    <row r="648">
      <c r="A648" s="17"/>
      <c r="B648" s="17"/>
      <c r="C648" s="17"/>
      <c r="D648" s="17"/>
      <c r="E648" s="17"/>
      <c r="F648" s="288"/>
      <c r="G648" s="17"/>
      <c r="H648" s="17"/>
      <c r="I648" s="17"/>
      <c r="J648" s="17"/>
      <c r="K648" s="17"/>
      <c r="L648" s="17"/>
      <c r="M648" s="17"/>
      <c r="N648" s="17"/>
      <c r="O648" s="17"/>
      <c r="P648" s="17"/>
      <c r="Q648" s="17"/>
      <c r="R648" s="17"/>
      <c r="S648" s="143"/>
      <c r="T648" s="143"/>
      <c r="U648" s="143"/>
      <c r="V648" s="143"/>
      <c r="W648" s="17"/>
      <c r="X648" s="17"/>
      <c r="Y648" s="17"/>
      <c r="Z648" s="17"/>
      <c r="AA648" s="17"/>
      <c r="AB648" s="17"/>
    </row>
    <row r="649">
      <c r="A649" s="17"/>
      <c r="B649" s="17"/>
      <c r="C649" s="17"/>
      <c r="D649" s="17"/>
      <c r="E649" s="17"/>
      <c r="F649" s="288"/>
      <c r="G649" s="17"/>
      <c r="H649" s="17"/>
      <c r="I649" s="17"/>
      <c r="J649" s="17"/>
      <c r="K649" s="17"/>
      <c r="L649" s="17"/>
      <c r="M649" s="17"/>
      <c r="N649" s="17"/>
      <c r="O649" s="17"/>
      <c r="P649" s="17"/>
      <c r="Q649" s="17"/>
      <c r="R649" s="17"/>
      <c r="S649" s="143"/>
      <c r="T649" s="143"/>
      <c r="U649" s="143"/>
      <c r="V649" s="143"/>
      <c r="W649" s="17"/>
      <c r="X649" s="17"/>
      <c r="Y649" s="17"/>
      <c r="Z649" s="17"/>
      <c r="AA649" s="17"/>
      <c r="AB649" s="17"/>
    </row>
    <row r="650">
      <c r="A650" s="17"/>
      <c r="B650" s="17"/>
      <c r="C650" s="17"/>
      <c r="D650" s="17"/>
      <c r="E650" s="17"/>
      <c r="F650" s="288"/>
      <c r="G650" s="17"/>
      <c r="H650" s="17"/>
      <c r="I650" s="17"/>
      <c r="J650" s="17"/>
      <c r="K650" s="17"/>
      <c r="L650" s="17"/>
      <c r="M650" s="17"/>
      <c r="N650" s="17"/>
      <c r="O650" s="17"/>
      <c r="P650" s="17"/>
      <c r="Q650" s="17"/>
      <c r="R650" s="17"/>
      <c r="S650" s="143"/>
      <c r="T650" s="143"/>
      <c r="U650" s="143"/>
      <c r="V650" s="143"/>
      <c r="W650" s="17"/>
      <c r="X650" s="17"/>
      <c r="Y650" s="17"/>
      <c r="Z650" s="17"/>
      <c r="AA650" s="17"/>
      <c r="AB650" s="17"/>
    </row>
    <row r="651">
      <c r="A651" s="17"/>
      <c r="B651" s="17"/>
      <c r="C651" s="17"/>
      <c r="D651" s="17"/>
      <c r="E651" s="17"/>
      <c r="F651" s="288"/>
      <c r="G651" s="17"/>
      <c r="H651" s="17"/>
      <c r="I651" s="17"/>
      <c r="J651" s="17"/>
      <c r="K651" s="17"/>
      <c r="L651" s="17"/>
      <c r="M651" s="17"/>
      <c r="N651" s="17"/>
      <c r="O651" s="17"/>
      <c r="P651" s="17"/>
      <c r="Q651" s="17"/>
      <c r="R651" s="17"/>
      <c r="S651" s="143"/>
      <c r="T651" s="143"/>
      <c r="U651" s="143"/>
      <c r="V651" s="143"/>
      <c r="W651" s="17"/>
      <c r="X651" s="17"/>
      <c r="Y651" s="17"/>
      <c r="Z651" s="17"/>
      <c r="AA651" s="17"/>
      <c r="AB651" s="17"/>
    </row>
    <row r="652">
      <c r="A652" s="17"/>
      <c r="B652" s="17"/>
      <c r="C652" s="17"/>
      <c r="D652" s="17"/>
      <c r="E652" s="17"/>
      <c r="F652" s="288"/>
      <c r="G652" s="17"/>
      <c r="H652" s="17"/>
      <c r="I652" s="17"/>
      <c r="J652" s="17"/>
      <c r="K652" s="17"/>
      <c r="L652" s="17"/>
      <c r="M652" s="17"/>
      <c r="N652" s="17"/>
      <c r="O652" s="17"/>
      <c r="P652" s="17"/>
      <c r="Q652" s="17"/>
      <c r="R652" s="17"/>
      <c r="S652" s="143"/>
      <c r="T652" s="143"/>
      <c r="U652" s="143"/>
      <c r="V652" s="143"/>
      <c r="W652" s="17"/>
      <c r="X652" s="17"/>
      <c r="Y652" s="17"/>
      <c r="Z652" s="17"/>
      <c r="AA652" s="17"/>
      <c r="AB652" s="17"/>
    </row>
    <row r="653">
      <c r="A653" s="17"/>
      <c r="B653" s="17"/>
      <c r="C653" s="17"/>
      <c r="D653" s="17"/>
      <c r="E653" s="17"/>
      <c r="F653" s="288"/>
      <c r="G653" s="17"/>
      <c r="H653" s="17"/>
      <c r="I653" s="17"/>
      <c r="J653" s="17"/>
      <c r="K653" s="17"/>
      <c r="L653" s="17"/>
      <c r="M653" s="17"/>
      <c r="N653" s="17"/>
      <c r="O653" s="17"/>
      <c r="P653" s="17"/>
      <c r="Q653" s="17"/>
      <c r="R653" s="17"/>
      <c r="S653" s="143"/>
      <c r="T653" s="143"/>
      <c r="U653" s="143"/>
      <c r="V653" s="143"/>
      <c r="W653" s="17"/>
      <c r="X653" s="17"/>
      <c r="Y653" s="17"/>
      <c r="Z653" s="17"/>
      <c r="AA653" s="17"/>
      <c r="AB653" s="17"/>
    </row>
    <row r="654">
      <c r="A654" s="17"/>
      <c r="B654" s="17"/>
      <c r="C654" s="17"/>
      <c r="D654" s="17"/>
      <c r="E654" s="17"/>
      <c r="F654" s="288"/>
      <c r="G654" s="17"/>
      <c r="H654" s="17"/>
      <c r="I654" s="17"/>
      <c r="J654" s="17"/>
      <c r="K654" s="17"/>
      <c r="L654" s="17"/>
      <c r="M654" s="17"/>
      <c r="N654" s="17"/>
      <c r="O654" s="17"/>
      <c r="P654" s="17"/>
      <c r="Q654" s="17"/>
      <c r="R654" s="17"/>
      <c r="S654" s="143"/>
      <c r="T654" s="143"/>
      <c r="U654" s="143"/>
      <c r="V654" s="143"/>
      <c r="W654" s="17"/>
      <c r="X654" s="17"/>
      <c r="Y654" s="17"/>
      <c r="Z654" s="17"/>
      <c r="AA654" s="17"/>
      <c r="AB654" s="17"/>
    </row>
    <row r="655">
      <c r="A655" s="17"/>
      <c r="B655" s="17"/>
      <c r="C655" s="17"/>
      <c r="D655" s="17"/>
      <c r="E655" s="17"/>
      <c r="F655" s="288"/>
      <c r="G655" s="17"/>
      <c r="H655" s="17"/>
      <c r="I655" s="17"/>
      <c r="J655" s="17"/>
      <c r="K655" s="17"/>
      <c r="L655" s="17"/>
      <c r="M655" s="17"/>
      <c r="N655" s="17"/>
      <c r="O655" s="17"/>
      <c r="P655" s="17"/>
      <c r="Q655" s="17"/>
      <c r="R655" s="17"/>
      <c r="S655" s="143"/>
      <c r="T655" s="143"/>
      <c r="U655" s="143"/>
      <c r="V655" s="143"/>
      <c r="W655" s="17"/>
      <c r="X655" s="17"/>
      <c r="Y655" s="17"/>
      <c r="Z655" s="17"/>
      <c r="AA655" s="17"/>
      <c r="AB655" s="17"/>
    </row>
    <row r="656">
      <c r="A656" s="17"/>
      <c r="B656" s="17"/>
      <c r="C656" s="17"/>
      <c r="D656" s="17"/>
      <c r="E656" s="17"/>
      <c r="F656" s="288"/>
      <c r="G656" s="17"/>
      <c r="H656" s="17"/>
      <c r="I656" s="17"/>
      <c r="J656" s="17"/>
      <c r="K656" s="17"/>
      <c r="L656" s="17"/>
      <c r="M656" s="17"/>
      <c r="N656" s="17"/>
      <c r="O656" s="17"/>
      <c r="P656" s="17"/>
      <c r="Q656" s="17"/>
      <c r="R656" s="17"/>
      <c r="S656" s="143"/>
      <c r="T656" s="143"/>
      <c r="U656" s="143"/>
      <c r="V656" s="143"/>
      <c r="W656" s="17"/>
      <c r="X656" s="17"/>
      <c r="Y656" s="17"/>
      <c r="Z656" s="17"/>
      <c r="AA656" s="17"/>
      <c r="AB656" s="17"/>
    </row>
    <row r="657">
      <c r="A657" s="17"/>
      <c r="B657" s="17"/>
      <c r="C657" s="17"/>
      <c r="D657" s="17"/>
      <c r="E657" s="17"/>
      <c r="F657" s="288"/>
      <c r="G657" s="17"/>
      <c r="H657" s="17"/>
      <c r="I657" s="17"/>
      <c r="J657" s="17"/>
      <c r="K657" s="17"/>
      <c r="L657" s="17"/>
      <c r="M657" s="17"/>
      <c r="N657" s="17"/>
      <c r="O657" s="17"/>
      <c r="P657" s="17"/>
      <c r="Q657" s="17"/>
      <c r="R657" s="17"/>
      <c r="S657" s="143"/>
      <c r="T657" s="143"/>
      <c r="U657" s="143"/>
      <c r="V657" s="143"/>
      <c r="W657" s="17"/>
      <c r="X657" s="17"/>
      <c r="Y657" s="17"/>
      <c r="Z657" s="17"/>
      <c r="AA657" s="17"/>
      <c r="AB657" s="17"/>
    </row>
    <row r="658">
      <c r="A658" s="17"/>
      <c r="B658" s="17"/>
      <c r="C658" s="17"/>
      <c r="D658" s="17"/>
      <c r="E658" s="17"/>
      <c r="F658" s="288"/>
      <c r="G658" s="17"/>
      <c r="H658" s="17"/>
      <c r="I658" s="17"/>
      <c r="J658" s="17"/>
      <c r="K658" s="17"/>
      <c r="L658" s="17"/>
      <c r="M658" s="17"/>
      <c r="N658" s="17"/>
      <c r="O658" s="17"/>
      <c r="P658" s="17"/>
      <c r="Q658" s="17"/>
      <c r="R658" s="17"/>
      <c r="S658" s="143"/>
      <c r="T658" s="143"/>
      <c r="U658" s="143"/>
      <c r="V658" s="143"/>
      <c r="W658" s="17"/>
      <c r="X658" s="17"/>
      <c r="Y658" s="17"/>
      <c r="Z658" s="17"/>
      <c r="AA658" s="17"/>
      <c r="AB658" s="17"/>
    </row>
    <row r="659">
      <c r="A659" s="17"/>
      <c r="B659" s="17"/>
      <c r="C659" s="17"/>
      <c r="D659" s="17"/>
      <c r="E659" s="17"/>
      <c r="F659" s="288"/>
      <c r="G659" s="17"/>
      <c r="H659" s="17"/>
      <c r="I659" s="17"/>
      <c r="J659" s="17"/>
      <c r="K659" s="17"/>
      <c r="L659" s="17"/>
      <c r="M659" s="17"/>
      <c r="N659" s="17"/>
      <c r="O659" s="17"/>
      <c r="P659" s="17"/>
      <c r="Q659" s="17"/>
      <c r="R659" s="17"/>
      <c r="S659" s="143"/>
      <c r="T659" s="143"/>
      <c r="U659" s="143"/>
      <c r="V659" s="143"/>
      <c r="W659" s="17"/>
      <c r="X659" s="17"/>
      <c r="Y659" s="17"/>
      <c r="Z659" s="17"/>
      <c r="AA659" s="17"/>
      <c r="AB659" s="17"/>
    </row>
    <row r="660">
      <c r="A660" s="17"/>
      <c r="B660" s="17"/>
      <c r="C660" s="17"/>
      <c r="D660" s="17"/>
      <c r="E660" s="17"/>
      <c r="F660" s="288"/>
      <c r="G660" s="17"/>
      <c r="H660" s="17"/>
      <c r="I660" s="17"/>
      <c r="J660" s="17"/>
      <c r="K660" s="17"/>
      <c r="L660" s="17"/>
      <c r="M660" s="17"/>
      <c r="N660" s="17"/>
      <c r="O660" s="17"/>
      <c r="P660" s="17"/>
      <c r="Q660" s="17"/>
      <c r="R660" s="17"/>
      <c r="S660" s="143"/>
      <c r="T660" s="143"/>
      <c r="U660" s="143"/>
      <c r="V660" s="143"/>
      <c r="W660" s="17"/>
      <c r="X660" s="17"/>
      <c r="Y660" s="17"/>
      <c r="Z660" s="17"/>
      <c r="AA660" s="17"/>
      <c r="AB660" s="17"/>
    </row>
    <row r="661">
      <c r="A661" s="17"/>
      <c r="B661" s="17"/>
      <c r="C661" s="17"/>
      <c r="D661" s="17"/>
      <c r="E661" s="17"/>
      <c r="F661" s="288"/>
      <c r="G661" s="17"/>
      <c r="H661" s="17"/>
      <c r="I661" s="17"/>
      <c r="J661" s="17"/>
      <c r="K661" s="17"/>
      <c r="L661" s="17"/>
      <c r="M661" s="17"/>
      <c r="N661" s="17"/>
      <c r="O661" s="17"/>
      <c r="P661" s="17"/>
      <c r="Q661" s="17"/>
      <c r="R661" s="17"/>
      <c r="S661" s="143"/>
      <c r="T661" s="143"/>
      <c r="U661" s="143"/>
      <c r="V661" s="143"/>
      <c r="W661" s="17"/>
      <c r="X661" s="17"/>
      <c r="Y661" s="17"/>
      <c r="Z661" s="17"/>
      <c r="AA661" s="17"/>
      <c r="AB661" s="17"/>
    </row>
    <row r="662">
      <c r="A662" s="17"/>
      <c r="B662" s="17"/>
      <c r="C662" s="17"/>
      <c r="D662" s="17"/>
      <c r="E662" s="17"/>
      <c r="F662" s="288"/>
      <c r="G662" s="17"/>
      <c r="H662" s="17"/>
      <c r="I662" s="17"/>
      <c r="J662" s="17"/>
      <c r="K662" s="17"/>
      <c r="L662" s="17"/>
      <c r="M662" s="17"/>
      <c r="N662" s="17"/>
      <c r="O662" s="17"/>
      <c r="P662" s="17"/>
      <c r="Q662" s="17"/>
      <c r="R662" s="17"/>
      <c r="S662" s="143"/>
      <c r="T662" s="143"/>
      <c r="U662" s="143"/>
      <c r="V662" s="143"/>
      <c r="W662" s="17"/>
      <c r="X662" s="17"/>
      <c r="Y662" s="17"/>
      <c r="Z662" s="17"/>
      <c r="AA662" s="17"/>
      <c r="AB662" s="17"/>
    </row>
    <row r="663">
      <c r="A663" s="17"/>
      <c r="B663" s="17"/>
      <c r="C663" s="17"/>
      <c r="D663" s="17"/>
      <c r="E663" s="17"/>
      <c r="F663" s="288"/>
      <c r="G663" s="17"/>
      <c r="H663" s="17"/>
      <c r="I663" s="17"/>
      <c r="J663" s="17"/>
      <c r="K663" s="17"/>
      <c r="L663" s="17"/>
      <c r="M663" s="17"/>
      <c r="N663" s="17"/>
      <c r="O663" s="17"/>
      <c r="P663" s="17"/>
      <c r="Q663" s="17"/>
      <c r="R663" s="17"/>
      <c r="S663" s="143"/>
      <c r="T663" s="143"/>
      <c r="U663" s="143"/>
      <c r="V663" s="143"/>
      <c r="W663" s="17"/>
      <c r="X663" s="17"/>
      <c r="Y663" s="17"/>
      <c r="Z663" s="17"/>
      <c r="AA663" s="17"/>
      <c r="AB663" s="17"/>
    </row>
    <row r="664">
      <c r="A664" s="17"/>
      <c r="B664" s="17"/>
      <c r="C664" s="17"/>
      <c r="D664" s="17"/>
      <c r="E664" s="17"/>
      <c r="F664" s="288"/>
      <c r="G664" s="17"/>
      <c r="H664" s="17"/>
      <c r="I664" s="17"/>
      <c r="J664" s="17"/>
      <c r="K664" s="17"/>
      <c r="L664" s="17"/>
      <c r="M664" s="17"/>
      <c r="N664" s="17"/>
      <c r="O664" s="17"/>
      <c r="P664" s="17"/>
      <c r="Q664" s="17"/>
      <c r="R664" s="17"/>
      <c r="S664" s="143"/>
      <c r="T664" s="143"/>
      <c r="U664" s="143"/>
      <c r="V664" s="143"/>
      <c r="W664" s="17"/>
      <c r="X664" s="17"/>
      <c r="Y664" s="17"/>
      <c r="Z664" s="17"/>
      <c r="AA664" s="17"/>
      <c r="AB664" s="17"/>
    </row>
    <row r="665">
      <c r="A665" s="17"/>
      <c r="B665" s="17"/>
      <c r="C665" s="17"/>
      <c r="D665" s="17"/>
      <c r="E665" s="17"/>
      <c r="F665" s="288"/>
      <c r="G665" s="17"/>
      <c r="H665" s="17"/>
      <c r="I665" s="17"/>
      <c r="J665" s="17"/>
      <c r="K665" s="17"/>
      <c r="L665" s="17"/>
      <c r="M665" s="17"/>
      <c r="N665" s="17"/>
      <c r="O665" s="17"/>
      <c r="P665" s="17"/>
      <c r="Q665" s="17"/>
      <c r="R665" s="17"/>
      <c r="S665" s="143"/>
      <c r="T665" s="143"/>
      <c r="U665" s="143"/>
      <c r="V665" s="143"/>
      <c r="W665" s="17"/>
      <c r="X665" s="17"/>
      <c r="Y665" s="17"/>
      <c r="Z665" s="17"/>
      <c r="AA665" s="17"/>
      <c r="AB665" s="17"/>
    </row>
    <row r="666">
      <c r="A666" s="17"/>
      <c r="B666" s="17"/>
      <c r="C666" s="17"/>
      <c r="D666" s="17"/>
      <c r="E666" s="17"/>
      <c r="F666" s="288"/>
      <c r="G666" s="17"/>
      <c r="H666" s="17"/>
      <c r="I666" s="17"/>
      <c r="J666" s="17"/>
      <c r="K666" s="17"/>
      <c r="L666" s="17"/>
      <c r="M666" s="17"/>
      <c r="N666" s="17"/>
      <c r="O666" s="17"/>
      <c r="P666" s="17"/>
      <c r="Q666" s="17"/>
      <c r="R666" s="17"/>
      <c r="S666" s="143"/>
      <c r="T666" s="143"/>
      <c r="U666" s="143"/>
      <c r="V666" s="143"/>
      <c r="W666" s="17"/>
      <c r="X666" s="17"/>
      <c r="Y666" s="17"/>
      <c r="Z666" s="17"/>
      <c r="AA666" s="17"/>
      <c r="AB666" s="17"/>
    </row>
    <row r="667">
      <c r="A667" s="17"/>
      <c r="B667" s="17"/>
      <c r="C667" s="17"/>
      <c r="D667" s="17"/>
      <c r="E667" s="17"/>
      <c r="F667" s="288"/>
      <c r="G667" s="17"/>
      <c r="H667" s="17"/>
      <c r="I667" s="17"/>
      <c r="J667" s="17"/>
      <c r="K667" s="17"/>
      <c r="L667" s="17"/>
      <c r="M667" s="17"/>
      <c r="N667" s="17"/>
      <c r="O667" s="17"/>
      <c r="P667" s="17"/>
      <c r="Q667" s="17"/>
      <c r="R667" s="17"/>
      <c r="S667" s="143"/>
      <c r="T667" s="143"/>
      <c r="U667" s="143"/>
      <c r="V667" s="143"/>
      <c r="W667" s="17"/>
      <c r="X667" s="17"/>
      <c r="Y667" s="17"/>
      <c r="Z667" s="17"/>
      <c r="AA667" s="17"/>
      <c r="AB667" s="17"/>
    </row>
    <row r="668">
      <c r="A668" s="17"/>
      <c r="B668" s="17"/>
      <c r="C668" s="17"/>
      <c r="D668" s="17"/>
      <c r="E668" s="17"/>
      <c r="F668" s="288"/>
      <c r="G668" s="17"/>
      <c r="H668" s="17"/>
      <c r="I668" s="17"/>
      <c r="J668" s="17"/>
      <c r="K668" s="17"/>
      <c r="L668" s="17"/>
      <c r="M668" s="17"/>
      <c r="N668" s="17"/>
      <c r="O668" s="17"/>
      <c r="P668" s="17"/>
      <c r="Q668" s="17"/>
      <c r="R668" s="17"/>
      <c r="S668" s="143"/>
      <c r="T668" s="143"/>
      <c r="U668" s="143"/>
      <c r="V668" s="143"/>
      <c r="W668" s="17"/>
      <c r="X668" s="17"/>
      <c r="Y668" s="17"/>
      <c r="Z668" s="17"/>
      <c r="AA668" s="17"/>
      <c r="AB668" s="17"/>
    </row>
    <row r="669">
      <c r="A669" s="17"/>
      <c r="B669" s="17"/>
      <c r="C669" s="17"/>
      <c r="D669" s="17"/>
      <c r="E669" s="17"/>
      <c r="F669" s="288"/>
      <c r="G669" s="17"/>
      <c r="H669" s="17"/>
      <c r="I669" s="17"/>
      <c r="J669" s="17"/>
      <c r="K669" s="17"/>
      <c r="L669" s="17"/>
      <c r="M669" s="17"/>
      <c r="N669" s="17"/>
      <c r="O669" s="17"/>
      <c r="P669" s="17"/>
      <c r="Q669" s="17"/>
      <c r="R669" s="17"/>
      <c r="S669" s="143"/>
      <c r="T669" s="143"/>
      <c r="U669" s="143"/>
      <c r="V669" s="143"/>
      <c r="W669" s="17"/>
      <c r="X669" s="17"/>
      <c r="Y669" s="17"/>
      <c r="Z669" s="17"/>
      <c r="AA669" s="17"/>
      <c r="AB669" s="17"/>
    </row>
    <row r="670">
      <c r="A670" s="17"/>
      <c r="B670" s="17"/>
      <c r="C670" s="17"/>
      <c r="D670" s="17"/>
      <c r="E670" s="17"/>
      <c r="F670" s="288"/>
      <c r="G670" s="17"/>
      <c r="H670" s="17"/>
      <c r="I670" s="17"/>
      <c r="J670" s="17"/>
      <c r="K670" s="17"/>
      <c r="L670" s="17"/>
      <c r="M670" s="17"/>
      <c r="N670" s="17"/>
      <c r="O670" s="17"/>
      <c r="P670" s="17"/>
      <c r="Q670" s="17"/>
      <c r="R670" s="17"/>
      <c r="S670" s="143"/>
      <c r="T670" s="143"/>
      <c r="U670" s="143"/>
      <c r="V670" s="143"/>
      <c r="W670" s="17"/>
      <c r="X670" s="17"/>
      <c r="Y670" s="17"/>
      <c r="Z670" s="17"/>
      <c r="AA670" s="17"/>
      <c r="AB670" s="17"/>
    </row>
    <row r="671">
      <c r="A671" s="17"/>
      <c r="B671" s="17"/>
      <c r="C671" s="17"/>
      <c r="D671" s="17"/>
      <c r="E671" s="17"/>
      <c r="F671" s="288"/>
      <c r="G671" s="17"/>
      <c r="H671" s="17"/>
      <c r="I671" s="17"/>
      <c r="J671" s="17"/>
      <c r="K671" s="17"/>
      <c r="L671" s="17"/>
      <c r="M671" s="17"/>
      <c r="N671" s="17"/>
      <c r="O671" s="17"/>
      <c r="P671" s="17"/>
      <c r="Q671" s="17"/>
      <c r="R671" s="17"/>
      <c r="S671" s="143"/>
      <c r="T671" s="143"/>
      <c r="U671" s="143"/>
      <c r="V671" s="143"/>
      <c r="W671" s="17"/>
      <c r="X671" s="17"/>
      <c r="Y671" s="17"/>
      <c r="Z671" s="17"/>
      <c r="AA671" s="17"/>
      <c r="AB671" s="17"/>
    </row>
    <row r="672">
      <c r="A672" s="17"/>
      <c r="B672" s="17"/>
      <c r="C672" s="17"/>
      <c r="D672" s="17"/>
      <c r="E672" s="17"/>
      <c r="F672" s="288"/>
      <c r="G672" s="17"/>
      <c r="H672" s="17"/>
      <c r="I672" s="17"/>
      <c r="J672" s="17"/>
      <c r="K672" s="17"/>
      <c r="L672" s="17"/>
      <c r="M672" s="17"/>
      <c r="N672" s="17"/>
      <c r="O672" s="17"/>
      <c r="P672" s="17"/>
      <c r="Q672" s="17"/>
      <c r="R672" s="17"/>
      <c r="S672" s="143"/>
      <c r="T672" s="143"/>
      <c r="U672" s="143"/>
      <c r="V672" s="143"/>
      <c r="W672" s="17"/>
      <c r="X672" s="17"/>
      <c r="Y672" s="17"/>
      <c r="Z672" s="17"/>
      <c r="AA672" s="17"/>
      <c r="AB672" s="17"/>
    </row>
    <row r="673">
      <c r="A673" s="17"/>
      <c r="B673" s="17"/>
      <c r="C673" s="17"/>
      <c r="D673" s="17"/>
      <c r="E673" s="17"/>
      <c r="F673" s="288"/>
      <c r="G673" s="17"/>
      <c r="H673" s="17"/>
      <c r="I673" s="17"/>
      <c r="J673" s="17"/>
      <c r="K673" s="17"/>
      <c r="L673" s="17"/>
      <c r="M673" s="17"/>
      <c r="N673" s="17"/>
      <c r="O673" s="17"/>
      <c r="P673" s="17"/>
      <c r="Q673" s="17"/>
      <c r="R673" s="17"/>
      <c r="S673" s="143"/>
      <c r="T673" s="143"/>
      <c r="U673" s="143"/>
      <c r="V673" s="143"/>
      <c r="W673" s="17"/>
      <c r="X673" s="17"/>
      <c r="Y673" s="17"/>
      <c r="Z673" s="17"/>
      <c r="AA673" s="17"/>
      <c r="AB673" s="17"/>
    </row>
    <row r="674">
      <c r="A674" s="17"/>
      <c r="B674" s="17"/>
      <c r="C674" s="17"/>
      <c r="D674" s="17"/>
      <c r="E674" s="17"/>
      <c r="F674" s="288"/>
      <c r="G674" s="17"/>
      <c r="H674" s="17"/>
      <c r="I674" s="17"/>
      <c r="J674" s="17"/>
      <c r="K674" s="17"/>
      <c r="L674" s="17"/>
      <c r="M674" s="17"/>
      <c r="N674" s="17"/>
      <c r="O674" s="17"/>
      <c r="P674" s="17"/>
      <c r="Q674" s="17"/>
      <c r="R674" s="17"/>
      <c r="S674" s="143"/>
      <c r="T674" s="143"/>
      <c r="U674" s="143"/>
      <c r="V674" s="143"/>
      <c r="W674" s="17"/>
      <c r="X674" s="17"/>
      <c r="Y674" s="17"/>
      <c r="Z674" s="17"/>
      <c r="AA674" s="17"/>
      <c r="AB674" s="17"/>
    </row>
    <row r="675">
      <c r="A675" s="17"/>
      <c r="B675" s="17"/>
      <c r="C675" s="17"/>
      <c r="D675" s="17"/>
      <c r="E675" s="17"/>
      <c r="F675" s="288"/>
      <c r="G675" s="17"/>
      <c r="H675" s="17"/>
      <c r="I675" s="17"/>
      <c r="J675" s="17"/>
      <c r="K675" s="17"/>
      <c r="L675" s="17"/>
      <c r="M675" s="17"/>
      <c r="N675" s="17"/>
      <c r="O675" s="17"/>
      <c r="P675" s="17"/>
      <c r="Q675" s="17"/>
      <c r="R675" s="17"/>
      <c r="S675" s="143"/>
      <c r="T675" s="143"/>
      <c r="U675" s="143"/>
      <c r="V675" s="143"/>
      <c r="W675" s="17"/>
      <c r="X675" s="17"/>
      <c r="Y675" s="17"/>
      <c r="Z675" s="17"/>
      <c r="AA675" s="17"/>
      <c r="AB675" s="17"/>
    </row>
    <row r="676">
      <c r="A676" s="17"/>
      <c r="B676" s="17"/>
      <c r="C676" s="17"/>
      <c r="D676" s="17"/>
      <c r="E676" s="17"/>
      <c r="F676" s="288"/>
      <c r="G676" s="17"/>
      <c r="H676" s="17"/>
      <c r="I676" s="17"/>
      <c r="J676" s="17"/>
      <c r="K676" s="17"/>
      <c r="L676" s="17"/>
      <c r="M676" s="17"/>
      <c r="N676" s="17"/>
      <c r="O676" s="17"/>
      <c r="P676" s="17"/>
      <c r="Q676" s="17"/>
      <c r="R676" s="17"/>
      <c r="S676" s="143"/>
      <c r="T676" s="143"/>
      <c r="U676" s="143"/>
      <c r="V676" s="143"/>
      <c r="W676" s="17"/>
      <c r="X676" s="17"/>
      <c r="Y676" s="17"/>
      <c r="Z676" s="17"/>
      <c r="AA676" s="17"/>
      <c r="AB676" s="17"/>
    </row>
    <row r="677">
      <c r="A677" s="17"/>
      <c r="B677" s="17"/>
      <c r="C677" s="17"/>
      <c r="D677" s="17"/>
      <c r="E677" s="17"/>
      <c r="F677" s="288"/>
      <c r="G677" s="17"/>
      <c r="H677" s="17"/>
      <c r="I677" s="17"/>
      <c r="J677" s="17"/>
      <c r="K677" s="17"/>
      <c r="L677" s="17"/>
      <c r="M677" s="17"/>
      <c r="N677" s="17"/>
      <c r="O677" s="17"/>
      <c r="P677" s="17"/>
      <c r="Q677" s="17"/>
      <c r="R677" s="17"/>
      <c r="S677" s="143"/>
      <c r="T677" s="143"/>
      <c r="U677" s="143"/>
      <c r="V677" s="143"/>
      <c r="W677" s="17"/>
      <c r="X677" s="17"/>
      <c r="Y677" s="17"/>
      <c r="Z677" s="17"/>
      <c r="AA677" s="17"/>
      <c r="AB677" s="17"/>
    </row>
    <row r="678">
      <c r="A678" s="17"/>
      <c r="B678" s="17"/>
      <c r="C678" s="17"/>
      <c r="D678" s="17"/>
      <c r="E678" s="17"/>
      <c r="F678" s="288"/>
      <c r="G678" s="17"/>
      <c r="H678" s="17"/>
      <c r="I678" s="17"/>
      <c r="J678" s="17"/>
      <c r="K678" s="17"/>
      <c r="L678" s="17"/>
      <c r="M678" s="17"/>
      <c r="N678" s="17"/>
      <c r="O678" s="17"/>
      <c r="P678" s="17"/>
      <c r="Q678" s="17"/>
      <c r="R678" s="17"/>
      <c r="S678" s="143"/>
      <c r="T678" s="143"/>
      <c r="U678" s="143"/>
      <c r="V678" s="143"/>
      <c r="W678" s="17"/>
      <c r="X678" s="17"/>
      <c r="Y678" s="17"/>
      <c r="Z678" s="17"/>
      <c r="AA678" s="17"/>
      <c r="AB678" s="17"/>
    </row>
    <row r="679">
      <c r="A679" s="17"/>
      <c r="B679" s="17"/>
      <c r="C679" s="17"/>
      <c r="D679" s="17"/>
      <c r="E679" s="17"/>
      <c r="F679" s="288"/>
      <c r="G679" s="17"/>
      <c r="H679" s="17"/>
      <c r="I679" s="17"/>
      <c r="J679" s="17"/>
      <c r="K679" s="17"/>
      <c r="L679" s="17"/>
      <c r="M679" s="17"/>
      <c r="N679" s="17"/>
      <c r="O679" s="17"/>
      <c r="P679" s="17"/>
      <c r="Q679" s="17"/>
      <c r="R679" s="17"/>
      <c r="S679" s="143"/>
      <c r="T679" s="143"/>
      <c r="U679" s="143"/>
      <c r="V679" s="143"/>
      <c r="W679" s="17"/>
      <c r="X679" s="17"/>
      <c r="Y679" s="17"/>
      <c r="Z679" s="17"/>
      <c r="AA679" s="17"/>
      <c r="AB679" s="17"/>
    </row>
    <row r="680">
      <c r="A680" s="17"/>
      <c r="B680" s="17"/>
      <c r="C680" s="17"/>
      <c r="D680" s="17"/>
      <c r="E680" s="17"/>
      <c r="F680" s="288"/>
      <c r="G680" s="17"/>
      <c r="H680" s="17"/>
      <c r="I680" s="17"/>
      <c r="J680" s="17"/>
      <c r="K680" s="17"/>
      <c r="L680" s="17"/>
      <c r="M680" s="17"/>
      <c r="N680" s="17"/>
      <c r="O680" s="17"/>
      <c r="P680" s="17"/>
      <c r="Q680" s="17"/>
      <c r="R680" s="17"/>
      <c r="S680" s="143"/>
      <c r="T680" s="143"/>
      <c r="U680" s="143"/>
      <c r="V680" s="143"/>
      <c r="W680" s="17"/>
      <c r="X680" s="17"/>
      <c r="Y680" s="17"/>
      <c r="Z680" s="17"/>
      <c r="AA680" s="17"/>
      <c r="AB680" s="17"/>
    </row>
    <row r="681">
      <c r="A681" s="17"/>
      <c r="B681" s="17"/>
      <c r="C681" s="17"/>
      <c r="D681" s="17"/>
      <c r="E681" s="17"/>
      <c r="F681" s="288"/>
      <c r="G681" s="17"/>
      <c r="H681" s="17"/>
      <c r="I681" s="17"/>
      <c r="J681" s="17"/>
      <c r="K681" s="17"/>
      <c r="L681" s="17"/>
      <c r="M681" s="17"/>
      <c r="N681" s="17"/>
      <c r="O681" s="17"/>
      <c r="P681" s="17"/>
      <c r="Q681" s="17"/>
      <c r="R681" s="17"/>
      <c r="S681" s="143"/>
      <c r="T681" s="143"/>
      <c r="U681" s="143"/>
      <c r="V681" s="143"/>
      <c r="W681" s="17"/>
      <c r="X681" s="17"/>
      <c r="Y681" s="17"/>
      <c r="Z681" s="17"/>
      <c r="AA681" s="17"/>
      <c r="AB681" s="17"/>
    </row>
    <row r="682">
      <c r="A682" s="17"/>
      <c r="B682" s="17"/>
      <c r="C682" s="17"/>
      <c r="D682" s="17"/>
      <c r="E682" s="17"/>
      <c r="F682" s="288"/>
      <c r="G682" s="17"/>
      <c r="H682" s="17"/>
      <c r="I682" s="17"/>
      <c r="J682" s="17"/>
      <c r="K682" s="17"/>
      <c r="L682" s="17"/>
      <c r="M682" s="17"/>
      <c r="N682" s="17"/>
      <c r="O682" s="17"/>
      <c r="P682" s="17"/>
      <c r="Q682" s="17"/>
      <c r="R682" s="17"/>
      <c r="S682" s="143"/>
      <c r="T682" s="143"/>
      <c r="U682" s="143"/>
      <c r="V682" s="143"/>
      <c r="W682" s="17"/>
      <c r="X682" s="17"/>
      <c r="Y682" s="17"/>
      <c r="Z682" s="17"/>
      <c r="AA682" s="17"/>
      <c r="AB682" s="17"/>
    </row>
    <row r="683">
      <c r="A683" s="17"/>
      <c r="B683" s="17"/>
      <c r="C683" s="17"/>
      <c r="D683" s="17"/>
      <c r="E683" s="17"/>
      <c r="F683" s="288"/>
      <c r="G683" s="17"/>
      <c r="H683" s="17"/>
      <c r="I683" s="17"/>
      <c r="J683" s="17"/>
      <c r="K683" s="17"/>
      <c r="L683" s="17"/>
      <c r="M683" s="17"/>
      <c r="N683" s="17"/>
      <c r="O683" s="17"/>
      <c r="P683" s="17"/>
      <c r="Q683" s="17"/>
      <c r="R683" s="17"/>
      <c r="S683" s="143"/>
      <c r="T683" s="143"/>
      <c r="U683" s="143"/>
      <c r="V683" s="143"/>
      <c r="W683" s="17"/>
      <c r="X683" s="17"/>
      <c r="Y683" s="17"/>
      <c r="Z683" s="17"/>
      <c r="AA683" s="17"/>
      <c r="AB683" s="17"/>
    </row>
    <row r="684">
      <c r="A684" s="17"/>
      <c r="B684" s="17"/>
      <c r="C684" s="17"/>
      <c r="D684" s="17"/>
      <c r="E684" s="17"/>
      <c r="F684" s="288"/>
      <c r="G684" s="17"/>
      <c r="H684" s="17"/>
      <c r="I684" s="17"/>
      <c r="J684" s="17"/>
      <c r="K684" s="17"/>
      <c r="L684" s="17"/>
      <c r="M684" s="17"/>
      <c r="N684" s="17"/>
      <c r="O684" s="17"/>
      <c r="P684" s="17"/>
      <c r="Q684" s="17"/>
      <c r="R684" s="17"/>
      <c r="S684" s="143"/>
      <c r="T684" s="143"/>
      <c r="U684" s="143"/>
      <c r="V684" s="143"/>
      <c r="W684" s="17"/>
      <c r="X684" s="17"/>
      <c r="Y684" s="17"/>
      <c r="Z684" s="17"/>
      <c r="AA684" s="17"/>
      <c r="AB684" s="17"/>
    </row>
    <row r="685">
      <c r="A685" s="17"/>
      <c r="B685" s="17"/>
      <c r="C685" s="17"/>
      <c r="D685" s="17"/>
      <c r="E685" s="17"/>
      <c r="F685" s="288"/>
      <c r="G685" s="17"/>
      <c r="H685" s="17"/>
      <c r="I685" s="17"/>
      <c r="J685" s="17"/>
      <c r="K685" s="17"/>
      <c r="L685" s="17"/>
      <c r="M685" s="17"/>
      <c r="N685" s="17"/>
      <c r="O685" s="17"/>
      <c r="P685" s="17"/>
      <c r="Q685" s="17"/>
      <c r="R685" s="17"/>
      <c r="S685" s="143"/>
      <c r="T685" s="143"/>
      <c r="U685" s="143"/>
      <c r="V685" s="143"/>
      <c r="W685" s="17"/>
      <c r="X685" s="17"/>
      <c r="Y685" s="17"/>
      <c r="Z685" s="17"/>
      <c r="AA685" s="17"/>
      <c r="AB685" s="17"/>
    </row>
    <row r="686">
      <c r="A686" s="17"/>
      <c r="B686" s="17"/>
      <c r="C686" s="17"/>
      <c r="D686" s="17"/>
      <c r="E686" s="17"/>
      <c r="F686" s="288"/>
      <c r="G686" s="17"/>
      <c r="H686" s="17"/>
      <c r="I686" s="17"/>
      <c r="J686" s="17"/>
      <c r="K686" s="17"/>
      <c r="L686" s="17"/>
      <c r="M686" s="17"/>
      <c r="N686" s="17"/>
      <c r="O686" s="17"/>
      <c r="P686" s="17"/>
      <c r="Q686" s="17"/>
      <c r="R686" s="17"/>
      <c r="S686" s="143"/>
      <c r="T686" s="143"/>
      <c r="U686" s="143"/>
      <c r="V686" s="143"/>
      <c r="W686" s="17"/>
      <c r="X686" s="17"/>
      <c r="Y686" s="17"/>
      <c r="Z686" s="17"/>
      <c r="AA686" s="17"/>
      <c r="AB686" s="17"/>
    </row>
    <row r="687">
      <c r="A687" s="17"/>
      <c r="B687" s="17"/>
      <c r="C687" s="17"/>
      <c r="D687" s="17"/>
      <c r="E687" s="17"/>
      <c r="F687" s="288"/>
      <c r="G687" s="17"/>
      <c r="H687" s="17"/>
      <c r="I687" s="17"/>
      <c r="J687" s="17"/>
      <c r="K687" s="17"/>
      <c r="L687" s="17"/>
      <c r="M687" s="17"/>
      <c r="N687" s="17"/>
      <c r="O687" s="17"/>
      <c r="P687" s="17"/>
      <c r="Q687" s="17"/>
      <c r="R687" s="17"/>
      <c r="S687" s="143"/>
      <c r="T687" s="143"/>
      <c r="U687" s="143"/>
      <c r="V687" s="143"/>
      <c r="W687" s="17"/>
      <c r="X687" s="17"/>
      <c r="Y687" s="17"/>
      <c r="Z687" s="17"/>
      <c r="AA687" s="17"/>
      <c r="AB687" s="17"/>
    </row>
    <row r="688">
      <c r="A688" s="17"/>
      <c r="B688" s="17"/>
      <c r="C688" s="17"/>
      <c r="D688" s="17"/>
      <c r="E688" s="17"/>
      <c r="F688" s="288"/>
      <c r="G688" s="17"/>
      <c r="H688" s="17"/>
      <c r="I688" s="17"/>
      <c r="J688" s="17"/>
      <c r="K688" s="17"/>
      <c r="L688" s="17"/>
      <c r="M688" s="17"/>
      <c r="N688" s="17"/>
      <c r="O688" s="17"/>
      <c r="P688" s="17"/>
      <c r="Q688" s="17"/>
      <c r="R688" s="17"/>
      <c r="S688" s="143"/>
      <c r="T688" s="143"/>
      <c r="U688" s="143"/>
      <c r="V688" s="143"/>
      <c r="W688" s="17"/>
      <c r="X688" s="17"/>
      <c r="Y688" s="17"/>
      <c r="Z688" s="17"/>
      <c r="AA688" s="17"/>
      <c r="AB688" s="17"/>
    </row>
    <row r="689">
      <c r="A689" s="17"/>
      <c r="B689" s="17"/>
      <c r="C689" s="17"/>
      <c r="D689" s="17"/>
      <c r="E689" s="17"/>
      <c r="F689" s="288"/>
      <c r="G689" s="17"/>
      <c r="H689" s="17"/>
      <c r="I689" s="17"/>
      <c r="J689" s="17"/>
      <c r="K689" s="17"/>
      <c r="L689" s="17"/>
      <c r="M689" s="17"/>
      <c r="N689" s="17"/>
      <c r="O689" s="17"/>
      <c r="P689" s="17"/>
      <c r="Q689" s="17"/>
      <c r="R689" s="17"/>
      <c r="S689" s="143"/>
      <c r="T689" s="143"/>
      <c r="U689" s="143"/>
      <c r="V689" s="143"/>
      <c r="W689" s="17"/>
      <c r="X689" s="17"/>
      <c r="Y689" s="17"/>
      <c r="Z689" s="17"/>
      <c r="AA689" s="17"/>
      <c r="AB689" s="17"/>
    </row>
    <row r="690">
      <c r="A690" s="17"/>
      <c r="B690" s="17"/>
      <c r="C690" s="17"/>
      <c r="D690" s="17"/>
      <c r="E690" s="17"/>
      <c r="F690" s="288"/>
      <c r="G690" s="17"/>
      <c r="H690" s="17"/>
      <c r="I690" s="17"/>
      <c r="J690" s="17"/>
      <c r="K690" s="17"/>
      <c r="L690" s="17"/>
      <c r="M690" s="17"/>
      <c r="N690" s="17"/>
      <c r="O690" s="17"/>
      <c r="P690" s="17"/>
      <c r="Q690" s="17"/>
      <c r="R690" s="17"/>
      <c r="S690" s="143"/>
      <c r="T690" s="143"/>
      <c r="U690" s="143"/>
      <c r="V690" s="143"/>
      <c r="W690" s="17"/>
      <c r="X690" s="17"/>
      <c r="Y690" s="17"/>
      <c r="Z690" s="17"/>
      <c r="AA690" s="17"/>
      <c r="AB690" s="17"/>
    </row>
    <row r="691">
      <c r="A691" s="17"/>
      <c r="B691" s="17"/>
      <c r="C691" s="17"/>
      <c r="D691" s="17"/>
      <c r="E691" s="17"/>
      <c r="F691" s="288"/>
      <c r="G691" s="17"/>
      <c r="H691" s="17"/>
      <c r="I691" s="17"/>
      <c r="J691" s="17"/>
      <c r="K691" s="17"/>
      <c r="L691" s="17"/>
      <c r="M691" s="17"/>
      <c r="N691" s="17"/>
      <c r="O691" s="17"/>
      <c r="P691" s="17"/>
      <c r="Q691" s="17"/>
      <c r="R691" s="17"/>
      <c r="S691" s="143"/>
      <c r="T691" s="143"/>
      <c r="U691" s="143"/>
      <c r="V691" s="143"/>
      <c r="W691" s="17"/>
      <c r="X691" s="17"/>
      <c r="Y691" s="17"/>
      <c r="Z691" s="17"/>
      <c r="AA691" s="17"/>
      <c r="AB691" s="17"/>
    </row>
    <row r="692">
      <c r="A692" s="17"/>
      <c r="B692" s="17"/>
      <c r="C692" s="17"/>
      <c r="D692" s="17"/>
      <c r="E692" s="17"/>
      <c r="F692" s="288"/>
      <c r="G692" s="17"/>
      <c r="H692" s="17"/>
      <c r="I692" s="17"/>
      <c r="J692" s="17"/>
      <c r="K692" s="17"/>
      <c r="L692" s="17"/>
      <c r="M692" s="17"/>
      <c r="N692" s="17"/>
      <c r="O692" s="17"/>
      <c r="P692" s="17"/>
      <c r="Q692" s="17"/>
      <c r="R692" s="17"/>
      <c r="S692" s="143"/>
      <c r="T692" s="143"/>
      <c r="U692" s="143"/>
      <c r="V692" s="143"/>
      <c r="W692" s="17"/>
      <c r="X692" s="17"/>
      <c r="Y692" s="17"/>
      <c r="Z692" s="17"/>
      <c r="AA692" s="17"/>
      <c r="AB692" s="17"/>
    </row>
    <row r="693">
      <c r="A693" s="17"/>
      <c r="B693" s="17"/>
      <c r="C693" s="17"/>
      <c r="D693" s="17"/>
      <c r="E693" s="17"/>
      <c r="F693" s="288"/>
      <c r="G693" s="17"/>
      <c r="H693" s="17"/>
      <c r="I693" s="17"/>
      <c r="J693" s="17"/>
      <c r="K693" s="17"/>
      <c r="L693" s="17"/>
      <c r="M693" s="17"/>
      <c r="N693" s="17"/>
      <c r="O693" s="17"/>
      <c r="P693" s="17"/>
      <c r="Q693" s="17"/>
      <c r="R693" s="17"/>
      <c r="S693" s="143"/>
      <c r="T693" s="143"/>
      <c r="U693" s="143"/>
      <c r="V693" s="143"/>
      <c r="W693" s="17"/>
      <c r="X693" s="17"/>
      <c r="Y693" s="17"/>
      <c r="Z693" s="17"/>
      <c r="AA693" s="17"/>
      <c r="AB693" s="17"/>
    </row>
    <row r="694">
      <c r="A694" s="17"/>
      <c r="B694" s="17"/>
      <c r="C694" s="17"/>
      <c r="D694" s="17"/>
      <c r="E694" s="17"/>
      <c r="F694" s="288"/>
      <c r="G694" s="17"/>
      <c r="H694" s="17"/>
      <c r="I694" s="17"/>
      <c r="J694" s="17"/>
      <c r="K694" s="17"/>
      <c r="L694" s="17"/>
      <c r="M694" s="17"/>
      <c r="N694" s="17"/>
      <c r="O694" s="17"/>
      <c r="P694" s="17"/>
      <c r="Q694" s="17"/>
      <c r="R694" s="17"/>
      <c r="S694" s="143"/>
      <c r="T694" s="143"/>
      <c r="U694" s="143"/>
      <c r="V694" s="143"/>
      <c r="W694" s="17"/>
      <c r="X694" s="17"/>
      <c r="Y694" s="17"/>
      <c r="Z694" s="17"/>
      <c r="AA694" s="17"/>
      <c r="AB694" s="17"/>
    </row>
    <row r="695">
      <c r="A695" s="17"/>
      <c r="B695" s="17"/>
      <c r="C695" s="17"/>
      <c r="D695" s="17"/>
      <c r="E695" s="17"/>
      <c r="F695" s="288"/>
      <c r="G695" s="17"/>
      <c r="H695" s="17"/>
      <c r="I695" s="17"/>
      <c r="J695" s="17"/>
      <c r="K695" s="17"/>
      <c r="L695" s="17"/>
      <c r="M695" s="17"/>
      <c r="N695" s="17"/>
      <c r="O695" s="17"/>
      <c r="P695" s="17"/>
      <c r="Q695" s="17"/>
      <c r="R695" s="17"/>
      <c r="S695" s="143"/>
      <c r="T695" s="143"/>
      <c r="U695" s="143"/>
      <c r="V695" s="143"/>
      <c r="W695" s="17"/>
      <c r="X695" s="17"/>
      <c r="Y695" s="17"/>
      <c r="Z695" s="17"/>
      <c r="AA695" s="17"/>
      <c r="AB695" s="17"/>
    </row>
    <row r="696">
      <c r="A696" s="17"/>
      <c r="B696" s="17"/>
      <c r="C696" s="17"/>
      <c r="D696" s="17"/>
      <c r="E696" s="17"/>
      <c r="F696" s="288"/>
      <c r="G696" s="17"/>
      <c r="H696" s="17"/>
      <c r="I696" s="17"/>
      <c r="J696" s="17"/>
      <c r="K696" s="17"/>
      <c r="L696" s="17"/>
      <c r="M696" s="17"/>
      <c r="N696" s="17"/>
      <c r="O696" s="17"/>
      <c r="P696" s="17"/>
      <c r="Q696" s="17"/>
      <c r="R696" s="17"/>
      <c r="S696" s="143"/>
      <c r="T696" s="143"/>
      <c r="U696" s="143"/>
      <c r="V696" s="143"/>
      <c r="W696" s="17"/>
      <c r="X696" s="17"/>
      <c r="Y696" s="17"/>
      <c r="Z696" s="17"/>
      <c r="AA696" s="17"/>
      <c r="AB696" s="17"/>
    </row>
    <row r="697">
      <c r="A697" s="17"/>
      <c r="B697" s="17"/>
      <c r="C697" s="17"/>
      <c r="D697" s="17"/>
      <c r="E697" s="17"/>
      <c r="F697" s="288"/>
      <c r="G697" s="17"/>
      <c r="H697" s="17"/>
      <c r="I697" s="17"/>
      <c r="J697" s="17"/>
      <c r="K697" s="17"/>
      <c r="L697" s="17"/>
      <c r="M697" s="17"/>
      <c r="N697" s="17"/>
      <c r="O697" s="17"/>
      <c r="P697" s="17"/>
      <c r="Q697" s="17"/>
      <c r="R697" s="17"/>
      <c r="S697" s="143"/>
      <c r="T697" s="143"/>
      <c r="U697" s="143"/>
      <c r="V697" s="143"/>
      <c r="W697" s="17"/>
      <c r="X697" s="17"/>
      <c r="Y697" s="17"/>
      <c r="Z697" s="17"/>
      <c r="AA697" s="17"/>
      <c r="AB697" s="17"/>
    </row>
    <row r="698">
      <c r="A698" s="17"/>
      <c r="B698" s="17"/>
      <c r="C698" s="17"/>
      <c r="D698" s="17"/>
      <c r="E698" s="17"/>
      <c r="F698" s="288"/>
      <c r="G698" s="17"/>
      <c r="H698" s="17"/>
      <c r="I698" s="17"/>
      <c r="J698" s="17"/>
      <c r="K698" s="17"/>
      <c r="L698" s="17"/>
      <c r="M698" s="17"/>
      <c r="N698" s="17"/>
      <c r="O698" s="17"/>
      <c r="P698" s="17"/>
      <c r="Q698" s="17"/>
      <c r="R698" s="17"/>
      <c r="S698" s="143"/>
      <c r="T698" s="143"/>
      <c r="U698" s="143"/>
      <c r="V698" s="143"/>
      <c r="W698" s="17"/>
      <c r="X698" s="17"/>
      <c r="Y698" s="17"/>
      <c r="Z698" s="17"/>
      <c r="AA698" s="17"/>
      <c r="AB698" s="17"/>
    </row>
    <row r="699">
      <c r="A699" s="17"/>
      <c r="B699" s="17"/>
      <c r="C699" s="17"/>
      <c r="D699" s="17"/>
      <c r="E699" s="17"/>
      <c r="F699" s="288"/>
      <c r="G699" s="17"/>
      <c r="H699" s="17"/>
      <c r="I699" s="17"/>
      <c r="J699" s="17"/>
      <c r="K699" s="17"/>
      <c r="L699" s="17"/>
      <c r="M699" s="17"/>
      <c r="N699" s="17"/>
      <c r="O699" s="17"/>
      <c r="P699" s="17"/>
      <c r="Q699" s="17"/>
      <c r="R699" s="17"/>
      <c r="S699" s="143"/>
      <c r="T699" s="143"/>
      <c r="U699" s="143"/>
      <c r="V699" s="143"/>
      <c r="W699" s="17"/>
      <c r="X699" s="17"/>
      <c r="Y699" s="17"/>
      <c r="Z699" s="17"/>
      <c r="AA699" s="17"/>
      <c r="AB699" s="17"/>
    </row>
    <row r="700">
      <c r="A700" s="17"/>
      <c r="B700" s="17"/>
      <c r="C700" s="17"/>
      <c r="D700" s="17"/>
      <c r="E700" s="17"/>
      <c r="F700" s="288"/>
      <c r="G700" s="17"/>
      <c r="H700" s="17"/>
      <c r="I700" s="17"/>
      <c r="J700" s="17"/>
      <c r="K700" s="17"/>
      <c r="L700" s="17"/>
      <c r="M700" s="17"/>
      <c r="N700" s="17"/>
      <c r="O700" s="17"/>
      <c r="P700" s="17"/>
      <c r="Q700" s="17"/>
      <c r="R700" s="17"/>
      <c r="S700" s="143"/>
      <c r="T700" s="143"/>
      <c r="U700" s="143"/>
      <c r="V700" s="143"/>
      <c r="W700" s="17"/>
      <c r="X700" s="17"/>
      <c r="Y700" s="17"/>
      <c r="Z700" s="17"/>
      <c r="AA700" s="17"/>
      <c r="AB700" s="17"/>
    </row>
    <row r="701">
      <c r="A701" s="17"/>
      <c r="B701" s="17"/>
      <c r="C701" s="17"/>
      <c r="D701" s="17"/>
      <c r="E701" s="17"/>
      <c r="F701" s="288"/>
      <c r="G701" s="17"/>
      <c r="H701" s="17"/>
      <c r="I701" s="17"/>
      <c r="J701" s="17"/>
      <c r="K701" s="17"/>
      <c r="L701" s="17"/>
      <c r="M701" s="17"/>
      <c r="N701" s="17"/>
      <c r="O701" s="17"/>
      <c r="P701" s="17"/>
      <c r="Q701" s="17"/>
      <c r="R701" s="17"/>
      <c r="S701" s="143"/>
      <c r="T701" s="143"/>
      <c r="U701" s="143"/>
      <c r="V701" s="143"/>
      <c r="W701" s="17"/>
      <c r="X701" s="17"/>
      <c r="Y701" s="17"/>
      <c r="Z701" s="17"/>
      <c r="AA701" s="17"/>
      <c r="AB701" s="17"/>
    </row>
    <row r="702">
      <c r="A702" s="17"/>
      <c r="B702" s="17"/>
      <c r="C702" s="17"/>
      <c r="D702" s="17"/>
      <c r="E702" s="17"/>
      <c r="F702" s="288"/>
      <c r="G702" s="17"/>
      <c r="H702" s="17"/>
      <c r="I702" s="17"/>
      <c r="J702" s="17"/>
      <c r="K702" s="17"/>
      <c r="L702" s="17"/>
      <c r="M702" s="17"/>
      <c r="N702" s="17"/>
      <c r="O702" s="17"/>
      <c r="P702" s="17"/>
      <c r="Q702" s="17"/>
      <c r="R702" s="17"/>
      <c r="S702" s="143"/>
      <c r="T702" s="143"/>
      <c r="U702" s="143"/>
      <c r="V702" s="143"/>
      <c r="W702" s="17"/>
      <c r="X702" s="17"/>
      <c r="Y702" s="17"/>
      <c r="Z702" s="17"/>
      <c r="AA702" s="17"/>
      <c r="AB702" s="17"/>
    </row>
    <row r="703">
      <c r="A703" s="17"/>
      <c r="B703" s="17"/>
      <c r="C703" s="17"/>
      <c r="D703" s="17"/>
      <c r="E703" s="17"/>
      <c r="F703" s="288"/>
      <c r="G703" s="17"/>
      <c r="H703" s="17"/>
      <c r="I703" s="17"/>
      <c r="J703" s="17"/>
      <c r="K703" s="17"/>
      <c r="L703" s="17"/>
      <c r="M703" s="17"/>
      <c r="N703" s="17"/>
      <c r="O703" s="17"/>
      <c r="P703" s="17"/>
      <c r="Q703" s="17"/>
      <c r="R703" s="17"/>
      <c r="S703" s="143"/>
      <c r="T703" s="143"/>
      <c r="U703" s="143"/>
      <c r="V703" s="143"/>
      <c r="W703" s="17"/>
      <c r="X703" s="17"/>
      <c r="Y703" s="17"/>
      <c r="Z703" s="17"/>
      <c r="AA703" s="17"/>
      <c r="AB703" s="17"/>
    </row>
    <row r="704">
      <c r="A704" s="17"/>
      <c r="B704" s="17"/>
      <c r="C704" s="17"/>
      <c r="D704" s="17"/>
      <c r="E704" s="17"/>
      <c r="F704" s="288"/>
      <c r="G704" s="17"/>
      <c r="H704" s="17"/>
      <c r="I704" s="17"/>
      <c r="J704" s="17"/>
      <c r="K704" s="17"/>
      <c r="L704" s="17"/>
      <c r="M704" s="17"/>
      <c r="N704" s="17"/>
      <c r="O704" s="17"/>
      <c r="P704" s="17"/>
      <c r="Q704" s="17"/>
      <c r="R704" s="17"/>
      <c r="S704" s="143"/>
      <c r="T704" s="143"/>
      <c r="U704" s="143"/>
      <c r="V704" s="143"/>
      <c r="W704" s="17"/>
      <c r="X704" s="17"/>
      <c r="Y704" s="17"/>
      <c r="Z704" s="17"/>
      <c r="AA704" s="17"/>
      <c r="AB704" s="17"/>
    </row>
    <row r="705">
      <c r="A705" s="17"/>
      <c r="B705" s="17"/>
      <c r="C705" s="17"/>
      <c r="D705" s="17"/>
      <c r="E705" s="17"/>
      <c r="F705" s="288"/>
      <c r="G705" s="17"/>
      <c r="H705" s="17"/>
      <c r="I705" s="17"/>
      <c r="J705" s="17"/>
      <c r="K705" s="17"/>
      <c r="L705" s="17"/>
      <c r="M705" s="17"/>
      <c r="N705" s="17"/>
      <c r="O705" s="17"/>
      <c r="P705" s="17"/>
      <c r="Q705" s="17"/>
      <c r="R705" s="17"/>
      <c r="S705" s="143"/>
      <c r="T705" s="143"/>
      <c r="U705" s="143"/>
      <c r="V705" s="143"/>
      <c r="W705" s="17"/>
      <c r="X705" s="17"/>
      <c r="Y705" s="17"/>
      <c r="Z705" s="17"/>
      <c r="AA705" s="17"/>
      <c r="AB705" s="17"/>
    </row>
    <row r="706">
      <c r="A706" s="17"/>
      <c r="B706" s="17"/>
      <c r="C706" s="17"/>
      <c r="D706" s="17"/>
      <c r="E706" s="17"/>
      <c r="F706" s="288"/>
      <c r="G706" s="17"/>
      <c r="H706" s="17"/>
      <c r="I706" s="17"/>
      <c r="J706" s="17"/>
      <c r="K706" s="17"/>
      <c r="L706" s="17"/>
      <c r="M706" s="17"/>
      <c r="N706" s="17"/>
      <c r="O706" s="17"/>
      <c r="P706" s="17"/>
      <c r="Q706" s="17"/>
      <c r="R706" s="17"/>
      <c r="S706" s="143"/>
      <c r="T706" s="143"/>
      <c r="U706" s="143"/>
      <c r="V706" s="143"/>
      <c r="W706" s="17"/>
      <c r="X706" s="17"/>
      <c r="Y706" s="17"/>
      <c r="Z706" s="17"/>
      <c r="AA706" s="17"/>
      <c r="AB706" s="17"/>
    </row>
    <row r="707">
      <c r="A707" s="17"/>
      <c r="B707" s="17"/>
      <c r="C707" s="17"/>
      <c r="D707" s="17"/>
      <c r="E707" s="17"/>
      <c r="F707" s="288"/>
      <c r="G707" s="17"/>
      <c r="H707" s="17"/>
      <c r="I707" s="17"/>
      <c r="J707" s="17"/>
      <c r="K707" s="17"/>
      <c r="L707" s="17"/>
      <c r="M707" s="17"/>
      <c r="N707" s="17"/>
      <c r="O707" s="17"/>
      <c r="P707" s="17"/>
      <c r="Q707" s="17"/>
      <c r="R707" s="17"/>
      <c r="S707" s="143"/>
      <c r="T707" s="143"/>
      <c r="U707" s="143"/>
      <c r="V707" s="143"/>
      <c r="W707" s="17"/>
      <c r="X707" s="17"/>
      <c r="Y707" s="17"/>
      <c r="Z707" s="17"/>
      <c r="AA707" s="17"/>
      <c r="AB707" s="17"/>
    </row>
    <row r="708">
      <c r="A708" s="17"/>
      <c r="B708" s="17"/>
      <c r="C708" s="17"/>
      <c r="D708" s="17"/>
      <c r="E708" s="17"/>
      <c r="F708" s="288"/>
      <c r="G708" s="17"/>
      <c r="H708" s="17"/>
      <c r="I708" s="17"/>
      <c r="J708" s="17"/>
      <c r="K708" s="17"/>
      <c r="L708" s="17"/>
      <c r="M708" s="17"/>
      <c r="N708" s="17"/>
      <c r="O708" s="17"/>
      <c r="P708" s="17"/>
      <c r="Q708" s="17"/>
      <c r="R708" s="17"/>
      <c r="S708" s="143"/>
      <c r="T708" s="143"/>
      <c r="U708" s="143"/>
      <c r="V708" s="143"/>
      <c r="W708" s="17"/>
      <c r="X708" s="17"/>
      <c r="Y708" s="17"/>
      <c r="Z708" s="17"/>
      <c r="AA708" s="17"/>
      <c r="AB708" s="17"/>
    </row>
    <row r="709">
      <c r="A709" s="17"/>
      <c r="B709" s="17"/>
      <c r="C709" s="17"/>
      <c r="D709" s="17"/>
      <c r="E709" s="17"/>
      <c r="F709" s="288"/>
      <c r="G709" s="17"/>
      <c r="H709" s="17"/>
      <c r="I709" s="17"/>
      <c r="J709" s="17"/>
      <c r="K709" s="17"/>
      <c r="L709" s="17"/>
      <c r="M709" s="17"/>
      <c r="N709" s="17"/>
      <c r="O709" s="17"/>
      <c r="P709" s="17"/>
      <c r="Q709" s="17"/>
      <c r="R709" s="17"/>
      <c r="S709" s="143"/>
      <c r="T709" s="143"/>
      <c r="U709" s="143"/>
      <c r="V709" s="143"/>
      <c r="W709" s="17"/>
      <c r="X709" s="17"/>
      <c r="Y709" s="17"/>
      <c r="Z709" s="17"/>
      <c r="AA709" s="17"/>
      <c r="AB709" s="17"/>
    </row>
    <row r="710">
      <c r="A710" s="17"/>
      <c r="B710" s="17"/>
      <c r="C710" s="17"/>
      <c r="D710" s="17"/>
      <c r="E710" s="17"/>
      <c r="F710" s="288"/>
      <c r="G710" s="17"/>
      <c r="H710" s="17"/>
      <c r="I710" s="17"/>
      <c r="J710" s="17"/>
      <c r="K710" s="17"/>
      <c r="L710" s="17"/>
      <c r="M710" s="17"/>
      <c r="N710" s="17"/>
      <c r="O710" s="17"/>
      <c r="P710" s="17"/>
      <c r="Q710" s="17"/>
      <c r="R710" s="17"/>
      <c r="S710" s="143"/>
      <c r="T710" s="143"/>
      <c r="U710" s="143"/>
      <c r="V710" s="143"/>
      <c r="W710" s="17"/>
      <c r="X710" s="17"/>
      <c r="Y710" s="17"/>
      <c r="Z710" s="17"/>
      <c r="AA710" s="17"/>
      <c r="AB710" s="17"/>
    </row>
    <row r="711">
      <c r="A711" s="17"/>
      <c r="B711" s="17"/>
      <c r="C711" s="17"/>
      <c r="D711" s="17"/>
      <c r="E711" s="17"/>
      <c r="F711" s="288"/>
      <c r="G711" s="17"/>
      <c r="H711" s="17"/>
      <c r="I711" s="17"/>
      <c r="J711" s="17"/>
      <c r="K711" s="17"/>
      <c r="L711" s="17"/>
      <c r="M711" s="17"/>
      <c r="N711" s="17"/>
      <c r="O711" s="17"/>
      <c r="P711" s="17"/>
      <c r="Q711" s="17"/>
      <c r="R711" s="17"/>
      <c r="S711" s="143"/>
      <c r="T711" s="143"/>
      <c r="U711" s="143"/>
      <c r="V711" s="143"/>
      <c r="W711" s="17"/>
      <c r="X711" s="17"/>
      <c r="Y711" s="17"/>
      <c r="Z711" s="17"/>
      <c r="AA711" s="17"/>
      <c r="AB711" s="17"/>
    </row>
    <row r="712">
      <c r="A712" s="17"/>
      <c r="B712" s="17"/>
      <c r="C712" s="17"/>
      <c r="D712" s="17"/>
      <c r="E712" s="17"/>
      <c r="F712" s="288"/>
      <c r="G712" s="17"/>
      <c r="H712" s="17"/>
      <c r="I712" s="17"/>
      <c r="J712" s="17"/>
      <c r="K712" s="17"/>
      <c r="L712" s="17"/>
      <c r="M712" s="17"/>
      <c r="N712" s="17"/>
      <c r="O712" s="17"/>
      <c r="P712" s="17"/>
      <c r="Q712" s="17"/>
      <c r="R712" s="17"/>
      <c r="S712" s="143"/>
      <c r="T712" s="143"/>
      <c r="U712" s="143"/>
      <c r="V712" s="143"/>
      <c r="W712" s="17"/>
      <c r="X712" s="17"/>
      <c r="Y712" s="17"/>
      <c r="Z712" s="17"/>
      <c r="AA712" s="17"/>
      <c r="AB712" s="17"/>
    </row>
    <row r="713">
      <c r="A713" s="17"/>
      <c r="B713" s="17"/>
      <c r="C713" s="17"/>
      <c r="D713" s="17"/>
      <c r="E713" s="17"/>
      <c r="F713" s="288"/>
      <c r="G713" s="17"/>
      <c r="H713" s="17"/>
      <c r="I713" s="17"/>
      <c r="J713" s="17"/>
      <c r="K713" s="17"/>
      <c r="L713" s="17"/>
      <c r="M713" s="17"/>
      <c r="N713" s="17"/>
      <c r="O713" s="17"/>
      <c r="P713" s="17"/>
      <c r="Q713" s="17"/>
      <c r="R713" s="17"/>
      <c r="S713" s="143"/>
      <c r="T713" s="143"/>
      <c r="U713" s="143"/>
      <c r="V713" s="143"/>
      <c r="W713" s="17"/>
      <c r="X713" s="17"/>
      <c r="Y713" s="17"/>
      <c r="Z713" s="17"/>
      <c r="AA713" s="17"/>
      <c r="AB713" s="17"/>
    </row>
    <row r="714">
      <c r="A714" s="17"/>
      <c r="B714" s="17"/>
      <c r="C714" s="17"/>
      <c r="D714" s="17"/>
      <c r="E714" s="17"/>
      <c r="F714" s="288"/>
      <c r="G714" s="17"/>
      <c r="H714" s="17"/>
      <c r="I714" s="17"/>
      <c r="J714" s="17"/>
      <c r="K714" s="17"/>
      <c r="L714" s="17"/>
      <c r="M714" s="17"/>
      <c r="N714" s="17"/>
      <c r="O714" s="17"/>
      <c r="P714" s="17"/>
      <c r="Q714" s="17"/>
      <c r="R714" s="17"/>
      <c r="S714" s="143"/>
      <c r="T714" s="143"/>
      <c r="U714" s="143"/>
      <c r="V714" s="143"/>
      <c r="W714" s="17"/>
      <c r="X714" s="17"/>
      <c r="Y714" s="17"/>
      <c r="Z714" s="17"/>
      <c r="AA714" s="17"/>
      <c r="AB714" s="17"/>
    </row>
    <row r="715">
      <c r="A715" s="17"/>
      <c r="B715" s="17"/>
      <c r="C715" s="17"/>
      <c r="D715" s="17"/>
      <c r="E715" s="17"/>
      <c r="F715" s="288"/>
      <c r="G715" s="17"/>
      <c r="H715" s="17"/>
      <c r="I715" s="17"/>
      <c r="J715" s="17"/>
      <c r="K715" s="17"/>
      <c r="L715" s="17"/>
      <c r="M715" s="17"/>
      <c r="N715" s="17"/>
      <c r="O715" s="17"/>
      <c r="P715" s="17"/>
      <c r="Q715" s="17"/>
      <c r="R715" s="17"/>
      <c r="S715" s="143"/>
      <c r="T715" s="143"/>
      <c r="U715" s="143"/>
      <c r="V715" s="143"/>
      <c r="W715" s="17"/>
      <c r="X715" s="17"/>
      <c r="Y715" s="17"/>
      <c r="Z715" s="17"/>
      <c r="AA715" s="17"/>
      <c r="AB715" s="17"/>
    </row>
    <row r="716">
      <c r="A716" s="17"/>
      <c r="B716" s="17"/>
      <c r="C716" s="17"/>
      <c r="D716" s="17"/>
      <c r="E716" s="17"/>
      <c r="F716" s="288"/>
      <c r="G716" s="17"/>
      <c r="H716" s="17"/>
      <c r="I716" s="17"/>
      <c r="J716" s="17"/>
      <c r="K716" s="17"/>
      <c r="L716" s="17"/>
      <c r="M716" s="17"/>
      <c r="N716" s="17"/>
      <c r="O716" s="17"/>
      <c r="P716" s="17"/>
      <c r="Q716" s="17"/>
      <c r="R716" s="17"/>
      <c r="S716" s="143"/>
      <c r="T716" s="143"/>
      <c r="U716" s="143"/>
      <c r="V716" s="143"/>
      <c r="W716" s="17"/>
      <c r="X716" s="17"/>
      <c r="Y716" s="17"/>
      <c r="Z716" s="17"/>
      <c r="AA716" s="17"/>
      <c r="AB716" s="17"/>
    </row>
    <row r="717">
      <c r="A717" s="17"/>
      <c r="B717" s="17"/>
      <c r="C717" s="17"/>
      <c r="D717" s="17"/>
      <c r="E717" s="17"/>
      <c r="F717" s="288"/>
      <c r="G717" s="17"/>
      <c r="H717" s="17"/>
      <c r="I717" s="17"/>
      <c r="J717" s="17"/>
      <c r="K717" s="17"/>
      <c r="L717" s="17"/>
      <c r="M717" s="17"/>
      <c r="N717" s="17"/>
      <c r="O717" s="17"/>
      <c r="P717" s="17"/>
      <c r="Q717" s="17"/>
      <c r="R717" s="17"/>
      <c r="S717" s="143"/>
      <c r="T717" s="143"/>
      <c r="U717" s="143"/>
      <c r="V717" s="143"/>
      <c r="W717" s="17"/>
      <c r="X717" s="17"/>
      <c r="Y717" s="17"/>
      <c r="Z717" s="17"/>
      <c r="AA717" s="17"/>
      <c r="AB717" s="17"/>
    </row>
    <row r="718">
      <c r="A718" s="17"/>
      <c r="B718" s="17"/>
      <c r="C718" s="17"/>
      <c r="D718" s="17"/>
      <c r="E718" s="17"/>
      <c r="F718" s="288"/>
      <c r="G718" s="17"/>
      <c r="H718" s="17"/>
      <c r="I718" s="17"/>
      <c r="J718" s="17"/>
      <c r="K718" s="17"/>
      <c r="L718" s="17"/>
      <c r="M718" s="17"/>
      <c r="N718" s="17"/>
      <c r="O718" s="17"/>
      <c r="P718" s="17"/>
      <c r="Q718" s="17"/>
      <c r="R718" s="17"/>
      <c r="S718" s="143"/>
      <c r="T718" s="143"/>
      <c r="U718" s="143"/>
      <c r="V718" s="143"/>
      <c r="W718" s="17"/>
      <c r="X718" s="17"/>
      <c r="Y718" s="17"/>
      <c r="Z718" s="17"/>
      <c r="AA718" s="17"/>
      <c r="AB718" s="17"/>
    </row>
    <row r="719">
      <c r="A719" s="17"/>
      <c r="B719" s="17"/>
      <c r="C719" s="17"/>
      <c r="D719" s="17"/>
      <c r="E719" s="17"/>
      <c r="F719" s="288"/>
      <c r="G719" s="17"/>
      <c r="H719" s="17"/>
      <c r="I719" s="17"/>
      <c r="J719" s="17"/>
      <c r="K719" s="17"/>
      <c r="L719" s="17"/>
      <c r="M719" s="17"/>
      <c r="N719" s="17"/>
      <c r="O719" s="17"/>
      <c r="P719" s="17"/>
      <c r="Q719" s="17"/>
      <c r="R719" s="17"/>
      <c r="S719" s="143"/>
      <c r="T719" s="143"/>
      <c r="U719" s="143"/>
      <c r="V719" s="143"/>
      <c r="W719" s="17"/>
      <c r="X719" s="17"/>
      <c r="Y719" s="17"/>
      <c r="Z719" s="17"/>
      <c r="AA719" s="17"/>
      <c r="AB719" s="17"/>
    </row>
    <row r="720">
      <c r="A720" s="17"/>
      <c r="B720" s="17"/>
      <c r="C720" s="17"/>
      <c r="D720" s="17"/>
      <c r="E720" s="17"/>
      <c r="F720" s="288"/>
      <c r="G720" s="17"/>
      <c r="H720" s="17"/>
      <c r="I720" s="17"/>
      <c r="J720" s="17"/>
      <c r="K720" s="17"/>
      <c r="L720" s="17"/>
      <c r="M720" s="17"/>
      <c r="N720" s="17"/>
      <c r="O720" s="17"/>
      <c r="P720" s="17"/>
      <c r="Q720" s="17"/>
      <c r="R720" s="17"/>
      <c r="S720" s="143"/>
      <c r="T720" s="143"/>
      <c r="U720" s="143"/>
      <c r="V720" s="143"/>
      <c r="W720" s="17"/>
      <c r="X720" s="17"/>
      <c r="Y720" s="17"/>
      <c r="Z720" s="17"/>
      <c r="AA720" s="17"/>
      <c r="AB720" s="17"/>
    </row>
    <row r="721">
      <c r="A721" s="17"/>
      <c r="B721" s="17"/>
      <c r="C721" s="17"/>
      <c r="D721" s="17"/>
      <c r="E721" s="17"/>
      <c r="F721" s="288"/>
      <c r="G721" s="17"/>
      <c r="H721" s="17"/>
      <c r="I721" s="17"/>
      <c r="J721" s="17"/>
      <c r="K721" s="17"/>
      <c r="L721" s="17"/>
      <c r="M721" s="17"/>
      <c r="N721" s="17"/>
      <c r="O721" s="17"/>
      <c r="P721" s="17"/>
      <c r="Q721" s="17"/>
      <c r="R721" s="17"/>
      <c r="S721" s="143"/>
      <c r="T721" s="143"/>
      <c r="U721" s="143"/>
      <c r="V721" s="143"/>
      <c r="W721" s="17"/>
      <c r="X721" s="17"/>
      <c r="Y721" s="17"/>
      <c r="Z721" s="17"/>
      <c r="AA721" s="17"/>
      <c r="AB721" s="17"/>
    </row>
    <row r="722">
      <c r="A722" s="17"/>
      <c r="B722" s="17"/>
      <c r="C722" s="17"/>
      <c r="D722" s="17"/>
      <c r="E722" s="17"/>
      <c r="F722" s="288"/>
      <c r="G722" s="17"/>
      <c r="H722" s="17"/>
      <c r="I722" s="17"/>
      <c r="J722" s="17"/>
      <c r="K722" s="17"/>
      <c r="L722" s="17"/>
      <c r="M722" s="17"/>
      <c r="N722" s="17"/>
      <c r="O722" s="17"/>
      <c r="P722" s="17"/>
      <c r="Q722" s="17"/>
      <c r="R722" s="17"/>
      <c r="S722" s="143"/>
      <c r="T722" s="143"/>
      <c r="U722" s="143"/>
      <c r="V722" s="143"/>
      <c r="W722" s="17"/>
      <c r="X722" s="17"/>
      <c r="Y722" s="17"/>
      <c r="Z722" s="17"/>
      <c r="AA722" s="17"/>
      <c r="AB722" s="17"/>
    </row>
    <row r="723">
      <c r="A723" s="17"/>
      <c r="B723" s="17"/>
      <c r="C723" s="17"/>
      <c r="D723" s="17"/>
      <c r="E723" s="17"/>
      <c r="F723" s="288"/>
      <c r="G723" s="17"/>
      <c r="H723" s="17"/>
      <c r="I723" s="17"/>
      <c r="J723" s="17"/>
      <c r="K723" s="17"/>
      <c r="L723" s="17"/>
      <c r="M723" s="17"/>
      <c r="N723" s="17"/>
      <c r="O723" s="17"/>
      <c r="P723" s="17"/>
      <c r="Q723" s="17"/>
      <c r="R723" s="17"/>
      <c r="S723" s="143"/>
      <c r="T723" s="143"/>
      <c r="U723" s="143"/>
      <c r="V723" s="143"/>
      <c r="W723" s="17"/>
      <c r="X723" s="17"/>
      <c r="Y723" s="17"/>
      <c r="Z723" s="17"/>
      <c r="AA723" s="17"/>
      <c r="AB723" s="17"/>
    </row>
    <row r="724">
      <c r="A724" s="17"/>
      <c r="B724" s="17"/>
      <c r="C724" s="17"/>
      <c r="D724" s="17"/>
      <c r="E724" s="17"/>
      <c r="F724" s="288"/>
      <c r="G724" s="17"/>
      <c r="H724" s="17"/>
      <c r="I724" s="17"/>
      <c r="J724" s="17"/>
      <c r="K724" s="17"/>
      <c r="L724" s="17"/>
      <c r="M724" s="17"/>
      <c r="N724" s="17"/>
      <c r="O724" s="17"/>
      <c r="P724" s="17"/>
      <c r="Q724" s="17"/>
      <c r="R724" s="17"/>
      <c r="S724" s="143"/>
      <c r="T724" s="143"/>
      <c r="U724" s="143"/>
      <c r="V724" s="143"/>
      <c r="W724" s="17"/>
      <c r="X724" s="17"/>
      <c r="Y724" s="17"/>
      <c r="Z724" s="17"/>
      <c r="AA724" s="17"/>
      <c r="AB724" s="17"/>
    </row>
    <row r="725">
      <c r="A725" s="17"/>
      <c r="B725" s="17"/>
      <c r="C725" s="17"/>
      <c r="D725" s="17"/>
      <c r="E725" s="17"/>
      <c r="F725" s="288"/>
      <c r="G725" s="17"/>
      <c r="H725" s="17"/>
      <c r="I725" s="17"/>
      <c r="J725" s="17"/>
      <c r="K725" s="17"/>
      <c r="L725" s="17"/>
      <c r="M725" s="17"/>
      <c r="N725" s="17"/>
      <c r="O725" s="17"/>
      <c r="P725" s="17"/>
      <c r="Q725" s="17"/>
      <c r="R725" s="17"/>
      <c r="S725" s="143"/>
      <c r="T725" s="143"/>
      <c r="U725" s="143"/>
      <c r="V725" s="143"/>
      <c r="W725" s="17"/>
      <c r="X725" s="17"/>
      <c r="Y725" s="17"/>
      <c r="Z725" s="17"/>
      <c r="AA725" s="17"/>
      <c r="AB725" s="17"/>
    </row>
    <row r="726">
      <c r="A726" s="17"/>
      <c r="B726" s="17"/>
      <c r="C726" s="17"/>
      <c r="D726" s="17"/>
      <c r="E726" s="17"/>
      <c r="F726" s="288"/>
      <c r="G726" s="17"/>
      <c r="H726" s="17"/>
      <c r="I726" s="17"/>
      <c r="J726" s="17"/>
      <c r="K726" s="17"/>
      <c r="L726" s="17"/>
      <c r="M726" s="17"/>
      <c r="N726" s="17"/>
      <c r="O726" s="17"/>
      <c r="P726" s="17"/>
      <c r="Q726" s="17"/>
      <c r="R726" s="17"/>
      <c r="S726" s="143"/>
      <c r="T726" s="143"/>
      <c r="U726" s="143"/>
      <c r="V726" s="143"/>
      <c r="W726" s="17"/>
      <c r="X726" s="17"/>
      <c r="Y726" s="17"/>
      <c r="Z726" s="17"/>
      <c r="AA726" s="17"/>
      <c r="AB726" s="17"/>
    </row>
    <row r="727">
      <c r="A727" s="17"/>
      <c r="B727" s="17"/>
      <c r="C727" s="17"/>
      <c r="D727" s="17"/>
      <c r="E727" s="17"/>
      <c r="F727" s="288"/>
      <c r="G727" s="17"/>
      <c r="H727" s="17"/>
      <c r="I727" s="17"/>
      <c r="J727" s="17"/>
      <c r="K727" s="17"/>
      <c r="L727" s="17"/>
      <c r="M727" s="17"/>
      <c r="N727" s="17"/>
      <c r="O727" s="17"/>
      <c r="P727" s="17"/>
      <c r="Q727" s="17"/>
      <c r="R727" s="17"/>
      <c r="S727" s="143"/>
      <c r="T727" s="143"/>
      <c r="U727" s="143"/>
      <c r="V727" s="143"/>
      <c r="W727" s="17"/>
      <c r="X727" s="17"/>
      <c r="Y727" s="17"/>
      <c r="Z727" s="17"/>
      <c r="AA727" s="17"/>
      <c r="AB727" s="17"/>
    </row>
    <row r="728">
      <c r="A728" s="17"/>
      <c r="B728" s="17"/>
      <c r="C728" s="17"/>
      <c r="D728" s="17"/>
      <c r="E728" s="17"/>
      <c r="F728" s="288"/>
      <c r="G728" s="17"/>
      <c r="H728" s="17"/>
      <c r="I728" s="17"/>
      <c r="J728" s="17"/>
      <c r="K728" s="17"/>
      <c r="L728" s="17"/>
      <c r="M728" s="17"/>
      <c r="N728" s="17"/>
      <c r="O728" s="17"/>
      <c r="P728" s="17"/>
      <c r="Q728" s="17"/>
      <c r="R728" s="17"/>
      <c r="S728" s="143"/>
      <c r="T728" s="143"/>
      <c r="U728" s="143"/>
      <c r="V728" s="143"/>
      <c r="W728" s="17"/>
      <c r="X728" s="17"/>
      <c r="Y728" s="17"/>
      <c r="Z728" s="17"/>
      <c r="AA728" s="17"/>
      <c r="AB728" s="17"/>
    </row>
    <row r="729">
      <c r="A729" s="17"/>
      <c r="B729" s="17"/>
      <c r="C729" s="17"/>
      <c r="D729" s="17"/>
      <c r="E729" s="17"/>
      <c r="F729" s="288"/>
      <c r="G729" s="17"/>
      <c r="H729" s="17"/>
      <c r="I729" s="17"/>
      <c r="J729" s="17"/>
      <c r="K729" s="17"/>
      <c r="L729" s="17"/>
      <c r="M729" s="17"/>
      <c r="N729" s="17"/>
      <c r="O729" s="17"/>
      <c r="P729" s="17"/>
      <c r="Q729" s="17"/>
      <c r="R729" s="17"/>
      <c r="S729" s="143"/>
      <c r="T729" s="143"/>
      <c r="U729" s="143"/>
      <c r="V729" s="143"/>
      <c r="W729" s="17"/>
      <c r="X729" s="17"/>
      <c r="Y729" s="17"/>
      <c r="Z729" s="17"/>
      <c r="AA729" s="17"/>
      <c r="AB729" s="17"/>
    </row>
    <row r="730">
      <c r="A730" s="17"/>
      <c r="B730" s="17"/>
      <c r="C730" s="17"/>
      <c r="D730" s="17"/>
      <c r="E730" s="17"/>
      <c r="F730" s="288"/>
      <c r="G730" s="17"/>
      <c r="H730" s="17"/>
      <c r="I730" s="17"/>
      <c r="J730" s="17"/>
      <c r="K730" s="17"/>
      <c r="L730" s="17"/>
      <c r="M730" s="17"/>
      <c r="N730" s="17"/>
      <c r="O730" s="17"/>
      <c r="P730" s="17"/>
      <c r="Q730" s="17"/>
      <c r="R730" s="17"/>
      <c r="S730" s="143"/>
      <c r="T730" s="143"/>
      <c r="U730" s="143"/>
      <c r="V730" s="143"/>
      <c r="W730" s="17"/>
      <c r="X730" s="17"/>
      <c r="Y730" s="17"/>
      <c r="Z730" s="17"/>
      <c r="AA730" s="17"/>
      <c r="AB730" s="17"/>
    </row>
    <row r="731">
      <c r="A731" s="17"/>
      <c r="B731" s="17"/>
      <c r="C731" s="17"/>
      <c r="D731" s="17"/>
      <c r="E731" s="17"/>
      <c r="F731" s="288"/>
      <c r="G731" s="17"/>
      <c r="H731" s="17"/>
      <c r="I731" s="17"/>
      <c r="J731" s="17"/>
      <c r="K731" s="17"/>
      <c r="L731" s="17"/>
      <c r="M731" s="17"/>
      <c r="N731" s="17"/>
      <c r="O731" s="17"/>
      <c r="P731" s="17"/>
      <c r="Q731" s="17"/>
      <c r="R731" s="17"/>
      <c r="S731" s="143"/>
      <c r="T731" s="143"/>
      <c r="U731" s="143"/>
      <c r="V731" s="143"/>
      <c r="W731" s="17"/>
      <c r="X731" s="17"/>
      <c r="Y731" s="17"/>
      <c r="Z731" s="17"/>
      <c r="AA731" s="17"/>
      <c r="AB731" s="17"/>
    </row>
    <row r="732">
      <c r="A732" s="17"/>
      <c r="B732" s="17"/>
      <c r="C732" s="17"/>
      <c r="D732" s="17"/>
      <c r="E732" s="17"/>
      <c r="F732" s="288"/>
      <c r="G732" s="17"/>
      <c r="H732" s="17"/>
      <c r="I732" s="17"/>
      <c r="J732" s="17"/>
      <c r="K732" s="17"/>
      <c r="L732" s="17"/>
      <c r="M732" s="17"/>
      <c r="N732" s="17"/>
      <c r="O732" s="17"/>
      <c r="P732" s="17"/>
      <c r="Q732" s="17"/>
      <c r="R732" s="17"/>
      <c r="S732" s="143"/>
      <c r="T732" s="143"/>
      <c r="U732" s="143"/>
      <c r="V732" s="143"/>
      <c r="W732" s="17"/>
      <c r="X732" s="17"/>
      <c r="Y732" s="17"/>
      <c r="Z732" s="17"/>
      <c r="AA732" s="17"/>
      <c r="AB732" s="17"/>
    </row>
    <row r="733">
      <c r="A733" s="17"/>
      <c r="B733" s="17"/>
      <c r="C733" s="17"/>
      <c r="D733" s="17"/>
      <c r="E733" s="17"/>
      <c r="F733" s="288"/>
      <c r="G733" s="17"/>
      <c r="H733" s="17"/>
      <c r="I733" s="17"/>
      <c r="J733" s="17"/>
      <c r="K733" s="17"/>
      <c r="L733" s="17"/>
      <c r="M733" s="17"/>
      <c r="N733" s="17"/>
      <c r="O733" s="17"/>
      <c r="P733" s="17"/>
      <c r="Q733" s="17"/>
      <c r="R733" s="17"/>
      <c r="S733" s="143"/>
      <c r="T733" s="143"/>
      <c r="U733" s="143"/>
      <c r="V733" s="143"/>
      <c r="W733" s="17"/>
      <c r="X733" s="17"/>
      <c r="Y733" s="17"/>
      <c r="Z733" s="17"/>
      <c r="AA733" s="17"/>
      <c r="AB733" s="17"/>
    </row>
    <row r="734">
      <c r="A734" s="17"/>
      <c r="B734" s="17"/>
      <c r="C734" s="17"/>
      <c r="D734" s="17"/>
      <c r="E734" s="17"/>
      <c r="F734" s="288"/>
      <c r="G734" s="17"/>
      <c r="H734" s="17"/>
      <c r="I734" s="17"/>
      <c r="J734" s="17"/>
      <c r="K734" s="17"/>
      <c r="L734" s="17"/>
      <c r="M734" s="17"/>
      <c r="N734" s="17"/>
      <c r="O734" s="17"/>
      <c r="P734" s="17"/>
      <c r="Q734" s="17"/>
      <c r="R734" s="17"/>
      <c r="S734" s="143"/>
      <c r="T734" s="143"/>
      <c r="U734" s="143"/>
      <c r="V734" s="143"/>
      <c r="W734" s="17"/>
      <c r="X734" s="17"/>
      <c r="Y734" s="17"/>
      <c r="Z734" s="17"/>
      <c r="AA734" s="17"/>
      <c r="AB734" s="17"/>
    </row>
    <row r="735">
      <c r="A735" s="17"/>
      <c r="B735" s="17"/>
      <c r="C735" s="17"/>
      <c r="D735" s="17"/>
      <c r="E735" s="17"/>
      <c r="F735" s="288"/>
      <c r="G735" s="17"/>
      <c r="H735" s="17"/>
      <c r="I735" s="17"/>
      <c r="J735" s="17"/>
      <c r="K735" s="17"/>
      <c r="L735" s="17"/>
      <c r="M735" s="17"/>
      <c r="N735" s="17"/>
      <c r="O735" s="17"/>
      <c r="P735" s="17"/>
      <c r="Q735" s="17"/>
      <c r="R735" s="17"/>
      <c r="S735" s="143"/>
      <c r="T735" s="143"/>
      <c r="U735" s="143"/>
      <c r="V735" s="143"/>
      <c r="W735" s="17"/>
      <c r="X735" s="17"/>
      <c r="Y735" s="17"/>
      <c r="Z735" s="17"/>
      <c r="AA735" s="17"/>
      <c r="AB735" s="17"/>
    </row>
    <row r="736">
      <c r="A736" s="17"/>
      <c r="B736" s="17"/>
      <c r="C736" s="17"/>
      <c r="D736" s="17"/>
      <c r="E736" s="17"/>
      <c r="F736" s="288"/>
      <c r="G736" s="17"/>
      <c r="H736" s="17"/>
      <c r="I736" s="17"/>
      <c r="J736" s="17"/>
      <c r="K736" s="17"/>
      <c r="L736" s="17"/>
      <c r="M736" s="17"/>
      <c r="N736" s="17"/>
      <c r="O736" s="17"/>
      <c r="P736" s="17"/>
      <c r="Q736" s="17"/>
      <c r="R736" s="17"/>
      <c r="S736" s="143"/>
      <c r="T736" s="143"/>
      <c r="U736" s="143"/>
      <c r="V736" s="143"/>
      <c r="W736" s="17"/>
      <c r="X736" s="17"/>
      <c r="Y736" s="17"/>
      <c r="Z736" s="17"/>
      <c r="AA736" s="17"/>
      <c r="AB736" s="17"/>
    </row>
    <row r="737">
      <c r="A737" s="17"/>
      <c r="B737" s="17"/>
      <c r="C737" s="17"/>
      <c r="D737" s="17"/>
      <c r="E737" s="17"/>
      <c r="F737" s="288"/>
      <c r="G737" s="17"/>
      <c r="H737" s="17"/>
      <c r="I737" s="17"/>
      <c r="J737" s="17"/>
      <c r="K737" s="17"/>
      <c r="L737" s="17"/>
      <c r="M737" s="17"/>
      <c r="N737" s="17"/>
      <c r="O737" s="17"/>
      <c r="P737" s="17"/>
      <c r="Q737" s="17"/>
      <c r="R737" s="17"/>
      <c r="S737" s="143"/>
      <c r="T737" s="143"/>
      <c r="U737" s="143"/>
      <c r="V737" s="143"/>
      <c r="W737" s="17"/>
      <c r="X737" s="17"/>
      <c r="Y737" s="17"/>
      <c r="Z737" s="17"/>
      <c r="AA737" s="17"/>
      <c r="AB737" s="17"/>
    </row>
    <row r="738">
      <c r="A738" s="17"/>
      <c r="B738" s="17"/>
      <c r="C738" s="17"/>
      <c r="D738" s="17"/>
      <c r="E738" s="17"/>
      <c r="F738" s="288"/>
      <c r="G738" s="17"/>
      <c r="H738" s="17"/>
      <c r="I738" s="17"/>
      <c r="J738" s="17"/>
      <c r="K738" s="17"/>
      <c r="L738" s="17"/>
      <c r="M738" s="17"/>
      <c r="N738" s="17"/>
      <c r="O738" s="17"/>
      <c r="P738" s="17"/>
      <c r="Q738" s="17"/>
      <c r="R738" s="17"/>
      <c r="S738" s="143"/>
      <c r="T738" s="143"/>
      <c r="U738" s="143"/>
      <c r="V738" s="143"/>
      <c r="W738" s="17"/>
      <c r="X738" s="17"/>
      <c r="Y738" s="17"/>
      <c r="Z738" s="17"/>
      <c r="AA738" s="17"/>
      <c r="AB738" s="17"/>
    </row>
    <row r="739">
      <c r="A739" s="17"/>
      <c r="B739" s="17"/>
      <c r="C739" s="17"/>
      <c r="D739" s="17"/>
      <c r="E739" s="17"/>
      <c r="F739" s="288"/>
      <c r="G739" s="17"/>
      <c r="H739" s="17"/>
      <c r="I739" s="17"/>
      <c r="J739" s="17"/>
      <c r="K739" s="17"/>
      <c r="L739" s="17"/>
      <c r="M739" s="17"/>
      <c r="N739" s="17"/>
      <c r="O739" s="17"/>
      <c r="P739" s="17"/>
      <c r="Q739" s="17"/>
      <c r="R739" s="17"/>
      <c r="S739" s="143"/>
      <c r="T739" s="143"/>
      <c r="U739" s="143"/>
      <c r="V739" s="143"/>
      <c r="W739" s="17"/>
      <c r="X739" s="17"/>
      <c r="Y739" s="17"/>
      <c r="Z739" s="17"/>
      <c r="AA739" s="17"/>
      <c r="AB739" s="17"/>
    </row>
    <row r="740">
      <c r="A740" s="17"/>
      <c r="B740" s="17"/>
      <c r="C740" s="17"/>
      <c r="D740" s="17"/>
      <c r="E740" s="17"/>
      <c r="F740" s="288"/>
      <c r="G740" s="17"/>
      <c r="H740" s="17"/>
      <c r="I740" s="17"/>
      <c r="J740" s="17"/>
      <c r="K740" s="17"/>
      <c r="L740" s="17"/>
      <c r="M740" s="17"/>
      <c r="N740" s="17"/>
      <c r="O740" s="17"/>
      <c r="P740" s="17"/>
      <c r="Q740" s="17"/>
      <c r="R740" s="17"/>
      <c r="S740" s="143"/>
      <c r="T740" s="143"/>
      <c r="U740" s="143"/>
      <c r="V740" s="143"/>
      <c r="W740" s="17"/>
      <c r="X740" s="17"/>
      <c r="Y740" s="17"/>
      <c r="Z740" s="17"/>
      <c r="AA740" s="17"/>
      <c r="AB740" s="17"/>
    </row>
    <row r="741">
      <c r="A741" s="17"/>
      <c r="B741" s="17"/>
      <c r="C741" s="17"/>
      <c r="D741" s="17"/>
      <c r="E741" s="17"/>
      <c r="F741" s="288"/>
      <c r="G741" s="17"/>
      <c r="H741" s="17"/>
      <c r="I741" s="17"/>
      <c r="J741" s="17"/>
      <c r="K741" s="17"/>
      <c r="L741" s="17"/>
      <c r="M741" s="17"/>
      <c r="N741" s="17"/>
      <c r="O741" s="17"/>
      <c r="P741" s="17"/>
      <c r="Q741" s="17"/>
      <c r="R741" s="17"/>
      <c r="S741" s="143"/>
      <c r="T741" s="143"/>
      <c r="U741" s="143"/>
      <c r="V741" s="143"/>
      <c r="W741" s="17"/>
      <c r="X741" s="17"/>
      <c r="Y741" s="17"/>
      <c r="Z741" s="17"/>
      <c r="AA741" s="17"/>
      <c r="AB741" s="17"/>
    </row>
    <row r="742">
      <c r="A742" s="17"/>
      <c r="B742" s="17"/>
      <c r="C742" s="17"/>
      <c r="D742" s="17"/>
      <c r="E742" s="17"/>
      <c r="F742" s="288"/>
      <c r="G742" s="17"/>
      <c r="H742" s="17"/>
      <c r="I742" s="17"/>
      <c r="J742" s="17"/>
      <c r="K742" s="17"/>
      <c r="L742" s="17"/>
      <c r="M742" s="17"/>
      <c r="N742" s="17"/>
      <c r="O742" s="17"/>
      <c r="P742" s="17"/>
      <c r="Q742" s="17"/>
      <c r="R742" s="17"/>
      <c r="S742" s="143"/>
      <c r="T742" s="143"/>
      <c r="U742" s="143"/>
      <c r="V742" s="143"/>
      <c r="W742" s="17"/>
      <c r="X742" s="17"/>
      <c r="Y742" s="17"/>
      <c r="Z742" s="17"/>
      <c r="AA742" s="17"/>
      <c r="AB742" s="17"/>
    </row>
    <row r="743">
      <c r="A743" s="17"/>
      <c r="B743" s="17"/>
      <c r="C743" s="17"/>
      <c r="D743" s="17"/>
      <c r="E743" s="17"/>
      <c r="F743" s="288"/>
      <c r="G743" s="17"/>
      <c r="H743" s="17"/>
      <c r="I743" s="17"/>
      <c r="J743" s="17"/>
      <c r="K743" s="17"/>
      <c r="L743" s="17"/>
      <c r="M743" s="17"/>
      <c r="N743" s="17"/>
      <c r="O743" s="17"/>
      <c r="P743" s="17"/>
      <c r="Q743" s="17"/>
      <c r="R743" s="17"/>
      <c r="S743" s="143"/>
      <c r="T743" s="143"/>
      <c r="U743" s="143"/>
      <c r="V743" s="143"/>
      <c r="W743" s="17"/>
      <c r="X743" s="17"/>
      <c r="Y743" s="17"/>
      <c r="Z743" s="17"/>
      <c r="AA743" s="17"/>
      <c r="AB743" s="17"/>
    </row>
    <row r="744">
      <c r="A744" s="17"/>
      <c r="B744" s="17"/>
      <c r="C744" s="17"/>
      <c r="D744" s="17"/>
      <c r="E744" s="17"/>
      <c r="F744" s="288"/>
      <c r="G744" s="17"/>
      <c r="H744" s="17"/>
      <c r="I744" s="17"/>
      <c r="J744" s="17"/>
      <c r="K744" s="17"/>
      <c r="L744" s="17"/>
      <c r="M744" s="17"/>
      <c r="N744" s="17"/>
      <c r="O744" s="17"/>
      <c r="P744" s="17"/>
      <c r="Q744" s="17"/>
      <c r="R744" s="17"/>
      <c r="S744" s="143"/>
      <c r="T744" s="143"/>
      <c r="U744" s="143"/>
      <c r="V744" s="143"/>
      <c r="W744" s="17"/>
      <c r="X744" s="17"/>
      <c r="Y744" s="17"/>
      <c r="Z744" s="17"/>
      <c r="AA744" s="17"/>
      <c r="AB744" s="17"/>
    </row>
    <row r="745">
      <c r="A745" s="17"/>
      <c r="B745" s="17"/>
      <c r="C745" s="17"/>
      <c r="D745" s="17"/>
      <c r="E745" s="17"/>
      <c r="F745" s="288"/>
      <c r="G745" s="17"/>
      <c r="H745" s="17"/>
      <c r="I745" s="17"/>
      <c r="J745" s="17"/>
      <c r="K745" s="17"/>
      <c r="L745" s="17"/>
      <c r="M745" s="17"/>
      <c r="N745" s="17"/>
      <c r="O745" s="17"/>
      <c r="P745" s="17"/>
      <c r="Q745" s="17"/>
      <c r="R745" s="17"/>
      <c r="S745" s="143"/>
      <c r="T745" s="143"/>
      <c r="U745" s="143"/>
      <c r="V745" s="143"/>
      <c r="W745" s="17"/>
      <c r="X745" s="17"/>
      <c r="Y745" s="17"/>
      <c r="Z745" s="17"/>
      <c r="AA745" s="17"/>
      <c r="AB745" s="17"/>
    </row>
    <row r="746">
      <c r="A746" s="17"/>
      <c r="B746" s="17"/>
      <c r="C746" s="17"/>
      <c r="D746" s="17"/>
      <c r="E746" s="17"/>
      <c r="F746" s="288"/>
      <c r="G746" s="17"/>
      <c r="H746" s="17"/>
      <c r="I746" s="17"/>
      <c r="J746" s="17"/>
      <c r="K746" s="17"/>
      <c r="L746" s="17"/>
      <c r="M746" s="17"/>
      <c r="N746" s="17"/>
      <c r="O746" s="17"/>
      <c r="P746" s="17"/>
      <c r="Q746" s="17"/>
      <c r="R746" s="17"/>
      <c r="S746" s="143"/>
      <c r="T746" s="143"/>
      <c r="U746" s="143"/>
      <c r="V746" s="143"/>
      <c r="W746" s="17"/>
      <c r="X746" s="17"/>
      <c r="Y746" s="17"/>
      <c r="Z746" s="17"/>
      <c r="AA746" s="17"/>
      <c r="AB746" s="17"/>
    </row>
    <row r="747">
      <c r="A747" s="17"/>
      <c r="B747" s="17"/>
      <c r="C747" s="17"/>
      <c r="D747" s="17"/>
      <c r="E747" s="17"/>
      <c r="F747" s="288"/>
      <c r="G747" s="17"/>
      <c r="H747" s="17"/>
      <c r="I747" s="17"/>
      <c r="J747" s="17"/>
      <c r="K747" s="17"/>
      <c r="L747" s="17"/>
      <c r="M747" s="17"/>
      <c r="N747" s="17"/>
      <c r="O747" s="17"/>
      <c r="P747" s="17"/>
      <c r="Q747" s="17"/>
      <c r="R747" s="17"/>
      <c r="S747" s="143"/>
      <c r="T747" s="143"/>
      <c r="U747" s="143"/>
      <c r="V747" s="143"/>
      <c r="W747" s="17"/>
      <c r="X747" s="17"/>
      <c r="Y747" s="17"/>
      <c r="Z747" s="17"/>
      <c r="AA747" s="17"/>
      <c r="AB747" s="17"/>
    </row>
    <row r="748">
      <c r="A748" s="17"/>
      <c r="B748" s="17"/>
      <c r="C748" s="17"/>
      <c r="D748" s="17"/>
      <c r="E748" s="17"/>
      <c r="F748" s="288"/>
      <c r="G748" s="17"/>
      <c r="H748" s="17"/>
      <c r="I748" s="17"/>
      <c r="J748" s="17"/>
      <c r="K748" s="17"/>
      <c r="L748" s="17"/>
      <c r="M748" s="17"/>
      <c r="N748" s="17"/>
      <c r="O748" s="17"/>
      <c r="P748" s="17"/>
      <c r="Q748" s="17"/>
      <c r="R748" s="17"/>
      <c r="S748" s="143"/>
      <c r="T748" s="143"/>
      <c r="U748" s="143"/>
      <c r="V748" s="143"/>
      <c r="W748" s="17"/>
      <c r="X748" s="17"/>
      <c r="Y748" s="17"/>
      <c r="Z748" s="17"/>
      <c r="AA748" s="17"/>
      <c r="AB748" s="17"/>
    </row>
    <row r="749">
      <c r="A749" s="17"/>
      <c r="B749" s="17"/>
      <c r="C749" s="17"/>
      <c r="D749" s="17"/>
      <c r="E749" s="17"/>
      <c r="F749" s="288"/>
      <c r="G749" s="17"/>
      <c r="H749" s="17"/>
      <c r="I749" s="17"/>
      <c r="J749" s="17"/>
      <c r="K749" s="17"/>
      <c r="L749" s="17"/>
      <c r="M749" s="17"/>
      <c r="N749" s="17"/>
      <c r="O749" s="17"/>
      <c r="P749" s="17"/>
      <c r="Q749" s="17"/>
      <c r="R749" s="17"/>
      <c r="S749" s="143"/>
      <c r="T749" s="143"/>
      <c r="U749" s="143"/>
      <c r="V749" s="143"/>
      <c r="W749" s="17"/>
      <c r="X749" s="17"/>
      <c r="Y749" s="17"/>
      <c r="Z749" s="17"/>
      <c r="AA749" s="17"/>
      <c r="AB749" s="17"/>
    </row>
    <row r="750">
      <c r="A750" s="17"/>
      <c r="B750" s="17"/>
      <c r="C750" s="17"/>
      <c r="D750" s="17"/>
      <c r="E750" s="17"/>
      <c r="F750" s="288"/>
      <c r="G750" s="17"/>
      <c r="H750" s="17"/>
      <c r="I750" s="17"/>
      <c r="J750" s="17"/>
      <c r="K750" s="17"/>
      <c r="L750" s="17"/>
      <c r="M750" s="17"/>
      <c r="N750" s="17"/>
      <c r="O750" s="17"/>
      <c r="P750" s="17"/>
      <c r="Q750" s="17"/>
      <c r="R750" s="17"/>
      <c r="S750" s="143"/>
      <c r="T750" s="143"/>
      <c r="U750" s="143"/>
      <c r="V750" s="143"/>
      <c r="W750" s="17"/>
      <c r="X750" s="17"/>
      <c r="Y750" s="17"/>
      <c r="Z750" s="17"/>
      <c r="AA750" s="17"/>
      <c r="AB750" s="17"/>
    </row>
    <row r="751">
      <c r="A751" s="17"/>
      <c r="B751" s="17"/>
      <c r="C751" s="17"/>
      <c r="D751" s="17"/>
      <c r="E751" s="17"/>
      <c r="F751" s="288"/>
      <c r="G751" s="17"/>
      <c r="H751" s="17"/>
      <c r="I751" s="17"/>
      <c r="J751" s="17"/>
      <c r="K751" s="17"/>
      <c r="L751" s="17"/>
      <c r="M751" s="17"/>
      <c r="N751" s="17"/>
      <c r="O751" s="17"/>
      <c r="P751" s="17"/>
      <c r="Q751" s="17"/>
      <c r="R751" s="17"/>
      <c r="S751" s="143"/>
      <c r="T751" s="143"/>
      <c r="U751" s="143"/>
      <c r="V751" s="143"/>
      <c r="W751" s="17"/>
      <c r="X751" s="17"/>
      <c r="Y751" s="17"/>
      <c r="Z751" s="17"/>
      <c r="AA751" s="17"/>
      <c r="AB751" s="17"/>
    </row>
    <row r="752">
      <c r="A752" s="17"/>
      <c r="B752" s="17"/>
      <c r="C752" s="17"/>
      <c r="D752" s="17"/>
      <c r="E752" s="17"/>
      <c r="F752" s="288"/>
      <c r="G752" s="17"/>
      <c r="H752" s="17"/>
      <c r="I752" s="17"/>
      <c r="J752" s="17"/>
      <c r="K752" s="17"/>
      <c r="L752" s="17"/>
      <c r="M752" s="17"/>
      <c r="N752" s="17"/>
      <c r="O752" s="17"/>
      <c r="P752" s="17"/>
      <c r="Q752" s="17"/>
      <c r="R752" s="17"/>
      <c r="S752" s="143"/>
      <c r="T752" s="143"/>
      <c r="U752" s="143"/>
      <c r="V752" s="143"/>
      <c r="W752" s="17"/>
      <c r="X752" s="17"/>
      <c r="Y752" s="17"/>
      <c r="Z752" s="17"/>
      <c r="AA752" s="17"/>
      <c r="AB752" s="17"/>
    </row>
    <row r="753">
      <c r="A753" s="17"/>
      <c r="B753" s="17"/>
      <c r="C753" s="17"/>
      <c r="D753" s="17"/>
      <c r="E753" s="17"/>
      <c r="F753" s="288"/>
      <c r="G753" s="17"/>
      <c r="H753" s="17"/>
      <c r="I753" s="17"/>
      <c r="J753" s="17"/>
      <c r="K753" s="17"/>
      <c r="L753" s="17"/>
      <c r="M753" s="17"/>
      <c r="N753" s="17"/>
      <c r="O753" s="17"/>
      <c r="P753" s="17"/>
      <c r="Q753" s="17"/>
      <c r="R753" s="17"/>
      <c r="S753" s="143"/>
      <c r="T753" s="143"/>
      <c r="U753" s="143"/>
      <c r="V753" s="143"/>
      <c r="W753" s="17"/>
      <c r="X753" s="17"/>
      <c r="Y753" s="17"/>
      <c r="Z753" s="17"/>
      <c r="AA753" s="17"/>
      <c r="AB753" s="17"/>
    </row>
    <row r="754">
      <c r="A754" s="17"/>
      <c r="B754" s="17"/>
      <c r="C754" s="17"/>
      <c r="D754" s="17"/>
      <c r="E754" s="17"/>
      <c r="F754" s="288"/>
      <c r="G754" s="17"/>
      <c r="H754" s="17"/>
      <c r="I754" s="17"/>
      <c r="J754" s="17"/>
      <c r="K754" s="17"/>
      <c r="L754" s="17"/>
      <c r="M754" s="17"/>
      <c r="N754" s="17"/>
      <c r="O754" s="17"/>
      <c r="P754" s="17"/>
      <c r="Q754" s="17"/>
      <c r="R754" s="17"/>
      <c r="S754" s="143"/>
      <c r="T754" s="143"/>
      <c r="U754" s="143"/>
      <c r="V754" s="143"/>
      <c r="W754" s="17"/>
      <c r="X754" s="17"/>
      <c r="Y754" s="17"/>
      <c r="Z754" s="17"/>
      <c r="AA754" s="17"/>
      <c r="AB754" s="17"/>
    </row>
    <row r="755">
      <c r="A755" s="17"/>
      <c r="B755" s="17"/>
      <c r="C755" s="17"/>
      <c r="D755" s="17"/>
      <c r="E755" s="17"/>
      <c r="F755" s="288"/>
      <c r="G755" s="17"/>
      <c r="H755" s="17"/>
      <c r="I755" s="17"/>
      <c r="J755" s="17"/>
      <c r="K755" s="17"/>
      <c r="L755" s="17"/>
      <c r="M755" s="17"/>
      <c r="N755" s="17"/>
      <c r="O755" s="17"/>
      <c r="P755" s="17"/>
      <c r="Q755" s="17"/>
      <c r="R755" s="17"/>
      <c r="S755" s="143"/>
      <c r="T755" s="143"/>
      <c r="U755" s="143"/>
      <c r="V755" s="143"/>
      <c r="W755" s="17"/>
      <c r="X755" s="17"/>
      <c r="Y755" s="17"/>
      <c r="Z755" s="17"/>
      <c r="AA755" s="17"/>
      <c r="AB755" s="17"/>
    </row>
    <row r="756">
      <c r="A756" s="17"/>
      <c r="B756" s="17"/>
      <c r="C756" s="17"/>
      <c r="D756" s="17"/>
      <c r="E756" s="17"/>
      <c r="F756" s="288"/>
      <c r="G756" s="17"/>
      <c r="H756" s="17"/>
      <c r="I756" s="17"/>
      <c r="J756" s="17"/>
      <c r="K756" s="17"/>
      <c r="L756" s="17"/>
      <c r="M756" s="17"/>
      <c r="N756" s="17"/>
      <c r="O756" s="17"/>
      <c r="P756" s="17"/>
      <c r="Q756" s="17"/>
      <c r="R756" s="17"/>
      <c r="S756" s="143"/>
      <c r="T756" s="143"/>
      <c r="U756" s="143"/>
      <c r="V756" s="143"/>
      <c r="W756" s="17"/>
      <c r="X756" s="17"/>
      <c r="Y756" s="17"/>
      <c r="Z756" s="17"/>
      <c r="AA756" s="17"/>
      <c r="AB756" s="17"/>
    </row>
    <row r="757">
      <c r="A757" s="17"/>
      <c r="B757" s="17"/>
      <c r="C757" s="17"/>
      <c r="D757" s="17"/>
      <c r="E757" s="17"/>
      <c r="F757" s="288"/>
      <c r="G757" s="17"/>
      <c r="H757" s="17"/>
      <c r="I757" s="17"/>
      <c r="J757" s="17"/>
      <c r="K757" s="17"/>
      <c r="L757" s="17"/>
      <c r="M757" s="17"/>
      <c r="N757" s="17"/>
      <c r="O757" s="17"/>
      <c r="P757" s="17"/>
      <c r="Q757" s="17"/>
      <c r="R757" s="17"/>
      <c r="S757" s="143"/>
      <c r="T757" s="143"/>
      <c r="U757" s="143"/>
      <c r="V757" s="143"/>
      <c r="W757" s="17"/>
      <c r="X757" s="17"/>
      <c r="Y757" s="17"/>
      <c r="Z757" s="17"/>
      <c r="AA757" s="17"/>
      <c r="AB757" s="17"/>
    </row>
    <row r="758">
      <c r="A758" s="17"/>
      <c r="B758" s="17"/>
      <c r="C758" s="17"/>
      <c r="D758" s="17"/>
      <c r="E758" s="17"/>
      <c r="F758" s="288"/>
      <c r="G758" s="17"/>
      <c r="H758" s="17"/>
      <c r="I758" s="17"/>
      <c r="J758" s="17"/>
      <c r="K758" s="17"/>
      <c r="L758" s="17"/>
      <c r="M758" s="17"/>
      <c r="N758" s="17"/>
      <c r="O758" s="17"/>
      <c r="P758" s="17"/>
      <c r="Q758" s="17"/>
      <c r="R758" s="17"/>
      <c r="S758" s="143"/>
      <c r="T758" s="143"/>
      <c r="U758" s="143"/>
      <c r="V758" s="143"/>
      <c r="W758" s="17"/>
      <c r="X758" s="17"/>
      <c r="Y758" s="17"/>
      <c r="Z758" s="17"/>
      <c r="AA758" s="17"/>
      <c r="AB758" s="17"/>
    </row>
    <row r="759">
      <c r="A759" s="17"/>
      <c r="B759" s="17"/>
      <c r="C759" s="17"/>
      <c r="D759" s="17"/>
      <c r="E759" s="17"/>
      <c r="F759" s="288"/>
      <c r="G759" s="17"/>
      <c r="H759" s="17"/>
      <c r="I759" s="17"/>
      <c r="J759" s="17"/>
      <c r="K759" s="17"/>
      <c r="L759" s="17"/>
      <c r="M759" s="17"/>
      <c r="N759" s="17"/>
      <c r="O759" s="17"/>
      <c r="P759" s="17"/>
      <c r="Q759" s="17"/>
      <c r="R759" s="17"/>
      <c r="S759" s="143"/>
      <c r="T759" s="143"/>
      <c r="U759" s="143"/>
      <c r="V759" s="143"/>
      <c r="W759" s="17"/>
      <c r="X759" s="17"/>
      <c r="Y759" s="17"/>
      <c r="Z759" s="17"/>
      <c r="AA759" s="17"/>
      <c r="AB759" s="17"/>
    </row>
    <row r="760">
      <c r="A760" s="17"/>
      <c r="B760" s="17"/>
      <c r="C760" s="17"/>
      <c r="D760" s="17"/>
      <c r="E760" s="17"/>
      <c r="F760" s="288"/>
      <c r="G760" s="17"/>
      <c r="H760" s="17"/>
      <c r="I760" s="17"/>
      <c r="J760" s="17"/>
      <c r="K760" s="17"/>
      <c r="L760" s="17"/>
      <c r="M760" s="17"/>
      <c r="N760" s="17"/>
      <c r="O760" s="17"/>
      <c r="P760" s="17"/>
      <c r="Q760" s="17"/>
      <c r="R760" s="17"/>
      <c r="S760" s="143"/>
      <c r="T760" s="143"/>
      <c r="U760" s="143"/>
      <c r="V760" s="143"/>
      <c r="W760" s="17"/>
      <c r="X760" s="17"/>
      <c r="Y760" s="17"/>
      <c r="Z760" s="17"/>
      <c r="AA760" s="17"/>
      <c r="AB760" s="17"/>
    </row>
    <row r="761">
      <c r="A761" s="17"/>
      <c r="B761" s="17"/>
      <c r="C761" s="17"/>
      <c r="D761" s="17"/>
      <c r="E761" s="17"/>
      <c r="F761" s="288"/>
      <c r="G761" s="17"/>
      <c r="H761" s="17"/>
      <c r="I761" s="17"/>
      <c r="J761" s="17"/>
      <c r="K761" s="17"/>
      <c r="L761" s="17"/>
      <c r="M761" s="17"/>
      <c r="N761" s="17"/>
      <c r="O761" s="17"/>
      <c r="P761" s="17"/>
      <c r="Q761" s="17"/>
      <c r="R761" s="17"/>
      <c r="S761" s="143"/>
      <c r="T761" s="143"/>
      <c r="U761" s="143"/>
      <c r="V761" s="143"/>
      <c r="W761" s="17"/>
      <c r="X761" s="17"/>
      <c r="Y761" s="17"/>
      <c r="Z761" s="17"/>
      <c r="AA761" s="17"/>
      <c r="AB761" s="17"/>
    </row>
    <row r="762">
      <c r="A762" s="17"/>
      <c r="B762" s="17"/>
      <c r="C762" s="17"/>
      <c r="D762" s="17"/>
      <c r="E762" s="17"/>
      <c r="F762" s="288"/>
      <c r="G762" s="17"/>
      <c r="H762" s="17"/>
      <c r="I762" s="17"/>
      <c r="J762" s="17"/>
      <c r="K762" s="17"/>
      <c r="L762" s="17"/>
      <c r="M762" s="17"/>
      <c r="N762" s="17"/>
      <c r="O762" s="17"/>
      <c r="P762" s="17"/>
      <c r="Q762" s="17"/>
      <c r="R762" s="17"/>
      <c r="S762" s="143"/>
      <c r="T762" s="143"/>
      <c r="U762" s="143"/>
      <c r="V762" s="143"/>
      <c r="W762" s="17"/>
      <c r="X762" s="17"/>
      <c r="Y762" s="17"/>
      <c r="Z762" s="17"/>
      <c r="AA762" s="17"/>
      <c r="AB762" s="17"/>
    </row>
    <row r="763">
      <c r="A763" s="17"/>
      <c r="B763" s="17"/>
      <c r="C763" s="17"/>
      <c r="D763" s="17"/>
      <c r="E763" s="17"/>
      <c r="F763" s="288"/>
      <c r="G763" s="17"/>
      <c r="H763" s="17"/>
      <c r="I763" s="17"/>
      <c r="J763" s="17"/>
      <c r="K763" s="17"/>
      <c r="L763" s="17"/>
      <c r="M763" s="17"/>
      <c r="N763" s="17"/>
      <c r="O763" s="17"/>
      <c r="P763" s="17"/>
      <c r="Q763" s="17"/>
      <c r="R763" s="17"/>
      <c r="S763" s="143"/>
      <c r="T763" s="143"/>
      <c r="U763" s="143"/>
      <c r="V763" s="143"/>
      <c r="W763" s="17"/>
      <c r="X763" s="17"/>
      <c r="Y763" s="17"/>
      <c r="Z763" s="17"/>
      <c r="AA763" s="17"/>
      <c r="AB763" s="17"/>
    </row>
    <row r="764">
      <c r="A764" s="17"/>
      <c r="B764" s="17"/>
      <c r="C764" s="17"/>
      <c r="D764" s="17"/>
      <c r="E764" s="17"/>
      <c r="F764" s="288"/>
      <c r="G764" s="17"/>
      <c r="H764" s="17"/>
      <c r="I764" s="17"/>
      <c r="J764" s="17"/>
      <c r="K764" s="17"/>
      <c r="L764" s="17"/>
      <c r="M764" s="17"/>
      <c r="N764" s="17"/>
      <c r="O764" s="17"/>
      <c r="P764" s="17"/>
      <c r="Q764" s="17"/>
      <c r="R764" s="17"/>
      <c r="S764" s="143"/>
      <c r="T764" s="143"/>
      <c r="U764" s="143"/>
      <c r="V764" s="143"/>
      <c r="W764" s="17"/>
      <c r="X764" s="17"/>
      <c r="Y764" s="17"/>
      <c r="Z764" s="17"/>
      <c r="AA764" s="17"/>
      <c r="AB764" s="17"/>
    </row>
    <row r="765">
      <c r="A765" s="17"/>
      <c r="B765" s="17"/>
      <c r="C765" s="17"/>
      <c r="D765" s="17"/>
      <c r="E765" s="17"/>
      <c r="F765" s="288"/>
      <c r="G765" s="17"/>
      <c r="H765" s="17"/>
      <c r="I765" s="17"/>
      <c r="J765" s="17"/>
      <c r="K765" s="17"/>
      <c r="L765" s="17"/>
      <c r="M765" s="17"/>
      <c r="N765" s="17"/>
      <c r="O765" s="17"/>
      <c r="P765" s="17"/>
      <c r="Q765" s="17"/>
      <c r="R765" s="17"/>
      <c r="S765" s="143"/>
      <c r="T765" s="143"/>
      <c r="U765" s="143"/>
      <c r="V765" s="143"/>
      <c r="W765" s="17"/>
      <c r="X765" s="17"/>
      <c r="Y765" s="17"/>
      <c r="Z765" s="17"/>
      <c r="AA765" s="17"/>
      <c r="AB765" s="17"/>
    </row>
    <row r="766">
      <c r="A766" s="17"/>
      <c r="B766" s="17"/>
      <c r="C766" s="17"/>
      <c r="D766" s="17"/>
      <c r="E766" s="17"/>
      <c r="F766" s="288"/>
      <c r="G766" s="17"/>
      <c r="H766" s="17"/>
      <c r="I766" s="17"/>
      <c r="J766" s="17"/>
      <c r="K766" s="17"/>
      <c r="L766" s="17"/>
      <c r="M766" s="17"/>
      <c r="N766" s="17"/>
      <c r="O766" s="17"/>
      <c r="P766" s="17"/>
      <c r="Q766" s="17"/>
      <c r="R766" s="17"/>
      <c r="S766" s="143"/>
      <c r="T766" s="143"/>
      <c r="U766" s="143"/>
      <c r="V766" s="143"/>
      <c r="W766" s="17"/>
      <c r="X766" s="17"/>
      <c r="Y766" s="17"/>
      <c r="Z766" s="17"/>
      <c r="AA766" s="17"/>
      <c r="AB766" s="17"/>
    </row>
    <row r="767">
      <c r="A767" s="17"/>
      <c r="B767" s="17"/>
      <c r="C767" s="17"/>
      <c r="D767" s="17"/>
      <c r="E767" s="17"/>
      <c r="F767" s="288"/>
      <c r="G767" s="17"/>
      <c r="H767" s="17"/>
      <c r="I767" s="17"/>
      <c r="J767" s="17"/>
      <c r="K767" s="17"/>
      <c r="L767" s="17"/>
      <c r="M767" s="17"/>
      <c r="N767" s="17"/>
      <c r="O767" s="17"/>
      <c r="P767" s="17"/>
      <c r="Q767" s="17"/>
      <c r="R767" s="17"/>
      <c r="S767" s="143"/>
      <c r="T767" s="143"/>
      <c r="U767" s="143"/>
      <c r="V767" s="143"/>
      <c r="W767" s="17"/>
      <c r="X767" s="17"/>
      <c r="Y767" s="17"/>
      <c r="Z767" s="17"/>
      <c r="AA767" s="17"/>
      <c r="AB767" s="17"/>
    </row>
    <row r="768">
      <c r="A768" s="17"/>
      <c r="B768" s="17"/>
      <c r="C768" s="17"/>
      <c r="D768" s="17"/>
      <c r="E768" s="17"/>
      <c r="F768" s="288"/>
      <c r="G768" s="17"/>
      <c r="H768" s="17"/>
      <c r="I768" s="17"/>
      <c r="J768" s="17"/>
      <c r="K768" s="17"/>
      <c r="L768" s="17"/>
      <c r="M768" s="17"/>
      <c r="N768" s="17"/>
      <c r="O768" s="17"/>
      <c r="P768" s="17"/>
      <c r="Q768" s="17"/>
      <c r="R768" s="17"/>
      <c r="S768" s="143"/>
      <c r="T768" s="143"/>
      <c r="U768" s="143"/>
      <c r="V768" s="143"/>
      <c r="W768" s="17"/>
      <c r="X768" s="17"/>
      <c r="Y768" s="17"/>
      <c r="Z768" s="17"/>
      <c r="AA768" s="17"/>
      <c r="AB768" s="17"/>
    </row>
    <row r="769">
      <c r="A769" s="17"/>
      <c r="B769" s="17"/>
      <c r="C769" s="17"/>
      <c r="D769" s="17"/>
      <c r="E769" s="17"/>
      <c r="F769" s="288"/>
      <c r="G769" s="17"/>
      <c r="H769" s="17"/>
      <c r="I769" s="17"/>
      <c r="J769" s="17"/>
      <c r="K769" s="17"/>
      <c r="L769" s="17"/>
      <c r="M769" s="17"/>
      <c r="N769" s="17"/>
      <c r="O769" s="17"/>
      <c r="P769" s="17"/>
      <c r="Q769" s="17"/>
      <c r="R769" s="17"/>
      <c r="S769" s="143"/>
      <c r="T769" s="143"/>
      <c r="U769" s="143"/>
      <c r="V769" s="143"/>
      <c r="W769" s="17"/>
      <c r="X769" s="17"/>
      <c r="Y769" s="17"/>
      <c r="Z769" s="17"/>
      <c r="AA769" s="17"/>
      <c r="AB769" s="17"/>
    </row>
    <row r="770">
      <c r="A770" s="17"/>
      <c r="B770" s="17"/>
      <c r="C770" s="17"/>
      <c r="D770" s="17"/>
      <c r="E770" s="17"/>
      <c r="F770" s="288"/>
      <c r="G770" s="17"/>
      <c r="H770" s="17"/>
      <c r="I770" s="17"/>
      <c r="J770" s="17"/>
      <c r="K770" s="17"/>
      <c r="L770" s="17"/>
      <c r="M770" s="17"/>
      <c r="N770" s="17"/>
      <c r="O770" s="17"/>
      <c r="P770" s="17"/>
      <c r="Q770" s="17"/>
      <c r="R770" s="17"/>
      <c r="S770" s="143"/>
      <c r="T770" s="143"/>
      <c r="U770" s="143"/>
      <c r="V770" s="143"/>
      <c r="W770" s="17"/>
      <c r="X770" s="17"/>
      <c r="Y770" s="17"/>
      <c r="Z770" s="17"/>
      <c r="AA770" s="17"/>
      <c r="AB770" s="17"/>
    </row>
    <row r="771">
      <c r="A771" s="17"/>
      <c r="B771" s="17"/>
      <c r="C771" s="17"/>
      <c r="D771" s="17"/>
      <c r="E771" s="17"/>
      <c r="F771" s="288"/>
      <c r="G771" s="17"/>
      <c r="H771" s="17"/>
      <c r="I771" s="17"/>
      <c r="J771" s="17"/>
      <c r="K771" s="17"/>
      <c r="L771" s="17"/>
      <c r="M771" s="17"/>
      <c r="N771" s="17"/>
      <c r="O771" s="17"/>
      <c r="P771" s="17"/>
      <c r="Q771" s="17"/>
      <c r="R771" s="17"/>
      <c r="S771" s="143"/>
      <c r="T771" s="143"/>
      <c r="U771" s="143"/>
      <c r="V771" s="143"/>
      <c r="W771" s="17"/>
      <c r="X771" s="17"/>
      <c r="Y771" s="17"/>
      <c r="Z771" s="17"/>
      <c r="AA771" s="17"/>
      <c r="AB771" s="17"/>
    </row>
    <row r="772">
      <c r="A772" s="17"/>
      <c r="B772" s="17"/>
      <c r="C772" s="17"/>
      <c r="D772" s="17"/>
      <c r="E772" s="17"/>
      <c r="F772" s="288"/>
      <c r="G772" s="17"/>
      <c r="H772" s="17"/>
      <c r="I772" s="17"/>
      <c r="J772" s="17"/>
      <c r="K772" s="17"/>
      <c r="L772" s="17"/>
      <c r="M772" s="17"/>
      <c r="N772" s="17"/>
      <c r="O772" s="17"/>
      <c r="P772" s="17"/>
      <c r="Q772" s="17"/>
      <c r="R772" s="17"/>
      <c r="S772" s="143"/>
      <c r="T772" s="143"/>
      <c r="U772" s="143"/>
      <c r="V772" s="143"/>
      <c r="W772" s="17"/>
      <c r="X772" s="17"/>
      <c r="Y772" s="17"/>
      <c r="Z772" s="17"/>
      <c r="AA772" s="17"/>
      <c r="AB772" s="17"/>
    </row>
    <row r="773">
      <c r="A773" s="17"/>
      <c r="B773" s="17"/>
      <c r="C773" s="17"/>
      <c r="D773" s="17"/>
      <c r="E773" s="17"/>
      <c r="F773" s="288"/>
      <c r="G773" s="17"/>
      <c r="H773" s="17"/>
      <c r="I773" s="17"/>
      <c r="J773" s="17"/>
      <c r="K773" s="17"/>
      <c r="L773" s="17"/>
      <c r="M773" s="17"/>
      <c r="N773" s="17"/>
      <c r="O773" s="17"/>
      <c r="P773" s="17"/>
      <c r="Q773" s="17"/>
      <c r="R773" s="17"/>
      <c r="S773" s="143"/>
      <c r="T773" s="143"/>
      <c r="U773" s="143"/>
      <c r="V773" s="143"/>
      <c r="W773" s="17"/>
      <c r="X773" s="17"/>
      <c r="Y773" s="17"/>
      <c r="Z773" s="17"/>
      <c r="AA773" s="17"/>
      <c r="AB773" s="17"/>
    </row>
    <row r="774">
      <c r="A774" s="17"/>
      <c r="B774" s="17"/>
      <c r="C774" s="17"/>
      <c r="D774" s="17"/>
      <c r="E774" s="17"/>
      <c r="F774" s="288"/>
      <c r="G774" s="17"/>
      <c r="H774" s="17"/>
      <c r="I774" s="17"/>
      <c r="J774" s="17"/>
      <c r="K774" s="17"/>
      <c r="L774" s="17"/>
      <c r="M774" s="17"/>
      <c r="N774" s="17"/>
      <c r="O774" s="17"/>
      <c r="P774" s="17"/>
      <c r="Q774" s="17"/>
      <c r="R774" s="17"/>
      <c r="S774" s="143"/>
      <c r="T774" s="143"/>
      <c r="U774" s="143"/>
      <c r="V774" s="143"/>
      <c r="W774" s="17"/>
      <c r="X774" s="17"/>
      <c r="Y774" s="17"/>
      <c r="Z774" s="17"/>
      <c r="AA774" s="17"/>
      <c r="AB774" s="17"/>
    </row>
    <row r="775">
      <c r="A775" s="17"/>
      <c r="B775" s="17"/>
      <c r="C775" s="17"/>
      <c r="D775" s="17"/>
      <c r="E775" s="17"/>
      <c r="F775" s="288"/>
      <c r="G775" s="17"/>
      <c r="H775" s="17"/>
      <c r="I775" s="17"/>
      <c r="J775" s="17"/>
      <c r="K775" s="17"/>
      <c r="L775" s="17"/>
      <c r="M775" s="17"/>
      <c r="N775" s="17"/>
      <c r="O775" s="17"/>
      <c r="P775" s="17"/>
      <c r="Q775" s="17"/>
      <c r="R775" s="17"/>
      <c r="S775" s="143"/>
      <c r="T775" s="143"/>
      <c r="U775" s="143"/>
      <c r="V775" s="143"/>
      <c r="W775" s="17"/>
      <c r="X775" s="17"/>
      <c r="Y775" s="17"/>
      <c r="Z775" s="17"/>
      <c r="AA775" s="17"/>
      <c r="AB775" s="17"/>
    </row>
    <row r="776">
      <c r="A776" s="17"/>
      <c r="B776" s="17"/>
      <c r="C776" s="17"/>
      <c r="D776" s="17"/>
      <c r="E776" s="17"/>
      <c r="F776" s="288"/>
      <c r="G776" s="17"/>
      <c r="H776" s="17"/>
      <c r="I776" s="17"/>
      <c r="J776" s="17"/>
      <c r="K776" s="17"/>
      <c r="L776" s="17"/>
      <c r="M776" s="17"/>
      <c r="N776" s="17"/>
      <c r="O776" s="17"/>
      <c r="P776" s="17"/>
      <c r="Q776" s="17"/>
      <c r="R776" s="17"/>
      <c r="S776" s="143"/>
      <c r="T776" s="143"/>
      <c r="U776" s="143"/>
      <c r="V776" s="143"/>
      <c r="W776" s="17"/>
      <c r="X776" s="17"/>
      <c r="Y776" s="17"/>
      <c r="Z776" s="17"/>
      <c r="AA776" s="17"/>
      <c r="AB776" s="17"/>
    </row>
    <row r="777">
      <c r="A777" s="17"/>
      <c r="B777" s="17"/>
      <c r="C777" s="17"/>
      <c r="D777" s="17"/>
      <c r="E777" s="17"/>
      <c r="F777" s="288"/>
      <c r="G777" s="17"/>
      <c r="H777" s="17"/>
      <c r="I777" s="17"/>
      <c r="J777" s="17"/>
      <c r="K777" s="17"/>
      <c r="L777" s="17"/>
      <c r="M777" s="17"/>
      <c r="N777" s="17"/>
      <c r="O777" s="17"/>
      <c r="P777" s="17"/>
      <c r="Q777" s="17"/>
      <c r="R777" s="17"/>
      <c r="S777" s="143"/>
      <c r="T777" s="143"/>
      <c r="U777" s="143"/>
      <c r="V777" s="143"/>
      <c r="W777" s="17"/>
      <c r="X777" s="17"/>
      <c r="Y777" s="17"/>
      <c r="Z777" s="17"/>
      <c r="AA777" s="17"/>
      <c r="AB777" s="17"/>
    </row>
    <row r="778">
      <c r="A778" s="17"/>
      <c r="B778" s="17"/>
      <c r="C778" s="17"/>
      <c r="D778" s="17"/>
      <c r="E778" s="17"/>
      <c r="F778" s="288"/>
      <c r="G778" s="17"/>
      <c r="H778" s="17"/>
      <c r="I778" s="17"/>
      <c r="J778" s="17"/>
      <c r="K778" s="17"/>
      <c r="L778" s="17"/>
      <c r="M778" s="17"/>
      <c r="N778" s="17"/>
      <c r="O778" s="17"/>
      <c r="P778" s="17"/>
      <c r="Q778" s="17"/>
      <c r="R778" s="17"/>
      <c r="S778" s="143"/>
      <c r="T778" s="143"/>
      <c r="U778" s="143"/>
      <c r="V778" s="143"/>
      <c r="W778" s="17"/>
      <c r="X778" s="17"/>
      <c r="Y778" s="17"/>
      <c r="Z778" s="17"/>
      <c r="AA778" s="17"/>
      <c r="AB778" s="17"/>
    </row>
    <row r="779">
      <c r="A779" s="17"/>
      <c r="B779" s="17"/>
      <c r="C779" s="17"/>
      <c r="D779" s="17"/>
      <c r="E779" s="17"/>
      <c r="F779" s="288"/>
      <c r="G779" s="17"/>
      <c r="H779" s="17"/>
      <c r="I779" s="17"/>
      <c r="J779" s="17"/>
      <c r="K779" s="17"/>
      <c r="L779" s="17"/>
      <c r="M779" s="17"/>
      <c r="N779" s="17"/>
      <c r="O779" s="17"/>
      <c r="P779" s="17"/>
      <c r="Q779" s="17"/>
      <c r="R779" s="17"/>
      <c r="S779" s="143"/>
      <c r="T779" s="143"/>
      <c r="U779" s="143"/>
      <c r="V779" s="143"/>
      <c r="W779" s="17"/>
      <c r="X779" s="17"/>
      <c r="Y779" s="17"/>
      <c r="Z779" s="17"/>
      <c r="AA779" s="17"/>
      <c r="AB779" s="17"/>
    </row>
    <row r="780">
      <c r="A780" s="17"/>
      <c r="B780" s="17"/>
      <c r="C780" s="17"/>
      <c r="D780" s="17"/>
      <c r="E780" s="17"/>
      <c r="F780" s="288"/>
      <c r="G780" s="17"/>
      <c r="H780" s="17"/>
      <c r="I780" s="17"/>
      <c r="J780" s="17"/>
      <c r="K780" s="17"/>
      <c r="L780" s="17"/>
      <c r="M780" s="17"/>
      <c r="N780" s="17"/>
      <c r="O780" s="17"/>
      <c r="P780" s="17"/>
      <c r="Q780" s="17"/>
      <c r="R780" s="17"/>
      <c r="S780" s="143"/>
      <c r="T780" s="143"/>
      <c r="U780" s="143"/>
      <c r="V780" s="143"/>
      <c r="W780" s="17"/>
      <c r="X780" s="17"/>
      <c r="Y780" s="17"/>
      <c r="Z780" s="17"/>
      <c r="AA780" s="17"/>
      <c r="AB780" s="17"/>
    </row>
    <row r="781">
      <c r="A781" s="17"/>
      <c r="B781" s="17"/>
      <c r="C781" s="17"/>
      <c r="D781" s="17"/>
      <c r="E781" s="17"/>
      <c r="F781" s="288"/>
      <c r="G781" s="17"/>
      <c r="H781" s="17"/>
      <c r="I781" s="17"/>
      <c r="J781" s="17"/>
      <c r="K781" s="17"/>
      <c r="L781" s="17"/>
      <c r="M781" s="17"/>
      <c r="N781" s="17"/>
      <c r="O781" s="17"/>
      <c r="P781" s="17"/>
      <c r="Q781" s="17"/>
      <c r="R781" s="17"/>
      <c r="S781" s="143"/>
      <c r="T781" s="143"/>
      <c r="U781" s="143"/>
      <c r="V781" s="143"/>
      <c r="W781" s="17"/>
      <c r="X781" s="17"/>
      <c r="Y781" s="17"/>
      <c r="Z781" s="17"/>
      <c r="AA781" s="17"/>
      <c r="AB781" s="17"/>
    </row>
    <row r="782">
      <c r="A782" s="17"/>
      <c r="B782" s="17"/>
      <c r="C782" s="17"/>
      <c r="D782" s="17"/>
      <c r="E782" s="17"/>
      <c r="F782" s="288"/>
      <c r="G782" s="17"/>
      <c r="H782" s="17"/>
      <c r="I782" s="17"/>
      <c r="J782" s="17"/>
      <c r="K782" s="17"/>
      <c r="L782" s="17"/>
      <c r="M782" s="17"/>
      <c r="N782" s="17"/>
      <c r="O782" s="17"/>
      <c r="P782" s="17"/>
      <c r="Q782" s="17"/>
      <c r="R782" s="17"/>
      <c r="S782" s="143"/>
      <c r="T782" s="143"/>
      <c r="U782" s="143"/>
      <c r="V782" s="143"/>
      <c r="W782" s="17"/>
      <c r="X782" s="17"/>
      <c r="Y782" s="17"/>
      <c r="Z782" s="17"/>
      <c r="AA782" s="17"/>
      <c r="AB782" s="17"/>
    </row>
    <row r="783">
      <c r="A783" s="17"/>
      <c r="B783" s="17"/>
      <c r="C783" s="17"/>
      <c r="D783" s="17"/>
      <c r="E783" s="17"/>
      <c r="F783" s="288"/>
      <c r="G783" s="17"/>
      <c r="H783" s="17"/>
      <c r="I783" s="17"/>
      <c r="J783" s="17"/>
      <c r="K783" s="17"/>
      <c r="L783" s="17"/>
      <c r="M783" s="17"/>
      <c r="N783" s="17"/>
      <c r="O783" s="17"/>
      <c r="P783" s="17"/>
      <c r="Q783" s="17"/>
      <c r="R783" s="17"/>
      <c r="S783" s="143"/>
      <c r="T783" s="143"/>
      <c r="U783" s="143"/>
      <c r="V783" s="143"/>
      <c r="W783" s="17"/>
      <c r="X783" s="17"/>
      <c r="Y783" s="17"/>
      <c r="Z783" s="17"/>
      <c r="AA783" s="17"/>
      <c r="AB783" s="17"/>
    </row>
    <row r="784">
      <c r="A784" s="17"/>
      <c r="B784" s="17"/>
      <c r="C784" s="17"/>
      <c r="D784" s="17"/>
      <c r="E784" s="17"/>
      <c r="F784" s="288"/>
      <c r="G784" s="17"/>
      <c r="H784" s="17"/>
      <c r="I784" s="17"/>
      <c r="J784" s="17"/>
      <c r="K784" s="17"/>
      <c r="L784" s="17"/>
      <c r="M784" s="17"/>
      <c r="N784" s="17"/>
      <c r="O784" s="17"/>
      <c r="P784" s="17"/>
      <c r="Q784" s="17"/>
      <c r="R784" s="17"/>
      <c r="S784" s="143"/>
      <c r="T784" s="143"/>
      <c r="U784" s="143"/>
      <c r="V784" s="143"/>
      <c r="W784" s="17"/>
      <c r="X784" s="17"/>
      <c r="Y784" s="17"/>
      <c r="Z784" s="17"/>
      <c r="AA784" s="17"/>
      <c r="AB784" s="17"/>
    </row>
    <row r="785">
      <c r="A785" s="17"/>
      <c r="B785" s="17"/>
      <c r="C785" s="17"/>
      <c r="D785" s="17"/>
      <c r="E785" s="17"/>
      <c r="F785" s="288"/>
      <c r="G785" s="17"/>
      <c r="H785" s="17"/>
      <c r="I785" s="17"/>
      <c r="J785" s="17"/>
      <c r="K785" s="17"/>
      <c r="L785" s="17"/>
      <c r="M785" s="17"/>
      <c r="N785" s="17"/>
      <c r="O785" s="17"/>
      <c r="P785" s="17"/>
      <c r="Q785" s="17"/>
      <c r="R785" s="17"/>
      <c r="S785" s="143"/>
      <c r="T785" s="143"/>
      <c r="U785" s="143"/>
      <c r="V785" s="143"/>
      <c r="W785" s="17"/>
      <c r="X785" s="17"/>
      <c r="Y785" s="17"/>
      <c r="Z785" s="17"/>
      <c r="AA785" s="17"/>
      <c r="AB785" s="17"/>
    </row>
    <row r="786">
      <c r="A786" s="17"/>
      <c r="B786" s="17"/>
      <c r="C786" s="17"/>
      <c r="D786" s="17"/>
      <c r="E786" s="17"/>
      <c r="F786" s="288"/>
      <c r="G786" s="17"/>
      <c r="H786" s="17"/>
      <c r="I786" s="17"/>
      <c r="J786" s="17"/>
      <c r="K786" s="17"/>
      <c r="L786" s="17"/>
      <c r="M786" s="17"/>
      <c r="N786" s="17"/>
      <c r="O786" s="17"/>
      <c r="P786" s="17"/>
      <c r="Q786" s="17"/>
      <c r="R786" s="17"/>
      <c r="S786" s="143"/>
      <c r="T786" s="143"/>
      <c r="U786" s="143"/>
      <c r="V786" s="143"/>
      <c r="W786" s="17"/>
      <c r="X786" s="17"/>
      <c r="Y786" s="17"/>
      <c r="Z786" s="17"/>
      <c r="AA786" s="17"/>
      <c r="AB786" s="17"/>
    </row>
    <row r="787">
      <c r="A787" s="17"/>
      <c r="B787" s="17"/>
      <c r="C787" s="17"/>
      <c r="D787" s="17"/>
      <c r="E787" s="17"/>
      <c r="F787" s="288"/>
      <c r="G787" s="17"/>
      <c r="H787" s="17"/>
      <c r="I787" s="17"/>
      <c r="J787" s="17"/>
      <c r="K787" s="17"/>
      <c r="L787" s="17"/>
      <c r="M787" s="17"/>
      <c r="N787" s="17"/>
      <c r="O787" s="17"/>
      <c r="P787" s="17"/>
      <c r="Q787" s="17"/>
      <c r="R787" s="17"/>
      <c r="S787" s="143"/>
      <c r="T787" s="143"/>
      <c r="U787" s="143"/>
      <c r="V787" s="143"/>
      <c r="W787" s="17"/>
      <c r="X787" s="17"/>
      <c r="Y787" s="17"/>
      <c r="Z787" s="17"/>
      <c r="AA787" s="17"/>
      <c r="AB787" s="17"/>
    </row>
    <row r="788">
      <c r="A788" s="17"/>
      <c r="B788" s="17"/>
      <c r="C788" s="17"/>
      <c r="D788" s="17"/>
      <c r="E788" s="17"/>
      <c r="F788" s="288"/>
      <c r="G788" s="17"/>
      <c r="H788" s="17"/>
      <c r="I788" s="17"/>
      <c r="J788" s="17"/>
      <c r="K788" s="17"/>
      <c r="L788" s="17"/>
      <c r="M788" s="17"/>
      <c r="N788" s="17"/>
      <c r="O788" s="17"/>
      <c r="P788" s="17"/>
      <c r="Q788" s="17"/>
      <c r="R788" s="17"/>
      <c r="S788" s="143"/>
      <c r="T788" s="143"/>
      <c r="U788" s="143"/>
      <c r="V788" s="143"/>
      <c r="W788" s="17"/>
      <c r="X788" s="17"/>
      <c r="Y788" s="17"/>
      <c r="Z788" s="17"/>
      <c r="AA788" s="17"/>
      <c r="AB788" s="17"/>
    </row>
    <row r="789">
      <c r="A789" s="17"/>
      <c r="B789" s="17"/>
      <c r="C789" s="17"/>
      <c r="D789" s="17"/>
      <c r="E789" s="17"/>
      <c r="F789" s="288"/>
      <c r="G789" s="17"/>
      <c r="H789" s="17"/>
      <c r="I789" s="17"/>
      <c r="J789" s="17"/>
      <c r="K789" s="17"/>
      <c r="L789" s="17"/>
      <c r="M789" s="17"/>
      <c r="N789" s="17"/>
      <c r="O789" s="17"/>
      <c r="P789" s="17"/>
      <c r="Q789" s="17"/>
      <c r="R789" s="17"/>
      <c r="S789" s="143"/>
      <c r="T789" s="143"/>
      <c r="U789" s="143"/>
      <c r="V789" s="143"/>
      <c r="W789" s="17"/>
      <c r="X789" s="17"/>
      <c r="Y789" s="17"/>
      <c r="Z789" s="17"/>
      <c r="AA789" s="17"/>
      <c r="AB789" s="17"/>
    </row>
    <row r="790">
      <c r="A790" s="17"/>
      <c r="B790" s="17"/>
      <c r="C790" s="17"/>
      <c r="D790" s="17"/>
      <c r="E790" s="17"/>
      <c r="F790" s="288"/>
      <c r="G790" s="17"/>
      <c r="H790" s="17"/>
      <c r="I790" s="17"/>
      <c r="J790" s="17"/>
      <c r="K790" s="17"/>
      <c r="L790" s="17"/>
      <c r="M790" s="17"/>
      <c r="N790" s="17"/>
      <c r="O790" s="17"/>
      <c r="P790" s="17"/>
      <c r="Q790" s="17"/>
      <c r="R790" s="17"/>
      <c r="S790" s="143"/>
      <c r="T790" s="143"/>
      <c r="U790" s="143"/>
      <c r="V790" s="143"/>
      <c r="W790" s="17"/>
      <c r="X790" s="17"/>
      <c r="Y790" s="17"/>
      <c r="Z790" s="17"/>
      <c r="AA790" s="17"/>
      <c r="AB790" s="17"/>
    </row>
    <row r="791">
      <c r="A791" s="17"/>
      <c r="B791" s="17"/>
      <c r="C791" s="17"/>
      <c r="D791" s="17"/>
      <c r="E791" s="17"/>
      <c r="F791" s="288"/>
      <c r="G791" s="17"/>
      <c r="H791" s="17"/>
      <c r="I791" s="17"/>
      <c r="J791" s="17"/>
      <c r="K791" s="17"/>
      <c r="L791" s="17"/>
      <c r="M791" s="17"/>
      <c r="N791" s="17"/>
      <c r="O791" s="17"/>
      <c r="P791" s="17"/>
      <c r="Q791" s="17"/>
      <c r="R791" s="17"/>
      <c r="S791" s="143"/>
      <c r="T791" s="143"/>
      <c r="U791" s="143"/>
      <c r="V791" s="143"/>
      <c r="W791" s="17"/>
      <c r="X791" s="17"/>
      <c r="Y791" s="17"/>
      <c r="Z791" s="17"/>
      <c r="AA791" s="17"/>
      <c r="AB791" s="17"/>
    </row>
    <row r="792">
      <c r="A792" s="17"/>
      <c r="B792" s="17"/>
      <c r="C792" s="17"/>
      <c r="D792" s="17"/>
      <c r="E792" s="17"/>
      <c r="F792" s="288"/>
      <c r="G792" s="17"/>
      <c r="H792" s="17"/>
      <c r="I792" s="17"/>
      <c r="J792" s="17"/>
      <c r="K792" s="17"/>
      <c r="L792" s="17"/>
      <c r="M792" s="17"/>
      <c r="N792" s="17"/>
      <c r="O792" s="17"/>
      <c r="P792" s="17"/>
      <c r="Q792" s="17"/>
      <c r="R792" s="17"/>
      <c r="S792" s="143"/>
      <c r="T792" s="143"/>
      <c r="U792" s="143"/>
      <c r="V792" s="143"/>
      <c r="W792" s="17"/>
      <c r="X792" s="17"/>
      <c r="Y792" s="17"/>
      <c r="Z792" s="17"/>
      <c r="AA792" s="17"/>
      <c r="AB792" s="17"/>
    </row>
    <row r="793">
      <c r="A793" s="17"/>
      <c r="B793" s="17"/>
      <c r="C793" s="17"/>
      <c r="D793" s="17"/>
      <c r="E793" s="17"/>
      <c r="F793" s="288"/>
      <c r="G793" s="17"/>
      <c r="H793" s="17"/>
      <c r="I793" s="17"/>
      <c r="J793" s="17"/>
      <c r="K793" s="17"/>
      <c r="L793" s="17"/>
      <c r="M793" s="17"/>
      <c r="N793" s="17"/>
      <c r="O793" s="17"/>
      <c r="P793" s="17"/>
      <c r="Q793" s="17"/>
      <c r="R793" s="17"/>
      <c r="S793" s="143"/>
      <c r="T793" s="143"/>
      <c r="U793" s="143"/>
      <c r="V793" s="143"/>
      <c r="W793" s="17"/>
      <c r="X793" s="17"/>
      <c r="Y793" s="17"/>
      <c r="Z793" s="17"/>
      <c r="AA793" s="17"/>
      <c r="AB793" s="17"/>
    </row>
    <row r="794">
      <c r="A794" s="17"/>
      <c r="B794" s="17"/>
      <c r="C794" s="17"/>
      <c r="D794" s="17"/>
      <c r="E794" s="17"/>
      <c r="F794" s="288"/>
      <c r="G794" s="17"/>
      <c r="H794" s="17"/>
      <c r="I794" s="17"/>
      <c r="J794" s="17"/>
      <c r="K794" s="17"/>
      <c r="L794" s="17"/>
      <c r="M794" s="17"/>
      <c r="N794" s="17"/>
      <c r="O794" s="17"/>
      <c r="P794" s="17"/>
      <c r="Q794" s="17"/>
      <c r="R794" s="17"/>
      <c r="S794" s="143"/>
      <c r="T794" s="143"/>
      <c r="U794" s="143"/>
      <c r="V794" s="143"/>
      <c r="W794" s="17"/>
      <c r="X794" s="17"/>
      <c r="Y794" s="17"/>
      <c r="Z794" s="17"/>
      <c r="AA794" s="17"/>
      <c r="AB794" s="17"/>
    </row>
    <row r="795">
      <c r="A795" s="17"/>
      <c r="B795" s="17"/>
      <c r="C795" s="17"/>
      <c r="D795" s="17"/>
      <c r="E795" s="17"/>
      <c r="F795" s="288"/>
      <c r="G795" s="17"/>
      <c r="H795" s="17"/>
      <c r="I795" s="17"/>
      <c r="J795" s="17"/>
      <c r="K795" s="17"/>
      <c r="L795" s="17"/>
      <c r="M795" s="17"/>
      <c r="N795" s="17"/>
      <c r="O795" s="17"/>
      <c r="P795" s="17"/>
      <c r="Q795" s="17"/>
      <c r="R795" s="17"/>
      <c r="S795" s="143"/>
      <c r="T795" s="143"/>
      <c r="U795" s="143"/>
      <c r="V795" s="143"/>
      <c r="W795" s="17"/>
      <c r="X795" s="17"/>
      <c r="Y795" s="17"/>
      <c r="Z795" s="17"/>
      <c r="AA795" s="17"/>
      <c r="AB795" s="17"/>
    </row>
    <row r="796">
      <c r="A796" s="17"/>
      <c r="B796" s="17"/>
      <c r="C796" s="17"/>
      <c r="D796" s="17"/>
      <c r="E796" s="17"/>
      <c r="F796" s="288"/>
      <c r="G796" s="17"/>
      <c r="H796" s="17"/>
      <c r="I796" s="17"/>
      <c r="J796" s="17"/>
      <c r="K796" s="17"/>
      <c r="L796" s="17"/>
      <c r="M796" s="17"/>
      <c r="N796" s="17"/>
      <c r="O796" s="17"/>
      <c r="P796" s="17"/>
      <c r="Q796" s="17"/>
      <c r="R796" s="17"/>
      <c r="S796" s="143"/>
      <c r="T796" s="143"/>
      <c r="U796" s="143"/>
      <c r="V796" s="143"/>
      <c r="W796" s="17"/>
      <c r="X796" s="17"/>
      <c r="Y796" s="17"/>
      <c r="Z796" s="17"/>
      <c r="AA796" s="17"/>
      <c r="AB796" s="17"/>
    </row>
    <row r="797">
      <c r="A797" s="17"/>
      <c r="B797" s="17"/>
      <c r="C797" s="17"/>
      <c r="D797" s="17"/>
      <c r="E797" s="17"/>
      <c r="F797" s="288"/>
      <c r="G797" s="17"/>
      <c r="H797" s="17"/>
      <c r="I797" s="17"/>
      <c r="J797" s="17"/>
      <c r="K797" s="17"/>
      <c r="L797" s="17"/>
      <c r="M797" s="17"/>
      <c r="N797" s="17"/>
      <c r="O797" s="17"/>
      <c r="P797" s="17"/>
      <c r="Q797" s="17"/>
      <c r="R797" s="17"/>
      <c r="S797" s="143"/>
      <c r="T797" s="143"/>
      <c r="U797" s="143"/>
      <c r="V797" s="143"/>
      <c r="W797" s="17"/>
      <c r="X797" s="17"/>
      <c r="Y797" s="17"/>
      <c r="Z797" s="17"/>
      <c r="AA797" s="17"/>
      <c r="AB797" s="17"/>
    </row>
    <row r="798">
      <c r="A798" s="17"/>
      <c r="B798" s="17"/>
      <c r="C798" s="17"/>
      <c r="D798" s="17"/>
      <c r="E798" s="17"/>
      <c r="F798" s="288"/>
      <c r="G798" s="17"/>
      <c r="H798" s="17"/>
      <c r="I798" s="17"/>
      <c r="J798" s="17"/>
      <c r="K798" s="17"/>
      <c r="L798" s="17"/>
      <c r="M798" s="17"/>
      <c r="N798" s="17"/>
      <c r="O798" s="17"/>
      <c r="P798" s="17"/>
      <c r="Q798" s="17"/>
      <c r="R798" s="17"/>
      <c r="S798" s="143"/>
      <c r="T798" s="143"/>
      <c r="U798" s="143"/>
      <c r="V798" s="143"/>
      <c r="W798" s="17"/>
      <c r="X798" s="17"/>
      <c r="Y798" s="17"/>
      <c r="Z798" s="17"/>
      <c r="AA798" s="17"/>
      <c r="AB798" s="17"/>
    </row>
    <row r="799">
      <c r="A799" s="17"/>
      <c r="B799" s="17"/>
      <c r="C799" s="17"/>
      <c r="D799" s="17"/>
      <c r="E799" s="17"/>
      <c r="F799" s="288"/>
      <c r="G799" s="17"/>
      <c r="H799" s="17"/>
      <c r="I799" s="17"/>
      <c r="J799" s="17"/>
      <c r="K799" s="17"/>
      <c r="L799" s="17"/>
      <c r="M799" s="17"/>
      <c r="N799" s="17"/>
      <c r="O799" s="17"/>
      <c r="P799" s="17"/>
      <c r="Q799" s="17"/>
      <c r="R799" s="17"/>
      <c r="S799" s="143"/>
      <c r="T799" s="143"/>
      <c r="U799" s="143"/>
      <c r="V799" s="143"/>
      <c r="W799" s="17"/>
      <c r="X799" s="17"/>
      <c r="Y799" s="17"/>
      <c r="Z799" s="17"/>
      <c r="AA799" s="17"/>
      <c r="AB799" s="17"/>
    </row>
    <row r="800">
      <c r="A800" s="17"/>
      <c r="B800" s="17"/>
      <c r="C800" s="17"/>
      <c r="D800" s="17"/>
      <c r="E800" s="17"/>
      <c r="F800" s="288"/>
      <c r="G800" s="17"/>
      <c r="H800" s="17"/>
      <c r="I800" s="17"/>
      <c r="J800" s="17"/>
      <c r="K800" s="17"/>
      <c r="L800" s="17"/>
      <c r="M800" s="17"/>
      <c r="N800" s="17"/>
      <c r="O800" s="17"/>
      <c r="P800" s="17"/>
      <c r="Q800" s="17"/>
      <c r="R800" s="17"/>
      <c r="S800" s="143"/>
      <c r="T800" s="143"/>
      <c r="U800" s="143"/>
      <c r="V800" s="143"/>
      <c r="W800" s="17"/>
      <c r="X800" s="17"/>
      <c r="Y800" s="17"/>
      <c r="Z800" s="17"/>
      <c r="AA800" s="17"/>
      <c r="AB800" s="17"/>
    </row>
    <row r="801">
      <c r="A801" s="17"/>
      <c r="B801" s="17"/>
      <c r="C801" s="17"/>
      <c r="D801" s="17"/>
      <c r="E801" s="17"/>
      <c r="F801" s="288"/>
      <c r="G801" s="17"/>
      <c r="H801" s="17"/>
      <c r="I801" s="17"/>
      <c r="J801" s="17"/>
      <c r="K801" s="17"/>
      <c r="L801" s="17"/>
      <c r="M801" s="17"/>
      <c r="N801" s="17"/>
      <c r="O801" s="17"/>
      <c r="P801" s="17"/>
      <c r="Q801" s="17"/>
      <c r="R801" s="17"/>
      <c r="S801" s="143"/>
      <c r="T801" s="143"/>
      <c r="U801" s="143"/>
      <c r="V801" s="143"/>
      <c r="W801" s="17"/>
      <c r="X801" s="17"/>
      <c r="Y801" s="17"/>
      <c r="Z801" s="17"/>
      <c r="AA801" s="17"/>
      <c r="AB801" s="17"/>
    </row>
    <row r="802">
      <c r="A802" s="17"/>
      <c r="B802" s="17"/>
      <c r="C802" s="17"/>
      <c r="D802" s="17"/>
      <c r="E802" s="17"/>
      <c r="F802" s="288"/>
      <c r="G802" s="17"/>
      <c r="H802" s="17"/>
      <c r="I802" s="17"/>
      <c r="J802" s="17"/>
      <c r="K802" s="17"/>
      <c r="L802" s="17"/>
      <c r="M802" s="17"/>
      <c r="N802" s="17"/>
      <c r="O802" s="17"/>
      <c r="P802" s="17"/>
      <c r="Q802" s="17"/>
      <c r="R802" s="17"/>
      <c r="S802" s="143"/>
      <c r="T802" s="143"/>
      <c r="U802" s="143"/>
      <c r="V802" s="143"/>
      <c r="W802" s="17"/>
      <c r="X802" s="17"/>
      <c r="Y802" s="17"/>
      <c r="Z802" s="17"/>
      <c r="AA802" s="17"/>
      <c r="AB802" s="17"/>
    </row>
    <row r="803">
      <c r="A803" s="17"/>
      <c r="B803" s="17"/>
      <c r="C803" s="17"/>
      <c r="D803" s="17"/>
      <c r="E803" s="17"/>
      <c r="F803" s="288"/>
      <c r="G803" s="17"/>
      <c r="H803" s="17"/>
      <c r="I803" s="17"/>
      <c r="J803" s="17"/>
      <c r="K803" s="17"/>
      <c r="L803" s="17"/>
      <c r="M803" s="17"/>
      <c r="N803" s="17"/>
      <c r="O803" s="17"/>
      <c r="P803" s="17"/>
      <c r="Q803" s="17"/>
      <c r="R803" s="17"/>
      <c r="S803" s="143"/>
      <c r="T803" s="143"/>
      <c r="U803" s="143"/>
      <c r="V803" s="143"/>
      <c r="W803" s="17"/>
      <c r="X803" s="17"/>
      <c r="Y803" s="17"/>
      <c r="Z803" s="17"/>
      <c r="AA803" s="17"/>
      <c r="AB803" s="17"/>
    </row>
    <row r="804">
      <c r="A804" s="17"/>
      <c r="B804" s="17"/>
      <c r="C804" s="17"/>
      <c r="D804" s="17"/>
      <c r="E804" s="17"/>
      <c r="F804" s="288"/>
      <c r="G804" s="17"/>
      <c r="H804" s="17"/>
      <c r="I804" s="17"/>
      <c r="J804" s="17"/>
      <c r="K804" s="17"/>
      <c r="L804" s="17"/>
      <c r="M804" s="17"/>
      <c r="N804" s="17"/>
      <c r="O804" s="17"/>
      <c r="P804" s="17"/>
      <c r="Q804" s="17"/>
      <c r="R804" s="17"/>
      <c r="S804" s="143"/>
      <c r="T804" s="143"/>
      <c r="U804" s="143"/>
      <c r="V804" s="143"/>
      <c r="W804" s="17"/>
      <c r="X804" s="17"/>
      <c r="Y804" s="17"/>
      <c r="Z804" s="17"/>
      <c r="AA804" s="17"/>
      <c r="AB804" s="17"/>
    </row>
    <row r="805">
      <c r="A805" s="17"/>
      <c r="B805" s="17"/>
      <c r="C805" s="17"/>
      <c r="D805" s="17"/>
      <c r="E805" s="17"/>
      <c r="F805" s="288"/>
      <c r="G805" s="17"/>
      <c r="H805" s="17"/>
      <c r="I805" s="17"/>
      <c r="J805" s="17"/>
      <c r="K805" s="17"/>
      <c r="L805" s="17"/>
      <c r="M805" s="17"/>
      <c r="N805" s="17"/>
      <c r="O805" s="17"/>
      <c r="P805" s="17"/>
      <c r="Q805" s="17"/>
      <c r="R805" s="17"/>
      <c r="S805" s="143"/>
      <c r="T805" s="143"/>
      <c r="U805" s="143"/>
      <c r="V805" s="143"/>
      <c r="W805" s="17"/>
      <c r="X805" s="17"/>
      <c r="Y805" s="17"/>
      <c r="Z805" s="17"/>
      <c r="AA805" s="17"/>
      <c r="AB805" s="17"/>
    </row>
    <row r="806">
      <c r="A806" s="17"/>
      <c r="B806" s="17"/>
      <c r="C806" s="17"/>
      <c r="D806" s="17"/>
      <c r="E806" s="17"/>
      <c r="F806" s="288"/>
      <c r="G806" s="17"/>
      <c r="H806" s="17"/>
      <c r="I806" s="17"/>
      <c r="J806" s="17"/>
      <c r="K806" s="17"/>
      <c r="L806" s="17"/>
      <c r="M806" s="17"/>
      <c r="N806" s="17"/>
      <c r="O806" s="17"/>
      <c r="P806" s="17"/>
      <c r="Q806" s="17"/>
      <c r="R806" s="17"/>
      <c r="S806" s="143"/>
      <c r="T806" s="143"/>
      <c r="U806" s="143"/>
      <c r="V806" s="143"/>
      <c r="W806" s="17"/>
      <c r="X806" s="17"/>
      <c r="Y806" s="17"/>
      <c r="Z806" s="17"/>
      <c r="AA806" s="17"/>
      <c r="AB806" s="17"/>
    </row>
    <row r="807">
      <c r="A807" s="17"/>
      <c r="B807" s="17"/>
      <c r="C807" s="17"/>
      <c r="D807" s="17"/>
      <c r="E807" s="17"/>
      <c r="F807" s="288"/>
      <c r="G807" s="17"/>
      <c r="H807" s="17"/>
      <c r="I807" s="17"/>
      <c r="J807" s="17"/>
      <c r="K807" s="17"/>
      <c r="L807" s="17"/>
      <c r="M807" s="17"/>
      <c r="N807" s="17"/>
      <c r="O807" s="17"/>
      <c r="P807" s="17"/>
      <c r="Q807" s="17"/>
      <c r="R807" s="17"/>
      <c r="S807" s="143"/>
      <c r="T807" s="143"/>
      <c r="U807" s="143"/>
      <c r="V807" s="143"/>
      <c r="W807" s="17"/>
      <c r="X807" s="17"/>
      <c r="Y807" s="17"/>
      <c r="Z807" s="17"/>
      <c r="AA807" s="17"/>
      <c r="AB807" s="17"/>
    </row>
    <row r="808">
      <c r="A808" s="17"/>
      <c r="B808" s="17"/>
      <c r="C808" s="17"/>
      <c r="D808" s="17"/>
      <c r="E808" s="17"/>
      <c r="F808" s="288"/>
      <c r="G808" s="17"/>
      <c r="H808" s="17"/>
      <c r="I808" s="17"/>
      <c r="J808" s="17"/>
      <c r="K808" s="17"/>
      <c r="L808" s="17"/>
      <c r="M808" s="17"/>
      <c r="N808" s="17"/>
      <c r="O808" s="17"/>
      <c r="P808" s="17"/>
      <c r="Q808" s="17"/>
      <c r="R808" s="17"/>
      <c r="S808" s="143"/>
      <c r="T808" s="143"/>
      <c r="U808" s="143"/>
      <c r="V808" s="143"/>
      <c r="W808" s="17"/>
      <c r="X808" s="17"/>
      <c r="Y808" s="17"/>
      <c r="Z808" s="17"/>
      <c r="AA808" s="17"/>
      <c r="AB808" s="17"/>
    </row>
    <row r="809">
      <c r="A809" s="17"/>
      <c r="B809" s="17"/>
      <c r="C809" s="17"/>
      <c r="D809" s="17"/>
      <c r="E809" s="17"/>
      <c r="F809" s="288"/>
      <c r="G809" s="17"/>
      <c r="H809" s="17"/>
      <c r="I809" s="17"/>
      <c r="J809" s="17"/>
      <c r="K809" s="17"/>
      <c r="L809" s="17"/>
      <c r="M809" s="17"/>
      <c r="N809" s="17"/>
      <c r="O809" s="17"/>
      <c r="P809" s="17"/>
      <c r="Q809" s="17"/>
      <c r="R809" s="17"/>
      <c r="S809" s="143"/>
      <c r="T809" s="143"/>
      <c r="U809" s="143"/>
      <c r="V809" s="143"/>
      <c r="W809" s="17"/>
      <c r="X809" s="17"/>
      <c r="Y809" s="17"/>
      <c r="Z809" s="17"/>
      <c r="AA809" s="17"/>
      <c r="AB809" s="17"/>
    </row>
    <row r="810">
      <c r="A810" s="17"/>
      <c r="B810" s="17"/>
      <c r="C810" s="17"/>
      <c r="D810" s="17"/>
      <c r="E810" s="17"/>
      <c r="F810" s="288"/>
      <c r="G810" s="17"/>
      <c r="H810" s="17"/>
      <c r="I810" s="17"/>
      <c r="J810" s="17"/>
      <c r="K810" s="17"/>
      <c r="L810" s="17"/>
      <c r="M810" s="17"/>
      <c r="N810" s="17"/>
      <c r="O810" s="17"/>
      <c r="P810" s="17"/>
      <c r="Q810" s="17"/>
      <c r="R810" s="17"/>
      <c r="S810" s="143"/>
      <c r="T810" s="143"/>
      <c r="U810" s="143"/>
      <c r="V810" s="143"/>
      <c r="W810" s="17"/>
      <c r="X810" s="17"/>
      <c r="Y810" s="17"/>
      <c r="Z810" s="17"/>
      <c r="AA810" s="17"/>
      <c r="AB810" s="17"/>
    </row>
    <row r="811">
      <c r="A811" s="17"/>
      <c r="B811" s="17"/>
      <c r="C811" s="17"/>
      <c r="D811" s="17"/>
      <c r="E811" s="17"/>
      <c r="F811" s="288"/>
      <c r="G811" s="17"/>
      <c r="H811" s="17"/>
      <c r="I811" s="17"/>
      <c r="J811" s="17"/>
      <c r="K811" s="17"/>
      <c r="L811" s="17"/>
      <c r="M811" s="17"/>
      <c r="N811" s="17"/>
      <c r="O811" s="17"/>
      <c r="P811" s="17"/>
      <c r="Q811" s="17"/>
      <c r="R811" s="17"/>
      <c r="S811" s="143"/>
      <c r="T811" s="143"/>
      <c r="U811" s="143"/>
      <c r="V811" s="143"/>
      <c r="W811" s="17"/>
      <c r="X811" s="17"/>
      <c r="Y811" s="17"/>
      <c r="Z811" s="17"/>
      <c r="AA811" s="17"/>
      <c r="AB811" s="17"/>
    </row>
    <row r="812">
      <c r="A812" s="17"/>
      <c r="B812" s="17"/>
      <c r="C812" s="17"/>
      <c r="D812" s="17"/>
      <c r="E812" s="17"/>
      <c r="F812" s="288"/>
      <c r="G812" s="17"/>
      <c r="H812" s="17"/>
      <c r="I812" s="17"/>
      <c r="J812" s="17"/>
      <c r="K812" s="17"/>
      <c r="L812" s="17"/>
      <c r="M812" s="17"/>
      <c r="N812" s="17"/>
      <c r="O812" s="17"/>
      <c r="P812" s="17"/>
      <c r="Q812" s="17"/>
      <c r="R812" s="17"/>
      <c r="S812" s="143"/>
      <c r="T812" s="143"/>
      <c r="U812" s="143"/>
      <c r="V812" s="143"/>
      <c r="W812" s="17"/>
      <c r="X812" s="17"/>
      <c r="Y812" s="17"/>
      <c r="Z812" s="17"/>
      <c r="AA812" s="17"/>
      <c r="AB812" s="17"/>
    </row>
    <row r="813">
      <c r="A813" s="17"/>
      <c r="B813" s="17"/>
      <c r="C813" s="17"/>
      <c r="D813" s="17"/>
      <c r="E813" s="17"/>
      <c r="F813" s="288"/>
      <c r="G813" s="17"/>
      <c r="H813" s="17"/>
      <c r="I813" s="17"/>
      <c r="J813" s="17"/>
      <c r="K813" s="17"/>
      <c r="L813" s="17"/>
      <c r="M813" s="17"/>
      <c r="N813" s="17"/>
      <c r="O813" s="17"/>
      <c r="P813" s="17"/>
      <c r="Q813" s="17"/>
      <c r="R813" s="17"/>
      <c r="S813" s="143"/>
      <c r="T813" s="143"/>
      <c r="U813" s="143"/>
      <c r="V813" s="143"/>
      <c r="W813" s="17"/>
      <c r="X813" s="17"/>
      <c r="Y813" s="17"/>
      <c r="Z813" s="17"/>
      <c r="AA813" s="17"/>
      <c r="AB813" s="17"/>
    </row>
    <row r="814">
      <c r="A814" s="17"/>
      <c r="B814" s="17"/>
      <c r="C814" s="17"/>
      <c r="D814" s="17"/>
      <c r="E814" s="17"/>
      <c r="F814" s="288"/>
      <c r="G814" s="17"/>
      <c r="H814" s="17"/>
      <c r="I814" s="17"/>
      <c r="J814" s="17"/>
      <c r="K814" s="17"/>
      <c r="L814" s="17"/>
      <c r="M814" s="17"/>
      <c r="N814" s="17"/>
      <c r="O814" s="17"/>
      <c r="P814" s="17"/>
      <c r="Q814" s="17"/>
      <c r="R814" s="17"/>
      <c r="S814" s="143"/>
      <c r="T814" s="143"/>
      <c r="U814" s="143"/>
      <c r="V814" s="143"/>
      <c r="W814" s="17"/>
      <c r="X814" s="17"/>
      <c r="Y814" s="17"/>
      <c r="Z814" s="17"/>
      <c r="AA814" s="17"/>
      <c r="AB814" s="17"/>
    </row>
    <row r="815">
      <c r="A815" s="17"/>
      <c r="B815" s="17"/>
      <c r="C815" s="17"/>
      <c r="D815" s="17"/>
      <c r="E815" s="17"/>
      <c r="F815" s="288"/>
      <c r="G815" s="17"/>
      <c r="H815" s="17"/>
      <c r="I815" s="17"/>
      <c r="J815" s="17"/>
      <c r="K815" s="17"/>
      <c r="L815" s="17"/>
      <c r="M815" s="17"/>
      <c r="N815" s="17"/>
      <c r="O815" s="17"/>
      <c r="P815" s="17"/>
      <c r="Q815" s="17"/>
      <c r="R815" s="17"/>
      <c r="S815" s="143"/>
      <c r="T815" s="143"/>
      <c r="U815" s="143"/>
      <c r="V815" s="143"/>
      <c r="W815" s="17"/>
      <c r="X815" s="17"/>
      <c r="Y815" s="17"/>
      <c r="Z815" s="17"/>
      <c r="AA815" s="17"/>
      <c r="AB815" s="17"/>
    </row>
    <row r="816">
      <c r="A816" s="17"/>
      <c r="B816" s="17"/>
      <c r="C816" s="17"/>
      <c r="D816" s="17"/>
      <c r="E816" s="17"/>
      <c r="F816" s="288"/>
      <c r="G816" s="17"/>
      <c r="H816" s="17"/>
      <c r="I816" s="17"/>
      <c r="J816" s="17"/>
      <c r="K816" s="17"/>
      <c r="L816" s="17"/>
      <c r="M816" s="17"/>
      <c r="N816" s="17"/>
      <c r="O816" s="17"/>
      <c r="P816" s="17"/>
      <c r="Q816" s="17"/>
      <c r="R816" s="17"/>
      <c r="S816" s="143"/>
      <c r="T816" s="143"/>
      <c r="U816" s="143"/>
      <c r="V816" s="143"/>
      <c r="W816" s="17"/>
      <c r="X816" s="17"/>
      <c r="Y816" s="17"/>
      <c r="Z816" s="17"/>
      <c r="AA816" s="17"/>
      <c r="AB816" s="17"/>
    </row>
    <row r="817">
      <c r="A817" s="17"/>
      <c r="B817" s="17"/>
      <c r="C817" s="17"/>
      <c r="D817" s="17"/>
      <c r="E817" s="17"/>
      <c r="F817" s="288"/>
      <c r="G817" s="17"/>
      <c r="H817" s="17"/>
      <c r="I817" s="17"/>
      <c r="J817" s="17"/>
      <c r="K817" s="17"/>
      <c r="L817" s="17"/>
      <c r="M817" s="17"/>
      <c r="N817" s="17"/>
      <c r="O817" s="17"/>
      <c r="P817" s="17"/>
      <c r="Q817" s="17"/>
      <c r="R817" s="17"/>
      <c r="S817" s="143"/>
      <c r="T817" s="143"/>
      <c r="U817" s="143"/>
      <c r="V817" s="143"/>
      <c r="W817" s="17"/>
      <c r="X817" s="17"/>
      <c r="Y817" s="17"/>
      <c r="Z817" s="17"/>
      <c r="AA817" s="17"/>
      <c r="AB817" s="17"/>
    </row>
    <row r="818">
      <c r="A818" s="17"/>
      <c r="B818" s="17"/>
      <c r="C818" s="17"/>
      <c r="D818" s="17"/>
      <c r="E818" s="17"/>
      <c r="F818" s="288"/>
      <c r="G818" s="17"/>
      <c r="H818" s="17"/>
      <c r="I818" s="17"/>
      <c r="J818" s="17"/>
      <c r="K818" s="17"/>
      <c r="L818" s="17"/>
      <c r="M818" s="17"/>
      <c r="N818" s="17"/>
      <c r="O818" s="17"/>
      <c r="P818" s="17"/>
      <c r="Q818" s="17"/>
      <c r="R818" s="17"/>
      <c r="S818" s="143"/>
      <c r="T818" s="143"/>
      <c r="U818" s="143"/>
      <c r="V818" s="143"/>
      <c r="W818" s="17"/>
      <c r="X818" s="17"/>
      <c r="Y818" s="17"/>
      <c r="Z818" s="17"/>
      <c r="AA818" s="17"/>
      <c r="AB818" s="17"/>
    </row>
    <row r="819">
      <c r="A819" s="17"/>
      <c r="B819" s="17"/>
      <c r="C819" s="17"/>
      <c r="D819" s="17"/>
      <c r="E819" s="17"/>
      <c r="F819" s="288"/>
      <c r="G819" s="17"/>
      <c r="H819" s="17"/>
      <c r="I819" s="17"/>
      <c r="J819" s="17"/>
      <c r="K819" s="17"/>
      <c r="L819" s="17"/>
      <c r="M819" s="17"/>
      <c r="N819" s="17"/>
      <c r="O819" s="17"/>
      <c r="P819" s="17"/>
      <c r="Q819" s="17"/>
      <c r="R819" s="17"/>
      <c r="S819" s="143"/>
      <c r="T819" s="143"/>
      <c r="U819" s="143"/>
      <c r="V819" s="143"/>
      <c r="W819" s="17"/>
      <c r="X819" s="17"/>
      <c r="Y819" s="17"/>
      <c r="Z819" s="17"/>
      <c r="AA819" s="17"/>
      <c r="AB819" s="17"/>
    </row>
    <row r="820">
      <c r="A820" s="17"/>
      <c r="B820" s="17"/>
      <c r="C820" s="17"/>
      <c r="D820" s="17"/>
      <c r="E820" s="17"/>
      <c r="F820" s="288"/>
      <c r="G820" s="17"/>
      <c r="H820" s="17"/>
      <c r="I820" s="17"/>
      <c r="J820" s="17"/>
      <c r="K820" s="17"/>
      <c r="L820" s="17"/>
      <c r="M820" s="17"/>
      <c r="N820" s="17"/>
      <c r="O820" s="17"/>
      <c r="P820" s="17"/>
      <c r="Q820" s="17"/>
      <c r="R820" s="17"/>
      <c r="S820" s="143"/>
      <c r="T820" s="143"/>
      <c r="U820" s="143"/>
      <c r="V820" s="143"/>
      <c r="W820" s="17"/>
      <c r="X820" s="17"/>
      <c r="Y820" s="17"/>
      <c r="Z820" s="17"/>
      <c r="AA820" s="17"/>
      <c r="AB820" s="17"/>
    </row>
    <row r="821">
      <c r="A821" s="17"/>
      <c r="B821" s="17"/>
      <c r="C821" s="17"/>
      <c r="D821" s="17"/>
      <c r="E821" s="17"/>
      <c r="F821" s="288"/>
      <c r="G821" s="17"/>
      <c r="H821" s="17"/>
      <c r="I821" s="17"/>
      <c r="J821" s="17"/>
      <c r="K821" s="17"/>
      <c r="L821" s="17"/>
      <c r="M821" s="17"/>
      <c r="N821" s="17"/>
      <c r="O821" s="17"/>
      <c r="P821" s="17"/>
      <c r="Q821" s="17"/>
      <c r="R821" s="17"/>
      <c r="S821" s="143"/>
      <c r="T821" s="143"/>
      <c r="U821" s="143"/>
      <c r="V821" s="143"/>
      <c r="W821" s="17"/>
      <c r="X821" s="17"/>
      <c r="Y821" s="17"/>
      <c r="Z821" s="17"/>
      <c r="AA821" s="17"/>
      <c r="AB821" s="17"/>
    </row>
    <row r="822">
      <c r="A822" s="17"/>
      <c r="B822" s="17"/>
      <c r="C822" s="17"/>
      <c r="D822" s="17"/>
      <c r="E822" s="17"/>
      <c r="F822" s="288"/>
      <c r="G822" s="17"/>
      <c r="H822" s="17"/>
      <c r="I822" s="17"/>
      <c r="J822" s="17"/>
      <c r="K822" s="17"/>
      <c r="L822" s="17"/>
      <c r="M822" s="17"/>
      <c r="N822" s="17"/>
      <c r="O822" s="17"/>
      <c r="P822" s="17"/>
      <c r="Q822" s="17"/>
      <c r="R822" s="17"/>
      <c r="S822" s="143"/>
      <c r="T822" s="143"/>
      <c r="U822" s="143"/>
      <c r="V822" s="143"/>
      <c r="W822" s="17"/>
      <c r="X822" s="17"/>
      <c r="Y822" s="17"/>
      <c r="Z822" s="17"/>
      <c r="AA822" s="17"/>
      <c r="AB822" s="17"/>
    </row>
    <row r="823">
      <c r="A823" s="17"/>
      <c r="B823" s="17"/>
      <c r="C823" s="17"/>
      <c r="D823" s="17"/>
      <c r="E823" s="17"/>
      <c r="F823" s="288"/>
      <c r="G823" s="17"/>
      <c r="H823" s="17"/>
      <c r="I823" s="17"/>
      <c r="J823" s="17"/>
      <c r="K823" s="17"/>
      <c r="L823" s="17"/>
      <c r="M823" s="17"/>
      <c r="N823" s="17"/>
      <c r="O823" s="17"/>
      <c r="P823" s="17"/>
      <c r="Q823" s="17"/>
      <c r="R823" s="17"/>
      <c r="S823" s="143"/>
      <c r="T823" s="143"/>
      <c r="U823" s="143"/>
      <c r="V823" s="143"/>
      <c r="W823" s="17"/>
      <c r="X823" s="17"/>
      <c r="Y823" s="17"/>
      <c r="Z823" s="17"/>
      <c r="AA823" s="17"/>
      <c r="AB823" s="17"/>
    </row>
    <row r="824">
      <c r="A824" s="17"/>
      <c r="B824" s="17"/>
      <c r="C824" s="17"/>
      <c r="D824" s="17"/>
      <c r="E824" s="17"/>
      <c r="F824" s="288"/>
      <c r="G824" s="17"/>
      <c r="H824" s="17"/>
      <c r="I824" s="17"/>
      <c r="J824" s="17"/>
      <c r="K824" s="17"/>
      <c r="L824" s="17"/>
      <c r="M824" s="17"/>
      <c r="N824" s="17"/>
      <c r="O824" s="17"/>
      <c r="P824" s="17"/>
      <c r="Q824" s="17"/>
      <c r="R824" s="17"/>
      <c r="S824" s="143"/>
      <c r="T824" s="143"/>
      <c r="U824" s="143"/>
      <c r="V824" s="143"/>
      <c r="W824" s="17"/>
      <c r="X824" s="17"/>
      <c r="Y824" s="17"/>
      <c r="Z824" s="17"/>
      <c r="AA824" s="17"/>
      <c r="AB824" s="17"/>
    </row>
    <row r="825">
      <c r="A825" s="17"/>
      <c r="B825" s="17"/>
      <c r="C825" s="17"/>
      <c r="D825" s="17"/>
      <c r="E825" s="17"/>
      <c r="F825" s="288"/>
      <c r="G825" s="17"/>
      <c r="H825" s="17"/>
      <c r="I825" s="17"/>
      <c r="J825" s="17"/>
      <c r="K825" s="17"/>
      <c r="L825" s="17"/>
      <c r="M825" s="17"/>
      <c r="N825" s="17"/>
      <c r="O825" s="17"/>
      <c r="P825" s="17"/>
      <c r="Q825" s="17"/>
      <c r="R825" s="17"/>
      <c r="S825" s="143"/>
      <c r="T825" s="143"/>
      <c r="U825" s="143"/>
      <c r="V825" s="143"/>
      <c r="W825" s="17"/>
      <c r="X825" s="17"/>
      <c r="Y825" s="17"/>
      <c r="Z825" s="17"/>
      <c r="AA825" s="17"/>
      <c r="AB825" s="17"/>
    </row>
    <row r="826">
      <c r="A826" s="17"/>
      <c r="B826" s="17"/>
      <c r="C826" s="17"/>
      <c r="D826" s="17"/>
      <c r="E826" s="17"/>
      <c r="F826" s="288"/>
      <c r="G826" s="17"/>
      <c r="H826" s="17"/>
      <c r="I826" s="17"/>
      <c r="J826" s="17"/>
      <c r="K826" s="17"/>
      <c r="L826" s="17"/>
      <c r="M826" s="17"/>
      <c r="N826" s="17"/>
      <c r="O826" s="17"/>
      <c r="P826" s="17"/>
      <c r="Q826" s="17"/>
      <c r="R826" s="17"/>
      <c r="S826" s="143"/>
      <c r="T826" s="143"/>
      <c r="U826" s="143"/>
      <c r="V826" s="143"/>
      <c r="W826" s="17"/>
      <c r="X826" s="17"/>
      <c r="Y826" s="17"/>
      <c r="Z826" s="17"/>
      <c r="AA826" s="17"/>
      <c r="AB826" s="17"/>
    </row>
    <row r="827">
      <c r="A827" s="17"/>
      <c r="B827" s="17"/>
      <c r="C827" s="17"/>
      <c r="D827" s="17"/>
      <c r="E827" s="17"/>
      <c r="F827" s="288"/>
      <c r="G827" s="17"/>
      <c r="H827" s="17"/>
      <c r="I827" s="17"/>
      <c r="J827" s="17"/>
      <c r="K827" s="17"/>
      <c r="L827" s="17"/>
      <c r="M827" s="17"/>
      <c r="N827" s="17"/>
      <c r="O827" s="17"/>
      <c r="P827" s="17"/>
      <c r="Q827" s="17"/>
      <c r="R827" s="17"/>
      <c r="S827" s="143"/>
      <c r="T827" s="143"/>
      <c r="U827" s="143"/>
      <c r="V827" s="143"/>
      <c r="W827" s="17"/>
      <c r="X827" s="17"/>
      <c r="Y827" s="17"/>
      <c r="Z827" s="17"/>
      <c r="AA827" s="17"/>
      <c r="AB827" s="17"/>
    </row>
    <row r="828">
      <c r="A828" s="17"/>
      <c r="B828" s="17"/>
      <c r="C828" s="17"/>
      <c r="D828" s="17"/>
      <c r="E828" s="17"/>
      <c r="F828" s="288"/>
      <c r="G828" s="17"/>
      <c r="H828" s="17"/>
      <c r="I828" s="17"/>
      <c r="J828" s="17"/>
      <c r="K828" s="17"/>
      <c r="L828" s="17"/>
      <c r="M828" s="17"/>
      <c r="N828" s="17"/>
      <c r="O828" s="17"/>
      <c r="P828" s="17"/>
      <c r="Q828" s="17"/>
      <c r="R828" s="17"/>
      <c r="S828" s="143"/>
      <c r="T828" s="143"/>
      <c r="U828" s="143"/>
      <c r="V828" s="143"/>
      <c r="W828" s="17"/>
      <c r="X828" s="17"/>
      <c r="Y828" s="17"/>
      <c r="Z828" s="17"/>
      <c r="AA828" s="17"/>
      <c r="AB828" s="17"/>
    </row>
    <row r="829">
      <c r="A829" s="17"/>
      <c r="B829" s="17"/>
      <c r="C829" s="17"/>
      <c r="D829" s="17"/>
      <c r="E829" s="17"/>
      <c r="F829" s="288"/>
      <c r="G829" s="17"/>
      <c r="H829" s="17"/>
      <c r="I829" s="17"/>
      <c r="J829" s="17"/>
      <c r="K829" s="17"/>
      <c r="L829" s="17"/>
      <c r="M829" s="17"/>
      <c r="N829" s="17"/>
      <c r="O829" s="17"/>
      <c r="P829" s="17"/>
      <c r="Q829" s="17"/>
      <c r="R829" s="17"/>
      <c r="S829" s="143"/>
      <c r="T829" s="143"/>
      <c r="U829" s="143"/>
      <c r="V829" s="143"/>
      <c r="W829" s="17"/>
      <c r="X829" s="17"/>
      <c r="Y829" s="17"/>
      <c r="Z829" s="17"/>
      <c r="AA829" s="17"/>
      <c r="AB829" s="17"/>
    </row>
    <row r="830">
      <c r="A830" s="17"/>
      <c r="B830" s="17"/>
      <c r="C830" s="17"/>
      <c r="D830" s="17"/>
      <c r="E830" s="17"/>
      <c r="F830" s="288"/>
      <c r="G830" s="17"/>
      <c r="H830" s="17"/>
      <c r="I830" s="17"/>
      <c r="J830" s="17"/>
      <c r="K830" s="17"/>
      <c r="L830" s="17"/>
      <c r="M830" s="17"/>
      <c r="N830" s="17"/>
      <c r="O830" s="17"/>
      <c r="P830" s="17"/>
      <c r="Q830" s="17"/>
      <c r="R830" s="17"/>
      <c r="S830" s="143"/>
      <c r="T830" s="143"/>
      <c r="U830" s="143"/>
      <c r="V830" s="143"/>
      <c r="W830" s="17"/>
      <c r="X830" s="17"/>
      <c r="Y830" s="17"/>
      <c r="Z830" s="17"/>
      <c r="AA830" s="17"/>
      <c r="AB830" s="17"/>
    </row>
    <row r="831">
      <c r="A831" s="17"/>
      <c r="B831" s="17"/>
      <c r="C831" s="17"/>
      <c r="D831" s="17"/>
      <c r="E831" s="17"/>
      <c r="F831" s="288"/>
      <c r="G831" s="17"/>
      <c r="H831" s="17"/>
      <c r="I831" s="17"/>
      <c r="J831" s="17"/>
      <c r="K831" s="17"/>
      <c r="L831" s="17"/>
      <c r="M831" s="17"/>
      <c r="N831" s="17"/>
      <c r="O831" s="17"/>
      <c r="P831" s="17"/>
      <c r="Q831" s="17"/>
      <c r="R831" s="17"/>
      <c r="S831" s="143"/>
      <c r="T831" s="143"/>
      <c r="U831" s="143"/>
      <c r="V831" s="143"/>
      <c r="W831" s="17"/>
      <c r="X831" s="17"/>
      <c r="Y831" s="17"/>
      <c r="Z831" s="17"/>
      <c r="AA831" s="17"/>
      <c r="AB831" s="17"/>
    </row>
    <row r="832">
      <c r="A832" s="17"/>
      <c r="B832" s="17"/>
      <c r="C832" s="17"/>
      <c r="D832" s="17"/>
      <c r="E832" s="17"/>
      <c r="F832" s="288"/>
      <c r="G832" s="17"/>
      <c r="H832" s="17"/>
      <c r="I832" s="17"/>
      <c r="J832" s="17"/>
      <c r="K832" s="17"/>
      <c r="L832" s="17"/>
      <c r="M832" s="17"/>
      <c r="N832" s="17"/>
      <c r="O832" s="17"/>
      <c r="P832" s="17"/>
      <c r="Q832" s="17"/>
      <c r="R832" s="17"/>
      <c r="S832" s="143"/>
      <c r="T832" s="143"/>
      <c r="U832" s="143"/>
      <c r="V832" s="143"/>
      <c r="W832" s="17"/>
      <c r="X832" s="17"/>
      <c r="Y832" s="17"/>
      <c r="Z832" s="17"/>
      <c r="AA832" s="17"/>
      <c r="AB832" s="17"/>
    </row>
    <row r="833">
      <c r="A833" s="17"/>
      <c r="B833" s="17"/>
      <c r="C833" s="17"/>
      <c r="D833" s="17"/>
      <c r="E833" s="17"/>
      <c r="F833" s="288"/>
      <c r="G833" s="17"/>
      <c r="H833" s="17"/>
      <c r="I833" s="17"/>
      <c r="J833" s="17"/>
      <c r="K833" s="17"/>
      <c r="L833" s="17"/>
      <c r="M833" s="17"/>
      <c r="N833" s="17"/>
      <c r="O833" s="17"/>
      <c r="P833" s="17"/>
      <c r="Q833" s="17"/>
      <c r="R833" s="17"/>
      <c r="S833" s="143"/>
      <c r="T833" s="143"/>
      <c r="U833" s="143"/>
      <c r="V833" s="143"/>
      <c r="W833" s="17"/>
      <c r="X833" s="17"/>
      <c r="Y833" s="17"/>
      <c r="Z833" s="17"/>
      <c r="AA833" s="17"/>
      <c r="AB833" s="17"/>
    </row>
    <row r="834">
      <c r="A834" s="17"/>
      <c r="B834" s="17"/>
      <c r="C834" s="17"/>
      <c r="D834" s="17"/>
      <c r="E834" s="17"/>
      <c r="F834" s="288"/>
      <c r="G834" s="17"/>
      <c r="H834" s="17"/>
      <c r="I834" s="17"/>
      <c r="J834" s="17"/>
      <c r="K834" s="17"/>
      <c r="L834" s="17"/>
      <c r="M834" s="17"/>
      <c r="N834" s="17"/>
      <c r="O834" s="17"/>
      <c r="P834" s="17"/>
      <c r="Q834" s="17"/>
      <c r="R834" s="17"/>
      <c r="S834" s="143"/>
      <c r="T834" s="143"/>
      <c r="U834" s="143"/>
      <c r="V834" s="143"/>
      <c r="W834" s="17"/>
      <c r="X834" s="17"/>
      <c r="Y834" s="17"/>
      <c r="Z834" s="17"/>
      <c r="AA834" s="17"/>
      <c r="AB834" s="17"/>
    </row>
    <row r="835">
      <c r="A835" s="17"/>
      <c r="B835" s="17"/>
      <c r="C835" s="17"/>
      <c r="D835" s="17"/>
      <c r="E835" s="17"/>
      <c r="F835" s="288"/>
      <c r="G835" s="17"/>
      <c r="H835" s="17"/>
      <c r="I835" s="17"/>
      <c r="J835" s="17"/>
      <c r="K835" s="17"/>
      <c r="L835" s="17"/>
      <c r="M835" s="17"/>
      <c r="N835" s="17"/>
      <c r="O835" s="17"/>
      <c r="P835" s="17"/>
      <c r="Q835" s="17"/>
      <c r="R835" s="17"/>
      <c r="S835" s="143"/>
      <c r="T835" s="143"/>
      <c r="U835" s="143"/>
      <c r="V835" s="143"/>
      <c r="W835" s="17"/>
      <c r="X835" s="17"/>
      <c r="Y835" s="17"/>
      <c r="Z835" s="17"/>
      <c r="AA835" s="17"/>
      <c r="AB835" s="17"/>
    </row>
    <row r="836">
      <c r="A836" s="17"/>
      <c r="B836" s="17"/>
      <c r="C836" s="17"/>
      <c r="D836" s="17"/>
      <c r="E836" s="17"/>
      <c r="F836" s="288"/>
      <c r="G836" s="17"/>
      <c r="H836" s="17"/>
      <c r="I836" s="17"/>
      <c r="J836" s="17"/>
      <c r="K836" s="17"/>
      <c r="L836" s="17"/>
      <c r="M836" s="17"/>
      <c r="N836" s="17"/>
      <c r="O836" s="17"/>
      <c r="P836" s="17"/>
      <c r="Q836" s="17"/>
      <c r="R836" s="17"/>
      <c r="S836" s="143"/>
      <c r="T836" s="143"/>
      <c r="U836" s="143"/>
      <c r="V836" s="143"/>
      <c r="W836" s="17"/>
      <c r="X836" s="17"/>
      <c r="Y836" s="17"/>
      <c r="Z836" s="17"/>
      <c r="AA836" s="17"/>
      <c r="AB836" s="17"/>
    </row>
    <row r="837">
      <c r="A837" s="17"/>
      <c r="B837" s="17"/>
      <c r="C837" s="17"/>
      <c r="D837" s="17"/>
      <c r="E837" s="17"/>
      <c r="F837" s="288"/>
      <c r="G837" s="17"/>
      <c r="H837" s="17"/>
      <c r="I837" s="17"/>
      <c r="J837" s="17"/>
      <c r="K837" s="17"/>
      <c r="L837" s="17"/>
      <c r="M837" s="17"/>
      <c r="N837" s="17"/>
      <c r="O837" s="17"/>
      <c r="P837" s="17"/>
      <c r="Q837" s="17"/>
      <c r="R837" s="17"/>
      <c r="S837" s="143"/>
      <c r="T837" s="143"/>
      <c r="U837" s="143"/>
      <c r="V837" s="143"/>
      <c r="W837" s="17"/>
      <c r="X837" s="17"/>
      <c r="Y837" s="17"/>
      <c r="Z837" s="17"/>
      <c r="AA837" s="17"/>
      <c r="AB837" s="17"/>
    </row>
    <row r="838">
      <c r="A838" s="17"/>
      <c r="B838" s="17"/>
      <c r="C838" s="17"/>
      <c r="D838" s="17"/>
      <c r="E838" s="17"/>
      <c r="F838" s="288"/>
      <c r="G838" s="17"/>
      <c r="H838" s="17"/>
      <c r="I838" s="17"/>
      <c r="J838" s="17"/>
      <c r="K838" s="17"/>
      <c r="L838" s="17"/>
      <c r="M838" s="17"/>
      <c r="N838" s="17"/>
      <c r="O838" s="17"/>
      <c r="P838" s="17"/>
      <c r="Q838" s="17"/>
      <c r="R838" s="17"/>
      <c r="S838" s="143"/>
      <c r="T838" s="143"/>
      <c r="U838" s="143"/>
      <c r="V838" s="143"/>
      <c r="W838" s="17"/>
      <c r="X838" s="17"/>
      <c r="Y838" s="17"/>
      <c r="Z838" s="17"/>
      <c r="AA838" s="17"/>
      <c r="AB838" s="17"/>
    </row>
    <row r="839">
      <c r="A839" s="17"/>
      <c r="B839" s="17"/>
      <c r="C839" s="17"/>
      <c r="D839" s="17"/>
      <c r="E839" s="17"/>
      <c r="F839" s="288"/>
      <c r="G839" s="17"/>
      <c r="H839" s="17"/>
      <c r="I839" s="17"/>
      <c r="J839" s="17"/>
      <c r="K839" s="17"/>
      <c r="L839" s="17"/>
      <c r="M839" s="17"/>
      <c r="N839" s="17"/>
      <c r="O839" s="17"/>
      <c r="P839" s="17"/>
      <c r="Q839" s="17"/>
      <c r="R839" s="17"/>
      <c r="S839" s="143"/>
      <c r="T839" s="143"/>
      <c r="U839" s="143"/>
      <c r="V839" s="143"/>
      <c r="W839" s="17"/>
      <c r="X839" s="17"/>
      <c r="Y839" s="17"/>
      <c r="Z839" s="17"/>
      <c r="AA839" s="17"/>
      <c r="AB839" s="17"/>
    </row>
    <row r="840">
      <c r="A840" s="17"/>
      <c r="B840" s="17"/>
      <c r="C840" s="17"/>
      <c r="D840" s="17"/>
      <c r="E840" s="17"/>
      <c r="F840" s="288"/>
      <c r="G840" s="17"/>
      <c r="H840" s="17"/>
      <c r="I840" s="17"/>
      <c r="J840" s="17"/>
      <c r="K840" s="17"/>
      <c r="L840" s="17"/>
      <c r="M840" s="17"/>
      <c r="N840" s="17"/>
      <c r="O840" s="17"/>
      <c r="P840" s="17"/>
      <c r="Q840" s="17"/>
      <c r="R840" s="17"/>
      <c r="S840" s="143"/>
      <c r="T840" s="143"/>
      <c r="U840" s="143"/>
      <c r="V840" s="143"/>
      <c r="W840" s="17"/>
      <c r="X840" s="17"/>
      <c r="Y840" s="17"/>
      <c r="Z840" s="17"/>
      <c r="AA840" s="17"/>
      <c r="AB840" s="17"/>
    </row>
    <row r="841">
      <c r="A841" s="17"/>
      <c r="B841" s="17"/>
      <c r="C841" s="17"/>
      <c r="D841" s="17"/>
      <c r="E841" s="17"/>
      <c r="F841" s="288"/>
      <c r="G841" s="17"/>
      <c r="H841" s="17"/>
      <c r="I841" s="17"/>
      <c r="J841" s="17"/>
      <c r="K841" s="17"/>
      <c r="L841" s="17"/>
      <c r="M841" s="17"/>
      <c r="N841" s="17"/>
      <c r="O841" s="17"/>
      <c r="P841" s="17"/>
      <c r="Q841" s="17"/>
      <c r="R841" s="17"/>
      <c r="S841" s="143"/>
      <c r="T841" s="143"/>
      <c r="U841" s="143"/>
      <c r="V841" s="143"/>
      <c r="W841" s="17"/>
      <c r="X841" s="17"/>
      <c r="Y841" s="17"/>
      <c r="Z841" s="17"/>
      <c r="AA841" s="17"/>
      <c r="AB841" s="17"/>
    </row>
    <row r="842">
      <c r="A842" s="17"/>
      <c r="B842" s="17"/>
      <c r="C842" s="17"/>
      <c r="D842" s="17"/>
      <c r="E842" s="17"/>
      <c r="F842" s="288"/>
      <c r="G842" s="17"/>
      <c r="H842" s="17"/>
      <c r="I842" s="17"/>
      <c r="J842" s="17"/>
      <c r="K842" s="17"/>
      <c r="L842" s="17"/>
      <c r="M842" s="17"/>
      <c r="N842" s="17"/>
      <c r="O842" s="17"/>
      <c r="P842" s="17"/>
      <c r="Q842" s="17"/>
      <c r="R842" s="17"/>
      <c r="S842" s="143"/>
      <c r="T842" s="143"/>
      <c r="U842" s="143"/>
      <c r="V842" s="143"/>
      <c r="W842" s="17"/>
      <c r="X842" s="17"/>
      <c r="Y842" s="17"/>
      <c r="Z842" s="17"/>
      <c r="AA842" s="17"/>
      <c r="AB842" s="17"/>
    </row>
    <row r="843">
      <c r="A843" s="17"/>
      <c r="B843" s="17"/>
      <c r="C843" s="17"/>
      <c r="D843" s="17"/>
      <c r="E843" s="17"/>
      <c r="F843" s="288"/>
      <c r="G843" s="17"/>
      <c r="H843" s="17"/>
      <c r="I843" s="17"/>
      <c r="J843" s="17"/>
      <c r="K843" s="17"/>
      <c r="L843" s="17"/>
      <c r="M843" s="17"/>
      <c r="N843" s="17"/>
      <c r="O843" s="17"/>
      <c r="P843" s="17"/>
      <c r="Q843" s="17"/>
      <c r="R843" s="17"/>
      <c r="S843" s="143"/>
      <c r="T843" s="143"/>
      <c r="U843" s="143"/>
      <c r="V843" s="143"/>
      <c r="W843" s="17"/>
      <c r="X843" s="17"/>
      <c r="Y843" s="17"/>
      <c r="Z843" s="17"/>
      <c r="AA843" s="17"/>
      <c r="AB843" s="17"/>
    </row>
    <row r="844">
      <c r="A844" s="17"/>
      <c r="B844" s="17"/>
      <c r="C844" s="17"/>
      <c r="D844" s="17"/>
      <c r="E844" s="17"/>
      <c r="F844" s="288"/>
      <c r="G844" s="17"/>
      <c r="H844" s="17"/>
      <c r="I844" s="17"/>
      <c r="J844" s="17"/>
      <c r="K844" s="17"/>
      <c r="L844" s="17"/>
      <c r="M844" s="17"/>
      <c r="N844" s="17"/>
      <c r="O844" s="17"/>
      <c r="P844" s="17"/>
      <c r="Q844" s="17"/>
      <c r="R844" s="17"/>
      <c r="S844" s="143"/>
      <c r="T844" s="143"/>
      <c r="U844" s="143"/>
      <c r="V844" s="143"/>
      <c r="W844" s="17"/>
      <c r="X844" s="17"/>
      <c r="Y844" s="17"/>
      <c r="Z844" s="17"/>
      <c r="AA844" s="17"/>
      <c r="AB844" s="17"/>
    </row>
    <row r="845">
      <c r="A845" s="17"/>
      <c r="B845" s="17"/>
      <c r="C845" s="17"/>
      <c r="D845" s="17"/>
      <c r="E845" s="17"/>
      <c r="F845" s="288"/>
      <c r="G845" s="17"/>
      <c r="H845" s="17"/>
      <c r="I845" s="17"/>
      <c r="J845" s="17"/>
      <c r="K845" s="17"/>
      <c r="L845" s="17"/>
      <c r="M845" s="17"/>
      <c r="N845" s="17"/>
      <c r="O845" s="17"/>
      <c r="P845" s="17"/>
      <c r="Q845" s="17"/>
      <c r="R845" s="17"/>
      <c r="S845" s="143"/>
      <c r="T845" s="143"/>
      <c r="U845" s="143"/>
      <c r="V845" s="143"/>
      <c r="W845" s="17"/>
      <c r="X845" s="17"/>
      <c r="Y845" s="17"/>
      <c r="Z845" s="17"/>
      <c r="AA845" s="17"/>
      <c r="AB845" s="17"/>
    </row>
    <row r="846">
      <c r="A846" s="17"/>
      <c r="B846" s="17"/>
      <c r="C846" s="17"/>
      <c r="D846" s="17"/>
      <c r="E846" s="17"/>
      <c r="F846" s="288"/>
      <c r="G846" s="17"/>
      <c r="H846" s="17"/>
      <c r="I846" s="17"/>
      <c r="J846" s="17"/>
      <c r="K846" s="17"/>
      <c r="L846" s="17"/>
      <c r="M846" s="17"/>
      <c r="N846" s="17"/>
      <c r="O846" s="17"/>
      <c r="P846" s="17"/>
      <c r="Q846" s="17"/>
      <c r="R846" s="17"/>
      <c r="S846" s="143"/>
      <c r="T846" s="143"/>
      <c r="U846" s="143"/>
      <c r="V846" s="143"/>
      <c r="W846" s="17"/>
      <c r="X846" s="17"/>
      <c r="Y846" s="17"/>
      <c r="Z846" s="17"/>
      <c r="AA846" s="17"/>
      <c r="AB846" s="17"/>
    </row>
    <row r="847">
      <c r="A847" s="17"/>
      <c r="B847" s="17"/>
      <c r="C847" s="17"/>
      <c r="D847" s="17"/>
      <c r="E847" s="17"/>
      <c r="F847" s="288"/>
      <c r="G847" s="17"/>
      <c r="H847" s="17"/>
      <c r="I847" s="17"/>
      <c r="J847" s="17"/>
      <c r="K847" s="17"/>
      <c r="L847" s="17"/>
      <c r="M847" s="17"/>
      <c r="N847" s="17"/>
      <c r="O847" s="17"/>
      <c r="P847" s="17"/>
      <c r="Q847" s="17"/>
      <c r="R847" s="17"/>
      <c r="S847" s="143"/>
      <c r="T847" s="143"/>
      <c r="U847" s="143"/>
      <c r="V847" s="143"/>
      <c r="W847" s="17"/>
      <c r="X847" s="17"/>
      <c r="Y847" s="17"/>
      <c r="Z847" s="17"/>
      <c r="AA847" s="17"/>
      <c r="AB847" s="17"/>
    </row>
    <row r="848">
      <c r="A848" s="17"/>
      <c r="B848" s="17"/>
      <c r="C848" s="17"/>
      <c r="D848" s="17"/>
      <c r="E848" s="17"/>
      <c r="F848" s="288"/>
      <c r="G848" s="17"/>
      <c r="H848" s="17"/>
      <c r="I848" s="17"/>
      <c r="J848" s="17"/>
      <c r="K848" s="17"/>
      <c r="L848" s="17"/>
      <c r="M848" s="17"/>
      <c r="N848" s="17"/>
      <c r="O848" s="17"/>
      <c r="P848" s="17"/>
      <c r="Q848" s="17"/>
      <c r="R848" s="17"/>
      <c r="S848" s="143"/>
      <c r="T848" s="143"/>
      <c r="U848" s="143"/>
      <c r="V848" s="143"/>
      <c r="W848" s="17"/>
      <c r="X848" s="17"/>
      <c r="Y848" s="17"/>
      <c r="Z848" s="17"/>
      <c r="AA848" s="17"/>
      <c r="AB848" s="17"/>
    </row>
    <row r="849">
      <c r="A849" s="17"/>
      <c r="B849" s="17"/>
      <c r="C849" s="17"/>
      <c r="D849" s="17"/>
      <c r="E849" s="17"/>
      <c r="F849" s="288"/>
      <c r="G849" s="17"/>
      <c r="H849" s="17"/>
      <c r="I849" s="17"/>
      <c r="J849" s="17"/>
      <c r="K849" s="17"/>
      <c r="L849" s="17"/>
      <c r="M849" s="17"/>
      <c r="N849" s="17"/>
      <c r="O849" s="17"/>
      <c r="P849" s="17"/>
      <c r="Q849" s="17"/>
      <c r="R849" s="17"/>
      <c r="S849" s="143"/>
      <c r="T849" s="143"/>
      <c r="U849" s="143"/>
      <c r="V849" s="143"/>
      <c r="W849" s="17"/>
      <c r="X849" s="17"/>
      <c r="Y849" s="17"/>
      <c r="Z849" s="17"/>
      <c r="AA849" s="17"/>
      <c r="AB849" s="17"/>
    </row>
    <row r="850">
      <c r="A850" s="17"/>
      <c r="B850" s="17"/>
      <c r="C850" s="17"/>
      <c r="D850" s="17"/>
      <c r="E850" s="17"/>
      <c r="F850" s="288"/>
      <c r="G850" s="17"/>
      <c r="H850" s="17"/>
      <c r="I850" s="17"/>
      <c r="J850" s="17"/>
      <c r="K850" s="17"/>
      <c r="L850" s="17"/>
      <c r="M850" s="17"/>
      <c r="N850" s="17"/>
      <c r="O850" s="17"/>
      <c r="P850" s="17"/>
      <c r="Q850" s="17"/>
      <c r="R850" s="17"/>
      <c r="S850" s="143"/>
      <c r="T850" s="143"/>
      <c r="U850" s="143"/>
      <c r="V850" s="143"/>
      <c r="W850" s="17"/>
      <c r="X850" s="17"/>
      <c r="Y850" s="17"/>
      <c r="Z850" s="17"/>
      <c r="AA850" s="17"/>
      <c r="AB850" s="17"/>
    </row>
    <row r="851">
      <c r="A851" s="17"/>
      <c r="B851" s="17"/>
      <c r="C851" s="17"/>
      <c r="D851" s="17"/>
      <c r="E851" s="17"/>
      <c r="F851" s="288"/>
      <c r="G851" s="17"/>
      <c r="H851" s="17"/>
      <c r="I851" s="17"/>
      <c r="J851" s="17"/>
      <c r="K851" s="17"/>
      <c r="L851" s="17"/>
      <c r="M851" s="17"/>
      <c r="N851" s="17"/>
      <c r="O851" s="17"/>
      <c r="P851" s="17"/>
      <c r="Q851" s="17"/>
      <c r="R851" s="17"/>
      <c r="S851" s="143"/>
      <c r="T851" s="143"/>
      <c r="U851" s="143"/>
      <c r="V851" s="143"/>
      <c r="W851" s="17"/>
      <c r="X851" s="17"/>
      <c r="Y851" s="17"/>
      <c r="Z851" s="17"/>
      <c r="AA851" s="17"/>
      <c r="AB851" s="17"/>
    </row>
    <row r="852">
      <c r="A852" s="17"/>
      <c r="B852" s="17"/>
      <c r="C852" s="17"/>
      <c r="D852" s="17"/>
      <c r="E852" s="17"/>
      <c r="F852" s="288"/>
      <c r="G852" s="17"/>
      <c r="H852" s="17"/>
      <c r="I852" s="17"/>
      <c r="J852" s="17"/>
      <c r="K852" s="17"/>
      <c r="L852" s="17"/>
      <c r="M852" s="17"/>
      <c r="N852" s="17"/>
      <c r="O852" s="17"/>
      <c r="P852" s="17"/>
      <c r="Q852" s="17"/>
      <c r="R852" s="17"/>
      <c r="S852" s="143"/>
      <c r="T852" s="143"/>
      <c r="U852" s="143"/>
      <c r="V852" s="143"/>
      <c r="W852" s="17"/>
      <c r="X852" s="17"/>
      <c r="Y852" s="17"/>
      <c r="Z852" s="17"/>
      <c r="AA852" s="17"/>
      <c r="AB852" s="17"/>
    </row>
    <row r="853">
      <c r="A853" s="17"/>
      <c r="B853" s="17"/>
      <c r="C853" s="17"/>
      <c r="D853" s="17"/>
      <c r="E853" s="17"/>
      <c r="F853" s="288"/>
      <c r="G853" s="17"/>
      <c r="H853" s="17"/>
      <c r="I853" s="17"/>
      <c r="J853" s="17"/>
      <c r="K853" s="17"/>
      <c r="L853" s="17"/>
      <c r="M853" s="17"/>
      <c r="N853" s="17"/>
      <c r="O853" s="17"/>
      <c r="P853" s="17"/>
      <c r="Q853" s="17"/>
      <c r="R853" s="17"/>
      <c r="S853" s="143"/>
      <c r="T853" s="143"/>
      <c r="U853" s="143"/>
      <c r="V853" s="143"/>
      <c r="W853" s="17"/>
      <c r="X853" s="17"/>
      <c r="Y853" s="17"/>
      <c r="Z853" s="17"/>
      <c r="AA853" s="17"/>
      <c r="AB853" s="17"/>
    </row>
    <row r="854">
      <c r="A854" s="17"/>
      <c r="B854" s="17"/>
      <c r="C854" s="17"/>
      <c r="D854" s="17"/>
      <c r="E854" s="17"/>
      <c r="F854" s="288"/>
      <c r="G854" s="17"/>
      <c r="H854" s="17"/>
      <c r="I854" s="17"/>
      <c r="J854" s="17"/>
      <c r="K854" s="17"/>
      <c r="L854" s="17"/>
      <c r="M854" s="17"/>
      <c r="N854" s="17"/>
      <c r="O854" s="17"/>
      <c r="P854" s="17"/>
      <c r="Q854" s="17"/>
      <c r="R854" s="17"/>
      <c r="S854" s="143"/>
      <c r="T854" s="143"/>
      <c r="U854" s="143"/>
      <c r="V854" s="143"/>
      <c r="W854" s="17"/>
      <c r="X854" s="17"/>
      <c r="Y854" s="17"/>
      <c r="Z854" s="17"/>
      <c r="AA854" s="17"/>
      <c r="AB854" s="17"/>
    </row>
    <row r="855">
      <c r="A855" s="17"/>
      <c r="B855" s="17"/>
      <c r="C855" s="17"/>
      <c r="D855" s="17"/>
      <c r="E855" s="17"/>
      <c r="F855" s="288"/>
      <c r="G855" s="17"/>
      <c r="H855" s="17"/>
      <c r="I855" s="17"/>
      <c r="J855" s="17"/>
      <c r="K855" s="17"/>
      <c r="L855" s="17"/>
      <c r="M855" s="17"/>
      <c r="N855" s="17"/>
      <c r="O855" s="17"/>
      <c r="P855" s="17"/>
      <c r="Q855" s="17"/>
      <c r="R855" s="17"/>
      <c r="S855" s="143"/>
      <c r="T855" s="143"/>
      <c r="U855" s="143"/>
      <c r="V855" s="143"/>
      <c r="W855" s="17"/>
      <c r="X855" s="17"/>
      <c r="Y855" s="17"/>
      <c r="Z855" s="17"/>
      <c r="AA855" s="17"/>
      <c r="AB855" s="17"/>
    </row>
    <row r="856">
      <c r="A856" s="17"/>
      <c r="B856" s="17"/>
      <c r="C856" s="17"/>
      <c r="D856" s="17"/>
      <c r="E856" s="17"/>
      <c r="F856" s="288"/>
      <c r="G856" s="17"/>
      <c r="H856" s="17"/>
      <c r="I856" s="17"/>
      <c r="J856" s="17"/>
      <c r="K856" s="17"/>
      <c r="L856" s="17"/>
      <c r="M856" s="17"/>
      <c r="N856" s="17"/>
      <c r="O856" s="17"/>
      <c r="P856" s="17"/>
      <c r="Q856" s="17"/>
      <c r="R856" s="17"/>
      <c r="S856" s="143"/>
      <c r="T856" s="143"/>
      <c r="U856" s="143"/>
      <c r="V856" s="143"/>
      <c r="W856" s="17"/>
      <c r="X856" s="17"/>
      <c r="Y856" s="17"/>
      <c r="Z856" s="17"/>
      <c r="AA856" s="17"/>
      <c r="AB856" s="17"/>
    </row>
    <row r="857">
      <c r="A857" s="17"/>
      <c r="B857" s="17"/>
      <c r="C857" s="17"/>
      <c r="D857" s="17"/>
      <c r="E857" s="17"/>
      <c r="F857" s="288"/>
      <c r="G857" s="17"/>
      <c r="H857" s="17"/>
      <c r="I857" s="17"/>
      <c r="J857" s="17"/>
      <c r="K857" s="17"/>
      <c r="L857" s="17"/>
      <c r="M857" s="17"/>
      <c r="N857" s="17"/>
      <c r="O857" s="17"/>
      <c r="P857" s="17"/>
      <c r="Q857" s="17"/>
      <c r="R857" s="17"/>
      <c r="S857" s="143"/>
      <c r="T857" s="143"/>
      <c r="U857" s="143"/>
      <c r="V857" s="143"/>
      <c r="W857" s="17"/>
      <c r="X857" s="17"/>
      <c r="Y857" s="17"/>
      <c r="Z857" s="17"/>
      <c r="AA857" s="17"/>
      <c r="AB857" s="17"/>
    </row>
    <row r="858">
      <c r="A858" s="17"/>
      <c r="B858" s="17"/>
      <c r="C858" s="17"/>
      <c r="D858" s="17"/>
      <c r="E858" s="17"/>
      <c r="F858" s="288"/>
      <c r="G858" s="17"/>
      <c r="H858" s="17"/>
      <c r="I858" s="17"/>
      <c r="J858" s="17"/>
      <c r="K858" s="17"/>
      <c r="L858" s="17"/>
      <c r="M858" s="17"/>
      <c r="N858" s="17"/>
      <c r="O858" s="17"/>
      <c r="P858" s="17"/>
      <c r="Q858" s="17"/>
      <c r="R858" s="17"/>
      <c r="S858" s="143"/>
      <c r="T858" s="143"/>
      <c r="U858" s="143"/>
      <c r="V858" s="143"/>
      <c r="W858" s="17"/>
      <c r="X858" s="17"/>
      <c r="Y858" s="17"/>
      <c r="Z858" s="17"/>
      <c r="AA858" s="17"/>
      <c r="AB858" s="17"/>
    </row>
    <row r="859">
      <c r="A859" s="17"/>
      <c r="B859" s="17"/>
      <c r="C859" s="17"/>
      <c r="D859" s="17"/>
      <c r="E859" s="17"/>
      <c r="F859" s="288"/>
      <c r="G859" s="17"/>
      <c r="H859" s="17"/>
      <c r="I859" s="17"/>
      <c r="J859" s="17"/>
      <c r="K859" s="17"/>
      <c r="L859" s="17"/>
      <c r="M859" s="17"/>
      <c r="N859" s="17"/>
      <c r="O859" s="17"/>
      <c r="P859" s="17"/>
      <c r="Q859" s="17"/>
      <c r="R859" s="17"/>
      <c r="S859" s="143"/>
      <c r="T859" s="143"/>
      <c r="U859" s="143"/>
      <c r="V859" s="143"/>
      <c r="W859" s="17"/>
      <c r="X859" s="17"/>
      <c r="Y859" s="17"/>
      <c r="Z859" s="17"/>
      <c r="AA859" s="17"/>
      <c r="AB859" s="17"/>
    </row>
    <row r="860">
      <c r="A860" s="17"/>
      <c r="B860" s="17"/>
      <c r="C860" s="17"/>
      <c r="D860" s="17"/>
      <c r="E860" s="17"/>
      <c r="F860" s="288"/>
      <c r="G860" s="17"/>
      <c r="H860" s="17"/>
      <c r="I860" s="17"/>
      <c r="J860" s="17"/>
      <c r="K860" s="17"/>
      <c r="L860" s="17"/>
      <c r="M860" s="17"/>
      <c r="N860" s="17"/>
      <c r="O860" s="17"/>
      <c r="P860" s="17"/>
      <c r="Q860" s="17"/>
      <c r="R860" s="17"/>
      <c r="S860" s="143"/>
      <c r="T860" s="143"/>
      <c r="U860" s="143"/>
      <c r="V860" s="143"/>
      <c r="W860" s="17"/>
      <c r="X860" s="17"/>
      <c r="Y860" s="17"/>
      <c r="Z860" s="17"/>
      <c r="AA860" s="17"/>
      <c r="AB860" s="17"/>
    </row>
    <row r="861">
      <c r="A861" s="17"/>
      <c r="B861" s="17"/>
      <c r="C861" s="17"/>
      <c r="D861" s="17"/>
      <c r="E861" s="17"/>
      <c r="F861" s="288"/>
      <c r="G861" s="17"/>
      <c r="H861" s="17"/>
      <c r="I861" s="17"/>
      <c r="J861" s="17"/>
      <c r="K861" s="17"/>
      <c r="L861" s="17"/>
      <c r="M861" s="17"/>
      <c r="N861" s="17"/>
      <c r="O861" s="17"/>
      <c r="P861" s="17"/>
      <c r="Q861" s="17"/>
      <c r="R861" s="17"/>
      <c r="S861" s="143"/>
      <c r="T861" s="143"/>
      <c r="U861" s="143"/>
      <c r="V861" s="143"/>
      <c r="W861" s="17"/>
      <c r="X861" s="17"/>
      <c r="Y861" s="17"/>
      <c r="Z861" s="17"/>
      <c r="AA861" s="17"/>
      <c r="AB861" s="17"/>
    </row>
    <row r="862">
      <c r="A862" s="17"/>
      <c r="B862" s="17"/>
      <c r="C862" s="17"/>
      <c r="D862" s="17"/>
      <c r="E862" s="17"/>
      <c r="F862" s="288"/>
      <c r="G862" s="17"/>
      <c r="H862" s="17"/>
      <c r="I862" s="17"/>
      <c r="J862" s="17"/>
      <c r="K862" s="17"/>
      <c r="L862" s="17"/>
      <c r="M862" s="17"/>
      <c r="N862" s="17"/>
      <c r="O862" s="17"/>
      <c r="P862" s="17"/>
      <c r="Q862" s="17"/>
      <c r="R862" s="17"/>
      <c r="S862" s="143"/>
      <c r="T862" s="143"/>
      <c r="U862" s="143"/>
      <c r="V862" s="143"/>
      <c r="W862" s="17"/>
      <c r="X862" s="17"/>
      <c r="Y862" s="17"/>
      <c r="Z862" s="17"/>
      <c r="AA862" s="17"/>
      <c r="AB862" s="17"/>
    </row>
    <row r="863">
      <c r="A863" s="17"/>
      <c r="B863" s="17"/>
      <c r="C863" s="17"/>
      <c r="D863" s="17"/>
      <c r="E863" s="17"/>
      <c r="F863" s="288"/>
      <c r="G863" s="17"/>
      <c r="H863" s="17"/>
      <c r="I863" s="17"/>
      <c r="J863" s="17"/>
      <c r="K863" s="17"/>
      <c r="L863" s="17"/>
      <c r="M863" s="17"/>
      <c r="N863" s="17"/>
      <c r="O863" s="17"/>
      <c r="P863" s="17"/>
      <c r="Q863" s="17"/>
      <c r="R863" s="17"/>
      <c r="S863" s="143"/>
      <c r="T863" s="143"/>
      <c r="U863" s="143"/>
      <c r="V863" s="143"/>
      <c r="W863" s="17"/>
      <c r="X863" s="17"/>
      <c r="Y863" s="17"/>
      <c r="Z863" s="17"/>
      <c r="AA863" s="17"/>
      <c r="AB863" s="17"/>
    </row>
    <row r="864">
      <c r="A864" s="17"/>
      <c r="B864" s="17"/>
      <c r="C864" s="17"/>
      <c r="D864" s="17"/>
      <c r="E864" s="17"/>
      <c r="F864" s="288"/>
      <c r="G864" s="17"/>
      <c r="H864" s="17"/>
      <c r="I864" s="17"/>
      <c r="J864" s="17"/>
      <c r="K864" s="17"/>
      <c r="L864" s="17"/>
      <c r="M864" s="17"/>
      <c r="N864" s="17"/>
      <c r="O864" s="17"/>
      <c r="P864" s="17"/>
      <c r="Q864" s="17"/>
      <c r="R864" s="17"/>
      <c r="S864" s="143"/>
      <c r="T864" s="143"/>
      <c r="U864" s="143"/>
      <c r="V864" s="143"/>
      <c r="W864" s="17"/>
      <c r="X864" s="17"/>
      <c r="Y864" s="17"/>
      <c r="Z864" s="17"/>
      <c r="AA864" s="17"/>
      <c r="AB864" s="17"/>
    </row>
    <row r="865">
      <c r="A865" s="17"/>
      <c r="B865" s="17"/>
      <c r="C865" s="17"/>
      <c r="D865" s="17"/>
      <c r="E865" s="17"/>
      <c r="F865" s="288"/>
      <c r="G865" s="17"/>
      <c r="H865" s="17"/>
      <c r="I865" s="17"/>
      <c r="J865" s="17"/>
      <c r="K865" s="17"/>
      <c r="L865" s="17"/>
      <c r="M865" s="17"/>
      <c r="N865" s="17"/>
      <c r="O865" s="17"/>
      <c r="P865" s="17"/>
      <c r="Q865" s="17"/>
      <c r="R865" s="17"/>
      <c r="S865" s="143"/>
      <c r="T865" s="143"/>
      <c r="U865" s="143"/>
      <c r="V865" s="143"/>
      <c r="W865" s="17"/>
      <c r="X865" s="17"/>
      <c r="Y865" s="17"/>
      <c r="Z865" s="17"/>
      <c r="AA865" s="17"/>
      <c r="AB865" s="17"/>
    </row>
    <row r="866">
      <c r="A866" s="17"/>
      <c r="B866" s="17"/>
      <c r="C866" s="17"/>
      <c r="D866" s="17"/>
      <c r="E866" s="17"/>
      <c r="F866" s="288"/>
      <c r="G866" s="17"/>
      <c r="H866" s="17"/>
      <c r="I866" s="17"/>
      <c r="J866" s="17"/>
      <c r="K866" s="17"/>
      <c r="L866" s="17"/>
      <c r="M866" s="17"/>
      <c r="N866" s="17"/>
      <c r="O866" s="17"/>
      <c r="P866" s="17"/>
      <c r="Q866" s="17"/>
      <c r="R866" s="17"/>
      <c r="S866" s="143"/>
      <c r="T866" s="143"/>
      <c r="U866" s="143"/>
      <c r="V866" s="143"/>
      <c r="W866" s="17"/>
      <c r="X866" s="17"/>
      <c r="Y866" s="17"/>
      <c r="Z866" s="17"/>
      <c r="AA866" s="17"/>
      <c r="AB866" s="17"/>
    </row>
    <row r="867">
      <c r="A867" s="17"/>
      <c r="B867" s="17"/>
      <c r="C867" s="17"/>
      <c r="D867" s="17"/>
      <c r="E867" s="17"/>
      <c r="F867" s="288"/>
      <c r="G867" s="17"/>
      <c r="H867" s="17"/>
      <c r="I867" s="17"/>
      <c r="J867" s="17"/>
      <c r="K867" s="17"/>
      <c r="L867" s="17"/>
      <c r="M867" s="17"/>
      <c r="N867" s="17"/>
      <c r="O867" s="17"/>
      <c r="P867" s="17"/>
      <c r="Q867" s="17"/>
      <c r="R867" s="17"/>
      <c r="S867" s="143"/>
      <c r="T867" s="143"/>
      <c r="U867" s="143"/>
      <c r="V867" s="143"/>
      <c r="W867" s="17"/>
      <c r="X867" s="17"/>
      <c r="Y867" s="17"/>
      <c r="Z867" s="17"/>
      <c r="AA867" s="17"/>
      <c r="AB867" s="17"/>
    </row>
    <row r="868">
      <c r="A868" s="17"/>
      <c r="B868" s="17"/>
      <c r="C868" s="17"/>
      <c r="D868" s="17"/>
      <c r="E868" s="17"/>
      <c r="F868" s="288"/>
      <c r="G868" s="17"/>
      <c r="H868" s="17"/>
      <c r="I868" s="17"/>
      <c r="J868" s="17"/>
      <c r="K868" s="17"/>
      <c r="L868" s="17"/>
      <c r="M868" s="17"/>
      <c r="N868" s="17"/>
      <c r="O868" s="17"/>
      <c r="P868" s="17"/>
      <c r="Q868" s="17"/>
      <c r="R868" s="17"/>
      <c r="S868" s="143"/>
      <c r="T868" s="143"/>
      <c r="U868" s="143"/>
      <c r="V868" s="143"/>
      <c r="W868" s="17"/>
      <c r="X868" s="17"/>
      <c r="Y868" s="17"/>
      <c r="Z868" s="17"/>
      <c r="AA868" s="17"/>
      <c r="AB868" s="17"/>
    </row>
    <row r="869">
      <c r="A869" s="17"/>
      <c r="B869" s="17"/>
      <c r="C869" s="17"/>
      <c r="D869" s="17"/>
      <c r="E869" s="17"/>
      <c r="F869" s="288"/>
      <c r="G869" s="17"/>
      <c r="H869" s="17"/>
      <c r="I869" s="17"/>
      <c r="J869" s="17"/>
      <c r="K869" s="17"/>
      <c r="L869" s="17"/>
      <c r="M869" s="17"/>
      <c r="N869" s="17"/>
      <c r="O869" s="17"/>
      <c r="P869" s="17"/>
      <c r="Q869" s="17"/>
      <c r="R869" s="17"/>
      <c r="S869" s="143"/>
      <c r="T869" s="143"/>
      <c r="U869" s="143"/>
      <c r="V869" s="143"/>
      <c r="W869" s="17"/>
      <c r="X869" s="17"/>
      <c r="Y869" s="17"/>
      <c r="Z869" s="17"/>
      <c r="AA869" s="17"/>
      <c r="AB869" s="17"/>
    </row>
    <row r="870">
      <c r="A870" s="17"/>
      <c r="B870" s="17"/>
      <c r="C870" s="17"/>
      <c r="D870" s="17"/>
      <c r="E870" s="17"/>
      <c r="F870" s="288"/>
      <c r="G870" s="17"/>
      <c r="H870" s="17"/>
      <c r="I870" s="17"/>
      <c r="J870" s="17"/>
      <c r="K870" s="17"/>
      <c r="L870" s="17"/>
      <c r="M870" s="17"/>
      <c r="N870" s="17"/>
      <c r="O870" s="17"/>
      <c r="P870" s="17"/>
      <c r="Q870" s="17"/>
      <c r="R870" s="17"/>
      <c r="S870" s="143"/>
      <c r="T870" s="143"/>
      <c r="U870" s="143"/>
      <c r="V870" s="143"/>
      <c r="W870" s="17"/>
      <c r="X870" s="17"/>
      <c r="Y870" s="17"/>
      <c r="Z870" s="17"/>
      <c r="AA870" s="17"/>
      <c r="AB870" s="17"/>
    </row>
    <row r="871">
      <c r="A871" s="17"/>
      <c r="B871" s="17"/>
      <c r="C871" s="17"/>
      <c r="D871" s="17"/>
      <c r="E871" s="17"/>
      <c r="F871" s="288"/>
      <c r="G871" s="17"/>
      <c r="H871" s="17"/>
      <c r="I871" s="17"/>
      <c r="J871" s="17"/>
      <c r="K871" s="17"/>
      <c r="L871" s="17"/>
      <c r="M871" s="17"/>
      <c r="N871" s="17"/>
      <c r="O871" s="17"/>
      <c r="P871" s="17"/>
      <c r="Q871" s="17"/>
      <c r="R871" s="17"/>
      <c r="S871" s="143"/>
      <c r="T871" s="143"/>
      <c r="U871" s="143"/>
      <c r="V871" s="143"/>
      <c r="W871" s="17"/>
      <c r="X871" s="17"/>
      <c r="Y871" s="17"/>
      <c r="Z871" s="17"/>
      <c r="AA871" s="17"/>
      <c r="AB871" s="17"/>
    </row>
    <row r="872">
      <c r="A872" s="17"/>
      <c r="B872" s="17"/>
      <c r="C872" s="17"/>
      <c r="D872" s="17"/>
      <c r="E872" s="17"/>
      <c r="F872" s="288"/>
      <c r="G872" s="17"/>
      <c r="H872" s="17"/>
      <c r="I872" s="17"/>
      <c r="J872" s="17"/>
      <c r="K872" s="17"/>
      <c r="L872" s="17"/>
      <c r="M872" s="17"/>
      <c r="N872" s="17"/>
      <c r="O872" s="17"/>
      <c r="P872" s="17"/>
      <c r="Q872" s="17"/>
      <c r="R872" s="17"/>
      <c r="S872" s="143"/>
      <c r="T872" s="143"/>
      <c r="U872" s="143"/>
      <c r="V872" s="143"/>
      <c r="W872" s="17"/>
      <c r="X872" s="17"/>
      <c r="Y872" s="17"/>
      <c r="Z872" s="17"/>
      <c r="AA872" s="17"/>
      <c r="AB872" s="17"/>
    </row>
    <row r="873">
      <c r="A873" s="17"/>
      <c r="B873" s="17"/>
      <c r="C873" s="17"/>
      <c r="D873" s="17"/>
      <c r="E873" s="17"/>
      <c r="F873" s="288"/>
      <c r="G873" s="17"/>
      <c r="H873" s="17"/>
      <c r="I873" s="17"/>
      <c r="J873" s="17"/>
      <c r="K873" s="17"/>
      <c r="L873" s="17"/>
      <c r="M873" s="17"/>
      <c r="N873" s="17"/>
      <c r="O873" s="17"/>
      <c r="P873" s="17"/>
      <c r="Q873" s="17"/>
      <c r="R873" s="17"/>
      <c r="S873" s="143"/>
      <c r="T873" s="143"/>
      <c r="U873" s="143"/>
      <c r="V873" s="143"/>
      <c r="W873" s="17"/>
      <c r="X873" s="17"/>
      <c r="Y873" s="17"/>
      <c r="Z873" s="17"/>
      <c r="AA873" s="17"/>
      <c r="AB873" s="17"/>
    </row>
    <row r="874">
      <c r="A874" s="17"/>
      <c r="B874" s="17"/>
      <c r="C874" s="17"/>
      <c r="D874" s="17"/>
      <c r="E874" s="17"/>
      <c r="F874" s="288"/>
      <c r="G874" s="17"/>
      <c r="H874" s="17"/>
      <c r="I874" s="17"/>
      <c r="J874" s="17"/>
      <c r="K874" s="17"/>
      <c r="L874" s="17"/>
      <c r="M874" s="17"/>
      <c r="N874" s="17"/>
      <c r="O874" s="17"/>
      <c r="P874" s="17"/>
      <c r="Q874" s="17"/>
      <c r="R874" s="17"/>
      <c r="S874" s="143"/>
      <c r="T874" s="143"/>
      <c r="U874" s="143"/>
      <c r="V874" s="143"/>
      <c r="W874" s="17"/>
      <c r="X874" s="17"/>
      <c r="Y874" s="17"/>
      <c r="Z874" s="17"/>
      <c r="AA874" s="17"/>
      <c r="AB874" s="17"/>
    </row>
    <row r="875">
      <c r="A875" s="17"/>
      <c r="B875" s="17"/>
      <c r="C875" s="17"/>
      <c r="D875" s="17"/>
      <c r="E875" s="17"/>
      <c r="F875" s="288"/>
      <c r="G875" s="17"/>
      <c r="H875" s="17"/>
      <c r="I875" s="17"/>
      <c r="J875" s="17"/>
      <c r="K875" s="17"/>
      <c r="L875" s="17"/>
      <c r="M875" s="17"/>
      <c r="N875" s="17"/>
      <c r="O875" s="17"/>
      <c r="P875" s="17"/>
      <c r="Q875" s="17"/>
      <c r="R875" s="17"/>
      <c r="S875" s="143"/>
      <c r="T875" s="143"/>
      <c r="U875" s="143"/>
      <c r="V875" s="143"/>
      <c r="W875" s="17"/>
      <c r="X875" s="17"/>
      <c r="Y875" s="17"/>
      <c r="Z875" s="17"/>
      <c r="AA875" s="17"/>
      <c r="AB875" s="17"/>
    </row>
    <row r="876">
      <c r="A876" s="17"/>
      <c r="B876" s="17"/>
      <c r="C876" s="17"/>
      <c r="D876" s="17"/>
      <c r="E876" s="17"/>
      <c r="F876" s="288"/>
      <c r="G876" s="17"/>
      <c r="H876" s="17"/>
      <c r="I876" s="17"/>
      <c r="J876" s="17"/>
      <c r="K876" s="17"/>
      <c r="L876" s="17"/>
      <c r="M876" s="17"/>
      <c r="N876" s="17"/>
      <c r="O876" s="17"/>
      <c r="P876" s="17"/>
      <c r="Q876" s="17"/>
      <c r="R876" s="17"/>
      <c r="S876" s="143"/>
      <c r="T876" s="143"/>
      <c r="U876" s="143"/>
      <c r="V876" s="143"/>
      <c r="W876" s="17"/>
      <c r="X876" s="17"/>
      <c r="Y876" s="17"/>
      <c r="Z876" s="17"/>
      <c r="AA876" s="17"/>
      <c r="AB876" s="17"/>
    </row>
    <row r="877">
      <c r="A877" s="17"/>
      <c r="B877" s="17"/>
      <c r="C877" s="17"/>
      <c r="D877" s="17"/>
      <c r="E877" s="17"/>
      <c r="F877" s="288"/>
      <c r="G877" s="17"/>
      <c r="H877" s="17"/>
      <c r="I877" s="17"/>
      <c r="J877" s="17"/>
      <c r="K877" s="17"/>
      <c r="L877" s="17"/>
      <c r="M877" s="17"/>
      <c r="N877" s="17"/>
      <c r="O877" s="17"/>
      <c r="P877" s="17"/>
      <c r="Q877" s="17"/>
      <c r="R877" s="17"/>
      <c r="S877" s="143"/>
      <c r="T877" s="143"/>
      <c r="U877" s="143"/>
      <c r="V877" s="143"/>
      <c r="W877" s="17"/>
      <c r="X877" s="17"/>
      <c r="Y877" s="17"/>
      <c r="Z877" s="17"/>
      <c r="AA877" s="17"/>
      <c r="AB877" s="17"/>
    </row>
    <row r="878">
      <c r="A878" s="17"/>
      <c r="B878" s="17"/>
      <c r="C878" s="17"/>
      <c r="D878" s="17"/>
      <c r="E878" s="17"/>
      <c r="F878" s="288"/>
      <c r="G878" s="17"/>
      <c r="H878" s="17"/>
      <c r="I878" s="17"/>
      <c r="J878" s="17"/>
      <c r="K878" s="17"/>
      <c r="L878" s="17"/>
      <c r="M878" s="17"/>
      <c r="N878" s="17"/>
      <c r="O878" s="17"/>
      <c r="P878" s="17"/>
      <c r="Q878" s="17"/>
      <c r="R878" s="17"/>
      <c r="S878" s="143"/>
      <c r="T878" s="143"/>
      <c r="U878" s="143"/>
      <c r="V878" s="143"/>
      <c r="W878" s="17"/>
      <c r="X878" s="17"/>
      <c r="Y878" s="17"/>
      <c r="Z878" s="17"/>
      <c r="AA878" s="17"/>
      <c r="AB878" s="17"/>
    </row>
    <row r="879">
      <c r="A879" s="17"/>
      <c r="B879" s="17"/>
      <c r="C879" s="17"/>
      <c r="D879" s="17"/>
      <c r="E879" s="17"/>
      <c r="F879" s="288"/>
      <c r="G879" s="17"/>
      <c r="H879" s="17"/>
      <c r="I879" s="17"/>
      <c r="J879" s="17"/>
      <c r="K879" s="17"/>
      <c r="L879" s="17"/>
      <c r="M879" s="17"/>
      <c r="N879" s="17"/>
      <c r="O879" s="17"/>
      <c r="P879" s="17"/>
      <c r="Q879" s="17"/>
      <c r="R879" s="17"/>
      <c r="S879" s="143"/>
      <c r="T879" s="143"/>
      <c r="U879" s="143"/>
      <c r="V879" s="143"/>
      <c r="W879" s="17"/>
      <c r="X879" s="17"/>
      <c r="Y879" s="17"/>
      <c r="Z879" s="17"/>
      <c r="AA879" s="17"/>
      <c r="AB879" s="17"/>
    </row>
    <row r="880">
      <c r="A880" s="17"/>
      <c r="B880" s="17"/>
      <c r="C880" s="17"/>
      <c r="D880" s="17"/>
      <c r="E880" s="17"/>
      <c r="F880" s="288"/>
      <c r="G880" s="17"/>
      <c r="H880" s="17"/>
      <c r="I880" s="17"/>
      <c r="J880" s="17"/>
      <c r="K880" s="17"/>
      <c r="L880" s="17"/>
      <c r="M880" s="17"/>
      <c r="N880" s="17"/>
      <c r="O880" s="17"/>
      <c r="P880" s="17"/>
      <c r="Q880" s="17"/>
      <c r="R880" s="17"/>
      <c r="S880" s="143"/>
      <c r="T880" s="143"/>
      <c r="U880" s="143"/>
      <c r="V880" s="143"/>
      <c r="W880" s="17"/>
      <c r="X880" s="17"/>
      <c r="Y880" s="17"/>
      <c r="Z880" s="17"/>
      <c r="AA880" s="17"/>
      <c r="AB880" s="17"/>
    </row>
    <row r="881">
      <c r="A881" s="17"/>
      <c r="B881" s="17"/>
      <c r="C881" s="17"/>
      <c r="D881" s="17"/>
      <c r="E881" s="17"/>
      <c r="F881" s="288"/>
      <c r="G881" s="17"/>
      <c r="H881" s="17"/>
      <c r="I881" s="17"/>
      <c r="J881" s="17"/>
      <c r="K881" s="17"/>
      <c r="L881" s="17"/>
      <c r="M881" s="17"/>
      <c r="N881" s="17"/>
      <c r="O881" s="17"/>
      <c r="P881" s="17"/>
      <c r="Q881" s="17"/>
      <c r="R881" s="17"/>
      <c r="S881" s="143"/>
      <c r="T881" s="143"/>
      <c r="U881" s="143"/>
      <c r="V881" s="143"/>
      <c r="W881" s="17"/>
      <c r="X881" s="17"/>
      <c r="Y881" s="17"/>
      <c r="Z881" s="17"/>
      <c r="AA881" s="17"/>
      <c r="AB881" s="17"/>
    </row>
    <row r="882">
      <c r="A882" s="17"/>
      <c r="B882" s="17"/>
      <c r="C882" s="17"/>
      <c r="D882" s="17"/>
      <c r="E882" s="17"/>
      <c r="F882" s="288"/>
      <c r="G882" s="17"/>
      <c r="H882" s="17"/>
      <c r="I882" s="17"/>
      <c r="J882" s="17"/>
      <c r="K882" s="17"/>
      <c r="L882" s="17"/>
      <c r="M882" s="17"/>
      <c r="N882" s="17"/>
      <c r="O882" s="17"/>
      <c r="P882" s="17"/>
      <c r="Q882" s="17"/>
      <c r="R882" s="17"/>
      <c r="S882" s="143"/>
      <c r="T882" s="143"/>
      <c r="U882" s="143"/>
      <c r="V882" s="143"/>
      <c r="W882" s="17"/>
      <c r="X882" s="17"/>
      <c r="Y882" s="17"/>
      <c r="Z882" s="17"/>
      <c r="AA882" s="17"/>
      <c r="AB882" s="17"/>
    </row>
    <row r="883">
      <c r="A883" s="17"/>
      <c r="B883" s="17"/>
      <c r="C883" s="17"/>
      <c r="D883" s="17"/>
      <c r="E883" s="17"/>
      <c r="F883" s="288"/>
      <c r="G883" s="17"/>
      <c r="H883" s="17"/>
      <c r="I883" s="17"/>
      <c r="J883" s="17"/>
      <c r="K883" s="17"/>
      <c r="L883" s="17"/>
      <c r="M883" s="17"/>
      <c r="N883" s="17"/>
      <c r="O883" s="17"/>
      <c r="P883" s="17"/>
      <c r="Q883" s="17"/>
      <c r="R883" s="17"/>
      <c r="S883" s="143"/>
      <c r="T883" s="143"/>
      <c r="U883" s="143"/>
      <c r="V883" s="143"/>
      <c r="W883" s="17"/>
      <c r="X883" s="17"/>
      <c r="Y883" s="17"/>
      <c r="Z883" s="17"/>
      <c r="AA883" s="17"/>
      <c r="AB883" s="17"/>
    </row>
    <row r="884">
      <c r="A884" s="17"/>
      <c r="B884" s="17"/>
      <c r="C884" s="17"/>
      <c r="D884" s="17"/>
      <c r="E884" s="17"/>
      <c r="F884" s="288"/>
      <c r="G884" s="17"/>
      <c r="H884" s="17"/>
      <c r="I884" s="17"/>
      <c r="J884" s="17"/>
      <c r="K884" s="17"/>
      <c r="L884" s="17"/>
      <c r="M884" s="17"/>
      <c r="N884" s="17"/>
      <c r="O884" s="17"/>
      <c r="P884" s="17"/>
      <c r="Q884" s="17"/>
      <c r="R884" s="17"/>
      <c r="S884" s="143"/>
      <c r="T884" s="143"/>
      <c r="U884" s="143"/>
      <c r="V884" s="143"/>
      <c r="W884" s="17"/>
      <c r="X884" s="17"/>
      <c r="Y884" s="17"/>
      <c r="Z884" s="17"/>
      <c r="AA884" s="17"/>
      <c r="AB884" s="17"/>
    </row>
    <row r="885">
      <c r="A885" s="17"/>
      <c r="B885" s="17"/>
      <c r="C885" s="17"/>
      <c r="D885" s="17"/>
      <c r="E885" s="17"/>
      <c r="F885" s="288"/>
      <c r="G885" s="17"/>
      <c r="H885" s="17"/>
      <c r="I885" s="17"/>
      <c r="J885" s="17"/>
      <c r="K885" s="17"/>
      <c r="L885" s="17"/>
      <c r="M885" s="17"/>
      <c r="N885" s="17"/>
      <c r="O885" s="17"/>
      <c r="P885" s="17"/>
      <c r="Q885" s="17"/>
      <c r="R885" s="17"/>
      <c r="S885" s="143"/>
      <c r="T885" s="143"/>
      <c r="U885" s="143"/>
      <c r="V885" s="143"/>
      <c r="W885" s="17"/>
      <c r="X885" s="17"/>
      <c r="Y885" s="17"/>
      <c r="Z885" s="17"/>
      <c r="AA885" s="17"/>
      <c r="AB885" s="17"/>
    </row>
    <row r="886">
      <c r="A886" s="17"/>
      <c r="B886" s="17"/>
      <c r="C886" s="17"/>
      <c r="D886" s="17"/>
      <c r="E886" s="17"/>
      <c r="F886" s="288"/>
      <c r="G886" s="17"/>
      <c r="H886" s="17"/>
      <c r="I886" s="17"/>
      <c r="J886" s="17"/>
      <c r="K886" s="17"/>
      <c r="L886" s="17"/>
      <c r="M886" s="17"/>
      <c r="N886" s="17"/>
      <c r="O886" s="17"/>
      <c r="P886" s="17"/>
      <c r="Q886" s="17"/>
      <c r="R886" s="17"/>
      <c r="S886" s="143"/>
      <c r="T886" s="143"/>
      <c r="U886" s="143"/>
      <c r="V886" s="143"/>
      <c r="W886" s="17"/>
      <c r="X886" s="17"/>
      <c r="Y886" s="17"/>
      <c r="Z886" s="17"/>
      <c r="AA886" s="17"/>
      <c r="AB886" s="17"/>
    </row>
    <row r="887">
      <c r="A887" s="17"/>
      <c r="B887" s="17"/>
      <c r="C887" s="17"/>
      <c r="D887" s="17"/>
      <c r="E887" s="17"/>
      <c r="F887" s="288"/>
      <c r="G887" s="17"/>
      <c r="H887" s="17"/>
      <c r="I887" s="17"/>
      <c r="J887" s="17"/>
      <c r="K887" s="17"/>
      <c r="L887" s="17"/>
      <c r="M887" s="17"/>
      <c r="N887" s="17"/>
      <c r="O887" s="17"/>
      <c r="P887" s="17"/>
      <c r="Q887" s="17"/>
      <c r="R887" s="17"/>
      <c r="S887" s="143"/>
      <c r="T887" s="143"/>
      <c r="U887" s="143"/>
      <c r="V887" s="143"/>
      <c r="W887" s="17"/>
      <c r="X887" s="17"/>
      <c r="Y887" s="17"/>
      <c r="Z887" s="17"/>
      <c r="AA887" s="17"/>
      <c r="AB887" s="17"/>
    </row>
    <row r="888">
      <c r="A888" s="17"/>
      <c r="B888" s="17"/>
      <c r="C888" s="17"/>
      <c r="D888" s="17"/>
      <c r="E888" s="17"/>
      <c r="F888" s="288"/>
      <c r="G888" s="17"/>
      <c r="H888" s="17"/>
      <c r="I888" s="17"/>
      <c r="J888" s="17"/>
      <c r="K888" s="17"/>
      <c r="L888" s="17"/>
      <c r="M888" s="17"/>
      <c r="N888" s="17"/>
      <c r="O888" s="17"/>
      <c r="P888" s="17"/>
      <c r="Q888" s="17"/>
      <c r="R888" s="17"/>
      <c r="S888" s="143"/>
      <c r="T888" s="143"/>
      <c r="U888" s="143"/>
      <c r="V888" s="143"/>
      <c r="W888" s="17"/>
      <c r="X888" s="17"/>
      <c r="Y888" s="17"/>
      <c r="Z888" s="17"/>
      <c r="AA888" s="17"/>
      <c r="AB888" s="17"/>
    </row>
    <row r="889">
      <c r="A889" s="17"/>
      <c r="B889" s="17"/>
      <c r="C889" s="17"/>
      <c r="D889" s="17"/>
      <c r="E889" s="17"/>
      <c r="F889" s="288"/>
      <c r="G889" s="17"/>
      <c r="H889" s="17"/>
      <c r="I889" s="17"/>
      <c r="J889" s="17"/>
      <c r="K889" s="17"/>
      <c r="L889" s="17"/>
      <c r="M889" s="17"/>
      <c r="N889" s="17"/>
      <c r="O889" s="17"/>
      <c r="P889" s="17"/>
      <c r="Q889" s="17"/>
      <c r="R889" s="17"/>
      <c r="S889" s="143"/>
      <c r="T889" s="143"/>
      <c r="U889" s="143"/>
      <c r="V889" s="143"/>
      <c r="W889" s="17"/>
      <c r="X889" s="17"/>
      <c r="Y889" s="17"/>
      <c r="Z889" s="17"/>
      <c r="AA889" s="17"/>
      <c r="AB889" s="17"/>
    </row>
    <row r="890">
      <c r="A890" s="17"/>
      <c r="B890" s="17"/>
      <c r="C890" s="17"/>
      <c r="D890" s="17"/>
      <c r="E890" s="17"/>
      <c r="F890" s="288"/>
      <c r="G890" s="17"/>
      <c r="H890" s="17"/>
      <c r="I890" s="17"/>
      <c r="J890" s="17"/>
      <c r="K890" s="17"/>
      <c r="L890" s="17"/>
      <c r="M890" s="17"/>
      <c r="N890" s="17"/>
      <c r="O890" s="17"/>
      <c r="P890" s="17"/>
      <c r="Q890" s="17"/>
      <c r="R890" s="17"/>
      <c r="S890" s="143"/>
      <c r="T890" s="143"/>
      <c r="U890" s="143"/>
      <c r="V890" s="143"/>
      <c r="W890" s="17"/>
      <c r="X890" s="17"/>
      <c r="Y890" s="17"/>
      <c r="Z890" s="17"/>
      <c r="AA890" s="17"/>
      <c r="AB890" s="17"/>
    </row>
    <row r="891">
      <c r="A891" s="17"/>
      <c r="B891" s="17"/>
      <c r="C891" s="17"/>
      <c r="D891" s="17"/>
      <c r="E891" s="17"/>
      <c r="F891" s="288"/>
      <c r="G891" s="17"/>
      <c r="H891" s="17"/>
      <c r="I891" s="17"/>
      <c r="J891" s="17"/>
      <c r="K891" s="17"/>
      <c r="L891" s="17"/>
      <c r="M891" s="17"/>
      <c r="N891" s="17"/>
      <c r="O891" s="17"/>
      <c r="P891" s="17"/>
      <c r="Q891" s="17"/>
      <c r="R891" s="17"/>
      <c r="S891" s="143"/>
      <c r="T891" s="143"/>
      <c r="U891" s="143"/>
      <c r="V891" s="143"/>
      <c r="W891" s="17"/>
      <c r="X891" s="17"/>
      <c r="Y891" s="17"/>
      <c r="Z891" s="17"/>
      <c r="AA891" s="17"/>
      <c r="AB891" s="17"/>
    </row>
    <row r="892">
      <c r="A892" s="17"/>
      <c r="B892" s="17"/>
      <c r="C892" s="17"/>
      <c r="D892" s="17"/>
      <c r="E892" s="17"/>
      <c r="F892" s="288"/>
      <c r="G892" s="17"/>
      <c r="H892" s="17"/>
      <c r="I892" s="17"/>
      <c r="J892" s="17"/>
      <c r="K892" s="17"/>
      <c r="L892" s="17"/>
      <c r="M892" s="17"/>
      <c r="N892" s="17"/>
      <c r="O892" s="17"/>
      <c r="P892" s="17"/>
      <c r="Q892" s="17"/>
      <c r="R892" s="17"/>
      <c r="S892" s="143"/>
      <c r="T892" s="143"/>
      <c r="U892" s="143"/>
      <c r="V892" s="143"/>
      <c r="W892" s="17"/>
      <c r="X892" s="17"/>
      <c r="Y892" s="17"/>
      <c r="Z892" s="17"/>
      <c r="AA892" s="17"/>
      <c r="AB892" s="17"/>
    </row>
    <row r="893">
      <c r="A893" s="17"/>
      <c r="B893" s="17"/>
      <c r="C893" s="17"/>
      <c r="D893" s="17"/>
      <c r="E893" s="17"/>
      <c r="F893" s="288"/>
      <c r="G893" s="17"/>
      <c r="H893" s="17"/>
      <c r="I893" s="17"/>
      <c r="J893" s="17"/>
      <c r="K893" s="17"/>
      <c r="L893" s="17"/>
      <c r="M893" s="17"/>
      <c r="N893" s="17"/>
      <c r="O893" s="17"/>
      <c r="P893" s="17"/>
      <c r="Q893" s="17"/>
      <c r="R893" s="17"/>
      <c r="S893" s="143"/>
      <c r="T893" s="143"/>
      <c r="U893" s="143"/>
      <c r="V893" s="143"/>
      <c r="W893" s="17"/>
      <c r="X893" s="17"/>
      <c r="Y893" s="17"/>
      <c r="Z893" s="17"/>
      <c r="AA893" s="17"/>
      <c r="AB893" s="17"/>
    </row>
    <row r="894">
      <c r="A894" s="17"/>
      <c r="B894" s="17"/>
      <c r="C894" s="17"/>
      <c r="D894" s="17"/>
      <c r="E894" s="17"/>
      <c r="F894" s="288"/>
      <c r="G894" s="17"/>
      <c r="H894" s="17"/>
      <c r="I894" s="17"/>
      <c r="J894" s="17"/>
      <c r="K894" s="17"/>
      <c r="L894" s="17"/>
      <c r="M894" s="17"/>
      <c r="N894" s="17"/>
      <c r="O894" s="17"/>
      <c r="P894" s="17"/>
      <c r="Q894" s="17"/>
      <c r="R894" s="17"/>
      <c r="S894" s="143"/>
      <c r="T894" s="143"/>
      <c r="U894" s="143"/>
      <c r="V894" s="143"/>
      <c r="W894" s="17"/>
      <c r="X894" s="17"/>
      <c r="Y894" s="17"/>
      <c r="Z894" s="17"/>
      <c r="AA894" s="17"/>
      <c r="AB894" s="17"/>
    </row>
    <row r="895">
      <c r="A895" s="17"/>
      <c r="B895" s="17"/>
      <c r="C895" s="17"/>
      <c r="D895" s="17"/>
      <c r="E895" s="17"/>
      <c r="F895" s="288"/>
      <c r="G895" s="17"/>
      <c r="H895" s="17"/>
      <c r="I895" s="17"/>
      <c r="J895" s="17"/>
      <c r="K895" s="17"/>
      <c r="L895" s="17"/>
      <c r="M895" s="17"/>
      <c r="N895" s="17"/>
      <c r="O895" s="17"/>
      <c r="P895" s="17"/>
      <c r="Q895" s="17"/>
      <c r="R895" s="17"/>
      <c r="S895" s="143"/>
      <c r="T895" s="143"/>
      <c r="U895" s="143"/>
      <c r="V895" s="143"/>
      <c r="W895" s="17"/>
      <c r="X895" s="17"/>
      <c r="Y895" s="17"/>
      <c r="Z895" s="17"/>
      <c r="AA895" s="17"/>
      <c r="AB895" s="17"/>
    </row>
    <row r="896">
      <c r="A896" s="17"/>
      <c r="B896" s="17"/>
      <c r="C896" s="17"/>
      <c r="D896" s="17"/>
      <c r="E896" s="17"/>
      <c r="F896" s="288"/>
      <c r="G896" s="17"/>
      <c r="H896" s="17"/>
      <c r="I896" s="17"/>
      <c r="J896" s="17"/>
      <c r="K896" s="17"/>
      <c r="L896" s="17"/>
      <c r="M896" s="17"/>
      <c r="N896" s="17"/>
      <c r="O896" s="17"/>
      <c r="P896" s="17"/>
      <c r="Q896" s="17"/>
      <c r="R896" s="17"/>
      <c r="S896" s="143"/>
      <c r="T896" s="143"/>
      <c r="U896" s="143"/>
      <c r="V896" s="143"/>
      <c r="W896" s="17"/>
      <c r="X896" s="17"/>
      <c r="Y896" s="17"/>
      <c r="Z896" s="17"/>
      <c r="AA896" s="17"/>
      <c r="AB896" s="17"/>
    </row>
    <row r="897">
      <c r="A897" s="17"/>
      <c r="B897" s="17"/>
      <c r="C897" s="17"/>
      <c r="D897" s="17"/>
      <c r="E897" s="17"/>
      <c r="F897" s="288"/>
      <c r="G897" s="17"/>
      <c r="H897" s="17"/>
      <c r="I897" s="17"/>
      <c r="J897" s="17"/>
      <c r="K897" s="17"/>
      <c r="L897" s="17"/>
      <c r="M897" s="17"/>
      <c r="N897" s="17"/>
      <c r="O897" s="17"/>
      <c r="P897" s="17"/>
      <c r="Q897" s="17"/>
      <c r="R897" s="17"/>
      <c r="S897" s="143"/>
      <c r="T897" s="143"/>
      <c r="U897" s="143"/>
      <c r="V897" s="143"/>
      <c r="W897" s="17"/>
      <c r="X897" s="17"/>
      <c r="Y897" s="17"/>
      <c r="Z897" s="17"/>
      <c r="AA897" s="17"/>
      <c r="AB897" s="17"/>
    </row>
    <row r="898">
      <c r="A898" s="17"/>
      <c r="B898" s="17"/>
      <c r="C898" s="17"/>
      <c r="D898" s="17"/>
      <c r="E898" s="17"/>
      <c r="F898" s="288"/>
      <c r="G898" s="17"/>
      <c r="H898" s="17"/>
      <c r="I898" s="17"/>
      <c r="J898" s="17"/>
      <c r="K898" s="17"/>
      <c r="L898" s="17"/>
      <c r="M898" s="17"/>
      <c r="N898" s="17"/>
      <c r="O898" s="17"/>
      <c r="P898" s="17"/>
      <c r="Q898" s="17"/>
      <c r="R898" s="17"/>
      <c r="S898" s="143"/>
      <c r="T898" s="143"/>
      <c r="U898" s="143"/>
      <c r="V898" s="143"/>
      <c r="W898" s="17"/>
      <c r="X898" s="17"/>
      <c r="Y898" s="17"/>
      <c r="Z898" s="17"/>
      <c r="AA898" s="17"/>
      <c r="AB898" s="17"/>
    </row>
    <row r="899">
      <c r="A899" s="17"/>
      <c r="B899" s="17"/>
      <c r="C899" s="17"/>
      <c r="D899" s="17"/>
      <c r="E899" s="17"/>
      <c r="F899" s="288"/>
      <c r="G899" s="17"/>
      <c r="H899" s="17"/>
      <c r="I899" s="17"/>
      <c r="J899" s="17"/>
      <c r="K899" s="17"/>
      <c r="L899" s="17"/>
      <c r="M899" s="17"/>
      <c r="N899" s="17"/>
      <c r="O899" s="17"/>
      <c r="P899" s="17"/>
      <c r="Q899" s="17"/>
      <c r="R899" s="17"/>
      <c r="S899" s="143"/>
      <c r="T899" s="143"/>
      <c r="U899" s="143"/>
      <c r="V899" s="143"/>
      <c r="W899" s="17"/>
      <c r="X899" s="17"/>
      <c r="Y899" s="17"/>
      <c r="Z899" s="17"/>
      <c r="AA899" s="17"/>
      <c r="AB899" s="17"/>
    </row>
    <row r="900">
      <c r="A900" s="17"/>
      <c r="B900" s="17"/>
      <c r="C900" s="17"/>
      <c r="D900" s="17"/>
      <c r="E900" s="17"/>
      <c r="F900" s="288"/>
      <c r="G900" s="17"/>
      <c r="H900" s="17"/>
      <c r="I900" s="17"/>
      <c r="J900" s="17"/>
      <c r="K900" s="17"/>
      <c r="L900" s="17"/>
      <c r="M900" s="17"/>
      <c r="N900" s="17"/>
      <c r="O900" s="17"/>
      <c r="P900" s="17"/>
      <c r="Q900" s="17"/>
      <c r="R900" s="17"/>
      <c r="S900" s="143"/>
      <c r="T900" s="143"/>
      <c r="U900" s="143"/>
      <c r="V900" s="143"/>
      <c r="W900" s="17"/>
      <c r="X900" s="17"/>
      <c r="Y900" s="17"/>
      <c r="Z900" s="17"/>
      <c r="AA900" s="17"/>
      <c r="AB900" s="17"/>
    </row>
    <row r="901">
      <c r="A901" s="17"/>
      <c r="B901" s="17"/>
      <c r="C901" s="17"/>
      <c r="D901" s="17"/>
      <c r="E901" s="17"/>
      <c r="F901" s="288"/>
      <c r="G901" s="17"/>
      <c r="H901" s="17"/>
      <c r="I901" s="17"/>
      <c r="J901" s="17"/>
      <c r="K901" s="17"/>
      <c r="L901" s="17"/>
      <c r="M901" s="17"/>
      <c r="N901" s="17"/>
      <c r="O901" s="17"/>
      <c r="P901" s="17"/>
      <c r="Q901" s="17"/>
      <c r="R901" s="17"/>
      <c r="S901" s="143"/>
      <c r="T901" s="143"/>
      <c r="U901" s="143"/>
      <c r="V901" s="143"/>
      <c r="W901" s="17"/>
      <c r="X901" s="17"/>
      <c r="Y901" s="17"/>
      <c r="Z901" s="17"/>
      <c r="AA901" s="17"/>
      <c r="AB901" s="17"/>
    </row>
    <row r="902">
      <c r="A902" s="17"/>
      <c r="B902" s="17"/>
      <c r="C902" s="17"/>
      <c r="D902" s="17"/>
      <c r="E902" s="17"/>
      <c r="F902" s="288"/>
      <c r="G902" s="17"/>
      <c r="H902" s="17"/>
      <c r="I902" s="17"/>
      <c r="J902" s="17"/>
      <c r="K902" s="17"/>
      <c r="L902" s="17"/>
      <c r="M902" s="17"/>
      <c r="N902" s="17"/>
      <c r="O902" s="17"/>
      <c r="P902" s="17"/>
      <c r="Q902" s="17"/>
      <c r="R902" s="17"/>
      <c r="S902" s="143"/>
      <c r="T902" s="143"/>
      <c r="U902" s="143"/>
      <c r="V902" s="143"/>
      <c r="W902" s="17"/>
      <c r="X902" s="17"/>
      <c r="Y902" s="17"/>
      <c r="Z902" s="17"/>
      <c r="AA902" s="17"/>
      <c r="AB902" s="17"/>
    </row>
    <row r="903">
      <c r="A903" s="17"/>
      <c r="B903" s="17"/>
      <c r="C903" s="17"/>
      <c r="D903" s="17"/>
      <c r="E903" s="17"/>
      <c r="F903" s="288"/>
      <c r="G903" s="17"/>
      <c r="H903" s="17"/>
      <c r="I903" s="17"/>
      <c r="J903" s="17"/>
      <c r="K903" s="17"/>
      <c r="L903" s="17"/>
      <c r="M903" s="17"/>
      <c r="N903" s="17"/>
      <c r="O903" s="17"/>
      <c r="P903" s="17"/>
      <c r="Q903" s="17"/>
      <c r="R903" s="17"/>
      <c r="S903" s="143"/>
      <c r="T903" s="143"/>
      <c r="U903" s="143"/>
      <c r="V903" s="143"/>
      <c r="W903" s="17"/>
      <c r="X903" s="17"/>
      <c r="Y903" s="17"/>
      <c r="Z903" s="17"/>
      <c r="AA903" s="17"/>
      <c r="AB903" s="17"/>
    </row>
    <row r="904">
      <c r="A904" s="17"/>
      <c r="B904" s="17"/>
      <c r="C904" s="17"/>
      <c r="D904" s="17"/>
      <c r="E904" s="17"/>
      <c r="F904" s="288"/>
      <c r="G904" s="17"/>
      <c r="H904" s="17"/>
      <c r="I904" s="17"/>
      <c r="J904" s="17"/>
      <c r="K904" s="17"/>
      <c r="L904" s="17"/>
      <c r="M904" s="17"/>
      <c r="N904" s="17"/>
      <c r="O904" s="17"/>
      <c r="P904" s="17"/>
      <c r="Q904" s="17"/>
      <c r="R904" s="17"/>
      <c r="S904" s="143"/>
      <c r="T904" s="143"/>
      <c r="U904" s="143"/>
      <c r="V904" s="143"/>
      <c r="W904" s="17"/>
      <c r="X904" s="17"/>
      <c r="Y904" s="17"/>
      <c r="Z904" s="17"/>
      <c r="AA904" s="17"/>
      <c r="AB904" s="17"/>
    </row>
    <row r="905">
      <c r="A905" s="17"/>
      <c r="B905" s="17"/>
      <c r="C905" s="17"/>
      <c r="D905" s="17"/>
      <c r="E905" s="17"/>
      <c r="F905" s="288"/>
      <c r="G905" s="17"/>
      <c r="H905" s="17"/>
      <c r="I905" s="17"/>
      <c r="J905" s="17"/>
      <c r="K905" s="17"/>
      <c r="L905" s="17"/>
      <c r="M905" s="17"/>
      <c r="N905" s="17"/>
      <c r="O905" s="17"/>
      <c r="P905" s="17"/>
      <c r="Q905" s="17"/>
      <c r="R905" s="17"/>
      <c r="S905" s="143"/>
      <c r="T905" s="143"/>
      <c r="U905" s="143"/>
      <c r="V905" s="143"/>
      <c r="W905" s="17"/>
      <c r="X905" s="17"/>
      <c r="Y905" s="17"/>
      <c r="Z905" s="17"/>
      <c r="AA905" s="17"/>
      <c r="AB905" s="17"/>
    </row>
    <row r="906">
      <c r="A906" s="17"/>
      <c r="B906" s="17"/>
      <c r="C906" s="17"/>
      <c r="D906" s="17"/>
      <c r="E906" s="17"/>
      <c r="F906" s="288"/>
      <c r="G906" s="17"/>
      <c r="H906" s="17"/>
      <c r="I906" s="17"/>
      <c r="J906" s="17"/>
      <c r="K906" s="17"/>
      <c r="L906" s="17"/>
      <c r="M906" s="17"/>
      <c r="N906" s="17"/>
      <c r="O906" s="17"/>
      <c r="P906" s="17"/>
      <c r="Q906" s="17"/>
      <c r="R906" s="17"/>
      <c r="S906" s="143"/>
      <c r="T906" s="143"/>
      <c r="U906" s="143"/>
      <c r="V906" s="143"/>
      <c r="W906" s="17"/>
      <c r="X906" s="17"/>
      <c r="Y906" s="17"/>
      <c r="Z906" s="17"/>
      <c r="AA906" s="17"/>
      <c r="AB906" s="17"/>
    </row>
    <row r="907">
      <c r="A907" s="17"/>
      <c r="B907" s="17"/>
      <c r="C907" s="17"/>
      <c r="D907" s="17"/>
      <c r="E907" s="17"/>
      <c r="F907" s="288"/>
      <c r="G907" s="17"/>
      <c r="H907" s="17"/>
      <c r="I907" s="17"/>
      <c r="J907" s="17"/>
      <c r="K907" s="17"/>
      <c r="L907" s="17"/>
      <c r="M907" s="17"/>
      <c r="N907" s="17"/>
      <c r="O907" s="17"/>
      <c r="P907" s="17"/>
      <c r="Q907" s="17"/>
      <c r="R907" s="17"/>
      <c r="S907" s="143"/>
      <c r="T907" s="143"/>
      <c r="U907" s="143"/>
      <c r="V907" s="143"/>
      <c r="W907" s="17"/>
      <c r="X907" s="17"/>
      <c r="Y907" s="17"/>
      <c r="Z907" s="17"/>
      <c r="AA907" s="17"/>
      <c r="AB907" s="17"/>
    </row>
    <row r="908">
      <c r="A908" s="17"/>
      <c r="B908" s="17"/>
      <c r="C908" s="17"/>
      <c r="D908" s="17"/>
      <c r="E908" s="17"/>
      <c r="F908" s="288"/>
      <c r="G908" s="17"/>
      <c r="H908" s="17"/>
      <c r="I908" s="17"/>
      <c r="J908" s="17"/>
      <c r="K908" s="17"/>
      <c r="L908" s="17"/>
      <c r="M908" s="17"/>
      <c r="N908" s="17"/>
      <c r="O908" s="17"/>
      <c r="P908" s="17"/>
      <c r="Q908" s="17"/>
      <c r="R908" s="17"/>
      <c r="S908" s="143"/>
      <c r="T908" s="143"/>
      <c r="U908" s="143"/>
      <c r="V908" s="143"/>
      <c r="W908" s="17"/>
      <c r="X908" s="17"/>
      <c r="Y908" s="17"/>
      <c r="Z908" s="17"/>
      <c r="AA908" s="17"/>
      <c r="AB908" s="17"/>
    </row>
    <row r="909">
      <c r="A909" s="17"/>
      <c r="B909" s="17"/>
      <c r="C909" s="17"/>
      <c r="D909" s="17"/>
      <c r="E909" s="17"/>
      <c r="F909" s="288"/>
      <c r="G909" s="17"/>
      <c r="H909" s="17"/>
      <c r="I909" s="17"/>
      <c r="J909" s="17"/>
      <c r="K909" s="17"/>
      <c r="L909" s="17"/>
      <c r="M909" s="17"/>
      <c r="N909" s="17"/>
      <c r="O909" s="17"/>
      <c r="P909" s="17"/>
      <c r="Q909" s="17"/>
      <c r="R909" s="17"/>
      <c r="S909" s="143"/>
      <c r="T909" s="143"/>
      <c r="U909" s="143"/>
      <c r="V909" s="143"/>
      <c r="W909" s="17"/>
      <c r="X909" s="17"/>
      <c r="Y909" s="17"/>
      <c r="Z909" s="17"/>
      <c r="AA909" s="17"/>
      <c r="AB909" s="17"/>
    </row>
    <row r="910">
      <c r="A910" s="17"/>
      <c r="B910" s="17"/>
      <c r="C910" s="17"/>
      <c r="D910" s="17"/>
      <c r="E910" s="17"/>
      <c r="F910" s="288"/>
      <c r="G910" s="17"/>
      <c r="H910" s="17"/>
      <c r="I910" s="17"/>
      <c r="J910" s="17"/>
      <c r="K910" s="17"/>
      <c r="L910" s="17"/>
      <c r="M910" s="17"/>
      <c r="N910" s="17"/>
      <c r="O910" s="17"/>
      <c r="P910" s="17"/>
      <c r="Q910" s="17"/>
      <c r="R910" s="17"/>
      <c r="S910" s="143"/>
      <c r="T910" s="143"/>
      <c r="U910" s="143"/>
      <c r="V910" s="143"/>
      <c r="W910" s="17"/>
      <c r="X910" s="17"/>
      <c r="Y910" s="17"/>
      <c r="Z910" s="17"/>
      <c r="AA910" s="17"/>
      <c r="AB910" s="17"/>
    </row>
    <row r="911">
      <c r="A911" s="17"/>
      <c r="B911" s="17"/>
      <c r="C911" s="17"/>
      <c r="D911" s="17"/>
      <c r="E911" s="17"/>
      <c r="F911" s="288"/>
      <c r="G911" s="17"/>
      <c r="H911" s="17"/>
      <c r="I911" s="17"/>
      <c r="J911" s="17"/>
      <c r="K911" s="17"/>
      <c r="L911" s="17"/>
      <c r="M911" s="17"/>
      <c r="N911" s="17"/>
      <c r="O911" s="17"/>
      <c r="P911" s="17"/>
      <c r="Q911" s="17"/>
      <c r="R911" s="17"/>
      <c r="S911" s="143"/>
      <c r="T911" s="143"/>
      <c r="U911" s="143"/>
      <c r="V911" s="143"/>
      <c r="W911" s="17"/>
      <c r="X911" s="17"/>
      <c r="Y911" s="17"/>
      <c r="Z911" s="17"/>
      <c r="AA911" s="17"/>
      <c r="AB911" s="17"/>
    </row>
    <row r="912">
      <c r="A912" s="17"/>
      <c r="B912" s="17"/>
      <c r="C912" s="17"/>
      <c r="D912" s="17"/>
      <c r="E912" s="17"/>
      <c r="F912" s="288"/>
      <c r="G912" s="17"/>
      <c r="H912" s="17"/>
      <c r="I912" s="17"/>
      <c r="J912" s="17"/>
      <c r="K912" s="17"/>
      <c r="L912" s="17"/>
      <c r="M912" s="17"/>
      <c r="N912" s="17"/>
      <c r="O912" s="17"/>
      <c r="P912" s="17"/>
      <c r="Q912" s="17"/>
      <c r="R912" s="17"/>
      <c r="S912" s="143"/>
      <c r="T912" s="143"/>
      <c r="U912" s="143"/>
      <c r="V912" s="143"/>
      <c r="W912" s="17"/>
      <c r="X912" s="17"/>
      <c r="Y912" s="17"/>
      <c r="Z912" s="17"/>
      <c r="AA912" s="17"/>
      <c r="AB912" s="17"/>
    </row>
    <row r="913">
      <c r="A913" s="17"/>
      <c r="B913" s="17"/>
      <c r="C913" s="17"/>
      <c r="D913" s="17"/>
      <c r="E913" s="17"/>
      <c r="F913" s="288"/>
      <c r="G913" s="17"/>
      <c r="H913" s="17"/>
      <c r="I913" s="17"/>
      <c r="J913" s="17"/>
      <c r="K913" s="17"/>
      <c r="L913" s="17"/>
      <c r="M913" s="17"/>
      <c r="N913" s="17"/>
      <c r="O913" s="17"/>
      <c r="P913" s="17"/>
      <c r="Q913" s="17"/>
      <c r="R913" s="17"/>
      <c r="S913" s="143"/>
      <c r="T913" s="143"/>
      <c r="U913" s="143"/>
      <c r="V913" s="143"/>
      <c r="W913" s="17"/>
      <c r="X913" s="17"/>
      <c r="Y913" s="17"/>
      <c r="Z913" s="17"/>
      <c r="AA913" s="17"/>
      <c r="AB913" s="17"/>
    </row>
    <row r="914">
      <c r="A914" s="17"/>
      <c r="B914" s="17"/>
      <c r="C914" s="17"/>
      <c r="D914" s="17"/>
      <c r="E914" s="17"/>
      <c r="F914" s="288"/>
      <c r="G914" s="17"/>
      <c r="H914" s="17"/>
      <c r="I914" s="17"/>
      <c r="J914" s="17"/>
      <c r="K914" s="17"/>
      <c r="L914" s="17"/>
      <c r="M914" s="17"/>
      <c r="N914" s="17"/>
      <c r="O914" s="17"/>
      <c r="P914" s="17"/>
      <c r="Q914" s="17"/>
      <c r="R914" s="17"/>
      <c r="S914" s="143"/>
      <c r="T914" s="143"/>
      <c r="U914" s="143"/>
      <c r="V914" s="143"/>
      <c r="W914" s="17"/>
      <c r="X914" s="17"/>
      <c r="Y914" s="17"/>
      <c r="Z914" s="17"/>
      <c r="AA914" s="17"/>
      <c r="AB914" s="17"/>
    </row>
    <row r="915">
      <c r="A915" s="17"/>
      <c r="B915" s="17"/>
      <c r="C915" s="17"/>
      <c r="D915" s="17"/>
      <c r="E915" s="17"/>
      <c r="F915" s="288"/>
      <c r="G915" s="17"/>
      <c r="H915" s="17"/>
      <c r="I915" s="17"/>
      <c r="J915" s="17"/>
      <c r="K915" s="17"/>
      <c r="L915" s="17"/>
      <c r="M915" s="17"/>
      <c r="N915" s="17"/>
      <c r="O915" s="17"/>
      <c r="P915" s="17"/>
      <c r="Q915" s="17"/>
      <c r="R915" s="17"/>
      <c r="S915" s="143"/>
      <c r="T915" s="143"/>
      <c r="U915" s="143"/>
      <c r="V915" s="143"/>
      <c r="W915" s="17"/>
      <c r="X915" s="17"/>
      <c r="Y915" s="17"/>
      <c r="Z915" s="17"/>
      <c r="AA915" s="17"/>
      <c r="AB915" s="17"/>
    </row>
    <row r="916">
      <c r="A916" s="17"/>
      <c r="B916" s="17"/>
      <c r="C916" s="17"/>
      <c r="D916" s="17"/>
      <c r="E916" s="17"/>
      <c r="F916" s="288"/>
      <c r="G916" s="17"/>
      <c r="H916" s="17"/>
      <c r="I916" s="17"/>
      <c r="J916" s="17"/>
      <c r="K916" s="17"/>
      <c r="L916" s="17"/>
      <c r="M916" s="17"/>
      <c r="N916" s="17"/>
      <c r="O916" s="17"/>
      <c r="P916" s="17"/>
      <c r="Q916" s="17"/>
      <c r="R916" s="17"/>
      <c r="S916" s="143"/>
      <c r="T916" s="143"/>
      <c r="U916" s="143"/>
      <c r="V916" s="143"/>
      <c r="W916" s="17"/>
      <c r="X916" s="17"/>
      <c r="Y916" s="17"/>
      <c r="Z916" s="17"/>
      <c r="AA916" s="17"/>
      <c r="AB916" s="17"/>
    </row>
    <row r="917">
      <c r="A917" s="17"/>
      <c r="B917" s="17"/>
      <c r="C917" s="17"/>
      <c r="D917" s="17"/>
      <c r="E917" s="17"/>
      <c r="F917" s="288"/>
      <c r="G917" s="17"/>
      <c r="H917" s="17"/>
      <c r="I917" s="17"/>
      <c r="J917" s="17"/>
      <c r="K917" s="17"/>
      <c r="L917" s="17"/>
      <c r="M917" s="17"/>
      <c r="N917" s="17"/>
      <c r="O917" s="17"/>
      <c r="P917" s="17"/>
      <c r="Q917" s="17"/>
      <c r="R917" s="17"/>
      <c r="S917" s="143"/>
      <c r="T917" s="143"/>
      <c r="U917" s="143"/>
      <c r="V917" s="143"/>
      <c r="W917" s="17"/>
      <c r="X917" s="17"/>
      <c r="Y917" s="17"/>
      <c r="Z917" s="17"/>
      <c r="AA917" s="17"/>
      <c r="AB917" s="17"/>
    </row>
    <row r="918">
      <c r="A918" s="17"/>
      <c r="B918" s="17"/>
      <c r="C918" s="17"/>
      <c r="D918" s="17"/>
      <c r="E918" s="17"/>
      <c r="F918" s="288"/>
      <c r="G918" s="17"/>
      <c r="H918" s="17"/>
      <c r="I918" s="17"/>
      <c r="J918" s="17"/>
      <c r="K918" s="17"/>
      <c r="L918" s="17"/>
      <c r="M918" s="17"/>
      <c r="N918" s="17"/>
      <c r="O918" s="17"/>
      <c r="P918" s="17"/>
      <c r="Q918" s="17"/>
      <c r="R918" s="17"/>
      <c r="S918" s="143"/>
      <c r="T918" s="143"/>
      <c r="U918" s="143"/>
      <c r="V918" s="143"/>
      <c r="W918" s="17"/>
      <c r="X918" s="17"/>
      <c r="Y918" s="17"/>
      <c r="Z918" s="17"/>
      <c r="AA918" s="17"/>
      <c r="AB918" s="17"/>
    </row>
    <row r="919">
      <c r="A919" s="17"/>
      <c r="B919" s="17"/>
      <c r="C919" s="17"/>
      <c r="D919" s="17"/>
      <c r="E919" s="17"/>
      <c r="F919" s="288"/>
      <c r="G919" s="17"/>
      <c r="H919" s="17"/>
      <c r="I919" s="17"/>
      <c r="J919" s="17"/>
      <c r="K919" s="17"/>
      <c r="L919" s="17"/>
      <c r="M919" s="17"/>
      <c r="N919" s="17"/>
      <c r="O919" s="17"/>
      <c r="P919" s="17"/>
      <c r="Q919" s="17"/>
      <c r="R919" s="17"/>
      <c r="S919" s="143"/>
      <c r="T919" s="143"/>
      <c r="U919" s="143"/>
      <c r="V919" s="143"/>
      <c r="W919" s="17"/>
      <c r="X919" s="17"/>
      <c r="Y919" s="17"/>
      <c r="Z919" s="17"/>
      <c r="AA919" s="17"/>
      <c r="AB919" s="17"/>
    </row>
    <row r="920">
      <c r="A920" s="17"/>
      <c r="B920" s="17"/>
      <c r="C920" s="17"/>
      <c r="D920" s="17"/>
      <c r="E920" s="17"/>
      <c r="F920" s="288"/>
      <c r="G920" s="17"/>
      <c r="H920" s="17"/>
      <c r="I920" s="17"/>
      <c r="J920" s="17"/>
      <c r="K920" s="17"/>
      <c r="L920" s="17"/>
      <c r="M920" s="17"/>
      <c r="N920" s="17"/>
      <c r="O920" s="17"/>
      <c r="P920" s="17"/>
      <c r="Q920" s="17"/>
      <c r="R920" s="17"/>
      <c r="S920" s="143"/>
      <c r="T920" s="143"/>
      <c r="U920" s="143"/>
      <c r="V920" s="143"/>
      <c r="W920" s="17"/>
      <c r="X920" s="17"/>
      <c r="Y920" s="17"/>
      <c r="Z920" s="17"/>
      <c r="AA920" s="17"/>
      <c r="AB920" s="17"/>
    </row>
    <row r="921">
      <c r="A921" s="17"/>
      <c r="B921" s="17"/>
      <c r="C921" s="17"/>
      <c r="D921" s="17"/>
      <c r="E921" s="17"/>
      <c r="F921" s="288"/>
      <c r="G921" s="17"/>
      <c r="H921" s="17"/>
      <c r="I921" s="17"/>
      <c r="J921" s="17"/>
      <c r="K921" s="17"/>
      <c r="L921" s="17"/>
      <c r="M921" s="17"/>
      <c r="N921" s="17"/>
      <c r="O921" s="17"/>
      <c r="P921" s="17"/>
      <c r="Q921" s="17"/>
      <c r="R921" s="17"/>
      <c r="S921" s="143"/>
      <c r="T921" s="143"/>
      <c r="U921" s="143"/>
      <c r="V921" s="143"/>
      <c r="W921" s="17"/>
      <c r="X921" s="17"/>
      <c r="Y921" s="17"/>
      <c r="Z921" s="17"/>
      <c r="AA921" s="17"/>
      <c r="AB921" s="17"/>
    </row>
    <row r="922">
      <c r="A922" s="17"/>
      <c r="B922" s="17"/>
      <c r="C922" s="17"/>
      <c r="D922" s="17"/>
      <c r="E922" s="17"/>
      <c r="F922" s="288"/>
      <c r="G922" s="17"/>
      <c r="H922" s="17"/>
      <c r="I922" s="17"/>
      <c r="J922" s="17"/>
      <c r="K922" s="17"/>
      <c r="L922" s="17"/>
      <c r="M922" s="17"/>
      <c r="N922" s="17"/>
      <c r="O922" s="17"/>
      <c r="P922" s="17"/>
      <c r="Q922" s="17"/>
      <c r="R922" s="17"/>
      <c r="S922" s="143"/>
      <c r="T922" s="143"/>
      <c r="U922" s="143"/>
      <c r="V922" s="143"/>
      <c r="W922" s="17"/>
      <c r="X922" s="17"/>
      <c r="Y922" s="17"/>
      <c r="Z922" s="17"/>
      <c r="AA922" s="17"/>
      <c r="AB922" s="17"/>
    </row>
    <row r="923">
      <c r="A923" s="17"/>
      <c r="B923" s="17"/>
      <c r="C923" s="17"/>
      <c r="D923" s="17"/>
      <c r="E923" s="17"/>
      <c r="F923" s="288"/>
      <c r="G923" s="17"/>
      <c r="H923" s="17"/>
      <c r="I923" s="17"/>
      <c r="J923" s="17"/>
      <c r="K923" s="17"/>
      <c r="L923" s="17"/>
      <c r="M923" s="17"/>
      <c r="N923" s="17"/>
      <c r="O923" s="17"/>
      <c r="P923" s="17"/>
      <c r="Q923" s="17"/>
      <c r="R923" s="17"/>
      <c r="S923" s="143"/>
      <c r="T923" s="143"/>
      <c r="U923" s="143"/>
      <c r="V923" s="143"/>
      <c r="W923" s="17"/>
      <c r="X923" s="17"/>
      <c r="Y923" s="17"/>
      <c r="Z923" s="17"/>
      <c r="AA923" s="17"/>
      <c r="AB923" s="17"/>
    </row>
    <row r="924">
      <c r="A924" s="17"/>
      <c r="B924" s="17"/>
      <c r="C924" s="17"/>
      <c r="D924" s="17"/>
      <c r="E924" s="17"/>
      <c r="F924" s="288"/>
      <c r="G924" s="17"/>
      <c r="H924" s="17"/>
      <c r="I924" s="17"/>
      <c r="J924" s="17"/>
      <c r="K924" s="17"/>
      <c r="L924" s="17"/>
      <c r="M924" s="17"/>
      <c r="N924" s="17"/>
      <c r="O924" s="17"/>
      <c r="P924" s="17"/>
      <c r="Q924" s="17"/>
      <c r="R924" s="17"/>
      <c r="S924" s="143"/>
      <c r="T924" s="143"/>
      <c r="U924" s="143"/>
      <c r="V924" s="143"/>
      <c r="W924" s="17"/>
      <c r="X924" s="17"/>
      <c r="Y924" s="17"/>
      <c r="Z924" s="17"/>
      <c r="AA924" s="17"/>
      <c r="AB924" s="17"/>
    </row>
    <row r="925">
      <c r="A925" s="17"/>
      <c r="B925" s="17"/>
      <c r="C925" s="17"/>
      <c r="D925" s="17"/>
      <c r="E925" s="17"/>
      <c r="F925" s="288"/>
      <c r="G925" s="17"/>
      <c r="H925" s="17"/>
      <c r="I925" s="17"/>
      <c r="J925" s="17"/>
      <c r="K925" s="17"/>
      <c r="L925" s="17"/>
      <c r="M925" s="17"/>
      <c r="N925" s="17"/>
      <c r="O925" s="17"/>
      <c r="P925" s="17"/>
      <c r="Q925" s="17"/>
      <c r="R925" s="17"/>
      <c r="S925" s="143"/>
      <c r="T925" s="143"/>
      <c r="U925" s="143"/>
      <c r="V925" s="143"/>
      <c r="W925" s="17"/>
      <c r="X925" s="17"/>
      <c r="Y925" s="17"/>
      <c r="Z925" s="17"/>
      <c r="AA925" s="17"/>
      <c r="AB925" s="17"/>
    </row>
    <row r="926">
      <c r="A926" s="17"/>
      <c r="B926" s="17"/>
      <c r="C926" s="17"/>
      <c r="D926" s="17"/>
      <c r="E926" s="17"/>
      <c r="F926" s="288"/>
      <c r="G926" s="17"/>
      <c r="H926" s="17"/>
      <c r="I926" s="17"/>
      <c r="J926" s="17"/>
      <c r="K926" s="17"/>
      <c r="L926" s="17"/>
      <c r="M926" s="17"/>
      <c r="N926" s="17"/>
      <c r="O926" s="17"/>
      <c r="P926" s="17"/>
      <c r="Q926" s="17"/>
      <c r="R926" s="17"/>
      <c r="S926" s="143"/>
      <c r="T926" s="143"/>
      <c r="U926" s="143"/>
      <c r="V926" s="143"/>
      <c r="W926" s="17"/>
      <c r="X926" s="17"/>
      <c r="Y926" s="17"/>
      <c r="Z926" s="17"/>
      <c r="AA926" s="17"/>
      <c r="AB926" s="17"/>
    </row>
    <row r="927">
      <c r="A927" s="17"/>
      <c r="B927" s="17"/>
      <c r="C927" s="17"/>
      <c r="D927" s="17"/>
      <c r="E927" s="17"/>
      <c r="F927" s="288"/>
      <c r="G927" s="17"/>
      <c r="H927" s="17"/>
      <c r="I927" s="17"/>
      <c r="J927" s="17"/>
      <c r="K927" s="17"/>
      <c r="L927" s="17"/>
      <c r="M927" s="17"/>
      <c r="N927" s="17"/>
      <c r="O927" s="17"/>
      <c r="P927" s="17"/>
      <c r="Q927" s="17"/>
      <c r="R927" s="17"/>
      <c r="S927" s="143"/>
      <c r="T927" s="143"/>
      <c r="U927" s="143"/>
      <c r="V927" s="143"/>
      <c r="W927" s="17"/>
      <c r="X927" s="17"/>
      <c r="Y927" s="17"/>
      <c r="Z927" s="17"/>
      <c r="AA927" s="17"/>
      <c r="AB927" s="17"/>
    </row>
    <row r="928">
      <c r="A928" s="17"/>
      <c r="B928" s="17"/>
      <c r="C928" s="17"/>
      <c r="D928" s="17"/>
      <c r="E928" s="17"/>
      <c r="F928" s="288"/>
      <c r="G928" s="17"/>
      <c r="H928" s="17"/>
      <c r="I928" s="17"/>
      <c r="J928" s="17"/>
      <c r="K928" s="17"/>
      <c r="L928" s="17"/>
      <c r="M928" s="17"/>
      <c r="N928" s="17"/>
      <c r="O928" s="17"/>
      <c r="P928" s="17"/>
      <c r="Q928" s="17"/>
      <c r="R928" s="17"/>
      <c r="S928" s="143"/>
      <c r="T928" s="143"/>
      <c r="U928" s="143"/>
      <c r="V928" s="143"/>
      <c r="W928" s="17"/>
      <c r="X928" s="17"/>
      <c r="Y928" s="17"/>
      <c r="Z928" s="17"/>
      <c r="AA928" s="17"/>
      <c r="AB928" s="17"/>
    </row>
    <row r="929">
      <c r="A929" s="17"/>
      <c r="B929" s="17"/>
      <c r="C929" s="17"/>
      <c r="D929" s="17"/>
      <c r="E929" s="17"/>
      <c r="F929" s="288"/>
      <c r="G929" s="17"/>
      <c r="H929" s="17"/>
      <c r="I929" s="17"/>
      <c r="J929" s="17"/>
      <c r="K929" s="17"/>
      <c r="L929" s="17"/>
      <c r="M929" s="17"/>
      <c r="N929" s="17"/>
      <c r="O929" s="17"/>
      <c r="P929" s="17"/>
      <c r="Q929" s="17"/>
      <c r="R929" s="17"/>
      <c r="S929" s="143"/>
      <c r="T929" s="143"/>
      <c r="U929" s="143"/>
      <c r="V929" s="143"/>
      <c r="W929" s="17"/>
      <c r="X929" s="17"/>
      <c r="Y929" s="17"/>
      <c r="Z929" s="17"/>
      <c r="AA929" s="17"/>
      <c r="AB929" s="17"/>
    </row>
    <row r="930">
      <c r="A930" s="17"/>
      <c r="B930" s="17"/>
      <c r="C930" s="17"/>
      <c r="D930" s="17"/>
      <c r="E930" s="17"/>
      <c r="F930" s="288"/>
      <c r="G930" s="17"/>
      <c r="H930" s="17"/>
      <c r="I930" s="17"/>
      <c r="J930" s="17"/>
      <c r="K930" s="17"/>
      <c r="L930" s="17"/>
      <c r="M930" s="17"/>
      <c r="N930" s="17"/>
      <c r="O930" s="17"/>
      <c r="P930" s="17"/>
      <c r="Q930" s="17"/>
      <c r="R930" s="17"/>
      <c r="S930" s="143"/>
      <c r="T930" s="143"/>
      <c r="U930" s="143"/>
      <c r="V930" s="143"/>
      <c r="W930" s="17"/>
      <c r="X930" s="17"/>
      <c r="Y930" s="17"/>
      <c r="Z930" s="17"/>
      <c r="AA930" s="17"/>
      <c r="AB930" s="17"/>
    </row>
    <row r="931">
      <c r="A931" s="17"/>
      <c r="B931" s="17"/>
      <c r="C931" s="17"/>
      <c r="D931" s="17"/>
      <c r="E931" s="17"/>
      <c r="F931" s="288"/>
      <c r="G931" s="17"/>
      <c r="H931" s="17"/>
      <c r="I931" s="17"/>
      <c r="J931" s="17"/>
      <c r="K931" s="17"/>
      <c r="L931" s="17"/>
      <c r="M931" s="17"/>
      <c r="N931" s="17"/>
      <c r="O931" s="17"/>
      <c r="P931" s="17"/>
      <c r="Q931" s="17"/>
      <c r="R931" s="17"/>
      <c r="S931" s="143"/>
      <c r="T931" s="143"/>
      <c r="U931" s="143"/>
      <c r="V931" s="143"/>
      <c r="W931" s="17"/>
      <c r="X931" s="17"/>
      <c r="Y931" s="17"/>
      <c r="Z931" s="17"/>
      <c r="AA931" s="17"/>
      <c r="AB931" s="17"/>
    </row>
    <row r="932">
      <c r="A932" s="17"/>
      <c r="B932" s="17"/>
      <c r="C932" s="17"/>
      <c r="D932" s="17"/>
      <c r="E932" s="17"/>
      <c r="F932" s="288"/>
      <c r="G932" s="17"/>
      <c r="H932" s="17"/>
      <c r="I932" s="17"/>
      <c r="J932" s="17"/>
      <c r="K932" s="17"/>
      <c r="L932" s="17"/>
      <c r="M932" s="17"/>
      <c r="N932" s="17"/>
      <c r="O932" s="17"/>
      <c r="P932" s="17"/>
      <c r="Q932" s="17"/>
      <c r="R932" s="17"/>
      <c r="S932" s="143"/>
      <c r="T932" s="143"/>
      <c r="U932" s="143"/>
      <c r="V932" s="143"/>
      <c r="W932" s="17"/>
      <c r="X932" s="17"/>
      <c r="Y932" s="17"/>
      <c r="Z932" s="17"/>
      <c r="AA932" s="17"/>
      <c r="AB932" s="17"/>
    </row>
    <row r="933">
      <c r="A933" s="17"/>
      <c r="B933" s="17"/>
      <c r="C933" s="17"/>
      <c r="D933" s="17"/>
      <c r="E933" s="17"/>
      <c r="F933" s="288"/>
      <c r="G933" s="17"/>
      <c r="H933" s="17"/>
      <c r="I933" s="17"/>
      <c r="J933" s="17"/>
      <c r="K933" s="17"/>
      <c r="L933" s="17"/>
      <c r="M933" s="17"/>
      <c r="N933" s="17"/>
      <c r="O933" s="17"/>
      <c r="P933" s="17"/>
      <c r="Q933" s="17"/>
      <c r="R933" s="17"/>
      <c r="S933" s="143"/>
      <c r="T933" s="143"/>
      <c r="U933" s="143"/>
      <c r="V933" s="143"/>
      <c r="W933" s="17"/>
      <c r="X933" s="17"/>
      <c r="Y933" s="17"/>
      <c r="Z933" s="17"/>
      <c r="AA933" s="17"/>
      <c r="AB933" s="17"/>
    </row>
    <row r="934">
      <c r="A934" s="17"/>
      <c r="B934" s="17"/>
      <c r="C934" s="17"/>
      <c r="D934" s="17"/>
      <c r="E934" s="17"/>
      <c r="F934" s="288"/>
      <c r="G934" s="17"/>
      <c r="H934" s="17"/>
      <c r="I934" s="17"/>
      <c r="J934" s="17"/>
      <c r="K934" s="17"/>
      <c r="L934" s="17"/>
      <c r="M934" s="17"/>
      <c r="N934" s="17"/>
      <c r="O934" s="17"/>
      <c r="P934" s="17"/>
      <c r="Q934" s="17"/>
      <c r="R934" s="17"/>
      <c r="S934" s="143"/>
      <c r="T934" s="143"/>
      <c r="U934" s="143"/>
      <c r="V934" s="143"/>
      <c r="W934" s="17"/>
      <c r="X934" s="17"/>
      <c r="Y934" s="17"/>
      <c r="Z934" s="17"/>
      <c r="AA934" s="17"/>
      <c r="AB934" s="17"/>
    </row>
    <row r="935">
      <c r="A935" s="17"/>
      <c r="B935" s="17"/>
      <c r="C935" s="17"/>
      <c r="D935" s="17"/>
      <c r="E935" s="17"/>
      <c r="F935" s="288"/>
      <c r="G935" s="17"/>
      <c r="H935" s="17"/>
      <c r="I935" s="17"/>
      <c r="J935" s="17"/>
      <c r="K935" s="17"/>
      <c r="L935" s="17"/>
      <c r="M935" s="17"/>
      <c r="N935" s="17"/>
      <c r="O935" s="17"/>
      <c r="P935" s="17"/>
      <c r="Q935" s="17"/>
      <c r="R935" s="17"/>
      <c r="S935" s="143"/>
      <c r="T935" s="143"/>
      <c r="U935" s="143"/>
      <c r="V935" s="143"/>
      <c r="W935" s="17"/>
      <c r="X935" s="17"/>
      <c r="Y935" s="17"/>
      <c r="Z935" s="17"/>
      <c r="AA935" s="17"/>
      <c r="AB935" s="17"/>
    </row>
    <row r="936">
      <c r="A936" s="17"/>
      <c r="B936" s="17"/>
      <c r="C936" s="17"/>
      <c r="D936" s="17"/>
      <c r="E936" s="17"/>
      <c r="F936" s="288"/>
      <c r="G936" s="17"/>
      <c r="H936" s="17"/>
      <c r="I936" s="17"/>
      <c r="J936" s="17"/>
      <c r="K936" s="17"/>
      <c r="L936" s="17"/>
      <c r="M936" s="17"/>
      <c r="N936" s="17"/>
      <c r="O936" s="17"/>
      <c r="P936" s="17"/>
      <c r="Q936" s="17"/>
      <c r="R936" s="17"/>
      <c r="S936" s="143"/>
      <c r="T936" s="143"/>
      <c r="U936" s="143"/>
      <c r="V936" s="143"/>
      <c r="W936" s="17"/>
      <c r="X936" s="17"/>
      <c r="Y936" s="17"/>
      <c r="Z936" s="17"/>
      <c r="AA936" s="17"/>
      <c r="AB936" s="17"/>
    </row>
    <row r="937">
      <c r="A937" s="17"/>
      <c r="B937" s="17"/>
      <c r="C937" s="17"/>
      <c r="D937" s="17"/>
      <c r="E937" s="17"/>
      <c r="F937" s="288"/>
      <c r="G937" s="17"/>
      <c r="H937" s="17"/>
      <c r="I937" s="17"/>
      <c r="J937" s="17"/>
      <c r="K937" s="17"/>
      <c r="L937" s="17"/>
      <c r="M937" s="17"/>
      <c r="N937" s="17"/>
      <c r="O937" s="17"/>
      <c r="P937" s="17"/>
      <c r="Q937" s="17"/>
      <c r="R937" s="17"/>
      <c r="S937" s="143"/>
      <c r="T937" s="143"/>
      <c r="U937" s="143"/>
      <c r="V937" s="143"/>
      <c r="W937" s="17"/>
      <c r="X937" s="17"/>
      <c r="Y937" s="17"/>
      <c r="Z937" s="17"/>
      <c r="AA937" s="17"/>
      <c r="AB937" s="17"/>
    </row>
    <row r="938">
      <c r="A938" s="17"/>
      <c r="B938" s="17"/>
      <c r="C938" s="17"/>
      <c r="D938" s="17"/>
      <c r="E938" s="17"/>
      <c r="F938" s="288"/>
      <c r="G938" s="17"/>
      <c r="H938" s="17"/>
      <c r="I938" s="17"/>
      <c r="J938" s="17"/>
      <c r="K938" s="17"/>
      <c r="L938" s="17"/>
      <c r="M938" s="17"/>
      <c r="N938" s="17"/>
      <c r="O938" s="17"/>
      <c r="P938" s="17"/>
      <c r="Q938" s="17"/>
      <c r="R938" s="17"/>
      <c r="S938" s="143"/>
      <c r="T938" s="143"/>
      <c r="U938" s="143"/>
      <c r="V938" s="143"/>
      <c r="W938" s="17"/>
      <c r="X938" s="17"/>
      <c r="Y938" s="17"/>
      <c r="Z938" s="17"/>
      <c r="AA938" s="17"/>
      <c r="AB938" s="17"/>
    </row>
    <row r="939">
      <c r="A939" s="17"/>
      <c r="B939" s="17"/>
      <c r="C939" s="17"/>
      <c r="D939" s="17"/>
      <c r="E939" s="17"/>
      <c r="F939" s="288"/>
      <c r="G939" s="17"/>
      <c r="H939" s="17"/>
      <c r="I939" s="17"/>
      <c r="J939" s="17"/>
      <c r="K939" s="17"/>
      <c r="L939" s="17"/>
      <c r="M939" s="17"/>
      <c r="N939" s="17"/>
      <c r="O939" s="17"/>
      <c r="P939" s="17"/>
      <c r="Q939" s="17"/>
      <c r="R939" s="17"/>
      <c r="S939" s="143"/>
      <c r="T939" s="143"/>
      <c r="U939" s="143"/>
      <c r="V939" s="143"/>
      <c r="W939" s="17"/>
      <c r="X939" s="17"/>
      <c r="Y939" s="17"/>
      <c r="Z939" s="17"/>
      <c r="AA939" s="17"/>
      <c r="AB939" s="17"/>
    </row>
    <row r="940">
      <c r="A940" s="17"/>
      <c r="B940" s="17"/>
      <c r="C940" s="17"/>
      <c r="D940" s="17"/>
      <c r="E940" s="17"/>
      <c r="F940" s="288"/>
      <c r="G940" s="17"/>
      <c r="H940" s="17"/>
      <c r="I940" s="17"/>
      <c r="J940" s="17"/>
      <c r="K940" s="17"/>
      <c r="L940" s="17"/>
      <c r="M940" s="17"/>
      <c r="N940" s="17"/>
      <c r="O940" s="17"/>
      <c r="P940" s="17"/>
      <c r="Q940" s="17"/>
      <c r="R940" s="17"/>
      <c r="S940" s="143"/>
      <c r="T940" s="143"/>
      <c r="U940" s="143"/>
      <c r="V940" s="143"/>
      <c r="W940" s="17"/>
      <c r="X940" s="17"/>
      <c r="Y940" s="17"/>
      <c r="Z940" s="17"/>
      <c r="AA940" s="17"/>
      <c r="AB940" s="17"/>
    </row>
    <row r="941">
      <c r="A941" s="17"/>
      <c r="B941" s="17"/>
      <c r="C941" s="17"/>
      <c r="D941" s="17"/>
      <c r="E941" s="17"/>
      <c r="F941" s="288"/>
      <c r="G941" s="17"/>
      <c r="H941" s="17"/>
      <c r="I941" s="17"/>
      <c r="J941" s="17"/>
      <c r="K941" s="17"/>
      <c r="L941" s="17"/>
      <c r="M941" s="17"/>
      <c r="N941" s="17"/>
      <c r="O941" s="17"/>
      <c r="P941" s="17"/>
      <c r="Q941" s="17"/>
      <c r="R941" s="17"/>
      <c r="S941" s="143"/>
      <c r="T941" s="143"/>
      <c r="U941" s="143"/>
      <c r="V941" s="143"/>
      <c r="W941" s="17"/>
      <c r="X941" s="17"/>
      <c r="Y941" s="17"/>
      <c r="Z941" s="17"/>
      <c r="AA941" s="17"/>
      <c r="AB941" s="17"/>
    </row>
    <row r="942">
      <c r="A942" s="17"/>
      <c r="B942" s="17"/>
      <c r="C942" s="17"/>
      <c r="D942" s="17"/>
      <c r="E942" s="17"/>
      <c r="F942" s="288"/>
      <c r="G942" s="17"/>
      <c r="H942" s="17"/>
      <c r="I942" s="17"/>
      <c r="J942" s="17"/>
      <c r="K942" s="17"/>
      <c r="L942" s="17"/>
      <c r="M942" s="17"/>
      <c r="N942" s="17"/>
      <c r="O942" s="17"/>
      <c r="P942" s="17"/>
      <c r="Q942" s="17"/>
      <c r="R942" s="17"/>
      <c r="S942" s="143"/>
      <c r="T942" s="143"/>
      <c r="U942" s="143"/>
      <c r="V942" s="143"/>
      <c r="W942" s="17"/>
      <c r="X942" s="17"/>
      <c r="Y942" s="17"/>
      <c r="Z942" s="17"/>
      <c r="AA942" s="17"/>
      <c r="AB942" s="17"/>
    </row>
    <row r="943">
      <c r="A943" s="17"/>
      <c r="B943" s="17"/>
      <c r="C943" s="17"/>
      <c r="D943" s="17"/>
      <c r="E943" s="17"/>
      <c r="F943" s="288"/>
      <c r="G943" s="17"/>
      <c r="H943" s="17"/>
      <c r="I943" s="17"/>
      <c r="J943" s="17"/>
      <c r="K943" s="17"/>
      <c r="L943" s="17"/>
      <c r="M943" s="17"/>
      <c r="N943" s="17"/>
      <c r="O943" s="17"/>
      <c r="P943" s="17"/>
      <c r="Q943" s="17"/>
      <c r="R943" s="17"/>
      <c r="S943" s="143"/>
      <c r="T943" s="143"/>
      <c r="U943" s="143"/>
      <c r="V943" s="143"/>
      <c r="W943" s="17"/>
      <c r="X943" s="17"/>
      <c r="Y943" s="17"/>
      <c r="Z943" s="17"/>
      <c r="AA943" s="17"/>
      <c r="AB943" s="17"/>
    </row>
    <row r="944">
      <c r="A944" s="17"/>
      <c r="B944" s="17"/>
      <c r="C944" s="17"/>
      <c r="D944" s="17"/>
      <c r="E944" s="17"/>
      <c r="F944" s="288"/>
      <c r="G944" s="17"/>
      <c r="H944" s="17"/>
      <c r="I944" s="17"/>
      <c r="J944" s="17"/>
      <c r="K944" s="17"/>
      <c r="L944" s="17"/>
      <c r="M944" s="17"/>
      <c r="N944" s="17"/>
      <c r="O944" s="17"/>
      <c r="P944" s="17"/>
      <c r="Q944" s="17"/>
      <c r="R944" s="17"/>
      <c r="S944" s="143"/>
      <c r="T944" s="143"/>
      <c r="U944" s="143"/>
      <c r="V944" s="143"/>
      <c r="W944" s="17"/>
      <c r="X944" s="17"/>
      <c r="Y944" s="17"/>
      <c r="Z944" s="17"/>
      <c r="AA944" s="17"/>
      <c r="AB944" s="17"/>
    </row>
    <row r="945">
      <c r="A945" s="17"/>
      <c r="B945" s="17"/>
      <c r="C945" s="17"/>
      <c r="D945" s="17"/>
      <c r="E945" s="17"/>
      <c r="F945" s="288"/>
      <c r="G945" s="17"/>
      <c r="H945" s="17"/>
      <c r="I945" s="17"/>
      <c r="J945" s="17"/>
      <c r="K945" s="17"/>
      <c r="L945" s="17"/>
      <c r="M945" s="17"/>
      <c r="N945" s="17"/>
      <c r="O945" s="17"/>
      <c r="P945" s="17"/>
      <c r="Q945" s="17"/>
      <c r="R945" s="17"/>
      <c r="S945" s="143"/>
      <c r="T945" s="143"/>
      <c r="U945" s="143"/>
      <c r="V945" s="143"/>
      <c r="W945" s="17"/>
      <c r="X945" s="17"/>
      <c r="Y945" s="17"/>
      <c r="Z945" s="17"/>
      <c r="AA945" s="17"/>
      <c r="AB945" s="17"/>
    </row>
    <row r="946">
      <c r="A946" s="17"/>
      <c r="B946" s="17"/>
      <c r="C946" s="17"/>
      <c r="D946" s="17"/>
      <c r="E946" s="17"/>
      <c r="F946" s="288"/>
      <c r="G946" s="17"/>
      <c r="H946" s="17"/>
      <c r="I946" s="17"/>
      <c r="J946" s="17"/>
      <c r="K946" s="17"/>
      <c r="L946" s="17"/>
      <c r="M946" s="17"/>
      <c r="N946" s="17"/>
      <c r="O946" s="17"/>
      <c r="P946" s="17"/>
      <c r="Q946" s="17"/>
      <c r="R946" s="17"/>
      <c r="S946" s="143"/>
      <c r="T946" s="143"/>
      <c r="U946" s="143"/>
      <c r="V946" s="143"/>
      <c r="W946" s="17"/>
      <c r="X946" s="17"/>
      <c r="Y946" s="17"/>
      <c r="Z946" s="17"/>
      <c r="AA946" s="17"/>
      <c r="AB946" s="17"/>
    </row>
    <row r="947">
      <c r="A947" s="17"/>
      <c r="B947" s="17"/>
      <c r="C947" s="17"/>
      <c r="D947" s="17"/>
      <c r="E947" s="17"/>
      <c r="F947" s="288"/>
      <c r="G947" s="17"/>
      <c r="H947" s="17"/>
      <c r="I947" s="17"/>
      <c r="J947" s="17"/>
      <c r="K947" s="17"/>
      <c r="L947" s="17"/>
      <c r="M947" s="17"/>
      <c r="N947" s="17"/>
      <c r="O947" s="17"/>
      <c r="P947" s="17"/>
      <c r="Q947" s="17"/>
      <c r="R947" s="17"/>
      <c r="S947" s="143"/>
      <c r="T947" s="143"/>
      <c r="U947" s="143"/>
      <c r="V947" s="143"/>
      <c r="W947" s="17"/>
      <c r="X947" s="17"/>
      <c r="Y947" s="17"/>
      <c r="Z947" s="17"/>
      <c r="AA947" s="17"/>
      <c r="AB947" s="17"/>
    </row>
    <row r="948">
      <c r="A948" s="17"/>
      <c r="B948" s="17"/>
      <c r="C948" s="17"/>
      <c r="D948" s="17"/>
      <c r="E948" s="17"/>
      <c r="F948" s="288"/>
      <c r="G948" s="17"/>
      <c r="H948" s="17"/>
      <c r="I948" s="17"/>
      <c r="J948" s="17"/>
      <c r="K948" s="17"/>
      <c r="L948" s="17"/>
      <c r="M948" s="17"/>
      <c r="N948" s="17"/>
      <c r="O948" s="17"/>
      <c r="P948" s="17"/>
      <c r="Q948" s="17"/>
      <c r="R948" s="17"/>
      <c r="S948" s="143"/>
      <c r="T948" s="143"/>
      <c r="U948" s="143"/>
      <c r="V948" s="143"/>
      <c r="W948" s="17"/>
      <c r="X948" s="17"/>
      <c r="Y948" s="17"/>
      <c r="Z948" s="17"/>
      <c r="AA948" s="17"/>
      <c r="AB948" s="17"/>
    </row>
    <row r="949">
      <c r="A949" s="17"/>
      <c r="B949" s="17"/>
      <c r="C949" s="17"/>
      <c r="D949" s="17"/>
      <c r="E949" s="17"/>
      <c r="F949" s="288"/>
      <c r="G949" s="17"/>
      <c r="H949" s="17"/>
      <c r="I949" s="17"/>
      <c r="J949" s="17"/>
      <c r="K949" s="17"/>
      <c r="L949" s="17"/>
      <c r="M949" s="17"/>
      <c r="N949" s="17"/>
      <c r="O949" s="17"/>
      <c r="P949" s="17"/>
      <c r="Q949" s="17"/>
      <c r="R949" s="17"/>
      <c r="S949" s="143"/>
      <c r="T949" s="143"/>
      <c r="U949" s="143"/>
      <c r="V949" s="143"/>
      <c r="W949" s="17"/>
      <c r="X949" s="17"/>
      <c r="Y949" s="17"/>
      <c r="Z949" s="17"/>
      <c r="AA949" s="17"/>
      <c r="AB949" s="17"/>
    </row>
    <row r="950">
      <c r="A950" s="17"/>
      <c r="B950" s="17"/>
      <c r="C950" s="17"/>
      <c r="D950" s="17"/>
      <c r="E950" s="17"/>
      <c r="F950" s="288"/>
      <c r="G950" s="17"/>
      <c r="H950" s="17"/>
      <c r="I950" s="17"/>
      <c r="J950" s="17"/>
      <c r="K950" s="17"/>
      <c r="L950" s="17"/>
      <c r="M950" s="17"/>
      <c r="N950" s="17"/>
      <c r="O950" s="17"/>
      <c r="P950" s="17"/>
      <c r="Q950" s="17"/>
      <c r="R950" s="17"/>
      <c r="S950" s="143"/>
      <c r="T950" s="143"/>
      <c r="U950" s="143"/>
      <c r="V950" s="143"/>
      <c r="W950" s="17"/>
      <c r="X950" s="17"/>
      <c r="Y950" s="17"/>
      <c r="Z950" s="17"/>
      <c r="AA950" s="17"/>
      <c r="AB950" s="17"/>
    </row>
    <row r="951">
      <c r="A951" s="17"/>
      <c r="B951" s="17"/>
      <c r="C951" s="17"/>
      <c r="D951" s="17"/>
      <c r="E951" s="17"/>
      <c r="F951" s="288"/>
      <c r="G951" s="17"/>
      <c r="H951" s="17"/>
      <c r="I951" s="17"/>
      <c r="J951" s="17"/>
      <c r="K951" s="17"/>
      <c r="L951" s="17"/>
      <c r="M951" s="17"/>
      <c r="N951" s="17"/>
      <c r="O951" s="17"/>
      <c r="P951" s="17"/>
      <c r="Q951" s="17"/>
      <c r="R951" s="17"/>
      <c r="S951" s="143"/>
      <c r="T951" s="143"/>
      <c r="U951" s="143"/>
      <c r="V951" s="143"/>
      <c r="W951" s="17"/>
      <c r="X951" s="17"/>
      <c r="Y951" s="17"/>
      <c r="Z951" s="17"/>
      <c r="AA951" s="17"/>
      <c r="AB951" s="17"/>
    </row>
    <row r="952">
      <c r="A952" s="17"/>
      <c r="B952" s="17"/>
      <c r="C952" s="17"/>
      <c r="D952" s="17"/>
      <c r="E952" s="17"/>
      <c r="F952" s="288"/>
      <c r="G952" s="17"/>
      <c r="H952" s="17"/>
      <c r="I952" s="17"/>
      <c r="J952" s="17"/>
      <c r="K952" s="17"/>
      <c r="L952" s="17"/>
      <c r="M952" s="17"/>
      <c r="N952" s="17"/>
      <c r="O952" s="17"/>
      <c r="P952" s="17"/>
      <c r="Q952" s="17"/>
      <c r="R952" s="17"/>
      <c r="S952" s="143"/>
      <c r="T952" s="143"/>
      <c r="U952" s="143"/>
      <c r="V952" s="143"/>
      <c r="W952" s="17"/>
      <c r="X952" s="17"/>
      <c r="Y952" s="17"/>
      <c r="Z952" s="17"/>
      <c r="AA952" s="17"/>
      <c r="AB952" s="17"/>
    </row>
    <row r="953">
      <c r="A953" s="17"/>
      <c r="B953" s="17"/>
      <c r="C953" s="17"/>
      <c r="D953" s="17"/>
      <c r="E953" s="17"/>
      <c r="F953" s="288"/>
      <c r="G953" s="17"/>
      <c r="H953" s="17"/>
      <c r="I953" s="17"/>
      <c r="J953" s="17"/>
      <c r="K953" s="17"/>
      <c r="L953" s="17"/>
      <c r="M953" s="17"/>
      <c r="N953" s="17"/>
      <c r="O953" s="17"/>
      <c r="P953" s="17"/>
      <c r="Q953" s="17"/>
      <c r="R953" s="17"/>
      <c r="S953" s="143"/>
      <c r="T953" s="143"/>
      <c r="U953" s="143"/>
      <c r="V953" s="143"/>
      <c r="W953" s="17"/>
      <c r="X953" s="17"/>
      <c r="Y953" s="17"/>
      <c r="Z953" s="17"/>
      <c r="AA953" s="17"/>
      <c r="AB953" s="17"/>
    </row>
    <row r="954">
      <c r="A954" s="17"/>
      <c r="B954" s="17"/>
      <c r="C954" s="17"/>
      <c r="D954" s="17"/>
      <c r="E954" s="17"/>
      <c r="F954" s="288"/>
      <c r="G954" s="17"/>
      <c r="H954" s="17"/>
      <c r="I954" s="17"/>
      <c r="J954" s="17"/>
      <c r="K954" s="17"/>
      <c r="L954" s="17"/>
      <c r="M954" s="17"/>
      <c r="N954" s="17"/>
      <c r="O954" s="17"/>
      <c r="P954" s="17"/>
      <c r="Q954" s="17"/>
      <c r="R954" s="17"/>
      <c r="S954" s="143"/>
      <c r="T954" s="143"/>
      <c r="U954" s="143"/>
      <c r="V954" s="143"/>
      <c r="W954" s="17"/>
      <c r="X954" s="17"/>
      <c r="Y954" s="17"/>
      <c r="Z954" s="17"/>
      <c r="AA954" s="17"/>
      <c r="AB954" s="17"/>
    </row>
    <row r="955">
      <c r="A955" s="17"/>
      <c r="B955" s="17"/>
      <c r="C955" s="17"/>
      <c r="D955" s="17"/>
      <c r="E955" s="17"/>
      <c r="F955" s="288"/>
      <c r="G955" s="17"/>
      <c r="H955" s="17"/>
      <c r="I955" s="17"/>
      <c r="J955" s="17"/>
      <c r="K955" s="17"/>
      <c r="L955" s="17"/>
      <c r="M955" s="17"/>
      <c r="N955" s="17"/>
      <c r="O955" s="17"/>
      <c r="P955" s="17"/>
      <c r="Q955" s="17"/>
      <c r="R955" s="17"/>
      <c r="S955" s="143"/>
      <c r="T955" s="143"/>
      <c r="U955" s="143"/>
      <c r="V955" s="143"/>
      <c r="W955" s="17"/>
      <c r="X955" s="17"/>
      <c r="Y955" s="17"/>
      <c r="Z955" s="17"/>
      <c r="AA955" s="17"/>
      <c r="AB955" s="17"/>
    </row>
    <row r="956">
      <c r="A956" s="17"/>
      <c r="B956" s="17"/>
      <c r="C956" s="17"/>
      <c r="D956" s="17"/>
      <c r="E956" s="17"/>
      <c r="F956" s="288"/>
      <c r="G956" s="17"/>
      <c r="H956" s="17"/>
      <c r="I956" s="17"/>
      <c r="J956" s="17"/>
      <c r="K956" s="17"/>
      <c r="L956" s="17"/>
      <c r="M956" s="17"/>
      <c r="N956" s="17"/>
      <c r="O956" s="17"/>
      <c r="P956" s="17"/>
      <c r="Q956" s="17"/>
      <c r="R956" s="17"/>
      <c r="S956" s="143"/>
      <c r="T956" s="143"/>
      <c r="U956" s="143"/>
      <c r="V956" s="143"/>
      <c r="W956" s="17"/>
      <c r="X956" s="17"/>
      <c r="Y956" s="17"/>
      <c r="Z956" s="17"/>
      <c r="AA956" s="17"/>
      <c r="AB956" s="17"/>
    </row>
    <row r="957">
      <c r="A957" s="17"/>
      <c r="B957" s="17"/>
      <c r="C957" s="17"/>
      <c r="D957" s="17"/>
      <c r="E957" s="17"/>
      <c r="F957" s="288"/>
      <c r="G957" s="17"/>
      <c r="H957" s="17"/>
      <c r="I957" s="17"/>
      <c r="J957" s="17"/>
      <c r="K957" s="17"/>
      <c r="L957" s="17"/>
      <c r="M957" s="17"/>
      <c r="N957" s="17"/>
      <c r="O957" s="17"/>
      <c r="P957" s="17"/>
      <c r="Q957" s="17"/>
      <c r="R957" s="17"/>
      <c r="S957" s="143"/>
      <c r="T957" s="143"/>
      <c r="U957" s="143"/>
      <c r="V957" s="143"/>
      <c r="W957" s="17"/>
      <c r="X957" s="17"/>
      <c r="Y957" s="17"/>
      <c r="Z957" s="17"/>
      <c r="AA957" s="17"/>
      <c r="AB957" s="17"/>
    </row>
    <row r="958">
      <c r="A958" s="17"/>
      <c r="B958" s="17"/>
      <c r="C958" s="17"/>
      <c r="D958" s="17"/>
      <c r="E958" s="17"/>
      <c r="F958" s="288"/>
      <c r="G958" s="17"/>
      <c r="H958" s="17"/>
      <c r="I958" s="17"/>
      <c r="J958" s="17"/>
      <c r="K958" s="17"/>
      <c r="L958" s="17"/>
      <c r="M958" s="17"/>
      <c r="N958" s="17"/>
      <c r="O958" s="17"/>
      <c r="P958" s="17"/>
      <c r="Q958" s="17"/>
      <c r="R958" s="17"/>
      <c r="S958" s="143"/>
      <c r="T958" s="143"/>
      <c r="U958" s="143"/>
      <c r="V958" s="143"/>
      <c r="W958" s="17"/>
      <c r="X958" s="17"/>
      <c r="Y958" s="17"/>
      <c r="Z958" s="17"/>
      <c r="AA958" s="17"/>
      <c r="AB958" s="17"/>
    </row>
    <row r="959">
      <c r="A959" s="17"/>
      <c r="B959" s="17"/>
      <c r="C959" s="17"/>
      <c r="D959" s="17"/>
      <c r="E959" s="17"/>
      <c r="F959" s="288"/>
      <c r="G959" s="17"/>
      <c r="H959" s="17"/>
      <c r="I959" s="17"/>
      <c r="J959" s="17"/>
      <c r="K959" s="17"/>
      <c r="L959" s="17"/>
      <c r="M959" s="17"/>
      <c r="N959" s="17"/>
      <c r="O959" s="17"/>
      <c r="P959" s="17"/>
      <c r="Q959" s="17"/>
      <c r="R959" s="17"/>
      <c r="S959" s="143"/>
      <c r="T959" s="143"/>
      <c r="U959" s="143"/>
      <c r="V959" s="143"/>
      <c r="W959" s="17"/>
      <c r="X959" s="17"/>
      <c r="Y959" s="17"/>
      <c r="Z959" s="17"/>
      <c r="AA959" s="17"/>
      <c r="AB959" s="17"/>
    </row>
    <row r="960">
      <c r="A960" s="17"/>
      <c r="B960" s="17"/>
      <c r="C960" s="17"/>
      <c r="D960" s="17"/>
      <c r="E960" s="17"/>
      <c r="F960" s="288"/>
      <c r="G960" s="17"/>
      <c r="H960" s="17"/>
      <c r="I960" s="17"/>
      <c r="J960" s="17"/>
      <c r="K960" s="17"/>
      <c r="L960" s="17"/>
      <c r="M960" s="17"/>
      <c r="N960" s="17"/>
      <c r="O960" s="17"/>
      <c r="P960" s="17"/>
      <c r="Q960" s="17"/>
      <c r="R960" s="17"/>
      <c r="S960" s="143"/>
      <c r="T960" s="143"/>
      <c r="U960" s="143"/>
      <c r="V960" s="143"/>
      <c r="W960" s="17"/>
      <c r="X960" s="17"/>
      <c r="Y960" s="17"/>
      <c r="Z960" s="17"/>
      <c r="AA960" s="17"/>
      <c r="AB960" s="17"/>
    </row>
    <row r="961">
      <c r="A961" s="17"/>
      <c r="B961" s="17"/>
      <c r="C961" s="17"/>
      <c r="D961" s="17"/>
      <c r="E961" s="17"/>
      <c r="F961" s="288"/>
      <c r="G961" s="17"/>
      <c r="H961" s="17"/>
      <c r="I961" s="17"/>
      <c r="J961" s="17"/>
      <c r="K961" s="17"/>
      <c r="L961" s="17"/>
      <c r="M961" s="17"/>
      <c r="N961" s="17"/>
      <c r="O961" s="17"/>
      <c r="P961" s="17"/>
      <c r="Q961" s="17"/>
      <c r="R961" s="17"/>
      <c r="S961" s="143"/>
      <c r="T961" s="143"/>
      <c r="U961" s="143"/>
      <c r="V961" s="143"/>
      <c r="W961" s="17"/>
      <c r="X961" s="17"/>
      <c r="Y961" s="17"/>
      <c r="Z961" s="17"/>
      <c r="AA961" s="17"/>
      <c r="AB961" s="17"/>
    </row>
    <row r="962">
      <c r="A962" s="17"/>
      <c r="B962" s="17"/>
      <c r="C962" s="17"/>
      <c r="D962" s="17"/>
      <c r="E962" s="17"/>
      <c r="F962" s="288"/>
      <c r="G962" s="17"/>
      <c r="H962" s="17"/>
      <c r="I962" s="17"/>
      <c r="J962" s="17"/>
      <c r="K962" s="17"/>
      <c r="L962" s="17"/>
      <c r="M962" s="17"/>
      <c r="N962" s="17"/>
      <c r="O962" s="17"/>
      <c r="P962" s="17"/>
      <c r="Q962" s="17"/>
      <c r="R962" s="17"/>
      <c r="S962" s="143"/>
      <c r="T962" s="143"/>
      <c r="U962" s="143"/>
      <c r="V962" s="143"/>
      <c r="W962" s="17"/>
      <c r="X962" s="17"/>
      <c r="Y962" s="17"/>
      <c r="Z962" s="17"/>
      <c r="AA962" s="17"/>
      <c r="AB962" s="17"/>
    </row>
    <row r="963">
      <c r="A963" s="17"/>
      <c r="B963" s="17"/>
      <c r="C963" s="17"/>
      <c r="D963" s="17"/>
      <c r="E963" s="17"/>
      <c r="F963" s="288"/>
      <c r="G963" s="17"/>
      <c r="H963" s="17"/>
      <c r="I963" s="17"/>
      <c r="J963" s="17"/>
      <c r="K963" s="17"/>
      <c r="L963" s="17"/>
      <c r="M963" s="17"/>
      <c r="N963" s="17"/>
      <c r="O963" s="17"/>
      <c r="P963" s="17"/>
      <c r="Q963" s="17"/>
      <c r="R963" s="17"/>
      <c r="S963" s="143"/>
      <c r="T963" s="143"/>
      <c r="U963" s="143"/>
      <c r="V963" s="143"/>
      <c r="W963" s="17"/>
      <c r="X963" s="17"/>
      <c r="Y963" s="17"/>
      <c r="Z963" s="17"/>
      <c r="AA963" s="17"/>
      <c r="AB963" s="17"/>
    </row>
    <row r="964">
      <c r="A964" s="17"/>
      <c r="B964" s="17"/>
      <c r="C964" s="17"/>
      <c r="D964" s="17"/>
      <c r="E964" s="17"/>
      <c r="F964" s="288"/>
      <c r="G964" s="17"/>
      <c r="H964" s="17"/>
      <c r="I964" s="17"/>
      <c r="J964" s="17"/>
      <c r="K964" s="17"/>
      <c r="L964" s="17"/>
      <c r="M964" s="17"/>
      <c r="N964" s="17"/>
      <c r="O964" s="17"/>
      <c r="P964" s="17"/>
      <c r="Q964" s="17"/>
      <c r="R964" s="17"/>
      <c r="S964" s="143"/>
      <c r="T964" s="143"/>
      <c r="U964" s="143"/>
      <c r="V964" s="143"/>
      <c r="W964" s="17"/>
      <c r="X964" s="17"/>
      <c r="Y964" s="17"/>
      <c r="Z964" s="17"/>
      <c r="AA964" s="17"/>
      <c r="AB964" s="17"/>
    </row>
    <row r="965">
      <c r="A965" s="17"/>
      <c r="B965" s="17"/>
      <c r="C965" s="17"/>
      <c r="D965" s="17"/>
      <c r="E965" s="17"/>
      <c r="F965" s="288"/>
      <c r="G965" s="17"/>
      <c r="H965" s="17"/>
      <c r="I965" s="17"/>
      <c r="J965" s="17"/>
      <c r="K965" s="17"/>
      <c r="L965" s="17"/>
      <c r="M965" s="17"/>
      <c r="N965" s="17"/>
      <c r="O965" s="17"/>
      <c r="P965" s="17"/>
      <c r="Q965" s="17"/>
      <c r="R965" s="17"/>
      <c r="S965" s="143"/>
      <c r="T965" s="143"/>
      <c r="U965" s="143"/>
      <c r="V965" s="143"/>
      <c r="W965" s="17"/>
      <c r="X965" s="17"/>
      <c r="Y965" s="17"/>
      <c r="Z965" s="17"/>
      <c r="AA965" s="17"/>
      <c r="AB965" s="17"/>
    </row>
    <row r="966">
      <c r="A966" s="17"/>
      <c r="B966" s="17"/>
      <c r="C966" s="17"/>
      <c r="D966" s="17"/>
      <c r="E966" s="17"/>
      <c r="F966" s="288"/>
      <c r="G966" s="17"/>
      <c r="H966" s="17"/>
      <c r="I966" s="17"/>
      <c r="J966" s="17"/>
      <c r="K966" s="17"/>
      <c r="L966" s="17"/>
      <c r="M966" s="17"/>
      <c r="N966" s="17"/>
      <c r="O966" s="17"/>
      <c r="P966" s="17"/>
      <c r="Q966" s="17"/>
      <c r="R966" s="17"/>
      <c r="S966" s="143"/>
      <c r="T966" s="143"/>
      <c r="U966" s="143"/>
      <c r="V966" s="143"/>
      <c r="W966" s="17"/>
      <c r="X966" s="17"/>
      <c r="Y966" s="17"/>
      <c r="Z966" s="17"/>
      <c r="AA966" s="17"/>
      <c r="AB966" s="17"/>
    </row>
    <row r="967">
      <c r="A967" s="17"/>
      <c r="B967" s="17"/>
      <c r="C967" s="17"/>
      <c r="D967" s="17"/>
      <c r="E967" s="17"/>
      <c r="F967" s="288"/>
      <c r="G967" s="17"/>
      <c r="H967" s="17"/>
      <c r="I967" s="17"/>
      <c r="J967" s="17"/>
      <c r="K967" s="17"/>
      <c r="L967" s="17"/>
      <c r="M967" s="17"/>
      <c r="N967" s="17"/>
      <c r="O967" s="17"/>
      <c r="P967" s="17"/>
      <c r="Q967" s="17"/>
      <c r="R967" s="17"/>
      <c r="S967" s="143"/>
      <c r="T967" s="143"/>
      <c r="U967" s="143"/>
      <c r="V967" s="143"/>
      <c r="W967" s="17"/>
      <c r="X967" s="17"/>
      <c r="Y967" s="17"/>
      <c r="Z967" s="17"/>
      <c r="AA967" s="17"/>
      <c r="AB967" s="17"/>
    </row>
    <row r="968">
      <c r="A968" s="17"/>
      <c r="B968" s="17"/>
      <c r="C968" s="17"/>
      <c r="D968" s="17"/>
      <c r="E968" s="17"/>
      <c r="F968" s="288"/>
      <c r="G968" s="17"/>
      <c r="H968" s="17"/>
      <c r="I968" s="17"/>
      <c r="J968" s="17"/>
      <c r="K968" s="17"/>
      <c r="L968" s="17"/>
      <c r="M968" s="17"/>
      <c r="N968" s="17"/>
      <c r="O968" s="17"/>
      <c r="P968" s="17"/>
      <c r="Q968" s="17"/>
      <c r="R968" s="17"/>
      <c r="S968" s="143"/>
      <c r="T968" s="143"/>
      <c r="U968" s="143"/>
      <c r="V968" s="143"/>
      <c r="W968" s="17"/>
      <c r="X968" s="17"/>
      <c r="Y968" s="17"/>
      <c r="Z968" s="17"/>
      <c r="AA968" s="17"/>
      <c r="AB968" s="17"/>
    </row>
    <row r="969">
      <c r="A969" s="17"/>
      <c r="B969" s="17"/>
      <c r="C969" s="17"/>
      <c r="D969" s="17"/>
      <c r="E969" s="17"/>
      <c r="F969" s="288"/>
      <c r="G969" s="17"/>
      <c r="H969" s="17"/>
      <c r="I969" s="17"/>
      <c r="J969" s="17"/>
      <c r="K969" s="17"/>
      <c r="L969" s="17"/>
      <c r="M969" s="17"/>
      <c r="N969" s="17"/>
      <c r="O969" s="17"/>
      <c r="P969" s="17"/>
      <c r="Q969" s="17"/>
      <c r="R969" s="17"/>
      <c r="S969" s="143"/>
      <c r="T969" s="143"/>
      <c r="U969" s="143"/>
      <c r="V969" s="143"/>
      <c r="W969" s="17"/>
      <c r="X969" s="17"/>
      <c r="Y969" s="17"/>
      <c r="Z969" s="17"/>
      <c r="AA969" s="17"/>
      <c r="AB969" s="17"/>
    </row>
    <row r="970">
      <c r="A970" s="17"/>
      <c r="B970" s="17"/>
      <c r="C970" s="17"/>
      <c r="D970" s="17"/>
      <c r="E970" s="17"/>
      <c r="F970" s="288"/>
      <c r="G970" s="17"/>
      <c r="H970" s="17"/>
      <c r="I970" s="17"/>
      <c r="J970" s="17"/>
      <c r="K970" s="17"/>
      <c r="L970" s="17"/>
      <c r="M970" s="17"/>
      <c r="N970" s="17"/>
      <c r="O970" s="17"/>
      <c r="P970" s="17"/>
      <c r="Q970" s="17"/>
      <c r="R970" s="17"/>
      <c r="S970" s="143"/>
      <c r="T970" s="143"/>
      <c r="U970" s="143"/>
      <c r="V970" s="143"/>
      <c r="W970" s="17"/>
      <c r="X970" s="17"/>
      <c r="Y970" s="17"/>
      <c r="Z970" s="17"/>
      <c r="AA970" s="17"/>
      <c r="AB970" s="17"/>
    </row>
    <row r="971">
      <c r="A971" s="17"/>
      <c r="B971" s="17"/>
      <c r="C971" s="17"/>
      <c r="D971" s="17"/>
      <c r="E971" s="17"/>
      <c r="F971" s="288"/>
      <c r="G971" s="17"/>
      <c r="H971" s="17"/>
      <c r="I971" s="17"/>
      <c r="J971" s="17"/>
      <c r="K971" s="17"/>
      <c r="L971" s="17"/>
      <c r="M971" s="17"/>
      <c r="N971" s="17"/>
      <c r="O971" s="17"/>
      <c r="P971" s="17"/>
      <c r="Q971" s="17"/>
      <c r="R971" s="17"/>
      <c r="S971" s="143"/>
      <c r="T971" s="143"/>
      <c r="U971" s="143"/>
      <c r="V971" s="143"/>
      <c r="W971" s="17"/>
      <c r="X971" s="17"/>
      <c r="Y971" s="17"/>
      <c r="Z971" s="17"/>
      <c r="AA971" s="17"/>
      <c r="AB971" s="17"/>
    </row>
    <row r="972">
      <c r="A972" s="17"/>
      <c r="B972" s="17"/>
      <c r="C972" s="17"/>
      <c r="D972" s="17"/>
      <c r="E972" s="17"/>
      <c r="F972" s="288"/>
      <c r="G972" s="17"/>
      <c r="H972" s="17"/>
      <c r="I972" s="17"/>
      <c r="J972" s="17"/>
      <c r="K972" s="17"/>
      <c r="L972" s="17"/>
      <c r="M972" s="17"/>
      <c r="N972" s="17"/>
      <c r="O972" s="17"/>
      <c r="P972" s="17"/>
      <c r="Q972" s="17"/>
      <c r="R972" s="17"/>
      <c r="S972" s="143"/>
      <c r="T972" s="143"/>
      <c r="U972" s="143"/>
      <c r="V972" s="143"/>
      <c r="W972" s="17"/>
      <c r="X972" s="17"/>
      <c r="Y972" s="17"/>
      <c r="Z972" s="17"/>
      <c r="AA972" s="17"/>
      <c r="AB972" s="17"/>
    </row>
    <row r="973">
      <c r="A973" s="17"/>
      <c r="B973" s="17"/>
      <c r="C973" s="17"/>
      <c r="D973" s="17"/>
      <c r="E973" s="17"/>
      <c r="F973" s="288"/>
      <c r="G973" s="17"/>
      <c r="H973" s="17"/>
      <c r="I973" s="17"/>
      <c r="J973" s="17"/>
      <c r="K973" s="17"/>
      <c r="L973" s="17"/>
      <c r="M973" s="17"/>
      <c r="N973" s="17"/>
      <c r="O973" s="17"/>
      <c r="P973" s="17"/>
      <c r="Q973" s="17"/>
      <c r="R973" s="17"/>
      <c r="S973" s="143"/>
      <c r="T973" s="143"/>
      <c r="U973" s="143"/>
      <c r="V973" s="143"/>
      <c r="W973" s="17"/>
      <c r="X973" s="17"/>
      <c r="Y973" s="17"/>
      <c r="Z973" s="17"/>
      <c r="AA973" s="17"/>
      <c r="AB973" s="17"/>
    </row>
    <row r="974">
      <c r="A974" s="17"/>
      <c r="B974" s="17"/>
      <c r="C974" s="17"/>
      <c r="D974" s="17"/>
      <c r="E974" s="17"/>
      <c r="F974" s="288"/>
      <c r="G974" s="17"/>
      <c r="H974" s="17"/>
      <c r="I974" s="17"/>
      <c r="J974" s="17"/>
      <c r="K974" s="17"/>
      <c r="L974" s="17"/>
      <c r="M974" s="17"/>
      <c r="N974" s="17"/>
      <c r="O974" s="17"/>
      <c r="P974" s="17"/>
      <c r="Q974" s="17"/>
      <c r="R974" s="17"/>
      <c r="S974" s="143"/>
      <c r="T974" s="143"/>
      <c r="U974" s="143"/>
      <c r="V974" s="143"/>
      <c r="W974" s="17"/>
      <c r="X974" s="17"/>
      <c r="Y974" s="17"/>
      <c r="Z974" s="17"/>
      <c r="AA974" s="17"/>
      <c r="AB974" s="17"/>
    </row>
    <row r="975">
      <c r="A975" s="17"/>
      <c r="B975" s="17"/>
      <c r="C975" s="17"/>
      <c r="D975" s="17"/>
      <c r="E975" s="17"/>
      <c r="F975" s="288"/>
      <c r="G975" s="17"/>
      <c r="H975" s="17"/>
      <c r="I975" s="17"/>
      <c r="J975" s="17"/>
      <c r="K975" s="17"/>
      <c r="L975" s="17"/>
      <c r="M975" s="17"/>
      <c r="N975" s="17"/>
      <c r="O975" s="17"/>
      <c r="P975" s="17"/>
      <c r="Q975" s="17"/>
      <c r="R975" s="17"/>
      <c r="S975" s="143"/>
      <c r="T975" s="143"/>
      <c r="U975" s="143"/>
      <c r="V975" s="143"/>
      <c r="W975" s="17"/>
      <c r="X975" s="17"/>
      <c r="Y975" s="17"/>
      <c r="Z975" s="17"/>
      <c r="AA975" s="17"/>
      <c r="AB975" s="17"/>
    </row>
    <row r="976">
      <c r="A976" s="17"/>
      <c r="B976" s="17"/>
      <c r="C976" s="17"/>
      <c r="D976" s="17"/>
      <c r="E976" s="17"/>
      <c r="F976" s="288"/>
      <c r="G976" s="17"/>
      <c r="H976" s="17"/>
      <c r="I976" s="17"/>
      <c r="J976" s="17"/>
      <c r="K976" s="17"/>
      <c r="L976" s="17"/>
      <c r="M976" s="17"/>
      <c r="N976" s="17"/>
      <c r="O976" s="17"/>
      <c r="P976" s="17"/>
      <c r="Q976" s="17"/>
      <c r="R976" s="17"/>
      <c r="S976" s="143"/>
      <c r="T976" s="143"/>
      <c r="U976" s="143"/>
      <c r="V976" s="143"/>
      <c r="W976" s="17"/>
      <c r="X976" s="17"/>
      <c r="Y976" s="17"/>
      <c r="Z976" s="17"/>
      <c r="AA976" s="17"/>
      <c r="AB976" s="17"/>
    </row>
    <row r="977">
      <c r="A977" s="17"/>
      <c r="B977" s="17"/>
      <c r="C977" s="17"/>
      <c r="D977" s="17"/>
      <c r="E977" s="17"/>
      <c r="F977" s="288"/>
      <c r="G977" s="17"/>
      <c r="H977" s="17"/>
      <c r="I977" s="17"/>
      <c r="J977" s="17"/>
      <c r="K977" s="17"/>
      <c r="L977" s="17"/>
      <c r="M977" s="17"/>
      <c r="N977" s="17"/>
      <c r="O977" s="17"/>
      <c r="P977" s="17"/>
      <c r="Q977" s="17"/>
      <c r="R977" s="17"/>
      <c r="S977" s="143"/>
      <c r="T977" s="143"/>
      <c r="U977" s="143"/>
      <c r="V977" s="143"/>
      <c r="W977" s="17"/>
      <c r="X977" s="17"/>
      <c r="Y977" s="17"/>
      <c r="Z977" s="17"/>
      <c r="AA977" s="17"/>
      <c r="AB977" s="17"/>
    </row>
    <row r="978">
      <c r="A978" s="17"/>
      <c r="B978" s="17"/>
      <c r="C978" s="17"/>
      <c r="D978" s="17"/>
      <c r="E978" s="17"/>
      <c r="F978" s="288"/>
      <c r="G978" s="17"/>
      <c r="H978" s="17"/>
      <c r="I978" s="17"/>
      <c r="J978" s="17"/>
      <c r="K978" s="17"/>
      <c r="L978" s="17"/>
      <c r="M978" s="17"/>
      <c r="N978" s="17"/>
      <c r="O978" s="17"/>
      <c r="P978" s="17"/>
      <c r="Q978" s="17"/>
      <c r="R978" s="17"/>
      <c r="S978" s="143"/>
      <c r="T978" s="143"/>
      <c r="U978" s="143"/>
      <c r="V978" s="143"/>
      <c r="W978" s="17"/>
      <c r="X978" s="17"/>
      <c r="Y978" s="17"/>
      <c r="Z978" s="17"/>
      <c r="AA978" s="17"/>
      <c r="AB978" s="17"/>
    </row>
    <row r="979">
      <c r="A979" s="17"/>
      <c r="B979" s="17"/>
      <c r="C979" s="17"/>
      <c r="D979" s="17"/>
      <c r="E979" s="17"/>
      <c r="F979" s="288"/>
      <c r="G979" s="17"/>
      <c r="H979" s="17"/>
      <c r="I979" s="17"/>
      <c r="J979" s="17"/>
      <c r="K979" s="17"/>
      <c r="L979" s="17"/>
      <c r="M979" s="17"/>
      <c r="N979" s="17"/>
      <c r="O979" s="17"/>
      <c r="P979" s="17"/>
      <c r="Q979" s="17"/>
      <c r="R979" s="17"/>
      <c r="S979" s="143"/>
      <c r="T979" s="143"/>
      <c r="U979" s="143"/>
      <c r="V979" s="143"/>
      <c r="W979" s="17"/>
      <c r="X979" s="17"/>
      <c r="Y979" s="17"/>
      <c r="Z979" s="17"/>
      <c r="AA979" s="17"/>
      <c r="AB979" s="17"/>
    </row>
    <row r="980">
      <c r="A980" s="17"/>
      <c r="B980" s="17"/>
      <c r="C980" s="17"/>
      <c r="D980" s="17"/>
      <c r="E980" s="17"/>
      <c r="F980" s="288"/>
      <c r="G980" s="17"/>
      <c r="H980" s="17"/>
      <c r="I980" s="17"/>
      <c r="J980" s="17"/>
      <c r="K980" s="17"/>
      <c r="L980" s="17"/>
      <c r="M980" s="17"/>
      <c r="N980" s="17"/>
      <c r="O980" s="17"/>
      <c r="P980" s="17"/>
      <c r="Q980" s="17"/>
      <c r="R980" s="17"/>
      <c r="S980" s="143"/>
      <c r="T980" s="143"/>
      <c r="U980" s="143"/>
      <c r="V980" s="143"/>
      <c r="W980" s="17"/>
      <c r="X980" s="17"/>
      <c r="Y980" s="17"/>
      <c r="Z980" s="17"/>
      <c r="AA980" s="17"/>
      <c r="AB980" s="17"/>
    </row>
    <row r="981">
      <c r="A981" s="17"/>
      <c r="B981" s="17"/>
      <c r="C981" s="17"/>
      <c r="D981" s="17"/>
      <c r="E981" s="17"/>
      <c r="F981" s="288"/>
      <c r="G981" s="17"/>
      <c r="H981" s="17"/>
      <c r="I981" s="17"/>
      <c r="J981" s="17"/>
      <c r="K981" s="17"/>
      <c r="L981" s="17"/>
      <c r="M981" s="17"/>
      <c r="N981" s="17"/>
      <c r="O981" s="17"/>
      <c r="P981" s="17"/>
      <c r="Q981" s="17"/>
      <c r="R981" s="17"/>
      <c r="S981" s="143"/>
      <c r="T981" s="143"/>
      <c r="U981" s="143"/>
      <c r="V981" s="143"/>
      <c r="W981" s="17"/>
      <c r="X981" s="17"/>
      <c r="Y981" s="17"/>
      <c r="Z981" s="17"/>
      <c r="AA981" s="17"/>
      <c r="AB981" s="17"/>
    </row>
    <row r="982">
      <c r="A982" s="17"/>
      <c r="B982" s="17"/>
      <c r="C982" s="17"/>
      <c r="D982" s="17"/>
      <c r="E982" s="17"/>
      <c r="F982" s="288"/>
      <c r="G982" s="17"/>
      <c r="H982" s="17"/>
      <c r="I982" s="17"/>
      <c r="J982" s="17"/>
      <c r="K982" s="17"/>
      <c r="L982" s="17"/>
      <c r="M982" s="17"/>
      <c r="N982" s="17"/>
      <c r="O982" s="17"/>
      <c r="P982" s="17"/>
      <c r="Q982" s="17"/>
      <c r="R982" s="17"/>
      <c r="S982" s="143"/>
      <c r="T982" s="143"/>
      <c r="U982" s="143"/>
      <c r="V982" s="143"/>
      <c r="W982" s="17"/>
      <c r="X982" s="17"/>
      <c r="Y982" s="17"/>
      <c r="Z982" s="17"/>
      <c r="AA982" s="17"/>
      <c r="AB982" s="17"/>
    </row>
    <row r="983">
      <c r="A983" s="17"/>
      <c r="B983" s="17"/>
      <c r="C983" s="17"/>
      <c r="D983" s="17"/>
      <c r="E983" s="17"/>
      <c r="F983" s="288"/>
      <c r="G983" s="17"/>
      <c r="H983" s="17"/>
      <c r="I983" s="17"/>
      <c r="J983" s="17"/>
      <c r="K983" s="17"/>
      <c r="L983" s="17"/>
      <c r="M983" s="17"/>
      <c r="N983" s="17"/>
      <c r="O983" s="17"/>
      <c r="P983" s="17"/>
      <c r="Q983" s="17"/>
      <c r="R983" s="17"/>
      <c r="S983" s="143"/>
      <c r="T983" s="143"/>
      <c r="U983" s="143"/>
      <c r="V983" s="143"/>
      <c r="W983" s="17"/>
      <c r="X983" s="17"/>
      <c r="Y983" s="17"/>
      <c r="Z983" s="17"/>
      <c r="AA983" s="17"/>
      <c r="AB983" s="17"/>
    </row>
    <row r="984">
      <c r="A984" s="17"/>
      <c r="B984" s="17"/>
      <c r="C984" s="17"/>
      <c r="D984" s="17"/>
      <c r="E984" s="17"/>
      <c r="F984" s="288"/>
      <c r="G984" s="17"/>
      <c r="H984" s="17"/>
      <c r="I984" s="17"/>
      <c r="J984" s="17"/>
      <c r="K984" s="17"/>
      <c r="L984" s="17"/>
      <c r="M984" s="17"/>
      <c r="N984" s="17"/>
      <c r="O984" s="17"/>
      <c r="P984" s="17"/>
      <c r="Q984" s="17"/>
      <c r="R984" s="17"/>
      <c r="S984" s="143"/>
      <c r="T984" s="143"/>
      <c r="U984" s="143"/>
      <c r="V984" s="143"/>
      <c r="W984" s="17"/>
      <c r="X984" s="17"/>
      <c r="Y984" s="17"/>
      <c r="Z984" s="17"/>
      <c r="AA984" s="17"/>
      <c r="AB984" s="17"/>
    </row>
    <row r="985">
      <c r="A985" s="17"/>
      <c r="B985" s="17"/>
      <c r="C985" s="17"/>
      <c r="D985" s="17"/>
      <c r="E985" s="17"/>
      <c r="F985" s="288"/>
      <c r="G985" s="17"/>
      <c r="H985" s="17"/>
      <c r="I985" s="17"/>
      <c r="J985" s="17"/>
      <c r="K985" s="17"/>
      <c r="L985" s="17"/>
      <c r="M985" s="17"/>
      <c r="N985" s="17"/>
      <c r="O985" s="17"/>
      <c r="P985" s="17"/>
      <c r="Q985" s="17"/>
      <c r="R985" s="17"/>
      <c r="S985" s="143"/>
      <c r="T985" s="143"/>
      <c r="U985" s="143"/>
      <c r="V985" s="143"/>
      <c r="W985" s="17"/>
      <c r="X985" s="17"/>
      <c r="Y985" s="17"/>
      <c r="Z985" s="17"/>
      <c r="AA985" s="17"/>
      <c r="AB985" s="17"/>
    </row>
    <row r="986">
      <c r="A986" s="17"/>
      <c r="B986" s="17"/>
      <c r="C986" s="17"/>
      <c r="D986" s="17"/>
      <c r="E986" s="17"/>
      <c r="F986" s="288"/>
      <c r="G986" s="17"/>
      <c r="H986" s="17"/>
      <c r="I986" s="17"/>
      <c r="J986" s="17"/>
      <c r="K986" s="17"/>
      <c r="L986" s="17"/>
      <c r="M986" s="17"/>
      <c r="N986" s="17"/>
      <c r="O986" s="17"/>
      <c r="P986" s="17"/>
      <c r="Q986" s="17"/>
      <c r="R986" s="17"/>
      <c r="S986" s="143"/>
      <c r="T986" s="143"/>
      <c r="U986" s="143"/>
      <c r="V986" s="143"/>
      <c r="W986" s="17"/>
      <c r="X986" s="17"/>
      <c r="Y986" s="17"/>
      <c r="Z986" s="17"/>
      <c r="AA986" s="17"/>
      <c r="AB986" s="17"/>
    </row>
    <row r="987">
      <c r="A987" s="17"/>
      <c r="B987" s="17"/>
      <c r="C987" s="17"/>
      <c r="D987" s="17"/>
      <c r="E987" s="17"/>
      <c r="F987" s="288"/>
      <c r="G987" s="17"/>
      <c r="H987" s="17"/>
      <c r="I987" s="17"/>
      <c r="J987" s="17"/>
      <c r="K987" s="17"/>
      <c r="L987" s="17"/>
      <c r="M987" s="17"/>
      <c r="N987" s="17"/>
      <c r="O987" s="17"/>
      <c r="P987" s="17"/>
      <c r="Q987" s="17"/>
      <c r="R987" s="17"/>
      <c r="S987" s="143"/>
      <c r="T987" s="143"/>
      <c r="U987" s="143"/>
      <c r="V987" s="143"/>
      <c r="W987" s="17"/>
      <c r="X987" s="17"/>
      <c r="Y987" s="17"/>
      <c r="Z987" s="17"/>
      <c r="AA987" s="17"/>
      <c r="AB987" s="17"/>
    </row>
    <row r="988">
      <c r="A988" s="289"/>
      <c r="B988" s="17"/>
      <c r="C988" s="17"/>
      <c r="D988" s="17"/>
      <c r="E988" s="17"/>
      <c r="F988" s="288"/>
      <c r="G988" s="17"/>
      <c r="H988" s="17"/>
      <c r="I988" s="17"/>
      <c r="J988" s="17"/>
      <c r="K988" s="17"/>
      <c r="L988" s="17"/>
      <c r="M988" s="17"/>
      <c r="N988" s="17"/>
      <c r="O988" s="17"/>
      <c r="P988" s="17"/>
      <c r="Q988" s="17"/>
      <c r="R988" s="17"/>
      <c r="S988" s="143"/>
      <c r="T988" s="143"/>
      <c r="U988" s="143"/>
      <c r="V988" s="143"/>
      <c r="W988" s="17"/>
      <c r="X988" s="17"/>
      <c r="Y988" s="17"/>
      <c r="Z988" s="17"/>
      <c r="AA988" s="17"/>
      <c r="AB988" s="17"/>
    </row>
    <row r="989">
      <c r="A989" s="290"/>
      <c r="B989" s="17"/>
      <c r="C989" s="17"/>
      <c r="D989" s="17"/>
      <c r="E989" s="17"/>
      <c r="F989" s="288"/>
      <c r="G989" s="17"/>
      <c r="H989" s="17"/>
      <c r="I989" s="17"/>
      <c r="J989" s="17"/>
      <c r="K989" s="17"/>
      <c r="L989" s="17"/>
      <c r="M989" s="17"/>
      <c r="N989" s="17"/>
      <c r="O989" s="17"/>
      <c r="P989" s="17"/>
      <c r="Q989" s="17"/>
      <c r="R989" s="17"/>
      <c r="S989" s="143"/>
      <c r="T989" s="143"/>
      <c r="U989" s="143"/>
      <c r="V989" s="143"/>
      <c r="W989" s="17"/>
      <c r="X989" s="17"/>
      <c r="Y989" s="17"/>
      <c r="Z989" s="17"/>
      <c r="AA989" s="17"/>
      <c r="AB989" s="17"/>
    </row>
    <row r="990">
      <c r="A990" s="290"/>
      <c r="B990" s="17"/>
      <c r="C990" s="17"/>
      <c r="D990" s="17"/>
      <c r="E990" s="17"/>
      <c r="F990" s="288"/>
      <c r="G990" s="17"/>
      <c r="H990" s="17"/>
      <c r="I990" s="17"/>
      <c r="J990" s="17"/>
      <c r="K990" s="17"/>
      <c r="L990" s="17"/>
      <c r="M990" s="17"/>
      <c r="N990" s="17"/>
      <c r="O990" s="17"/>
      <c r="P990" s="17"/>
      <c r="Q990" s="17"/>
      <c r="R990" s="17"/>
      <c r="S990" s="143"/>
      <c r="T990" s="143"/>
      <c r="U990" s="143"/>
      <c r="V990" s="143"/>
      <c r="W990" s="17"/>
      <c r="X990" s="17"/>
      <c r="Y990" s="17"/>
      <c r="Z990" s="17"/>
      <c r="AA990" s="17"/>
      <c r="AB990" s="17"/>
    </row>
    <row r="991">
      <c r="A991" s="290"/>
      <c r="B991" s="17"/>
      <c r="C991" s="17"/>
      <c r="D991" s="17"/>
      <c r="E991" s="17"/>
      <c r="F991" s="288"/>
      <c r="G991" s="17"/>
      <c r="H991" s="17"/>
      <c r="I991" s="17"/>
      <c r="J991" s="17"/>
      <c r="K991" s="17"/>
      <c r="L991" s="17"/>
      <c r="M991" s="17"/>
      <c r="N991" s="17"/>
      <c r="O991" s="17"/>
      <c r="P991" s="17"/>
      <c r="Q991" s="17"/>
      <c r="R991" s="17"/>
      <c r="S991" s="143"/>
      <c r="T991" s="143"/>
      <c r="U991" s="143"/>
      <c r="V991" s="143"/>
      <c r="W991" s="17"/>
      <c r="X991" s="17"/>
      <c r="Y991" s="17"/>
      <c r="Z991" s="17"/>
      <c r="AA991" s="17"/>
      <c r="AB991" s="17"/>
    </row>
    <row r="992">
      <c r="A992" s="290"/>
      <c r="B992" s="17"/>
      <c r="C992" s="17"/>
      <c r="D992" s="17"/>
      <c r="E992" s="17"/>
      <c r="F992" s="288"/>
      <c r="G992" s="17"/>
      <c r="H992" s="17"/>
      <c r="I992" s="17"/>
      <c r="J992" s="17"/>
      <c r="K992" s="17"/>
      <c r="L992" s="17"/>
      <c r="M992" s="17"/>
      <c r="N992" s="17"/>
      <c r="O992" s="17"/>
      <c r="P992" s="17"/>
      <c r="Q992" s="17"/>
      <c r="R992" s="17"/>
      <c r="S992" s="143"/>
      <c r="T992" s="143"/>
      <c r="U992" s="143"/>
      <c r="V992" s="143"/>
      <c r="W992" s="17"/>
      <c r="X992" s="17"/>
      <c r="Y992" s="17"/>
      <c r="Z992" s="17"/>
      <c r="AA992" s="17"/>
      <c r="AB992" s="17"/>
    </row>
    <row r="993">
      <c r="A993" s="290"/>
      <c r="B993" s="17"/>
      <c r="C993" s="17"/>
      <c r="D993" s="17"/>
      <c r="E993" s="17"/>
      <c r="F993" s="288"/>
      <c r="G993" s="17"/>
      <c r="H993" s="17"/>
      <c r="I993" s="17"/>
      <c r="J993" s="17"/>
      <c r="K993" s="17"/>
      <c r="L993" s="17"/>
      <c r="M993" s="17"/>
      <c r="N993" s="17"/>
      <c r="O993" s="17"/>
      <c r="P993" s="17"/>
      <c r="Q993" s="17"/>
      <c r="R993" s="17"/>
      <c r="S993" s="143"/>
      <c r="T993" s="143"/>
      <c r="U993" s="143"/>
      <c r="V993" s="143"/>
      <c r="W993" s="17"/>
      <c r="X993" s="17"/>
      <c r="Y993" s="17"/>
      <c r="Z993" s="17"/>
      <c r="AA993" s="17"/>
      <c r="AB993" s="17"/>
    </row>
    <row r="994">
      <c r="A994" s="290"/>
      <c r="B994" s="17"/>
      <c r="C994" s="17"/>
      <c r="D994" s="17"/>
      <c r="E994" s="17"/>
      <c r="F994" s="288"/>
      <c r="G994" s="17"/>
      <c r="H994" s="17"/>
      <c r="I994" s="17"/>
      <c r="J994" s="17"/>
      <c r="K994" s="17"/>
      <c r="L994" s="17"/>
      <c r="M994" s="17"/>
      <c r="N994" s="17"/>
      <c r="O994" s="17"/>
      <c r="P994" s="17"/>
      <c r="Q994" s="17"/>
      <c r="R994" s="17"/>
      <c r="S994" s="143"/>
      <c r="T994" s="143"/>
      <c r="U994" s="143"/>
      <c r="V994" s="143"/>
      <c r="W994" s="17"/>
      <c r="X994" s="17"/>
      <c r="Y994" s="17"/>
      <c r="Z994" s="17"/>
      <c r="AA994" s="17"/>
      <c r="AB994" s="17"/>
    </row>
    <row r="995">
      <c r="A995" s="290"/>
      <c r="B995" s="17"/>
      <c r="C995" s="17"/>
      <c r="D995" s="17"/>
      <c r="E995" s="17"/>
      <c r="F995" s="288"/>
      <c r="G995" s="17"/>
      <c r="H995" s="17"/>
      <c r="I995" s="17"/>
      <c r="J995" s="17"/>
      <c r="K995" s="17"/>
      <c r="L995" s="17"/>
      <c r="M995" s="17"/>
      <c r="N995" s="17"/>
      <c r="O995" s="17"/>
      <c r="P995" s="17"/>
      <c r="Q995" s="17"/>
      <c r="R995" s="17"/>
      <c r="S995" s="143"/>
      <c r="T995" s="143"/>
      <c r="U995" s="143"/>
      <c r="V995" s="143"/>
      <c r="W995" s="17"/>
      <c r="X995" s="17"/>
      <c r="Y995" s="17"/>
      <c r="Z995" s="17"/>
      <c r="AA995" s="17"/>
      <c r="AB995" s="17"/>
    </row>
    <row r="996">
      <c r="A996" s="290"/>
      <c r="B996" s="17"/>
      <c r="C996" s="17"/>
      <c r="D996" s="17"/>
      <c r="E996" s="17"/>
      <c r="F996" s="288"/>
      <c r="G996" s="17"/>
      <c r="H996" s="17"/>
      <c r="I996" s="17"/>
      <c r="J996" s="17"/>
      <c r="K996" s="17"/>
      <c r="L996" s="17"/>
      <c r="M996" s="17"/>
      <c r="N996" s="17"/>
      <c r="O996" s="17"/>
      <c r="P996" s="17"/>
      <c r="Q996" s="17"/>
      <c r="R996" s="17"/>
      <c r="S996" s="143"/>
      <c r="T996" s="143"/>
      <c r="U996" s="143"/>
      <c r="V996" s="143"/>
      <c r="W996" s="17"/>
      <c r="X996" s="17"/>
      <c r="Y996" s="17"/>
      <c r="Z996" s="17"/>
      <c r="AA996" s="17"/>
      <c r="AB996" s="17"/>
    </row>
    <row r="997">
      <c r="A997" s="290"/>
      <c r="B997" s="17"/>
      <c r="C997" s="17"/>
      <c r="D997" s="17"/>
      <c r="E997" s="17"/>
      <c r="F997" s="288"/>
      <c r="G997" s="17"/>
      <c r="H997" s="17"/>
      <c r="I997" s="17"/>
      <c r="J997" s="17"/>
      <c r="K997" s="17"/>
      <c r="L997" s="17"/>
      <c r="M997" s="17"/>
      <c r="N997" s="17"/>
      <c r="O997" s="17"/>
      <c r="P997" s="17"/>
      <c r="Q997" s="17"/>
      <c r="R997" s="17"/>
      <c r="S997" s="143"/>
      <c r="T997" s="143"/>
      <c r="U997" s="143"/>
      <c r="V997" s="143"/>
      <c r="W997" s="17"/>
      <c r="X997" s="17"/>
      <c r="Y997" s="17"/>
      <c r="Z997" s="17"/>
      <c r="AA997" s="17"/>
      <c r="AB997" s="17"/>
    </row>
    <row r="998">
      <c r="A998" s="290"/>
      <c r="B998" s="17"/>
      <c r="C998" s="17"/>
      <c r="D998" s="17"/>
      <c r="E998" s="17"/>
      <c r="F998" s="288"/>
      <c r="G998" s="17"/>
      <c r="H998" s="17"/>
      <c r="I998" s="17"/>
      <c r="J998" s="17"/>
      <c r="K998" s="17"/>
      <c r="L998" s="17"/>
      <c r="M998" s="17"/>
      <c r="N998" s="17"/>
      <c r="O998" s="17"/>
      <c r="P998" s="17"/>
      <c r="Q998" s="17"/>
      <c r="R998" s="17"/>
      <c r="S998" s="143"/>
      <c r="T998" s="143"/>
      <c r="U998" s="143"/>
      <c r="V998" s="143"/>
      <c r="W998" s="17"/>
      <c r="X998" s="17"/>
      <c r="Y998" s="17"/>
      <c r="Z998" s="17"/>
      <c r="AA998" s="17"/>
      <c r="AB998" s="17"/>
    </row>
    <row r="999">
      <c r="A999" s="290"/>
      <c r="B999" s="17"/>
      <c r="C999" s="17"/>
      <c r="D999" s="17"/>
      <c r="E999" s="17"/>
      <c r="F999" s="288"/>
      <c r="G999" s="17"/>
      <c r="H999" s="17"/>
      <c r="I999" s="17"/>
      <c r="J999" s="17"/>
      <c r="K999" s="17"/>
      <c r="L999" s="17"/>
      <c r="M999" s="17"/>
      <c r="N999" s="17"/>
      <c r="O999" s="17"/>
      <c r="P999" s="17"/>
      <c r="Q999" s="17"/>
      <c r="R999" s="17"/>
      <c r="S999" s="143"/>
      <c r="T999" s="143"/>
      <c r="U999" s="143"/>
      <c r="V999" s="143"/>
      <c r="W999" s="17"/>
      <c r="X999" s="17"/>
      <c r="Y999" s="17"/>
      <c r="Z999" s="17"/>
      <c r="AA999" s="17"/>
      <c r="AB999" s="17"/>
    </row>
    <row r="1000">
      <c r="A1000" s="290"/>
      <c r="B1000" s="17"/>
      <c r="C1000" s="17"/>
      <c r="D1000" s="17"/>
      <c r="E1000" s="17"/>
      <c r="F1000" s="288"/>
      <c r="G1000" s="17"/>
      <c r="H1000" s="17"/>
      <c r="I1000" s="17"/>
      <c r="J1000" s="17"/>
      <c r="K1000" s="17"/>
      <c r="L1000" s="17"/>
      <c r="M1000" s="17"/>
      <c r="N1000" s="17"/>
      <c r="O1000" s="17"/>
      <c r="P1000" s="17"/>
      <c r="Q1000" s="17"/>
      <c r="R1000" s="17"/>
      <c r="S1000" s="143"/>
      <c r="T1000" s="143"/>
      <c r="U1000" s="143"/>
      <c r="V1000" s="143"/>
      <c r="W1000" s="17"/>
      <c r="X1000" s="17"/>
      <c r="Y1000" s="17"/>
      <c r="Z1000" s="17"/>
      <c r="AA1000" s="17"/>
      <c r="AB1000" s="17"/>
    </row>
    <row r="1001">
      <c r="A1001" s="290"/>
      <c r="B1001" s="17"/>
      <c r="C1001" s="17"/>
      <c r="D1001" s="17"/>
      <c r="E1001" s="17"/>
      <c r="F1001" s="288"/>
      <c r="G1001" s="17"/>
      <c r="H1001" s="17"/>
      <c r="I1001" s="17"/>
      <c r="J1001" s="17"/>
      <c r="K1001" s="17"/>
      <c r="L1001" s="17"/>
      <c r="M1001" s="17"/>
      <c r="N1001" s="17"/>
      <c r="O1001" s="17"/>
      <c r="P1001" s="17"/>
      <c r="Q1001" s="17"/>
      <c r="R1001" s="17"/>
      <c r="S1001" s="143"/>
      <c r="T1001" s="143"/>
      <c r="U1001" s="143"/>
      <c r="V1001" s="143"/>
      <c r="W1001" s="17"/>
      <c r="X1001" s="17"/>
      <c r="Y1001" s="17"/>
      <c r="Z1001" s="17"/>
      <c r="AA1001" s="17"/>
      <c r="AB1001" s="17"/>
    </row>
    <row r="1002">
      <c r="A1002" s="290"/>
      <c r="B1002" s="17"/>
      <c r="C1002" s="17"/>
      <c r="D1002" s="17"/>
      <c r="E1002" s="17"/>
      <c r="F1002" s="288"/>
      <c r="G1002" s="17"/>
      <c r="H1002" s="17"/>
      <c r="I1002" s="17"/>
      <c r="J1002" s="17"/>
      <c r="K1002" s="17"/>
      <c r="L1002" s="17"/>
      <c r="M1002" s="17"/>
      <c r="N1002" s="17"/>
      <c r="O1002" s="17"/>
      <c r="P1002" s="17"/>
      <c r="Q1002" s="17"/>
      <c r="R1002" s="17"/>
      <c r="S1002" s="143"/>
      <c r="T1002" s="143"/>
      <c r="U1002" s="143"/>
      <c r="V1002" s="143"/>
      <c r="W1002" s="17"/>
      <c r="X1002" s="17"/>
      <c r="Y1002" s="17"/>
      <c r="Z1002" s="17"/>
      <c r="AA1002" s="17"/>
      <c r="AB1002" s="17"/>
    </row>
    <row r="1003">
      <c r="A1003" s="290"/>
      <c r="B1003" s="17"/>
      <c r="C1003" s="17"/>
      <c r="D1003" s="17"/>
      <c r="E1003" s="17"/>
      <c r="F1003" s="288"/>
      <c r="G1003" s="17"/>
      <c r="H1003" s="17"/>
      <c r="I1003" s="17"/>
      <c r="J1003" s="17"/>
      <c r="K1003" s="17"/>
      <c r="L1003" s="17"/>
      <c r="M1003" s="17"/>
      <c r="N1003" s="17"/>
      <c r="O1003" s="17"/>
      <c r="P1003" s="17"/>
      <c r="Q1003" s="17"/>
      <c r="R1003" s="17"/>
      <c r="S1003" s="143"/>
      <c r="T1003" s="143"/>
      <c r="U1003" s="143"/>
      <c r="V1003" s="143"/>
      <c r="W1003" s="17"/>
      <c r="X1003" s="17"/>
      <c r="Y1003" s="17"/>
      <c r="Z1003" s="17"/>
      <c r="AA1003" s="17"/>
      <c r="AB1003" s="17"/>
    </row>
    <row r="1004">
      <c r="A1004" s="290"/>
      <c r="B1004" s="17"/>
      <c r="C1004" s="17"/>
      <c r="D1004" s="17"/>
      <c r="E1004" s="17"/>
      <c r="F1004" s="288"/>
      <c r="G1004" s="17"/>
      <c r="H1004" s="17"/>
      <c r="I1004" s="17"/>
      <c r="J1004" s="17"/>
      <c r="K1004" s="17"/>
      <c r="L1004" s="17"/>
      <c r="M1004" s="17"/>
      <c r="N1004" s="17"/>
      <c r="O1004" s="17"/>
      <c r="P1004" s="17"/>
      <c r="Q1004" s="17"/>
      <c r="R1004" s="17"/>
      <c r="S1004" s="143"/>
      <c r="T1004" s="143"/>
      <c r="U1004" s="143"/>
      <c r="V1004" s="143"/>
      <c r="W1004" s="17"/>
      <c r="X1004" s="17"/>
      <c r="Y1004" s="17"/>
      <c r="Z1004" s="17"/>
      <c r="AA1004" s="17"/>
      <c r="AB1004" s="17"/>
    </row>
    <row r="1005">
      <c r="A1005" s="290"/>
      <c r="B1005" s="17"/>
      <c r="C1005" s="17"/>
      <c r="D1005" s="17"/>
      <c r="E1005" s="17"/>
      <c r="F1005" s="288"/>
      <c r="G1005" s="17"/>
      <c r="H1005" s="17"/>
      <c r="I1005" s="17"/>
      <c r="J1005" s="17"/>
      <c r="K1005" s="17"/>
      <c r="L1005" s="17"/>
      <c r="M1005" s="17"/>
      <c r="N1005" s="17"/>
      <c r="O1005" s="17"/>
      <c r="P1005" s="17"/>
      <c r="Q1005" s="17"/>
      <c r="R1005" s="17"/>
      <c r="S1005" s="143"/>
      <c r="T1005" s="143"/>
      <c r="U1005" s="143"/>
      <c r="V1005" s="143"/>
      <c r="W1005" s="17"/>
      <c r="X1005" s="17"/>
      <c r="Y1005" s="17"/>
      <c r="Z1005" s="17"/>
      <c r="AA1005" s="17"/>
      <c r="AB1005" s="17"/>
    </row>
    <row r="1006">
      <c r="A1006" s="290"/>
      <c r="B1006" s="17"/>
      <c r="C1006" s="17"/>
      <c r="D1006" s="17"/>
      <c r="E1006" s="17"/>
      <c r="F1006" s="288"/>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90"/>
      <c r="B1007" s="17"/>
      <c r="C1007" s="17"/>
      <c r="D1007" s="17"/>
      <c r="E1007" s="17"/>
      <c r="F1007" s="288"/>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90"/>
      <c r="B1008" s="17"/>
      <c r="C1008" s="17"/>
      <c r="D1008" s="17"/>
      <c r="E1008" s="17"/>
      <c r="F1008" s="288"/>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90"/>
      <c r="B1009" s="17"/>
      <c r="C1009" s="17"/>
      <c r="D1009" s="17"/>
      <c r="E1009" s="17"/>
      <c r="F1009" s="288"/>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90"/>
      <c r="B1010" s="17"/>
      <c r="C1010" s="17"/>
      <c r="D1010" s="17"/>
      <c r="E1010" s="17"/>
      <c r="F1010" s="288"/>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90"/>
      <c r="B1011" s="17"/>
      <c r="C1011" s="17"/>
      <c r="D1011" s="17"/>
      <c r="E1011" s="17"/>
      <c r="F1011" s="288"/>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90"/>
      <c r="B1012" s="17"/>
      <c r="C1012" s="17"/>
      <c r="D1012" s="17"/>
      <c r="E1012" s="17"/>
      <c r="F1012" s="288"/>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90"/>
      <c r="B1013" s="17"/>
      <c r="C1013" s="17"/>
      <c r="D1013" s="17"/>
      <c r="E1013" s="17"/>
      <c r="F1013" s="288"/>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90"/>
      <c r="B1014" s="17"/>
      <c r="C1014" s="17"/>
      <c r="D1014" s="17"/>
      <c r="E1014" s="17"/>
      <c r="F1014" s="288"/>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90"/>
      <c r="B1015" s="17"/>
      <c r="C1015" s="17"/>
      <c r="D1015" s="17"/>
      <c r="E1015" s="17"/>
      <c r="F1015" s="288"/>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90"/>
      <c r="B1016" s="17"/>
      <c r="C1016" s="17"/>
      <c r="D1016" s="17"/>
      <c r="E1016" s="17"/>
      <c r="F1016" s="288"/>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無断転載は禁止です。")</f>
        <v>公式ゲーム「Countercurrent Tea Party - 痩せた妹とのシンプルな生活」を応援してください。
攻略まとめ：公式Discord - RORO、協力者 - MIO、Luo Ran、翻訳者 - 눈_눈、Ruika、zNagato、Libeti、Gabriel B、maltesey、AndyJango、IntenseLag、Nian Sprout
無断転載は禁止です。</v>
      </c>
      <c r="G1" s="57" t="s">
        <v>213</v>
      </c>
      <c r="J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M1" s="291"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 maltesey, Andy"&amp;"Jango,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 maltesey, AndyJango, IntenseLag, Nian Sprout
Prohibida la reproducción no autorizada.</v>
      </c>
      <c r="P1" s="29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v>
      </c>
      <c r="S1" s="29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Intense"&amp;"Lag,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IntenseLag, Nian Sprout.
Несанкционированное воспроизведение запрещено.</v>
      </c>
      <c r="V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Unerlaubte Vervielfältigung verboten.</v>
      </c>
      <c r="Y1" s="292" t="s">
        <v>3696</v>
      </c>
      <c r="AB1" s="293"/>
      <c r="AC1" s="293"/>
      <c r="AD1" s="293"/>
      <c r="AE1" s="293"/>
    </row>
    <row r="2" ht="41.25" customHeight="1">
      <c r="AB2" s="293"/>
      <c r="AC2" s="293"/>
      <c r="AD2" s="293"/>
      <c r="AE2" s="293"/>
    </row>
    <row r="3" ht="88.5" customHeight="1">
      <c r="A3" s="70" t="s">
        <v>3697</v>
      </c>
      <c r="B3" s="294" t="s">
        <v>3698</v>
      </c>
      <c r="C3" s="295" t="s">
        <v>3699</v>
      </c>
      <c r="D3" s="67" t="str">
        <f>IFERROR(__xludf.DUMMYFUNCTION("GOOGLETRANSLATE(A3,""zh-tw"",""ja"")"),"プロジェクト")</f>
        <v>プロジェクト</v>
      </c>
      <c r="E3" s="296"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7" t="str">
        <f>IFERROR(__xludf.DUMMYFUNCTION("GOOGLETRANSLATE(C3,""zh-tw"",""ja"")"),"述べる")</f>
        <v>述べる</v>
      </c>
      <c r="G3" s="70" t="s">
        <v>3700</v>
      </c>
      <c r="H3" s="294" t="s">
        <v>3701</v>
      </c>
      <c r="I3" s="297" t="str">
        <f>IFERROR(__xludf.DUMMYFUNCTION("GOOGLETRANSLATE(C3,""zh-tw"",""en"")"),"Remark")</f>
        <v>Remark</v>
      </c>
      <c r="J3" s="67" t="str">
        <f>IFERROR(__xludf.DUMMYFUNCTION("GOOGLETRANSLATE(A3,""zh-tw"",""zh"")"),"项目")</f>
        <v>项目</v>
      </c>
      <c r="K3" s="296" t="str">
        <f>IFERROR(__xludf.DUMMYFUNCTION("GOOGLETRANSLATE(B3,""zh-tw"",""zh"")"),"特殊掉落
P.S.通用掉落物不列入
(泛用型白.蓝品质装备和消耗道具)")</f>
        <v>特殊掉落
P.S.通用掉落物不列入
(泛用型白.蓝品质装备和消耗道具)</v>
      </c>
      <c r="L3" s="297" t="str">
        <f>IFERROR(__xludf.DUMMYFUNCTION("GOOGLETRANSLATE(C3,""zh-tw"",""zh"")"),"备注")</f>
        <v>备注</v>
      </c>
      <c r="M3" s="298" t="str">
        <f>IFERROR(__xludf.DUMMYFUNCTION("GOOGLETRANSLATE(A3,""zh-tw"",""es-MX"")"),"proyecto")</f>
        <v>proyecto</v>
      </c>
      <c r="N3" s="299"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300" t="str">
        <f>IFERROR(__xludf.DUMMYFUNCTION("GOOGLETRANSLATE(C3,""zh-tw"",""es-MX"")"),"Observación")</f>
        <v>Observación</v>
      </c>
      <c r="P3" s="298" t="str">
        <f>IFERROR(__xludf.DUMMYFUNCTION("GOOGLETRANSLATE(A3,""zh-tw"",""KO"")"),"프로젝트")</f>
        <v>프로젝트</v>
      </c>
      <c r="Q3" s="296"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00" t="str">
        <f>IFERROR(__xludf.DUMMYFUNCTION("GOOGLETRANSLATE(C3,""zh-tw"",""KO"")"),"주목")</f>
        <v>주목</v>
      </c>
      <c r="S3" s="298"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00" t="str">
        <f>IFERROR(__xludf.DUMMYFUNCTION("GOOGLETRANSLATE(C3,""zh-tw"",""ru"")"),"Замечание")</f>
        <v>Замечание</v>
      </c>
      <c r="V3" s="301" t="s">
        <v>3702</v>
      </c>
      <c r="W3" s="14" t="s">
        <v>3703</v>
      </c>
      <c r="X3" s="302" t="s">
        <v>3704</v>
      </c>
      <c r="Y3" s="161" t="s">
        <v>3705</v>
      </c>
      <c r="Z3" s="303" t="s">
        <v>3706</v>
      </c>
      <c r="AA3" s="304" t="s">
        <v>3707</v>
      </c>
      <c r="AB3" s="305"/>
      <c r="AC3" s="305"/>
      <c r="AD3" s="305"/>
      <c r="AE3" s="305"/>
    </row>
    <row r="4">
      <c r="A4" s="100" t="s">
        <v>3708</v>
      </c>
      <c r="B4" s="117" t="s">
        <v>3709</v>
      </c>
      <c r="C4" s="306" t="s">
        <v>723</v>
      </c>
      <c r="D4" s="307" t="str">
        <f>IFERROR(__xludf.DUMMYFUNCTION("GOOGLETRANSLATE(A4,""zh-tw"",""ja"")"),"バナナの妖精")</f>
        <v>バナナの妖精</v>
      </c>
      <c r="E4" s="308" t="str">
        <f>IFERROR(__xludf.DUMMYFUNCTION("GOOGLETRANSLATE(B4,""zh-tw"",""ja"")"),"バナナの妖精/バナナ？")</f>
        <v>バナナの妖精/バナナ？</v>
      </c>
      <c r="F4" s="309" t="str">
        <f>IFERROR(__xludf.DUMMYFUNCTION("GOOGLETRANSLATE(C4,""zh-tw"",""ja"")"),"-")</f>
        <v>-</v>
      </c>
      <c r="G4" s="126" t="s">
        <v>3710</v>
      </c>
      <c r="H4" s="310" t="s">
        <v>3711</v>
      </c>
      <c r="I4" s="309" t="str">
        <f>IFERROR(__xludf.DUMMYFUNCTION("GOOGLETRANSLATE(C4,""zh-tw"",""en"")"),"-")</f>
        <v>-</v>
      </c>
      <c r="J4" s="307" t="str">
        <f>IFERROR(__xludf.DUMMYFUNCTION("GOOGLETRANSLATE(A4,""zh-tw"",""zh"")"),"香蕉妖精")</f>
        <v>香蕉妖精</v>
      </c>
      <c r="K4" s="308" t="str">
        <f>IFERROR(__xludf.DUMMYFUNCTION("GOOGLETRANSLATE(B4,""zh-tw"",""zh"")"),"香蕉妖精/香蕉?")</f>
        <v>香蕉妖精/香蕉?</v>
      </c>
      <c r="L4" s="309"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1"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1" t="str">
        <f>IFERROR(__xludf.DUMMYFUNCTION("GOOGLETRANSLATE(C4,""zh-tw"",""KO"")"),"-")</f>
        <v>-</v>
      </c>
      <c r="S4" s="307" t="str">
        <f>IFERROR(__xludf.DUMMYFUNCTION("GOOGLETRANSLATE(A4,""zh-tw"",""ru"")"),"Банановая фея")</f>
        <v>Банановая фея</v>
      </c>
      <c r="T4" s="308" t="str">
        <f>IFERROR(__xludf.DUMMYFUNCTION("GOOGLETRANSLATE(B4,""zh-tw"",""ru"")"),"Банановая Фея/Банан?")</f>
        <v>Банановая Фея/Банан?</v>
      </c>
      <c r="U4" s="309" t="str">
        <f>IFERROR(__xludf.DUMMYFUNCTION("GOOGLETRANSLATE(C4,""zh-tw"",""ru"")"),"-")</f>
        <v>-</v>
      </c>
      <c r="V4" s="126" t="s">
        <v>3712</v>
      </c>
      <c r="W4" s="310" t="s">
        <v>3713</v>
      </c>
      <c r="X4" s="312" t="s">
        <v>3714</v>
      </c>
      <c r="Y4" s="94" t="s">
        <v>3715</v>
      </c>
      <c r="Z4" s="123" t="s">
        <v>3716</v>
      </c>
      <c r="AA4" s="313" t="s">
        <v>723</v>
      </c>
      <c r="AB4" s="17"/>
      <c r="AC4" s="17"/>
      <c r="AD4" s="17"/>
      <c r="AE4" s="17"/>
    </row>
    <row r="5">
      <c r="A5" s="100" t="s">
        <v>3717</v>
      </c>
      <c r="B5" s="117" t="s">
        <v>3718</v>
      </c>
      <c r="C5" s="306" t="s">
        <v>723</v>
      </c>
      <c r="D5" s="307" t="str">
        <f>IFERROR(__xludf.DUMMYFUNCTION("GOOGLETRANSLATE(A5,""zh-tw"",""ja"")"),"リンゴの妖精")</f>
        <v>リンゴの妖精</v>
      </c>
      <c r="E5" s="308" t="str">
        <f>IFERROR(__xludf.DUMMYFUNCTION("GOOGLETRANSLATE(B5,""zh-tw"",""ja"")"),"リンゴの妖精/リンゴのヘッドギア")</f>
        <v>リンゴの妖精/リンゴのヘッドギア</v>
      </c>
      <c r="F5" s="309" t="str">
        <f>IFERROR(__xludf.DUMMYFUNCTION("GOOGLETRANSLATE(C5,""zh-tw"",""ja"")"),"-")</f>
        <v>-</v>
      </c>
      <c r="G5" s="126" t="s">
        <v>3719</v>
      </c>
      <c r="H5" s="310" t="s">
        <v>3720</v>
      </c>
      <c r="I5" s="309" t="str">
        <f>IFERROR(__xludf.DUMMYFUNCTION("GOOGLETRANSLATE(C5,""zh-tw"",""en"")"),"-")</f>
        <v>-</v>
      </c>
      <c r="J5" s="307" t="str">
        <f>IFERROR(__xludf.DUMMYFUNCTION("GOOGLETRANSLATE(A5,""zh-tw"",""zh"")"),"苹果妖精")</f>
        <v>苹果妖精</v>
      </c>
      <c r="K5" s="308" t="str">
        <f>IFERROR(__xludf.DUMMYFUNCTION("GOOGLETRANSLATE(B5,""zh-tw"",""zh"")"),"苹果妖精/苹果头套")</f>
        <v>苹果妖精/苹果头套</v>
      </c>
      <c r="L5" s="309"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1" t="str">
        <f>IFERROR(__xludf.DUMMYFUNCTION("GOOGLETRANSLATE(C5,""zh-tw"",""es-MX"")"),"-")</f>
        <v>-</v>
      </c>
      <c r="P5" s="100" t="s">
        <v>3721</v>
      </c>
      <c r="Q5" s="117" t="s">
        <v>3722</v>
      </c>
      <c r="R5" s="311" t="str">
        <f>IFERROR(__xludf.DUMMYFUNCTION("GOOGLETRANSLATE(C5,""zh-tw"",""KO"")"),"-")</f>
        <v>-</v>
      </c>
      <c r="S5" s="307" t="str">
        <f>IFERROR(__xludf.DUMMYFUNCTION("GOOGLETRANSLATE(A5,""zh-tw"",""ru"")"),"Яблочная Фея")</f>
        <v>Яблочная Фея</v>
      </c>
      <c r="T5" s="308" t="str">
        <f>IFERROR(__xludf.DUMMYFUNCTION("GOOGLETRANSLATE(B5,""zh-tw"",""ru"")"),"Яблочная Фея/Головной убор Яблока")</f>
        <v>Яблочная Фея/Головной убор Яблока</v>
      </c>
      <c r="U5" s="309" t="str">
        <f>IFERROR(__xludf.DUMMYFUNCTION("GOOGLETRANSLATE(C5,""zh-tw"",""ru"")"),"-")</f>
        <v>-</v>
      </c>
      <c r="V5" s="126" t="s">
        <v>3723</v>
      </c>
      <c r="W5" s="310" t="s">
        <v>3724</v>
      </c>
      <c r="X5" s="312" t="s">
        <v>3714</v>
      </c>
      <c r="Y5" s="94" t="s">
        <v>3725</v>
      </c>
      <c r="Z5" s="123" t="s">
        <v>3726</v>
      </c>
      <c r="AA5" s="313" t="s">
        <v>723</v>
      </c>
      <c r="AB5" s="17"/>
      <c r="AC5" s="17"/>
      <c r="AD5" s="17"/>
      <c r="AE5" s="17"/>
    </row>
    <row r="6">
      <c r="A6" s="100" t="s">
        <v>3727</v>
      </c>
      <c r="B6" s="117" t="s">
        <v>3728</v>
      </c>
      <c r="C6" s="306" t="s">
        <v>723</v>
      </c>
      <c r="D6" s="307" t="str">
        <f>IFERROR(__xludf.DUMMYFUNCTION("GOOGLETRANSLATE(A6,""zh-tw"",""ja"")"),"猫スライム")</f>
        <v>猫スライム</v>
      </c>
      <c r="E6" s="310" t="s">
        <v>3729</v>
      </c>
      <c r="F6" s="309" t="str">
        <f>IFERROR(__xludf.DUMMYFUNCTION("GOOGLETRANSLATE(C6,""zh-tw"",""ja"")"),"-")</f>
        <v>-</v>
      </c>
      <c r="G6" s="126" t="s">
        <v>3730</v>
      </c>
      <c r="H6" s="310" t="s">
        <v>3731</v>
      </c>
      <c r="I6" s="309" t="str">
        <f>IFERROR(__xludf.DUMMYFUNCTION("GOOGLETRANSLATE(C6,""zh-tw"",""en"")"),"-")</f>
        <v>-</v>
      </c>
      <c r="J6" s="307" t="str">
        <f>IFERROR(__xludf.DUMMYFUNCTION("GOOGLETRANSLATE(A6,""zh-tw"",""zh"")"),"猫咪史莱姆")</f>
        <v>猫咪史莱姆</v>
      </c>
      <c r="K6" s="308" t="str">
        <f>IFERROR(__xludf.DUMMYFUNCTION("GOOGLETRANSLATE(B6,""zh-tw"",""zh"")"),"史莱姆的黏液/借来的猫爪/招财猫")</f>
        <v>史莱姆的黏液/借来的猫爪/招财猫</v>
      </c>
      <c r="L6" s="309"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1" t="str">
        <f>IFERROR(__xludf.DUMMYFUNCTION("GOOGLETRANSLATE(C6,""zh-tw"",""es-MX"")"),"-")</f>
        <v>-</v>
      </c>
      <c r="P6" s="88" t="str">
        <f>IFERROR(__xludf.DUMMYFUNCTION("GOOGLETRANSLATE(A6,""zh-tw"",""KO"")"),"고양이 슬라임")</f>
        <v>고양이 슬라임</v>
      </c>
      <c r="Q6" s="117" t="s">
        <v>3732</v>
      </c>
      <c r="R6" s="311" t="str">
        <f>IFERROR(__xludf.DUMMYFUNCTION("GOOGLETRANSLATE(C6,""zh-tw"",""KO"")"),"-")</f>
        <v>-</v>
      </c>
      <c r="S6" s="307" t="str">
        <f>IFERROR(__xludf.DUMMYFUNCTION("GOOGLETRANSLATE(A6,""zh-tw"",""ru"")"),"Кошачья слизь")</f>
        <v>Кошачья слизь</v>
      </c>
      <c r="T6" s="308" t="str">
        <f>IFERROR(__xludf.DUMMYFUNCTION("GOOGLETRANSLATE(B6,""zh-tw"",""ru"")"),"Слизь слизи/Кошачья лапка взаймы/Счастливый кот")</f>
        <v>Слизь слизи/Кошачья лапка взаймы/Счастливый кот</v>
      </c>
      <c r="U6" s="309" t="str">
        <f>IFERROR(__xludf.DUMMYFUNCTION("GOOGLETRANSLATE(C6,""zh-tw"",""ru"")"),"-")</f>
        <v>-</v>
      </c>
      <c r="V6" s="126" t="s">
        <v>3733</v>
      </c>
      <c r="W6" s="310" t="s">
        <v>3734</v>
      </c>
      <c r="X6" s="312" t="s">
        <v>3714</v>
      </c>
      <c r="Y6" s="94" t="s">
        <v>3735</v>
      </c>
      <c r="Z6" s="123" t="s">
        <v>3736</v>
      </c>
      <c r="AA6" s="313" t="s">
        <v>723</v>
      </c>
      <c r="AB6" s="17"/>
      <c r="AC6" s="17"/>
      <c r="AD6" s="17"/>
      <c r="AE6" s="17"/>
    </row>
    <row r="7">
      <c r="A7" s="100" t="s">
        <v>3737</v>
      </c>
      <c r="B7" s="117" t="s">
        <v>3738</v>
      </c>
      <c r="C7" s="306" t="s">
        <v>723</v>
      </c>
      <c r="D7" s="307" t="str">
        <f>IFERROR(__xludf.DUMMYFUNCTION("GOOGLETRANSLATE(A7,""zh-tw"",""ja"")"),"草食スライム")</f>
        <v>草食スライム</v>
      </c>
      <c r="E7" s="310" t="s">
        <v>3739</v>
      </c>
      <c r="F7" s="309" t="str">
        <f>IFERROR(__xludf.DUMMYFUNCTION("GOOGLETRANSLATE(C7,""zh-tw"",""ja"")"),"-")</f>
        <v>-</v>
      </c>
      <c r="G7" s="126" t="s">
        <v>3740</v>
      </c>
      <c r="H7" s="310" t="s">
        <v>3741</v>
      </c>
      <c r="I7" s="309" t="str">
        <f>IFERROR(__xludf.DUMMYFUNCTION("GOOGLETRANSLATE(C7,""zh-tw"",""en"")"),"-")</f>
        <v>-</v>
      </c>
      <c r="J7" s="307" t="str">
        <f>IFERROR(__xludf.DUMMYFUNCTION("GOOGLETRANSLATE(A7,""zh-tw"",""zh"")"),"草食史莱姆")</f>
        <v>草食史莱姆</v>
      </c>
      <c r="K7" s="308" t="str">
        <f>IFERROR(__xludf.DUMMYFUNCTION("GOOGLETRANSLATE(B7,""zh-tw"",""zh"")"),"斩裂剑提尔锋/史莱姆的黏液/硬木棒/硬木剑")</f>
        <v>斩裂剑提尔锋/史莱姆的黏液/硬木棒/硬木剑</v>
      </c>
      <c r="L7" s="309"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1" t="str">
        <f>IFERROR(__xludf.DUMMYFUNCTION("GOOGLETRANSLATE(C7,""zh-tw"",""es-MX"")"),"-")</f>
        <v>-</v>
      </c>
      <c r="P7" s="100" t="s">
        <v>3742</v>
      </c>
      <c r="Q7" s="117" t="s">
        <v>3743</v>
      </c>
      <c r="R7" s="311" t="str">
        <f>IFERROR(__xludf.DUMMYFUNCTION("GOOGLETRANSLATE(C7,""zh-tw"",""KO"")"),"-")</f>
        <v>-</v>
      </c>
      <c r="S7" s="307" t="str">
        <f>IFERROR(__xludf.DUMMYFUNCTION("GOOGLETRANSLATE(A7,""zh-tw"",""ru"")"),"Травоядная слизь")</f>
        <v>Травоядная слизь</v>
      </c>
      <c r="T7" s="308"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9" t="str">
        <f>IFERROR(__xludf.DUMMYFUNCTION("GOOGLETRANSLATE(C7,""zh-tw"",""ru"")"),"-")</f>
        <v>-</v>
      </c>
      <c r="V7" s="126" t="s">
        <v>3744</v>
      </c>
      <c r="W7" s="310" t="s">
        <v>3745</v>
      </c>
      <c r="X7" s="312" t="s">
        <v>3714</v>
      </c>
      <c r="Y7" s="94" t="s">
        <v>3746</v>
      </c>
      <c r="Z7" s="123" t="s">
        <v>3747</v>
      </c>
      <c r="AA7" s="313" t="s">
        <v>723</v>
      </c>
      <c r="AB7" s="17"/>
      <c r="AC7" s="17"/>
      <c r="AD7" s="17"/>
      <c r="AE7" s="17"/>
    </row>
    <row r="8">
      <c r="A8" s="100" t="s">
        <v>3748</v>
      </c>
      <c r="B8" s="117" t="s">
        <v>3749</v>
      </c>
      <c r="C8" s="306" t="s">
        <v>723</v>
      </c>
      <c r="D8" s="126" t="s">
        <v>3750</v>
      </c>
      <c r="E8" s="310" t="s">
        <v>3751</v>
      </c>
      <c r="F8" s="309" t="str">
        <f>IFERROR(__xludf.DUMMYFUNCTION("GOOGLETRANSLATE(C8,""zh-tw"",""ja"")"),"-")</f>
        <v>-</v>
      </c>
      <c r="G8" s="126" t="s">
        <v>3752</v>
      </c>
      <c r="H8" s="310" t="s">
        <v>3753</v>
      </c>
      <c r="I8" s="309" t="str">
        <f>IFERROR(__xludf.DUMMYFUNCTION("GOOGLETRANSLATE(C8,""zh-tw"",""en"")"),"-")</f>
        <v>-</v>
      </c>
      <c r="J8" s="307" t="str">
        <f>IFERROR(__xludf.DUMMYFUNCTION("GOOGLETRANSLATE(A8,""zh-tw"",""zh"")"),"急冻史莱姆")</f>
        <v>急冻史莱姆</v>
      </c>
      <c r="K8" s="308" t="str">
        <f>IFERROR(__xludf.DUMMYFUNCTION("GOOGLETRANSLATE(B8,""zh-tw"",""zh"")"),"雪见/寒冰杖/魔力晶簇/史莱姆的黏液/塔罗牌")</f>
        <v>雪见/寒冰杖/魔力晶簇/史莱姆的黏液/塔罗牌</v>
      </c>
      <c r="L8" s="309"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1" t="str">
        <f>IFERROR(__xludf.DUMMYFUNCTION("GOOGLETRANSLATE(C8,""zh-tw"",""es-MX"")"),"-")</f>
        <v>-</v>
      </c>
      <c r="P8" s="100" t="s">
        <v>3754</v>
      </c>
      <c r="Q8" s="117" t="s">
        <v>3755</v>
      </c>
      <c r="R8" s="311" t="str">
        <f>IFERROR(__xludf.DUMMYFUNCTION("GOOGLETRANSLATE(C8,""zh-tw"",""KO"")"),"-")</f>
        <v>-</v>
      </c>
      <c r="S8" s="307" t="str">
        <f>IFERROR(__xludf.DUMMYFUNCTION("GOOGLETRANSLATE(A8,""zh-tw"",""ru"")"),"Замороженная слизь")</f>
        <v>Замороженная слизь</v>
      </c>
      <c r="T8" s="308"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9" t="str">
        <f>IFERROR(__xludf.DUMMYFUNCTION("GOOGLETRANSLATE(C8,""zh-tw"",""ru"")"),"-")</f>
        <v>-</v>
      </c>
      <c r="V8" s="126" t="s">
        <v>3756</v>
      </c>
      <c r="W8" s="310" t="s">
        <v>3757</v>
      </c>
      <c r="X8" s="312" t="s">
        <v>3714</v>
      </c>
      <c r="Y8" s="94" t="s">
        <v>3758</v>
      </c>
      <c r="Z8" s="123" t="s">
        <v>3759</v>
      </c>
      <c r="AA8" s="313" t="s">
        <v>723</v>
      </c>
      <c r="AB8" s="17"/>
      <c r="AC8" s="17"/>
      <c r="AD8" s="17"/>
      <c r="AE8" s="17"/>
    </row>
    <row r="9">
      <c r="A9" s="100" t="s">
        <v>3760</v>
      </c>
      <c r="B9" s="117" t="s">
        <v>3761</v>
      </c>
      <c r="C9" s="306" t="s">
        <v>723</v>
      </c>
      <c r="D9" s="307" t="str">
        <f>IFERROR(__xludf.DUMMYFUNCTION("GOOGLETRANSLATE(A9,""zh-tw"",""ja"")"),"ジャックスライム")</f>
        <v>ジャックスライム</v>
      </c>
      <c r="E9" s="310" t="s">
        <v>3762</v>
      </c>
      <c r="F9" s="309" t="str">
        <f>IFERROR(__xludf.DUMMYFUNCTION("GOOGLETRANSLATE(C9,""zh-tw"",""ja"")"),"-")</f>
        <v>-</v>
      </c>
      <c r="G9" s="126" t="s">
        <v>3763</v>
      </c>
      <c r="H9" s="310" t="s">
        <v>3764</v>
      </c>
      <c r="I9" s="312" t="s">
        <v>723</v>
      </c>
      <c r="J9" s="307" t="str">
        <f>IFERROR(__xludf.DUMMYFUNCTION("GOOGLETRANSLATE(A9,""zh-tw"",""zh"")"),"杰克史莱姆")</f>
        <v>杰克史莱姆</v>
      </c>
      <c r="K9" s="308" t="str">
        <f>IFERROR(__xludf.DUMMYFUNCTION("GOOGLETRANSLATE(B9,""zh-tw"",""zh"")"),"杰克爆弹/史莱姆的黏液/炸弹魔之魂")</f>
        <v>杰克爆弹/史莱姆的黏液/炸弹魔之魂</v>
      </c>
      <c r="L9" s="309"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1" t="str">
        <f>IFERROR(__xludf.DUMMYFUNCTION("GOOGLETRANSLATE(C9,""zh-tw"",""es-MX"")"),"-")</f>
        <v>-</v>
      </c>
      <c r="P9" s="88" t="str">
        <f>IFERROR(__xludf.DUMMYFUNCTION("GOOGLETRANSLATE(A9,""zh-tw"",""KO"")"),"잭 슬라임")</f>
        <v>잭 슬라임</v>
      </c>
      <c r="Q9" s="117" t="s">
        <v>3765</v>
      </c>
      <c r="R9" s="311" t="str">
        <f>IFERROR(__xludf.DUMMYFUNCTION("GOOGLETRANSLATE(C9,""zh-tw"",""KO"")"),"-")</f>
        <v>-</v>
      </c>
      <c r="S9" s="307" t="str">
        <f>IFERROR(__xludf.DUMMYFUNCTION("GOOGLETRANSLATE(A9,""zh-tw"",""ru"")"),"Джек Слайм")</f>
        <v>Джек Слайм</v>
      </c>
      <c r="T9" s="308" t="str">
        <f>IFERROR(__xludf.DUMMYFUNCTION("GOOGLETRANSLATE(B9,""zh-tw"",""ru"")"),"Джек Бомба/Слайм Слайм/Душа Бомбы")</f>
        <v>Джек Бомба/Слайм Слайм/Душа Бомбы</v>
      </c>
      <c r="U9" s="309" t="str">
        <f>IFERROR(__xludf.DUMMYFUNCTION("GOOGLETRANSLATE(C9,""zh-tw"",""ru"")"),"-")</f>
        <v>-</v>
      </c>
      <c r="V9" s="126" t="s">
        <v>3766</v>
      </c>
      <c r="W9" s="310" t="s">
        <v>3767</v>
      </c>
      <c r="X9" s="312" t="s">
        <v>3714</v>
      </c>
      <c r="Y9" s="94" t="s">
        <v>3768</v>
      </c>
      <c r="Z9" s="123" t="s">
        <v>3769</v>
      </c>
      <c r="AA9" s="313" t="s">
        <v>723</v>
      </c>
      <c r="AB9" s="17"/>
      <c r="AC9" s="17"/>
      <c r="AD9" s="17"/>
      <c r="AE9" s="17"/>
    </row>
    <row r="10" ht="41.25" customHeight="1">
      <c r="A10" s="100" t="s">
        <v>3770</v>
      </c>
      <c r="B10" s="117" t="s">
        <v>3771</v>
      </c>
      <c r="C10" s="306" t="s">
        <v>723</v>
      </c>
      <c r="D10" s="126" t="s">
        <v>3772</v>
      </c>
      <c r="E10" s="310" t="s">
        <v>3773</v>
      </c>
      <c r="F10" s="309" t="str">
        <f>IFERROR(__xludf.DUMMYFUNCTION("GOOGLETRANSLATE(C10,""zh-tw"",""ja"")"),"-")</f>
        <v>-</v>
      </c>
      <c r="G10" s="126" t="s">
        <v>3774</v>
      </c>
      <c r="H10" s="310" t="s">
        <v>3775</v>
      </c>
      <c r="I10" s="312" t="s">
        <v>723</v>
      </c>
      <c r="J10" s="307" t="str">
        <f>IFERROR(__xludf.DUMMYFUNCTION("GOOGLETRANSLATE(A10,""zh-tw"",""zh"")"),"恶灵史莱姆")</f>
        <v>恶灵史莱姆</v>
      </c>
      <c r="K10" s="308" t="str">
        <f>IFERROR(__xludf.DUMMYFUNCTION("GOOGLETRANSLATE(B10,""zh-tw"",""zh"")"),"来自地狱/史莱姆的黏液/堕落法师的手套/魔力晶簇/史莱姆的黏液")</f>
        <v>来自地狱/史莱姆的黏液/堕落法师的手套/魔力晶簇/史莱姆的黏液</v>
      </c>
      <c r="L10" s="309"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1" t="str">
        <f>IFERROR(__xludf.DUMMYFUNCTION("GOOGLETRANSLATE(C10,""zh-tw"",""es-MX"")"),"-")</f>
        <v>-</v>
      </c>
      <c r="P10" s="100" t="s">
        <v>3776</v>
      </c>
      <c r="Q10" s="117" t="s">
        <v>3777</v>
      </c>
      <c r="R10" s="311" t="str">
        <f>IFERROR(__xludf.DUMMYFUNCTION("GOOGLETRANSLATE(C10,""zh-tw"",""KO"")"),"-")</f>
        <v>-</v>
      </c>
      <c r="S10" s="307" t="str">
        <f>IFERROR(__xludf.DUMMYFUNCTION("GOOGLETRANSLATE(A10,""zh-tw"",""ru"")"),"Злая слизь")</f>
        <v>Злая слизь</v>
      </c>
      <c r="T10" s="308"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9" t="str">
        <f>IFERROR(__xludf.DUMMYFUNCTION("GOOGLETRANSLATE(C10,""zh-tw"",""ru"")"),"-")</f>
        <v>-</v>
      </c>
      <c r="V10" s="126" t="s">
        <v>3778</v>
      </c>
      <c r="W10" s="310" t="s">
        <v>3779</v>
      </c>
      <c r="X10" s="312" t="s">
        <v>3714</v>
      </c>
      <c r="Y10" s="94" t="s">
        <v>3780</v>
      </c>
      <c r="Z10" s="123" t="s">
        <v>3781</v>
      </c>
      <c r="AA10" s="313" t="s">
        <v>723</v>
      </c>
      <c r="AB10" s="17"/>
      <c r="AC10" s="17"/>
      <c r="AD10" s="17"/>
      <c r="AE10" s="17"/>
    </row>
    <row r="11">
      <c r="A11" s="100" t="s">
        <v>3782</v>
      </c>
      <c r="B11" s="117" t="s">
        <v>3783</v>
      </c>
      <c r="C11" s="306" t="s">
        <v>723</v>
      </c>
      <c r="D11" s="307" t="str">
        <f>IFERROR(__xludf.DUMMYFUNCTION("GOOGLETRANSLATE(A11,""zh-tw"",""ja"")"),"ビリビリスライム")</f>
        <v>ビリビリスライム</v>
      </c>
      <c r="E11" s="310" t="s">
        <v>3784</v>
      </c>
      <c r="F11" s="309" t="str">
        <f>IFERROR(__xludf.DUMMYFUNCTION("GOOGLETRANSLATE(C11,""zh-tw"",""ja"")"),"-")</f>
        <v>-</v>
      </c>
      <c r="G11" s="126" t="s">
        <v>3785</v>
      </c>
      <c r="H11" s="310" t="s">
        <v>3786</v>
      </c>
      <c r="I11" s="309" t="str">
        <f>IFERROR(__xludf.DUMMYFUNCTION("GOOGLETRANSLATE(C11,""zh-tw"",""en"")"),"-")</f>
        <v>-</v>
      </c>
      <c r="J11" s="307" t="str">
        <f>IFERROR(__xludf.DUMMYFUNCTION("GOOGLETRANSLATE(A11,""zh-tw"",""zh"")"),"哔哩哔哩史莱姆")</f>
        <v>哔哩哔哩史莱姆</v>
      </c>
      <c r="K11" s="308" t="str">
        <f>IFERROR(__xludf.DUMMYFUNCTION("GOOGLETRANSLATE(B11,""zh-tw"",""zh"")"),"千鸟/史莱姆的黏液/塔罗牌")</f>
        <v>千鸟/史莱姆的黏液/塔罗牌</v>
      </c>
      <c r="L11" s="309"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1" t="str">
        <f>IFERROR(__xludf.DUMMYFUNCTION("GOOGLETRANSLATE(C11,""zh-tw"",""es-MX"")"),"-")</f>
        <v>-</v>
      </c>
      <c r="P11" s="100" t="s">
        <v>3787</v>
      </c>
      <c r="Q11" s="117" t="s">
        <v>3788</v>
      </c>
      <c r="R11" s="311" t="str">
        <f>IFERROR(__xludf.DUMMYFUNCTION("GOOGLETRANSLATE(C11,""zh-tw"",""KO"")"),"-")</f>
        <v>-</v>
      </c>
      <c r="S11" s="307" t="str">
        <f>IFERROR(__xludf.DUMMYFUNCTION("GOOGLETRANSLATE(A11,""zh-tw"",""ru"")"),"Билибили Слайм")</f>
        <v>Билибили Слайм</v>
      </c>
      <c r="T11" s="308" t="str">
        <f>IFERROR(__xludf.DUMMYFUNCTION("GOOGLETRANSLATE(B11,""zh-tw"",""ru"")"),"Чидори/Слизь Слизи/Карты Таро")</f>
        <v>Чидори/Слизь Слизи/Карты Таро</v>
      </c>
      <c r="U11" s="309" t="str">
        <f>IFERROR(__xludf.DUMMYFUNCTION("GOOGLETRANSLATE(C11,""zh-tw"",""ru"")"),"-")</f>
        <v>-</v>
      </c>
      <c r="V11" s="126" t="s">
        <v>3789</v>
      </c>
      <c r="W11" s="310" t="s">
        <v>3790</v>
      </c>
      <c r="X11" s="312" t="s">
        <v>3714</v>
      </c>
      <c r="Y11" s="94" t="s">
        <v>3791</v>
      </c>
      <c r="Z11" s="123" t="s">
        <v>3792</v>
      </c>
      <c r="AA11" s="313" t="s">
        <v>723</v>
      </c>
      <c r="AB11" s="17"/>
      <c r="AC11" s="17"/>
      <c r="AD11" s="17"/>
      <c r="AE11" s="17"/>
    </row>
    <row r="12">
      <c r="A12" s="100" t="s">
        <v>3793</v>
      </c>
      <c r="B12" s="117" t="s">
        <v>3794</v>
      </c>
      <c r="C12" s="306" t="s">
        <v>723</v>
      </c>
      <c r="D12" s="126" t="s">
        <v>3795</v>
      </c>
      <c r="E12" s="310" t="s">
        <v>3796</v>
      </c>
      <c r="F12" s="309" t="str">
        <f>IFERROR(__xludf.DUMMYFUNCTION("GOOGLETRANSLATE(C12,""zh-tw"",""ja"")"),"-")</f>
        <v>-</v>
      </c>
      <c r="G12" s="126" t="s">
        <v>3797</v>
      </c>
      <c r="H12" s="310" t="s">
        <v>3798</v>
      </c>
      <c r="I12" s="309" t="str">
        <f>IFERROR(__xludf.DUMMYFUNCTION("GOOGLETRANSLATE(C12,""zh-tw"",""en"")"),"-")</f>
        <v>-</v>
      </c>
      <c r="J12" s="307" t="str">
        <f>IFERROR(__xludf.DUMMYFUNCTION("GOOGLETRANSLATE(A12,""zh-tw"",""zh"")"),"初级兽人")</f>
        <v>初级兽人</v>
      </c>
      <c r="K12" s="310" t="s">
        <v>3799</v>
      </c>
      <c r="L12" s="309"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1" t="str">
        <f>IFERROR(__xludf.DUMMYFUNCTION("GOOGLETRANSLATE(C12,""zh-tw"",""es-MX"")"),"-")</f>
        <v>-</v>
      </c>
      <c r="P12" s="126" t="s">
        <v>3800</v>
      </c>
      <c r="Q12" s="117" t="s">
        <v>3801</v>
      </c>
      <c r="R12" s="311" t="str">
        <f>IFERROR(__xludf.DUMMYFUNCTION("GOOGLETRANSLATE(C12,""zh-tw"",""KO"")"),"-")</f>
        <v>-</v>
      </c>
      <c r="S12" s="307" t="str">
        <f>IFERROR(__xludf.DUMMYFUNCTION("GOOGLETRANSLATE(A12,""zh-tw"",""ru"")"),"Первичный орк")</f>
        <v>Первичный орк</v>
      </c>
      <c r="T12" s="308"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9" t="str">
        <f>IFERROR(__xludf.DUMMYFUNCTION("GOOGLETRANSLATE(C12,""zh-tw"",""ru"")"),"-")</f>
        <v>-</v>
      </c>
      <c r="V12" s="126" t="s">
        <v>3802</v>
      </c>
      <c r="W12" s="310" t="s">
        <v>3803</v>
      </c>
      <c r="X12" s="312" t="s">
        <v>3714</v>
      </c>
      <c r="Y12" s="94" t="s">
        <v>3804</v>
      </c>
      <c r="Z12" s="123" t="s">
        <v>3805</v>
      </c>
      <c r="AA12" s="313" t="s">
        <v>723</v>
      </c>
      <c r="AB12" s="17"/>
      <c r="AC12" s="17"/>
      <c r="AD12" s="17"/>
      <c r="AE12" s="17"/>
    </row>
    <row r="13">
      <c r="A13" s="100" t="s">
        <v>3806</v>
      </c>
      <c r="B13" s="117" t="s">
        <v>3807</v>
      </c>
      <c r="C13" s="306" t="s">
        <v>723</v>
      </c>
      <c r="D13" s="126" t="s">
        <v>3806</v>
      </c>
      <c r="E13" s="310" t="s">
        <v>3808</v>
      </c>
      <c r="F13" s="309" t="str">
        <f>IFERROR(__xludf.DUMMYFUNCTION("GOOGLETRANSLATE(C13,""zh-tw"",""ja"")"),"-")</f>
        <v>-</v>
      </c>
      <c r="G13" s="126" t="s">
        <v>3809</v>
      </c>
      <c r="H13" s="310" t="s">
        <v>3810</v>
      </c>
      <c r="I13" s="309" t="str">
        <f>IFERROR(__xludf.DUMMYFUNCTION("GOOGLETRANSLATE(C13,""zh-tw"",""en"")"),"-")</f>
        <v>-</v>
      </c>
      <c r="J13" s="307" t="str">
        <f>IFERROR(__xludf.DUMMYFUNCTION("GOOGLETRANSLATE(A13,""zh-tw"",""zh"")"),"怪鸟")</f>
        <v>怪鸟</v>
      </c>
      <c r="K13" s="308" t="str">
        <f>IFERROR(__xludf.DUMMYFUNCTION("GOOGLETRANSLATE(B13,""zh-tw"",""zh"")"),"鸡腿/怪鸟的羽毛")</f>
        <v>鸡腿/怪鸟的羽毛</v>
      </c>
      <c r="L13" s="309"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1" t="str">
        <f>IFERROR(__xludf.DUMMYFUNCTION("GOOGLETRANSLATE(C13,""zh-tw"",""es-MX"")"),"-")</f>
        <v>-</v>
      </c>
      <c r="P13" s="100" t="s">
        <v>3811</v>
      </c>
      <c r="Q13" s="117" t="s">
        <v>3812</v>
      </c>
      <c r="R13" s="311" t="str">
        <f>IFERROR(__xludf.DUMMYFUNCTION("GOOGLETRANSLATE(C13,""zh-tw"",""KO"")"),"-")</f>
        <v>-</v>
      </c>
      <c r="S13" s="307" t="str">
        <f>IFERROR(__xludf.DUMMYFUNCTION("GOOGLETRANSLATE(A13,""zh-tw"",""ru"")"),"Странная птица")</f>
        <v>Странная птица</v>
      </c>
      <c r="T13" s="308" t="str">
        <f>IFERROR(__xludf.DUMMYFUNCTION("GOOGLETRANSLATE(B13,""zh-tw"",""ru"")"),"Куриные ножки/странные птичьи перья")</f>
        <v>Куриные ножки/странные птичьи перья</v>
      </c>
      <c r="U13" s="309" t="str">
        <f>IFERROR(__xludf.DUMMYFUNCTION("GOOGLETRANSLATE(C13,""zh-tw"",""ru"")"),"-")</f>
        <v>-</v>
      </c>
      <c r="V13" s="126" t="s">
        <v>3813</v>
      </c>
      <c r="W13" s="310" t="s">
        <v>3814</v>
      </c>
      <c r="X13" s="312" t="s">
        <v>3714</v>
      </c>
      <c r="Y13" s="94" t="s">
        <v>3815</v>
      </c>
      <c r="Z13" s="123" t="s">
        <v>3816</v>
      </c>
      <c r="AA13" s="313" t="s">
        <v>723</v>
      </c>
      <c r="AB13" s="17"/>
      <c r="AC13" s="17"/>
      <c r="AD13" s="17"/>
      <c r="AE13" s="17"/>
    </row>
    <row r="14">
      <c r="A14" s="100" t="s">
        <v>3817</v>
      </c>
      <c r="B14" s="117" t="s">
        <v>3818</v>
      </c>
      <c r="C14" s="306" t="s">
        <v>723</v>
      </c>
      <c r="D14" s="126" t="s">
        <v>3819</v>
      </c>
      <c r="E14" s="310" t="s">
        <v>3820</v>
      </c>
      <c r="F14" s="309" t="str">
        <f>IFERROR(__xludf.DUMMYFUNCTION("GOOGLETRANSLATE(C14,""zh-tw"",""ja"")"),"-")</f>
        <v>-</v>
      </c>
      <c r="G14" s="126" t="s">
        <v>3821</v>
      </c>
      <c r="H14" s="310" t="s">
        <v>3822</v>
      </c>
      <c r="I14" s="309" t="str">
        <f>IFERROR(__xludf.DUMMYFUNCTION("GOOGLETRANSLATE(C14,""zh-tw"",""en"")"),"-")</f>
        <v>-</v>
      </c>
      <c r="J14" s="307" t="str">
        <f>IFERROR(__xludf.DUMMYFUNCTION("GOOGLETRANSLATE(A14,""zh-tw"",""zh"")"),"走路菇")</f>
        <v>走路菇</v>
      </c>
      <c r="K14" s="308" t="str">
        <f>IFERROR(__xludf.DUMMYFUNCTION("GOOGLETRANSLATE(B14,""zh-tw"",""zh"")"),"走路菇/毒孢针")</f>
        <v>走路菇/毒孢针</v>
      </c>
      <c r="L14" s="309"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1"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1" t="str">
        <f>IFERROR(__xludf.DUMMYFUNCTION("GOOGLETRANSLATE(C14,""zh-tw"",""KO"")"),"-")</f>
        <v>-</v>
      </c>
      <c r="S14" s="307" t="str">
        <f>IFERROR(__xludf.DUMMYFUNCTION("GOOGLETRANSLATE(A14,""zh-tw"",""ru"")"),"Ходячий гриб")</f>
        <v>Ходячий гриб</v>
      </c>
      <c r="T14" s="308" t="str">
        <f>IFERROR(__xludf.DUMMYFUNCTION("GOOGLETRANSLATE(B14,""zh-tw"",""ru"")"),"Ходячий гриб/Игла с токсичными спорами")</f>
        <v>Ходячий гриб/Игла с токсичными спорами</v>
      </c>
      <c r="U14" s="309" t="str">
        <f>IFERROR(__xludf.DUMMYFUNCTION("GOOGLETRANSLATE(C14,""zh-tw"",""ru"")"),"-")</f>
        <v>-</v>
      </c>
      <c r="V14" s="126" t="s">
        <v>3823</v>
      </c>
      <c r="W14" s="310" t="s">
        <v>3824</v>
      </c>
      <c r="X14" s="312" t="s">
        <v>3714</v>
      </c>
      <c r="Y14" s="94" t="s">
        <v>3825</v>
      </c>
      <c r="Z14" s="123" t="s">
        <v>3826</v>
      </c>
      <c r="AA14" s="313" t="s">
        <v>723</v>
      </c>
      <c r="AB14" s="17"/>
      <c r="AC14" s="17"/>
      <c r="AD14" s="17"/>
      <c r="AE14" s="17"/>
    </row>
    <row r="15">
      <c r="A15" s="100" t="s">
        <v>3827</v>
      </c>
      <c r="B15" s="117" t="s">
        <v>3828</v>
      </c>
      <c r="C15" s="306" t="s">
        <v>723</v>
      </c>
      <c r="D15" s="126" t="s">
        <v>3827</v>
      </c>
      <c r="E15" s="310" t="s">
        <v>3829</v>
      </c>
      <c r="F15" s="309" t="str">
        <f>IFERROR(__xludf.DUMMYFUNCTION("GOOGLETRANSLATE(C15,""zh-tw"",""ja"")"),"-")</f>
        <v>-</v>
      </c>
      <c r="G15" s="126" t="s">
        <v>3830</v>
      </c>
      <c r="H15" s="310" t="s">
        <v>3831</v>
      </c>
      <c r="I15" s="309" t="str">
        <f>IFERROR(__xludf.DUMMYFUNCTION("GOOGLETRANSLATE(C15,""zh-tw"",""en"")"),"-")</f>
        <v>-</v>
      </c>
      <c r="J15" s="307" t="str">
        <f>IFERROR(__xludf.DUMMYFUNCTION("GOOGLETRANSLATE(A15,""zh-tw"",""zh"")"),"水怪")</f>
        <v>水怪</v>
      </c>
      <c r="K15" s="308" t="str">
        <f>IFERROR(__xludf.DUMMYFUNCTION("GOOGLETRANSLATE(B15,""zh-tw"",""zh"")"),"水怪黏液/魔力晶簇/精神凝聚头环/潮汐之诗")</f>
        <v>水怪黏液/魔力晶簇/精神凝聚头环/潮汐之诗</v>
      </c>
      <c r="L15" s="309"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1" t="str">
        <f>IFERROR(__xludf.DUMMYFUNCTION("GOOGLETRANSLATE(C15,""zh-tw"",""es-MX"")"),"-")</f>
        <v>-</v>
      </c>
      <c r="P15" s="100" t="s">
        <v>3832</v>
      </c>
      <c r="Q15" s="117" t="s">
        <v>3833</v>
      </c>
      <c r="R15" s="311" t="str">
        <f>IFERROR(__xludf.DUMMYFUNCTION("GOOGLETRANSLATE(C15,""zh-tw"",""KO"")"),"-")</f>
        <v>-</v>
      </c>
      <c r="S15" s="307" t="str">
        <f>IFERROR(__xludf.DUMMYFUNCTION("GOOGLETRANSLATE(A15,""zh-tw"",""ru"")"),"Водный монстр")</f>
        <v>Водный монстр</v>
      </c>
      <c r="T15" s="308"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9" t="str">
        <f>IFERROR(__xludf.DUMMYFUNCTION("GOOGLETRANSLATE(C15,""zh-tw"",""ru"")"),"-")</f>
        <v>-</v>
      </c>
      <c r="V15" s="126" t="s">
        <v>3834</v>
      </c>
      <c r="W15" s="310" t="s">
        <v>3835</v>
      </c>
      <c r="X15" s="312" t="s">
        <v>3714</v>
      </c>
      <c r="Y15" s="94" t="s">
        <v>3836</v>
      </c>
      <c r="Z15" s="123" t="s">
        <v>3837</v>
      </c>
      <c r="AA15" s="313" t="s">
        <v>723</v>
      </c>
      <c r="AB15" s="17"/>
      <c r="AC15" s="17"/>
      <c r="AD15" s="17"/>
      <c r="AE15" s="17"/>
    </row>
    <row r="16">
      <c r="A16" s="100" t="s">
        <v>3838</v>
      </c>
      <c r="B16" s="117" t="s">
        <v>3839</v>
      </c>
      <c r="C16" s="306" t="s">
        <v>723</v>
      </c>
      <c r="D16" s="126" t="s">
        <v>3840</v>
      </c>
      <c r="E16" s="310" t="s">
        <v>3841</v>
      </c>
      <c r="F16" s="309" t="str">
        <f>IFERROR(__xludf.DUMMYFUNCTION("GOOGLETRANSLATE(C16,""zh-tw"",""ja"")"),"-")</f>
        <v>-</v>
      </c>
      <c r="G16" s="126" t="s">
        <v>3842</v>
      </c>
      <c r="H16" s="310" t="s">
        <v>3843</v>
      </c>
      <c r="I16" s="309" t="str">
        <f>IFERROR(__xludf.DUMMYFUNCTION("GOOGLETRANSLATE(C16,""zh-tw"",""en"")"),"-")</f>
        <v>-</v>
      </c>
      <c r="J16" s="307" t="str">
        <f>IFERROR(__xludf.DUMMYFUNCTION("GOOGLETRANSLATE(A16,""zh-tw"",""zh"")"),"小红怪")</f>
        <v>小红怪</v>
      </c>
      <c r="K16" s="308" t="str">
        <f>IFERROR(__xludf.DUMMYFUNCTION("GOOGLETRANSLATE(B16,""zh-tw"",""zh"")"),"来自地狱/受诅胎体/塔罗牌")</f>
        <v>来自地狱/受诅胎体/塔罗牌</v>
      </c>
      <c r="L16" s="309"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1" t="str">
        <f>IFERROR(__xludf.DUMMYFUNCTION("GOOGLETRANSLATE(C16,""zh-tw"",""es-MX"")"),"-")</f>
        <v>-</v>
      </c>
      <c r="P16" s="100" t="s">
        <v>3844</v>
      </c>
      <c r="Q16" s="310" t="s">
        <v>3845</v>
      </c>
      <c r="R16" s="311" t="str">
        <f>IFERROR(__xludf.DUMMYFUNCTION("GOOGLETRANSLATE(C16,""zh-tw"",""KO"")"),"-")</f>
        <v>-</v>
      </c>
      <c r="S16" s="307" t="str">
        <f>IFERROR(__xludf.DUMMYFUNCTION("GOOGLETRANSLATE(A16,""zh-tw"",""ru"")"),"Маленький Красный Монстр")</f>
        <v>Маленький Красный Монстр</v>
      </c>
      <c r="T16" s="308" t="str">
        <f>IFERROR(__xludf.DUMMYFUNCTION("GOOGLETRANSLATE(B16,""zh-tw"",""ru"")"),"Созданный в аду/Проклятая утроба/Таро")</f>
        <v>Созданный в аду/Проклятая утроба/Таро</v>
      </c>
      <c r="U16" s="309" t="str">
        <f>IFERROR(__xludf.DUMMYFUNCTION("GOOGLETRANSLATE(C16,""zh-tw"",""ru"")"),"-")</f>
        <v>-</v>
      </c>
      <c r="V16" s="126" t="s">
        <v>3846</v>
      </c>
      <c r="W16" s="310" t="s">
        <v>3847</v>
      </c>
      <c r="X16" s="312" t="s">
        <v>3714</v>
      </c>
      <c r="Y16" s="94" t="s">
        <v>3848</v>
      </c>
      <c r="Z16" s="123" t="s">
        <v>3849</v>
      </c>
      <c r="AA16" s="313" t="s">
        <v>723</v>
      </c>
      <c r="AB16" s="17"/>
      <c r="AC16" s="17"/>
      <c r="AD16" s="17"/>
      <c r="AE16" s="17"/>
    </row>
    <row r="17">
      <c r="A17" s="100" t="s">
        <v>3850</v>
      </c>
      <c r="B17" s="117" t="s">
        <v>3851</v>
      </c>
      <c r="C17" s="306" t="s">
        <v>723</v>
      </c>
      <c r="D17" s="126" t="s">
        <v>3852</v>
      </c>
      <c r="E17" s="308" t="str">
        <f>IFERROR(__xludf.DUMMYFUNCTION("GOOGLETRANSLATE(B17,""zh-tw"",""ja"")"),"ナイトソード")</f>
        <v>ナイトソード</v>
      </c>
      <c r="F17" s="309" t="str">
        <f>IFERROR(__xludf.DUMMYFUNCTION("GOOGLETRANSLATE(C17,""zh-tw"",""ja"")"),"-")</f>
        <v>-</v>
      </c>
      <c r="G17" s="126" t="s">
        <v>3853</v>
      </c>
      <c r="H17" s="310" t="s">
        <v>3854</v>
      </c>
      <c r="I17" s="309" t="str">
        <f>IFERROR(__xludf.DUMMYFUNCTION("GOOGLETRANSLATE(C17,""zh-tw"",""en"")"),"-")</f>
        <v>-</v>
      </c>
      <c r="J17" s="307" t="str">
        <f>IFERROR(__xludf.DUMMYFUNCTION("GOOGLETRANSLATE(A17,""zh-tw"",""zh"")"),"石中剑")</f>
        <v>石中剑</v>
      </c>
      <c r="K17" s="308" t="str">
        <f>IFERROR(__xludf.DUMMYFUNCTION("GOOGLETRANSLATE(B17,""zh-tw"",""zh"")"),"骑士剑")</f>
        <v>骑士剑</v>
      </c>
      <c r="L17" s="309"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1" t="str">
        <f>IFERROR(__xludf.DUMMYFUNCTION("GOOGLETRANSLATE(C17,""zh-tw"",""es-MX"")"),"-")</f>
        <v>-</v>
      </c>
      <c r="P17" s="100" t="s">
        <v>3855</v>
      </c>
      <c r="Q17" s="117" t="s">
        <v>3856</v>
      </c>
      <c r="R17" s="311" t="str">
        <f>IFERROR(__xludf.DUMMYFUNCTION("GOOGLETRANSLATE(C17,""zh-tw"",""KO"")"),"-")</f>
        <v>-</v>
      </c>
      <c r="S17" s="307" t="str">
        <f>IFERROR(__xludf.DUMMYFUNCTION("GOOGLETRANSLATE(A17,""zh-tw"",""ru"")"),"Меч в камне")</f>
        <v>Меч в камне</v>
      </c>
      <c r="T17" s="308" t="str">
        <f>IFERROR(__xludf.DUMMYFUNCTION("GOOGLETRANSLATE(B17,""zh-tw"",""ru"")"),"Рыцарский Меч")</f>
        <v>Рыцарский Меч</v>
      </c>
      <c r="U17" s="309" t="str">
        <f>IFERROR(__xludf.DUMMYFUNCTION("GOOGLETRANSLATE(C17,""zh-tw"",""ru"")"),"-")</f>
        <v>-</v>
      </c>
      <c r="V17" s="126" t="s">
        <v>3857</v>
      </c>
      <c r="W17" s="310" t="s">
        <v>3858</v>
      </c>
      <c r="X17" s="312" t="s">
        <v>3859</v>
      </c>
      <c r="Y17" s="94" t="s">
        <v>3860</v>
      </c>
      <c r="Z17" s="123" t="s">
        <v>3861</v>
      </c>
      <c r="AA17" s="313" t="s">
        <v>723</v>
      </c>
      <c r="AB17" s="17"/>
      <c r="AC17" s="17"/>
      <c r="AD17" s="17"/>
      <c r="AE17" s="17"/>
    </row>
    <row r="18">
      <c r="A18" s="100" t="s">
        <v>3862</v>
      </c>
      <c r="B18" s="117" t="s">
        <v>3862</v>
      </c>
      <c r="C18" s="306" t="s">
        <v>3863</v>
      </c>
      <c r="D18" s="307" t="str">
        <f>IFERROR(__xludf.DUMMYFUNCTION("GOOGLETRANSLATE(A18,""zh-tw"",""ja"")"),"とても大きな卵")</f>
        <v>とても大きな卵</v>
      </c>
      <c r="E18" s="308" t="str">
        <f>IFERROR(__xludf.DUMMYFUNCTION("GOOGLETRANSLATE(B18,""zh-tw"",""ja"")"),"とても大きな卵")</f>
        <v>とても大きな卵</v>
      </c>
      <c r="F18" s="312" t="s">
        <v>3864</v>
      </c>
      <c r="G18" s="126" t="s">
        <v>3865</v>
      </c>
      <c r="H18" s="310" t="s">
        <v>3865</v>
      </c>
      <c r="I18" s="312" t="s">
        <v>3866</v>
      </c>
      <c r="J18" s="307" t="str">
        <f>IFERROR(__xludf.DUMMYFUNCTION("GOOGLETRANSLATE(A18,""zh-tw"",""zh"")"),"很大的蛋")</f>
        <v>很大的蛋</v>
      </c>
      <c r="K18" s="308" t="str">
        <f>IFERROR(__xludf.DUMMYFUNCTION("GOOGLETRANSLATE(B18,""zh-tw"",""zh"")"),"很大的蛋")</f>
        <v>很大的蛋</v>
      </c>
      <c r="L18" s="309"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1" t="str">
        <f>IFERROR(__xludf.DUMMYFUNCTION("GOOGLETRANSLATE(C18,""zh-tw"",""es-MX"")"),"Recogido en el fondo de las ruinas (no se puede romper)")</f>
        <v>Recogido en el fondo de las ruinas (no se puede romper)</v>
      </c>
      <c r="P18" s="100" t="s">
        <v>3867</v>
      </c>
      <c r="Q18" s="117" t="s">
        <v>3867</v>
      </c>
      <c r="R18" s="306" t="s">
        <v>3868</v>
      </c>
      <c r="S18" s="307" t="str">
        <f>IFERROR(__xludf.DUMMYFUNCTION("GOOGLETRANSLATE(A18,""zh-tw"",""ru"")"),"Очень большое яйцо")</f>
        <v>Очень большое яйцо</v>
      </c>
      <c r="T18" s="308" t="str">
        <f>IFERROR(__xludf.DUMMYFUNCTION("GOOGLETRANSLATE(B18,""zh-tw"",""ru"")"),"Очень большое яйцо")</f>
        <v>Очень большое яйцо</v>
      </c>
      <c r="U18" s="309" t="str">
        <f>IFERROR(__xludf.DUMMYFUNCTION("GOOGLETRANSLATE(C18,""zh-tw"",""ru"")"),"Подобран на дне руин (нельзя сломать)")</f>
        <v>Подобран на дне руин (нельзя сломать)</v>
      </c>
      <c r="V18" s="126" t="s">
        <v>3869</v>
      </c>
      <c r="W18" s="310" t="s">
        <v>3870</v>
      </c>
      <c r="X18" s="312" t="s">
        <v>3871</v>
      </c>
      <c r="Y18" s="94" t="s">
        <v>3872</v>
      </c>
      <c r="Z18" s="123" t="s">
        <v>3872</v>
      </c>
      <c r="AA18" s="313" t="s">
        <v>3873</v>
      </c>
      <c r="AB18" s="17"/>
      <c r="AC18" s="17"/>
      <c r="AD18" s="17"/>
      <c r="AE18" s="17"/>
    </row>
    <row r="19">
      <c r="A19" s="100" t="s">
        <v>3874</v>
      </c>
      <c r="B19" s="117" t="s">
        <v>3875</v>
      </c>
      <c r="C19" s="306" t="s">
        <v>3876</v>
      </c>
      <c r="D19" s="126" t="s">
        <v>3877</v>
      </c>
      <c r="E19" s="308" t="str">
        <f>IFERROR(__xludf.DUMMYFUNCTION("GOOGLETRANSLATE(B19,""zh-tw"",""ja"")"),"キノコ")</f>
        <v>キノコ</v>
      </c>
      <c r="F19" s="312" t="s">
        <v>3878</v>
      </c>
      <c r="G19" s="126" t="s">
        <v>3879</v>
      </c>
      <c r="H19" s="310" t="s">
        <v>3880</v>
      </c>
      <c r="I19" s="312" t="s">
        <v>3881</v>
      </c>
      <c r="J19" s="307" t="str">
        <f>IFERROR(__xludf.DUMMYFUNCTION("GOOGLETRANSLATE(A19,""zh-tw"",""zh"")"),"迷雾森林菇类")</f>
        <v>迷雾森林菇类</v>
      </c>
      <c r="K19" s="308" t="str">
        <f>IFERROR(__xludf.DUMMYFUNCTION("GOOGLETRANSLATE(B19,""zh-tw"",""zh"")"),"香菇")</f>
        <v>香菇</v>
      </c>
      <c r="L19" s="309"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1" t="str">
        <f>IFERROR(__xludf.DUMMYFUNCTION("GOOGLETRANSLATE(C19,""zh-tw"",""es-MX"")"),"Recogido en el pasaje que conduce al Bosque Brumoso.")</f>
        <v>Recogido en el pasaje que conduce al Bosque Brumoso.</v>
      </c>
      <c r="P19" s="100" t="s">
        <v>3882</v>
      </c>
      <c r="Q19" s="121" t="str">
        <f>IFERROR(__xludf.DUMMYFUNCTION("GOOGLETRANSLATE(B19,""zh-tw"",""KO"")"),"버섯")</f>
        <v>버섯</v>
      </c>
      <c r="R19" s="306" t="s">
        <v>3883</v>
      </c>
      <c r="S19" s="307" t="str">
        <f>IFERROR(__xludf.DUMMYFUNCTION("GOOGLETRANSLATE(A19,""zh-tw"",""ru"")"),"Грибы туманного леса")</f>
        <v>Грибы туманного леса</v>
      </c>
      <c r="T19" s="308" t="str">
        <f>IFERROR(__xludf.DUMMYFUNCTION("GOOGLETRANSLATE(B19,""zh-tw"",""ru"")"),"гриб")</f>
        <v>гриб</v>
      </c>
      <c r="U19" s="309" t="str">
        <f>IFERROR(__xludf.DUMMYFUNCTION("GOOGLETRANSLATE(C19,""zh-tw"",""ru"")"),"Подобрано в проходе, ведущем в Туманный лес.")</f>
        <v>Подобрано в проходе, ведущем в Туманный лес.</v>
      </c>
      <c r="V19" s="126" t="s">
        <v>3884</v>
      </c>
      <c r="W19" s="310" t="s">
        <v>3885</v>
      </c>
      <c r="X19" s="312" t="s">
        <v>3886</v>
      </c>
      <c r="Y19" s="94" t="s">
        <v>3887</v>
      </c>
      <c r="Z19" s="123" t="s">
        <v>3888</v>
      </c>
      <c r="AA19" s="313" t="s">
        <v>3889</v>
      </c>
      <c r="AB19" s="17"/>
      <c r="AC19" s="17"/>
      <c r="AD19" s="17"/>
      <c r="AE19" s="17"/>
    </row>
    <row r="20">
      <c r="A20" s="100" t="s">
        <v>3890</v>
      </c>
      <c r="B20" s="117" t="s">
        <v>3891</v>
      </c>
      <c r="C20" s="306" t="s">
        <v>3892</v>
      </c>
      <c r="D20" s="126" t="s">
        <v>3893</v>
      </c>
      <c r="E20" s="308" t="str">
        <f>IFERROR(__xludf.DUMMYFUNCTION("GOOGLETRANSLATE(B20,""zh-tw"",""ja"")"),"椎茸／ヒラタケ／カニタケ／月茸")</f>
        <v>椎茸／ヒラタケ／カニタケ／月茸</v>
      </c>
      <c r="F20" s="312" t="s">
        <v>3894</v>
      </c>
      <c r="G20" s="126" t="s">
        <v>3895</v>
      </c>
      <c r="H20" s="310" t="s">
        <v>3896</v>
      </c>
      <c r="I20" s="312" t="s">
        <v>3897</v>
      </c>
      <c r="J20" s="307" t="str">
        <f>IFERROR(__xludf.DUMMYFUNCTION("GOOGLETRANSLATE(A20,""zh-tw"",""zh"")"),"遗迹菇类")</f>
        <v>遗迹菇类</v>
      </c>
      <c r="K20" s="308" t="str">
        <f>IFERROR(__xludf.DUMMYFUNCTION("GOOGLETRANSLATE(B20,""zh-tw"",""zh"")"),"香菇/平菇/蟹味菇/月夜茸")</f>
        <v>香菇/平菇/蟹味菇/月夜茸</v>
      </c>
      <c r="L20" s="309"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1" t="str">
        <f>IFERROR(__xludf.DUMMYFUNCTION("GOOGLETRANSLATE(C20,""zh-tw"",""es-MX"")"),"Golpea los hongos en el suelo en las ruinas.")</f>
        <v>Golpea los hongos en el suelo en las ruinas.</v>
      </c>
      <c r="P20" s="100" t="s">
        <v>3898</v>
      </c>
      <c r="Q20" s="117" t="s">
        <v>3899</v>
      </c>
      <c r="R20" s="306" t="s">
        <v>3900</v>
      </c>
      <c r="S20" s="307" t="str">
        <f>IFERROR(__xludf.DUMMYFUNCTION("GOOGLETRANSLATE(A20,""zh-tw"",""ru"")"),"Реликтовые грибы")</f>
        <v>Реликтовые грибы</v>
      </c>
      <c r="T20" s="308" t="str">
        <f>IFERROR(__xludf.DUMMYFUNCTION("GOOGLETRANSLATE(B20,""zh-tw"",""ru"")"),"Грибы шиитаке/вешенки/крабовые грибы/лунные грибы")</f>
        <v>Грибы шиитаке/вешенки/крабовые грибы/лунные грибы</v>
      </c>
      <c r="U20" s="309" t="str">
        <f>IFERROR(__xludf.DUMMYFUNCTION("GOOGLETRANSLATE(C20,""zh-tw"",""ru"")"),"Ударь по грибам, лежащим на земле в руинах.")</f>
        <v>Ударь по грибам, лежащим на земле в руинах.</v>
      </c>
      <c r="V20" s="126" t="s">
        <v>3901</v>
      </c>
      <c r="W20" s="310" t="s">
        <v>3902</v>
      </c>
      <c r="X20" s="312" t="s">
        <v>3903</v>
      </c>
      <c r="Y20" s="94" t="s">
        <v>3904</v>
      </c>
      <c r="Z20" s="123" t="s">
        <v>3905</v>
      </c>
      <c r="AA20" s="313" t="s">
        <v>3906</v>
      </c>
      <c r="AB20" s="17"/>
      <c r="AC20" s="17"/>
      <c r="AD20" s="17"/>
      <c r="AE20" s="17"/>
    </row>
    <row r="21">
      <c r="A21" s="100" t="s">
        <v>3907</v>
      </c>
      <c r="B21" s="117" t="s">
        <v>3908</v>
      </c>
      <c r="C21" s="306" t="s">
        <v>3909</v>
      </c>
      <c r="D21" s="126" t="s">
        <v>3910</v>
      </c>
      <c r="E21" s="308" t="str">
        <f>IFERROR(__xludf.DUMMYFUNCTION("GOOGLETRANSLATE(B21,""zh-tw"",""ja"")"),"火の鳥の羽")</f>
        <v>火の鳥の羽</v>
      </c>
      <c r="F21" s="312" t="s">
        <v>3911</v>
      </c>
      <c r="G21" s="126" t="s">
        <v>3912</v>
      </c>
      <c r="H21" s="310" t="s">
        <v>3913</v>
      </c>
      <c r="I21" s="312" t="s">
        <v>3914</v>
      </c>
      <c r="J21" s="307" t="str">
        <f>IFERROR(__xludf.DUMMYFUNCTION("GOOGLETRANSLATE(A21,""zh-tw"",""zh"")"),"红花")</f>
        <v>红花</v>
      </c>
      <c r="K21" s="308" t="str">
        <f>IFERROR(__xludf.DUMMYFUNCTION("GOOGLETRANSLATE(B21,""zh-tw"",""zh"")"),"火鸟的羽毛")</f>
        <v>火鸟的羽毛</v>
      </c>
      <c r="L21" s="309"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1" t="str">
        <f>IFERROR(__xludf.DUMMYFUNCTION("GOOGLETRANSLATE(C21,""zh-tw"",""es-MX"")"),"Golpea las flores rojas en el suelo en las ruinas.")</f>
        <v>Golpea las flores rojas en el suelo en las ruinas.</v>
      </c>
      <c r="P21" s="100" t="s">
        <v>3915</v>
      </c>
      <c r="Q21" s="117" t="s">
        <v>3916</v>
      </c>
      <c r="R21" s="306" t="s">
        <v>3917</v>
      </c>
      <c r="S21" s="307" t="str">
        <f>IFERROR(__xludf.DUMMYFUNCTION("GOOGLETRANSLATE(A21,""zh-tw"",""ru"")"),"сафлор")</f>
        <v>сафлор</v>
      </c>
      <c r="T21" s="308" t="str">
        <f>IFERROR(__xludf.DUMMYFUNCTION("GOOGLETRANSLATE(B21,""zh-tw"",""ru"")"),"Перья жар-птицы")</f>
        <v>Перья жар-птицы</v>
      </c>
      <c r="U21" s="309" t="str">
        <f>IFERROR(__xludf.DUMMYFUNCTION("GOOGLETRANSLATE(C21,""zh-tw"",""ru"")"),"Ударь красные цветы на земле среди руин.")</f>
        <v>Ударь красные цветы на земле среди руин.</v>
      </c>
      <c r="V21" s="126" t="s">
        <v>3918</v>
      </c>
      <c r="W21" s="310" t="s">
        <v>3919</v>
      </c>
      <c r="X21" s="312" t="s">
        <v>3920</v>
      </c>
      <c r="Y21" s="94" t="s">
        <v>3921</v>
      </c>
      <c r="Z21" s="123" t="s">
        <v>3922</v>
      </c>
      <c r="AA21" s="313" t="s">
        <v>3923</v>
      </c>
      <c r="AB21" s="17"/>
      <c r="AC21" s="17"/>
      <c r="AD21" s="17"/>
      <c r="AE21" s="17"/>
    </row>
    <row r="22">
      <c r="A22" s="100" t="s">
        <v>3924</v>
      </c>
      <c r="B22" s="117" t="s">
        <v>3925</v>
      </c>
      <c r="C22" s="306" t="s">
        <v>3926</v>
      </c>
      <c r="D22" s="126" t="s">
        <v>3927</v>
      </c>
      <c r="E22" s="308" t="str">
        <f>IFERROR(__xludf.DUMMYFUNCTION("GOOGLETRANSLATE(B22,""zh-tw"",""ja"")"),"白品質装備／青品質装備／タロットカード／一般小道具")</f>
        <v>白品質装備／青品質装備／タロットカード／一般小道具</v>
      </c>
      <c r="F22" s="309" t="str">
        <f>IFERROR(__xludf.DUMMYFUNCTION("GOOGLETRANSLATE(C22,""zh-tw"",""ja"")"),"遺物：陶器の壺、木樽、墓石、石板")</f>
        <v>遺物：陶器の壺、木樽、墓石、石板</v>
      </c>
      <c r="G22" s="126" t="s">
        <v>3928</v>
      </c>
      <c r="H22" s="310" t="s">
        <v>3929</v>
      </c>
      <c r="I22" s="312" t="s">
        <v>3930</v>
      </c>
      <c r="J22" s="307" t="str">
        <f>IFERROR(__xludf.DUMMYFUNCTION("GOOGLETRANSLATE(A22,""zh-tw"",""zh"")"),"场景物件")</f>
        <v>场景物件</v>
      </c>
      <c r="K22" s="308" t="str">
        <f>IFERROR(__xludf.DUMMYFUNCTION("GOOGLETRANSLATE(B22,""zh-tw"",""zh"")"),"白色品质装备/蓝色品质装备/塔罗牌/通用型道具")</f>
        <v>白色品质装备/蓝色品质装备/塔罗牌/通用型道具</v>
      </c>
      <c r="L22" s="309"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1" t="str">
        <f>IFERROR(__xludf.DUMMYFUNCTION("GOOGLETRANSLATE(C22,""zh-tw"",""es-MX"")"),"Reliquias: vasijas de cerámica, barriles de madera, lápidas y losas de piedra.")</f>
        <v>Reliquias: vasijas de cerámica, barriles de madera, lápidas y losas de piedra.</v>
      </c>
      <c r="P22" s="100" t="s">
        <v>3931</v>
      </c>
      <c r="Q22" s="117" t="s">
        <v>3932</v>
      </c>
      <c r="R22" s="306" t="s">
        <v>3933</v>
      </c>
      <c r="S22" s="307" t="str">
        <f>IFERROR(__xludf.DUMMYFUNCTION("GOOGLETRANSLATE(A22,""zh-tw"",""ru"")"),"Объекты сцены")</f>
        <v>Объекты сцены</v>
      </c>
      <c r="T22" s="308"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9"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3934</v>
      </c>
      <c r="W22" s="310" t="s">
        <v>3935</v>
      </c>
      <c r="X22" s="312" t="s">
        <v>3936</v>
      </c>
      <c r="Y22" s="94" t="s">
        <v>3937</v>
      </c>
      <c r="Z22" s="123" t="s">
        <v>3938</v>
      </c>
      <c r="AA22" s="313" t="s">
        <v>3939</v>
      </c>
      <c r="AB22" s="17"/>
      <c r="AC22" s="17"/>
      <c r="AD22" s="17"/>
      <c r="AE22" s="17"/>
    </row>
    <row r="23">
      <c r="A23" s="100" t="s">
        <v>3940</v>
      </c>
      <c r="B23" s="117" t="s">
        <v>3941</v>
      </c>
      <c r="C23" s="306" t="s">
        <v>3942</v>
      </c>
      <c r="D23" s="126" t="s">
        <v>3943</v>
      </c>
      <c r="E23" s="308"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2" t="s">
        <v>3944</v>
      </c>
      <c r="G23" s="126" t="s">
        <v>3945</v>
      </c>
      <c r="H23" s="310" t="s">
        <v>3946</v>
      </c>
      <c r="I23" s="312" t="s">
        <v>3947</v>
      </c>
      <c r="J23" s="307" t="str">
        <f>IFERROR(__xludf.DUMMYFUNCTION("GOOGLETRANSLATE(A23,""zh-tw"",""zh"")"),"炸水面")</f>
        <v>炸水面</v>
      </c>
      <c r="K23" s="308" t="str">
        <f>IFERROR(__xludf.DUMMYFUNCTION("GOOGLETRANSLATE(B23,""zh-tw"",""zh"")"),"金枪鱼/条石鲷/秋刀鱼/鲷鱼/章鱼触手/甜虾/大龙虾/毛蟹/鲑鱼/帝王鲑/巨大蟹钳/绿龟壳")</f>
        <v>金枪鱼/条石鲷/秋刀鱼/鲷鱼/章鱼触手/甜虾/大龙虾/毛蟹/鲑鱼/帝王鲑/巨大蟹钳/绿龟壳</v>
      </c>
      <c r="L23" s="309"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1"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3948</v>
      </c>
      <c r="Q23" s="117" t="s">
        <v>3949</v>
      </c>
      <c r="R23" s="306" t="s">
        <v>3950</v>
      </c>
      <c r="S23" s="307" t="str">
        <f>IFERROR(__xludf.DUMMYFUNCTION("GOOGLETRANSLATE(A23,""zh-tw"",""ru"")"),"Жареная лапша")</f>
        <v>Жареная лапша</v>
      </c>
      <c r="T23" s="308"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9"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3951</v>
      </c>
      <c r="W23" s="310" t="s">
        <v>3952</v>
      </c>
      <c r="X23" s="312" t="s">
        <v>3953</v>
      </c>
      <c r="Y23" s="94" t="s">
        <v>3954</v>
      </c>
      <c r="Z23" s="123" t="s">
        <v>3955</v>
      </c>
      <c r="AA23" s="313" t="s">
        <v>3956</v>
      </c>
      <c r="AB23" s="17"/>
      <c r="AC23" s="17"/>
      <c r="AD23" s="17"/>
      <c r="AE23" s="17"/>
    </row>
    <row r="24">
      <c r="A24" s="100" t="s">
        <v>3957</v>
      </c>
      <c r="B24" s="117" t="s">
        <v>3958</v>
      </c>
      <c r="C24" s="306" t="s">
        <v>723</v>
      </c>
      <c r="D24" s="126" t="s">
        <v>3959</v>
      </c>
      <c r="E24" s="308" t="str">
        <f>IFERROR(__xludf.DUMMYFUNCTION("GOOGLETRANSLATE(B24,""zh-tw"",""ja"")"),"星月夜/招き猫/タロットカード")</f>
        <v>星月夜/招き猫/タロットカード</v>
      </c>
      <c r="F24" s="309" t="str">
        <f>IFERROR(__xludf.DUMMYFUNCTION("GOOGLETRANSLATE(C24,""zh-tw"",""ja"")"),"-")</f>
        <v>-</v>
      </c>
      <c r="G24" s="126" t="s">
        <v>3960</v>
      </c>
      <c r="H24" s="310" t="s">
        <v>3961</v>
      </c>
      <c r="I24" s="309" t="str">
        <f>IFERROR(__xludf.DUMMYFUNCTION("GOOGLETRANSLATE(C24,""zh-tw"",""en"")"),"-")</f>
        <v>-</v>
      </c>
      <c r="J24" s="307" t="str">
        <f>IFERROR(__xludf.DUMMYFUNCTION("GOOGLETRANSLATE(A24,""zh-tw"",""zh"")"),"恶魔猫")</f>
        <v>恶魔猫</v>
      </c>
      <c r="K24" s="308" t="str">
        <f>IFERROR(__xludf.DUMMYFUNCTION("GOOGLETRANSLATE(B24,""zh-tw"",""zh"")"),"星月夜/招财猫/塔罗牌")</f>
        <v>星月夜/招财猫/塔罗牌</v>
      </c>
      <c r="L24" s="309"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1" t="str">
        <f>IFERROR(__xludf.DUMMYFUNCTION("GOOGLETRANSLATE(C24,""zh-tw"",""es-MX"")"),"-")</f>
        <v>-</v>
      </c>
      <c r="P24" s="88" t="str">
        <f>IFERROR(__xludf.DUMMYFUNCTION("GOOGLETRANSLATE(A24,""zh-tw"",""KO"")"),"악마 고양이")</f>
        <v>악마 고양이</v>
      </c>
      <c r="Q24" s="117" t="s">
        <v>3962</v>
      </c>
      <c r="R24" s="311" t="str">
        <f>IFERROR(__xludf.DUMMYFUNCTION("GOOGLETRANSLATE(C24,""zh-tw"",""KO"")"),"-")</f>
        <v>-</v>
      </c>
      <c r="S24" s="307" t="str">
        <f>IFERROR(__xludf.DUMMYFUNCTION("GOOGLETRANSLATE(A24,""zh-tw"",""ru"")"),"Демонический кот")</f>
        <v>Демонический кот</v>
      </c>
      <c r="T24" s="308" t="str">
        <f>IFERROR(__xludf.DUMMYFUNCTION("GOOGLETRANSLATE(B24,""zh-tw"",""ru"")"),"Звездная ночь/Счастливый кот/Карты Таро")</f>
        <v>Звездная ночь/Счастливый кот/Карты Таро</v>
      </c>
      <c r="U24" s="309" t="str">
        <f>IFERROR(__xludf.DUMMYFUNCTION("GOOGLETRANSLATE(C24,""zh-tw"",""ru"")"),"-")</f>
        <v>-</v>
      </c>
      <c r="V24" s="126" t="s">
        <v>3963</v>
      </c>
      <c r="W24" s="310" t="s">
        <v>3964</v>
      </c>
      <c r="X24" s="312" t="s">
        <v>3714</v>
      </c>
      <c r="Y24" s="94" t="s">
        <v>3965</v>
      </c>
      <c r="Z24" s="123" t="s">
        <v>3966</v>
      </c>
      <c r="AA24" s="313" t="s">
        <v>723</v>
      </c>
      <c r="AB24" s="17"/>
      <c r="AC24" s="17"/>
      <c r="AD24" s="17"/>
      <c r="AE24" s="17"/>
    </row>
    <row r="25">
      <c r="A25" s="100" t="s">
        <v>3967</v>
      </c>
      <c r="B25" s="117" t="s">
        <v>3968</v>
      </c>
      <c r="C25" s="306" t="s">
        <v>723</v>
      </c>
      <c r="D25" s="307" t="str">
        <f>IFERROR(__xludf.DUMMYFUNCTION("GOOGLETRANSLATE(A25,""zh-tw"",""ja"")"),"怨霊")</f>
        <v>怨霊</v>
      </c>
      <c r="E25" s="308" t="str">
        <f>IFERROR(__xludf.DUMMYFUNCTION("GOOGLETRANSLATE(B25,""zh-tw"",""ja"")"),"堕落した魔術師の手袋／タロットカード")</f>
        <v>堕落した魔術師の手袋／タロットカード</v>
      </c>
      <c r="F25" s="309" t="str">
        <f>IFERROR(__xludf.DUMMYFUNCTION("GOOGLETRANSLATE(C25,""zh-tw"",""ja"")"),"-")</f>
        <v>-</v>
      </c>
      <c r="G25" s="126" t="s">
        <v>3969</v>
      </c>
      <c r="H25" s="310" t="s">
        <v>3970</v>
      </c>
      <c r="I25" s="309" t="str">
        <f>IFERROR(__xludf.DUMMYFUNCTION("GOOGLETRANSLATE(C25,""zh-tw"",""en"")"),"-")</f>
        <v>-</v>
      </c>
      <c r="J25" s="307" t="str">
        <f>IFERROR(__xludf.DUMMYFUNCTION("GOOGLETRANSLATE(A25,""zh-tw"",""zh"")"),"怨灵")</f>
        <v>怨灵</v>
      </c>
      <c r="K25" s="308" t="str">
        <f>IFERROR(__xludf.DUMMYFUNCTION("GOOGLETRANSLATE(B25,""zh-tw"",""zh"")"),"堕落法师的手套/塔罗牌")</f>
        <v>堕落法师的手套/塔罗牌</v>
      </c>
      <c r="L25" s="309"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1" t="str">
        <f>IFERROR(__xludf.DUMMYFUNCTION("GOOGLETRANSLATE(C25,""zh-tw"",""es-MX"")"),"-")</f>
        <v>-</v>
      </c>
      <c r="P25" s="100" t="s">
        <v>3971</v>
      </c>
      <c r="Q25" s="121" t="str">
        <f>IFERROR(__xludf.DUMMYFUNCTION("GOOGLETRANSLATE(B25,""zh-tw"",""KO"")"),"타락한 마법사의 장갑/타로 카드")</f>
        <v>타락한 마법사의 장갑/타로 카드</v>
      </c>
      <c r="R25" s="311" t="str">
        <f>IFERROR(__xludf.DUMMYFUNCTION("GOOGLETRANSLATE(C25,""zh-tw"",""KO"")"),"-")</f>
        <v>-</v>
      </c>
      <c r="S25" s="307" t="str">
        <f>IFERROR(__xludf.DUMMYFUNCTION("GOOGLETRANSLATE(A25,""zh-tw"",""ru"")"),"мстительный дух")</f>
        <v>мстительный дух</v>
      </c>
      <c r="T25" s="308" t="str">
        <f>IFERROR(__xludf.DUMMYFUNCTION("GOOGLETRANSLATE(B25,""zh-tw"",""ru"")"),"Перчатки падшего мага/Карты Таро")</f>
        <v>Перчатки падшего мага/Карты Таро</v>
      </c>
      <c r="U25" s="309" t="str">
        <f>IFERROR(__xludf.DUMMYFUNCTION("GOOGLETRANSLATE(C25,""zh-tw"",""ru"")"),"-")</f>
        <v>-</v>
      </c>
      <c r="V25" s="126" t="s">
        <v>3972</v>
      </c>
      <c r="W25" s="310" t="s">
        <v>3973</v>
      </c>
      <c r="X25" s="312" t="s">
        <v>3714</v>
      </c>
      <c r="Y25" s="94" t="s">
        <v>3974</v>
      </c>
      <c r="Z25" s="123" t="s">
        <v>3975</v>
      </c>
      <c r="AA25" s="314" t="s">
        <v>723</v>
      </c>
      <c r="AB25" s="17"/>
      <c r="AC25" s="17"/>
      <c r="AD25" s="17"/>
      <c r="AE25" s="17"/>
    </row>
    <row r="26">
      <c r="A26" s="100" t="s">
        <v>3976</v>
      </c>
      <c r="B26" s="117" t="s">
        <v>3977</v>
      </c>
      <c r="C26" s="306" t="s">
        <v>723</v>
      </c>
      <c r="D26" s="307" t="str">
        <f>IFERROR(__xludf.DUMMYFUNCTION("GOOGLETRANSLATE(A26,""zh-tw"",""ja"")"),"ゾンビ")</f>
        <v>ゾンビ</v>
      </c>
      <c r="E26" s="308" t="str">
        <f>IFERROR(__xludf.DUMMYFUNCTION("GOOGLETRANSLATE(B26,""zh-tw"",""ja"")"),"ゴミ／臭い魚の骨／蛇の抱擁")</f>
        <v>ゴミ／臭い魚の骨／蛇の抱擁</v>
      </c>
      <c r="F26" s="309" t="str">
        <f>IFERROR(__xludf.DUMMYFUNCTION("GOOGLETRANSLATE(C26,""zh-tw"",""ja"")"),"-")</f>
        <v>-</v>
      </c>
      <c r="G26" s="126" t="s">
        <v>3978</v>
      </c>
      <c r="H26" s="310" t="s">
        <v>3979</v>
      </c>
      <c r="I26" s="309" t="str">
        <f>IFERROR(__xludf.DUMMYFUNCTION("GOOGLETRANSLATE(C26,""zh-tw"",""en"")"),"-")</f>
        <v>-</v>
      </c>
      <c r="J26" s="307" t="str">
        <f>IFERROR(__xludf.DUMMYFUNCTION("GOOGLETRANSLATE(A26,""zh-tw"",""zh"")"),"丧尸")</f>
        <v>丧尸</v>
      </c>
      <c r="K26" s="308" t="str">
        <f>IFERROR(__xludf.DUMMYFUNCTION("GOOGLETRANSLATE(B26,""zh-tw"",""zh"")"),"垃圾/臭鱼骨/毒蛇之拥")</f>
        <v>垃圾/臭鱼骨/毒蛇之拥</v>
      </c>
      <c r="L26" s="309"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1" t="str">
        <f>IFERROR(__xludf.DUMMYFUNCTION("GOOGLETRANSLATE(C26,""zh-tw"",""es-MX"")"),"-")</f>
        <v>-</v>
      </c>
      <c r="P26" s="88" t="str">
        <f>IFERROR(__xludf.DUMMYFUNCTION("GOOGLETRANSLATE(A26,""zh-tw"",""KO"")"),"좀비들")</f>
        <v>좀비들</v>
      </c>
      <c r="Q26" s="117" t="s">
        <v>3980</v>
      </c>
      <c r="R26" s="311" t="str">
        <f>IFERROR(__xludf.DUMMYFUNCTION("GOOGLETRANSLATE(C26,""zh-tw"",""KO"")"),"-")</f>
        <v>-</v>
      </c>
      <c r="S26" s="307" t="str">
        <f>IFERROR(__xludf.DUMMYFUNCTION("GOOGLETRANSLATE(A26,""zh-tw"",""ru"")"),"зомби")</f>
        <v>зомби</v>
      </c>
      <c r="T26" s="308" t="str">
        <f>IFERROR(__xludf.DUMMYFUNCTION("GOOGLETRANSLATE(B26,""zh-tw"",""ru"")"),"Мусор/Вонючие рыбьи кости/Объятия змеи")</f>
        <v>Мусор/Вонючие рыбьи кости/Объятия змеи</v>
      </c>
      <c r="U26" s="309" t="str">
        <f>IFERROR(__xludf.DUMMYFUNCTION("GOOGLETRANSLATE(C26,""zh-tw"",""ru"")"),"-")</f>
        <v>-</v>
      </c>
      <c r="V26" s="126" t="s">
        <v>3981</v>
      </c>
      <c r="W26" s="310" t="s">
        <v>3982</v>
      </c>
      <c r="X26" s="312" t="s">
        <v>3714</v>
      </c>
      <c r="Y26" s="94" t="s">
        <v>3978</v>
      </c>
      <c r="Z26" s="123" t="s">
        <v>3983</v>
      </c>
      <c r="AA26" s="313" t="s">
        <v>723</v>
      </c>
      <c r="AB26" s="17"/>
      <c r="AC26" s="17"/>
      <c r="AD26" s="17"/>
      <c r="AE26" s="17"/>
    </row>
    <row r="27">
      <c r="A27" s="100" t="s">
        <v>3984</v>
      </c>
      <c r="B27" s="117" t="s">
        <v>3985</v>
      </c>
      <c r="C27" s="306" t="s">
        <v>723</v>
      </c>
      <c r="D27" s="126" t="s">
        <v>3986</v>
      </c>
      <c r="E27" s="310" t="s">
        <v>3987</v>
      </c>
      <c r="F27" s="309" t="str">
        <f>IFERROR(__xludf.DUMMYFUNCTION("GOOGLETRANSLATE(C27,""zh-tw"",""ja"")"),"-")</f>
        <v>-</v>
      </c>
      <c r="G27" s="307" t="str">
        <f>IFERROR(__xludf.DUMMYFUNCTION("GOOGLETRANSLATE(A27,""zh-tw"",""en"")"),"Maid Rabbit")</f>
        <v>Maid Rabbit</v>
      </c>
      <c r="H27" s="310" t="s">
        <v>3988</v>
      </c>
      <c r="I27" s="309" t="str">
        <f>IFERROR(__xludf.DUMMYFUNCTION("GOOGLETRANSLATE(C27,""zh-tw"",""en"")"),"-")</f>
        <v>-</v>
      </c>
      <c r="J27" s="307" t="str">
        <f>IFERROR(__xludf.DUMMYFUNCTION("GOOGLETRANSLATE(A27,""zh-tw"",""zh"")"),"女仆兔")</f>
        <v>女仆兔</v>
      </c>
      <c r="K27" s="308" t="str">
        <f>IFERROR(__xludf.DUMMYFUNCTION("GOOGLETRANSLATE(B27,""zh-tw"",""zh"")"),"萌萌兔耳/女仆制服/高额金币")</f>
        <v>萌萌兔耳/女仆制服/高额金币</v>
      </c>
      <c r="L27" s="309"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1" t="str">
        <f>IFERROR(__xludf.DUMMYFUNCTION("GOOGLETRANSLATE(C27,""zh-tw"",""es-MX"")"),"-")</f>
        <v>-</v>
      </c>
      <c r="P27" s="88" t="str">
        <f>IFERROR(__xludf.DUMMYFUNCTION("GOOGLETRANSLATE(A27,""zh-tw"",""KO"")"),"메이드 래빗")</f>
        <v>메이드 래빗</v>
      </c>
      <c r="Q27" s="117" t="s">
        <v>3989</v>
      </c>
      <c r="R27" s="311" t="str">
        <f>IFERROR(__xludf.DUMMYFUNCTION("GOOGLETRANSLATE(C27,""zh-tw"",""KO"")"),"-")</f>
        <v>-</v>
      </c>
      <c r="S27" s="307" t="str">
        <f>IFERROR(__xludf.DUMMYFUNCTION("GOOGLETRANSLATE(A27,""zh-tw"",""ru"")"),"Кролик-девушка")</f>
        <v>Кролик-девушка</v>
      </c>
      <c r="T27" s="308" t="str">
        <f>IFERROR(__xludf.DUMMYFUNCTION("GOOGLETRANSLATE(B27,""zh-tw"",""ru"")"),"Милые ушки кролика/униформа горничной/золотые монеты")</f>
        <v>Милые ушки кролика/униформа горничной/золотые монеты</v>
      </c>
      <c r="U27" s="309" t="str">
        <f>IFERROR(__xludf.DUMMYFUNCTION("GOOGLETRANSLATE(C27,""zh-tw"",""ru"")"),"-")</f>
        <v>-</v>
      </c>
      <c r="V27" s="126" t="s">
        <v>3990</v>
      </c>
      <c r="W27" s="310" t="s">
        <v>3991</v>
      </c>
      <c r="X27" s="312" t="s">
        <v>3992</v>
      </c>
      <c r="Y27" s="94" t="s">
        <v>3993</v>
      </c>
      <c r="Z27" s="123" t="s">
        <v>3994</v>
      </c>
      <c r="AA27" s="313" t="s">
        <v>723</v>
      </c>
      <c r="AB27" s="17"/>
      <c r="AC27" s="17"/>
      <c r="AD27" s="17"/>
      <c r="AE27" s="17"/>
    </row>
    <row r="28">
      <c r="A28" s="100" t="s">
        <v>3995</v>
      </c>
      <c r="B28" s="117" t="s">
        <v>3996</v>
      </c>
      <c r="C28" s="306" t="s">
        <v>723</v>
      </c>
      <c r="D28" s="307" t="str">
        <f>IFERROR(__xludf.DUMMYFUNCTION("GOOGLETRANSLATE(A28,""zh-tw"",""ja"")"),"果樹")</f>
        <v>果樹</v>
      </c>
      <c r="E28" s="308" t="str">
        <f>IFERROR(__xludf.DUMMYFUNCTION("GOOGLETRANSLATE(B28,""zh-tw"",""ja"")"),"リンゴ/堅木の棒/堅木の剣/ランセット/古代の木の残骸")</f>
        <v>リンゴ/堅木の棒/堅木の剣/ランセット/古代の木の残骸</v>
      </c>
      <c r="F28" s="309" t="str">
        <f>IFERROR(__xludf.DUMMYFUNCTION("GOOGLETRANSLATE(C28,""zh-tw"",""ja"")"),"-")</f>
        <v>-</v>
      </c>
      <c r="G28" s="126" t="s">
        <v>3997</v>
      </c>
      <c r="H28" s="310" t="s">
        <v>3998</v>
      </c>
      <c r="I28" s="309" t="str">
        <f>IFERROR(__xludf.DUMMYFUNCTION("GOOGLETRANSLATE(C28,""zh-tw"",""en"")"),"-")</f>
        <v>-</v>
      </c>
      <c r="J28" s="307" t="str">
        <f>IFERROR(__xludf.DUMMYFUNCTION("GOOGLETRANSLATE(A28,""zh-tw"",""zh"")"),"果树")</f>
        <v>果树</v>
      </c>
      <c r="K28" s="308" t="str">
        <f>IFERROR(__xludf.DUMMYFUNCTION("GOOGLETRANSLATE(B28,""zh-tw"",""zh"")"),"苹果/硬木棒/硬木剑/柳叶刀/古树残骸")</f>
        <v>苹果/硬木棒/硬木剑/柳叶刀/古树残骸</v>
      </c>
      <c r="L28" s="309"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1" t="str">
        <f>IFERROR(__xludf.DUMMYFUNCTION("GOOGLETRANSLATE(C28,""zh-tw"",""es-MX"")"),"-")</f>
        <v>-</v>
      </c>
      <c r="P28" s="100" t="s">
        <v>3999</v>
      </c>
      <c r="Q28" s="117" t="s">
        <v>4000</v>
      </c>
      <c r="R28" s="311" t="str">
        <f>IFERROR(__xludf.DUMMYFUNCTION("GOOGLETRANSLATE(C28,""zh-tw"",""KO"")"),"-")</f>
        <v>-</v>
      </c>
      <c r="S28" s="307" t="str">
        <f>IFERROR(__xludf.DUMMYFUNCTION("GOOGLETRANSLATE(A28,""zh-tw"",""ru"")"),"фруктовые деревья")</f>
        <v>фруктовые деревья</v>
      </c>
      <c r="T28" s="308"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9" t="str">
        <f>IFERROR(__xludf.DUMMYFUNCTION("GOOGLETRANSLATE(C28,""zh-tw"",""ru"")"),"-")</f>
        <v>-</v>
      </c>
      <c r="V28" s="126" t="s">
        <v>4001</v>
      </c>
      <c r="W28" s="310" t="s">
        <v>4002</v>
      </c>
      <c r="X28" s="312" t="s">
        <v>4003</v>
      </c>
      <c r="Y28" s="94" t="s">
        <v>4004</v>
      </c>
      <c r="Z28" s="123" t="s">
        <v>4005</v>
      </c>
      <c r="AA28" s="313" t="s">
        <v>723</v>
      </c>
      <c r="AB28" s="17"/>
      <c r="AC28" s="17"/>
      <c r="AD28" s="17"/>
      <c r="AE28" s="17"/>
    </row>
    <row r="29">
      <c r="A29" s="100" t="s">
        <v>4006</v>
      </c>
      <c r="B29" s="117" t="s">
        <v>4007</v>
      </c>
      <c r="C29" s="306" t="s">
        <v>723</v>
      </c>
      <c r="D29" s="307" t="str">
        <f>IFERROR(__xludf.DUMMYFUNCTION("GOOGLETRANSLATE(A29,""zh-tw"",""ja"")"),"鉱石")</f>
        <v>鉱石</v>
      </c>
      <c r="E29" s="308"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9" t="str">
        <f>IFERROR(__xludf.DUMMYFUNCTION("GOOGLETRANSLATE(C29,""zh-tw"",""ja"")"),"-")</f>
        <v>-</v>
      </c>
      <c r="G29" s="126" t="s">
        <v>4008</v>
      </c>
      <c r="H29" s="310" t="s">
        <v>4009</v>
      </c>
      <c r="I29" s="309" t="str">
        <f>IFERROR(__xludf.DUMMYFUNCTION("GOOGLETRANSLATE(C29,""zh-tw"",""en"")"),"-")</f>
        <v>-</v>
      </c>
      <c r="J29" s="307" t="str">
        <f>IFERROR(__xludf.DUMMYFUNCTION("GOOGLETRANSLATE(A29,""zh-tw"",""zh"")"),"矿石")</f>
        <v>矿石</v>
      </c>
      <c r="K29" s="308" t="str">
        <f>IFERROR(__xludf.DUMMYFUNCTION("GOOGLETRANSLATE(B29,""zh-tw"",""zh"")"),"苹果头套/蓝辉石/魔力小凝胶/深邃魔力晶簇")</f>
        <v>苹果头套/蓝辉石/魔力小凝胶/深邃魔力晶簇</v>
      </c>
      <c r="L29" s="309"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1" t="str">
        <f>IFERROR(__xludf.DUMMYFUNCTION("GOOGLETRANSLATE(C29,""zh-tw"",""es-MX"")"),"-")</f>
        <v>-</v>
      </c>
      <c r="P29" s="88" t="str">
        <f>IFERROR(__xludf.DUMMYFUNCTION("GOOGLETRANSLATE(A29,""zh-tw"",""KO"")"),"광석")</f>
        <v>광석</v>
      </c>
      <c r="Q29" s="117" t="s">
        <v>4010</v>
      </c>
      <c r="R29" s="311" t="str">
        <f>IFERROR(__xludf.DUMMYFUNCTION("GOOGLETRANSLATE(C29,""zh-tw"",""KO"")"),"-")</f>
        <v>-</v>
      </c>
      <c r="S29" s="307" t="str">
        <f>IFERROR(__xludf.DUMMYFUNCTION("GOOGLETRANSLATE(A29,""zh-tw"",""ru"")"),"руда")</f>
        <v>руда</v>
      </c>
      <c r="T29" s="308"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9" t="str">
        <f>IFERROR(__xludf.DUMMYFUNCTION("GOOGLETRANSLATE(C29,""zh-tw"",""ru"")"),"-")</f>
        <v>-</v>
      </c>
      <c r="V29" s="126" t="s">
        <v>4011</v>
      </c>
      <c r="W29" s="310" t="s">
        <v>4012</v>
      </c>
      <c r="X29" s="312" t="s">
        <v>4013</v>
      </c>
      <c r="Y29" s="94" t="s">
        <v>4014</v>
      </c>
      <c r="Z29" s="123" t="s">
        <v>4015</v>
      </c>
      <c r="AA29" s="313" t="s">
        <v>723</v>
      </c>
      <c r="AB29" s="17"/>
      <c r="AC29" s="17"/>
      <c r="AD29" s="17"/>
      <c r="AE29" s="17"/>
    </row>
    <row r="30">
      <c r="A30" s="100" t="s">
        <v>4016</v>
      </c>
      <c r="B30" s="117" t="s">
        <v>4017</v>
      </c>
      <c r="C30" s="306" t="s">
        <v>723</v>
      </c>
      <c r="D30" s="307" t="str">
        <f>IFERROR(__xludf.DUMMYFUNCTION("GOOGLETRANSLATE(A30,""zh-tw"",""ja"")"),"鉱石スライム")</f>
        <v>鉱石スライム</v>
      </c>
      <c r="E30" s="308" t="str">
        <f>IFERROR(__xludf.DUMMYFUNCTION("GOOGLETRANSLATE(B30,""zh-tw"",""ja"")"),"深淵の魔水晶群/スライムのスライム/万能アイテム")</f>
        <v>深淵の魔水晶群/スライムのスライム/万能アイテム</v>
      </c>
      <c r="F30" s="309" t="str">
        <f>IFERROR(__xludf.DUMMYFUNCTION("GOOGLETRANSLATE(C30,""zh-tw"",""ja"")"),"-")</f>
        <v>-</v>
      </c>
      <c r="G30" s="126" t="s">
        <v>4018</v>
      </c>
      <c r="H30" s="310" t="s">
        <v>4019</v>
      </c>
      <c r="I30" s="309" t="str">
        <f>IFERROR(__xludf.DUMMYFUNCTION("GOOGLETRANSLATE(C30,""zh-tw"",""en"")"),"-")</f>
        <v>-</v>
      </c>
      <c r="J30" s="307" t="str">
        <f>IFERROR(__xludf.DUMMYFUNCTION("GOOGLETRANSLATE(A30,""zh-tw"",""zh"")"),"矿石史莱姆")</f>
        <v>矿石史莱姆</v>
      </c>
      <c r="K30" s="308" t="str">
        <f>IFERROR(__xludf.DUMMYFUNCTION("GOOGLETRANSLATE(B30,""zh-tw"",""zh"")"),"深邃魔力晶簇/史莱姆的黏液/通用型道具")</f>
        <v>深邃魔力晶簇/史莱姆的黏液/通用型道具</v>
      </c>
      <c r="L30" s="309"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1" t="str">
        <f>IFERROR(__xludf.DUMMYFUNCTION("GOOGLETRANSLATE(C30,""zh-tw"",""es-MX"")"),"-")</f>
        <v>-</v>
      </c>
      <c r="P30" s="88" t="str">
        <f>IFERROR(__xludf.DUMMYFUNCTION("GOOGLETRANSLATE(A30,""zh-tw"",""KO"")"),"광석 슬라임")</f>
        <v>광석 슬라임</v>
      </c>
      <c r="Q30" s="117" t="s">
        <v>4020</v>
      </c>
      <c r="R30" s="311" t="str">
        <f>IFERROR(__xludf.DUMMYFUNCTION("GOOGLETRANSLATE(C30,""zh-tw"",""KO"")"),"-")</f>
        <v>-</v>
      </c>
      <c r="S30" s="307" t="str">
        <f>IFERROR(__xludf.DUMMYFUNCTION("GOOGLETRANSLATE(A30,""zh-tw"",""ru"")"),"Рудный слайм")</f>
        <v>Рудный слайм</v>
      </c>
      <c r="T30" s="308"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9" t="str">
        <f>IFERROR(__xludf.DUMMYFUNCTION("GOOGLETRANSLATE(C30,""zh-tw"",""ru"")"),"-")</f>
        <v>-</v>
      </c>
      <c r="V30" s="126" t="s">
        <v>4021</v>
      </c>
      <c r="W30" s="310" t="s">
        <v>4022</v>
      </c>
      <c r="X30" s="312" t="s">
        <v>3714</v>
      </c>
      <c r="Y30" s="94" t="s">
        <v>4023</v>
      </c>
      <c r="Z30" s="123" t="s">
        <v>4024</v>
      </c>
      <c r="AA30" s="313" t="s">
        <v>723</v>
      </c>
      <c r="AB30" s="17"/>
      <c r="AC30" s="17"/>
      <c r="AD30" s="17"/>
      <c r="AE30" s="17"/>
    </row>
    <row r="31">
      <c r="A31" s="100" t="s">
        <v>4025</v>
      </c>
      <c r="B31" s="117" t="s">
        <v>4026</v>
      </c>
      <c r="C31" s="306" t="s">
        <v>4027</v>
      </c>
      <c r="D31" s="307" t="str">
        <f>IFERROR(__xludf.DUMMYFUNCTION("GOOGLETRANSLATE(A31,""zh-tw"",""ja"")"),"狂乱の赤い獣")</f>
        <v>狂乱の赤い獣</v>
      </c>
      <c r="E31" s="310" t="s">
        <v>4028</v>
      </c>
      <c r="F31" s="312" t="s">
        <v>4029</v>
      </c>
      <c r="G31" s="126" t="s">
        <v>4030</v>
      </c>
      <c r="H31" s="310" t="s">
        <v>4031</v>
      </c>
      <c r="I31" s="312" t="s">
        <v>4032</v>
      </c>
      <c r="J31" s="307" t="str">
        <f>IFERROR(__xludf.DUMMYFUNCTION("GOOGLETRANSLATE(A31,""zh-tw"",""zh"")"),"狂乱的红兽")</f>
        <v>狂乱的红兽</v>
      </c>
      <c r="K31" s="308" t="str">
        <f>IFERROR(__xludf.DUMMYFUNCTION("GOOGLETRANSLATE(B31,""zh-tw"",""zh"")"),"寄坏剑/不幸的诞生/天上之石碎片")</f>
        <v>寄坏剑/不幸的诞生/天上之石碎片</v>
      </c>
      <c r="L31" s="309"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1" t="str">
        <f>IFERROR(__xludf.DUMMYFUNCTION("GOOGLETRANSLATE(C31,""zh-tw"",""es-MX"")"),"Debilidad del jefe de Ruinas: Veneno")</f>
        <v>Debilidad del jefe de Ruinas: Veneno</v>
      </c>
      <c r="P31" s="88" t="str">
        <f>IFERROR(__xludf.DUMMYFUNCTION("GOOGLETRANSLATE(A31,""zh-tw"",""KO"")"),"광란의 붉은 짐승")</f>
        <v>광란의 붉은 짐승</v>
      </c>
      <c r="Q31" s="117" t="s">
        <v>4033</v>
      </c>
      <c r="R31" s="306" t="s">
        <v>4034</v>
      </c>
      <c r="S31" s="307" t="str">
        <f>IFERROR(__xludf.DUMMYFUNCTION("GOOGLETRANSLATE(A31,""zh-tw"",""ru"")"),"Бешеный Красный Зверь")</f>
        <v>Бешеный Красный Зверь</v>
      </c>
      <c r="T31" s="308"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9" t="str">
        <f>IFERROR(__xludf.DUMMYFUNCTION("GOOGLETRANSLATE(C31,""zh-tw"",""ru"")"),"Слабость босса руин: яд")</f>
        <v>Слабость босса руин: яд</v>
      </c>
      <c r="V31" s="126" t="s">
        <v>4035</v>
      </c>
      <c r="W31" s="310" t="s">
        <v>4036</v>
      </c>
      <c r="X31" s="312" t="s">
        <v>4037</v>
      </c>
      <c r="Y31" s="94" t="s">
        <v>4038</v>
      </c>
      <c r="Z31" s="123" t="s">
        <v>4039</v>
      </c>
      <c r="AA31" s="313" t="s">
        <v>4040</v>
      </c>
      <c r="AB31" s="17"/>
      <c r="AC31" s="17"/>
      <c r="AD31" s="17"/>
      <c r="AE31" s="17"/>
    </row>
    <row r="32">
      <c r="A32" s="100" t="s">
        <v>4041</v>
      </c>
      <c r="B32" s="117" t="s">
        <v>4042</v>
      </c>
      <c r="C32" s="306" t="s">
        <v>723</v>
      </c>
      <c r="D32" s="307" t="str">
        <f>IFERROR(__xludf.DUMMYFUNCTION("GOOGLETRANSLATE(A32,""zh-tw"",""ja"")"),"イチゴの苗")</f>
        <v>イチゴの苗</v>
      </c>
      <c r="E32" s="308" t="str">
        <f>IFERROR(__xludf.DUMMYFUNCTION("GOOGLETRANSLATE(B32,""zh-tw"",""ja"")"),"いちご")</f>
        <v>いちご</v>
      </c>
      <c r="F32" s="309" t="str">
        <f>IFERROR(__xludf.DUMMYFUNCTION("GOOGLETRANSLATE(C32,""zh-tw"",""ja"")"),"-")</f>
        <v>-</v>
      </c>
      <c r="G32" s="126" t="s">
        <v>4043</v>
      </c>
      <c r="H32" s="310" t="s">
        <v>4044</v>
      </c>
      <c r="I32" s="309" t="str">
        <f>IFERROR(__xludf.DUMMYFUNCTION("GOOGLETRANSLATE(C32,""zh-tw"",""en"")"),"-")</f>
        <v>-</v>
      </c>
      <c r="J32" s="307" t="str">
        <f>IFERROR(__xludf.DUMMYFUNCTION("GOOGLETRANSLATE(A32,""zh-tw"",""zh"")"),"草莓苗")</f>
        <v>草莓苗</v>
      </c>
      <c r="K32" s="308" t="str">
        <f>IFERROR(__xludf.DUMMYFUNCTION("GOOGLETRANSLATE(B32,""zh-tw"",""zh"")"),"草莓")</f>
        <v>草莓</v>
      </c>
      <c r="L32" s="309" t="str">
        <f>IFERROR(__xludf.DUMMYFUNCTION("GOOGLETRANSLATE(C32,""zh-tw"",""zh"")"),"-")</f>
        <v>-</v>
      </c>
      <c r="M32" s="88" t="str">
        <f>IFERROR(__xludf.DUMMYFUNCTION("GOOGLETRANSLATE(A32,""zh-tw"",""es-MX"")"),"Plántulas de fresa")</f>
        <v>Plántulas de fresa</v>
      </c>
      <c r="N32" s="121" t="str">
        <f>IFERROR(__xludf.DUMMYFUNCTION("GOOGLETRANSLATE(B32,""zh-tw"",""es-MX"")"),"fresa")</f>
        <v>fresa</v>
      </c>
      <c r="O32" s="311" t="str">
        <f>IFERROR(__xludf.DUMMYFUNCTION("GOOGLETRANSLATE(C32,""zh-tw"",""es-MX"")"),"-")</f>
        <v>-</v>
      </c>
      <c r="P32" s="100" t="s">
        <v>4045</v>
      </c>
      <c r="Q32" s="121" t="str">
        <f>IFERROR(__xludf.DUMMYFUNCTION("GOOGLETRANSLATE(B32,""zh-tw"",""KO"")"),"딸기")</f>
        <v>딸기</v>
      </c>
      <c r="R32" s="311" t="str">
        <f>IFERROR(__xludf.DUMMYFUNCTION("GOOGLETRANSLATE(C32,""zh-tw"",""KO"")"),"-")</f>
        <v>-</v>
      </c>
      <c r="S32" s="307" t="str">
        <f>IFERROR(__xludf.DUMMYFUNCTION("GOOGLETRANSLATE(A32,""zh-tw"",""ru"")"),"Рассада клубники")</f>
        <v>Рассада клубники</v>
      </c>
      <c r="T32" s="308" t="str">
        <f>IFERROR(__xludf.DUMMYFUNCTION("GOOGLETRANSLATE(B32,""zh-tw"",""ru"")"),"клубника")</f>
        <v>клубника</v>
      </c>
      <c r="U32" s="309" t="str">
        <f>IFERROR(__xludf.DUMMYFUNCTION("GOOGLETRANSLATE(C32,""zh-tw"",""ru"")"),"-")</f>
        <v>-</v>
      </c>
      <c r="V32" s="126" t="s">
        <v>4046</v>
      </c>
      <c r="W32" s="310" t="s">
        <v>4047</v>
      </c>
      <c r="X32" s="312" t="s">
        <v>4048</v>
      </c>
      <c r="Y32" s="94" t="s">
        <v>4049</v>
      </c>
      <c r="Z32" s="123" t="s">
        <v>4050</v>
      </c>
      <c r="AA32" s="313" t="s">
        <v>723</v>
      </c>
      <c r="AB32" s="17"/>
      <c r="AC32" s="17"/>
      <c r="AD32" s="17"/>
      <c r="AE32" s="17"/>
    </row>
    <row r="33">
      <c r="A33" s="100" t="s">
        <v>4051</v>
      </c>
      <c r="B33" s="117" t="s">
        <v>4052</v>
      </c>
      <c r="C33" s="306" t="s">
        <v>723</v>
      </c>
      <c r="D33" s="307" t="str">
        <f>IFERROR(__xludf.DUMMYFUNCTION("GOOGLETRANSLATE(A33,""zh-tw"",""ja"")"),"ジャガイモの芽")</f>
        <v>ジャガイモの芽</v>
      </c>
      <c r="E33" s="308" t="str">
        <f>IFERROR(__xludf.DUMMYFUNCTION("GOOGLETRANSLATE(B33,""zh-tw"",""ja"")"),"じゃがいも")</f>
        <v>じゃがいも</v>
      </c>
      <c r="F33" s="309" t="str">
        <f>IFERROR(__xludf.DUMMYFUNCTION("GOOGLETRANSLATE(C33,""zh-tw"",""ja"")"),"-")</f>
        <v>-</v>
      </c>
      <c r="G33" s="126" t="s">
        <v>4053</v>
      </c>
      <c r="H33" s="310" t="s">
        <v>4054</v>
      </c>
      <c r="I33" s="309" t="str">
        <f>IFERROR(__xludf.DUMMYFUNCTION("GOOGLETRANSLATE(C33,""zh-tw"",""en"")"),"-")</f>
        <v>-</v>
      </c>
      <c r="J33" s="307" t="str">
        <f>IFERROR(__xludf.DUMMYFUNCTION("GOOGLETRANSLATE(A33,""zh-tw"",""zh"")"),"土豆苗")</f>
        <v>土豆苗</v>
      </c>
      <c r="K33" s="308" t="str">
        <f>IFERROR(__xludf.DUMMYFUNCTION("GOOGLETRANSLATE(B33,""zh-tw"",""zh"")"),"土豆")</f>
        <v>土豆</v>
      </c>
      <c r="L33" s="309" t="str">
        <f>IFERROR(__xludf.DUMMYFUNCTION("GOOGLETRANSLATE(C33,""zh-tw"",""zh"")"),"-")</f>
        <v>-</v>
      </c>
      <c r="M33" s="88" t="str">
        <f>IFERROR(__xludf.DUMMYFUNCTION("GOOGLETRANSLATE(A33,""zh-tw"",""es-MX"")"),"brotes de patata")</f>
        <v>brotes de patata</v>
      </c>
      <c r="N33" s="121" t="str">
        <f>IFERROR(__xludf.DUMMYFUNCTION("GOOGLETRANSLATE(B33,""zh-tw"",""es-MX"")"),"Papa")</f>
        <v>Papa</v>
      </c>
      <c r="O33" s="311" t="str">
        <f>IFERROR(__xludf.DUMMYFUNCTION("GOOGLETRANSLATE(C33,""zh-tw"",""es-MX"")"),"-")</f>
        <v>-</v>
      </c>
      <c r="P33" s="100" t="s">
        <v>4055</v>
      </c>
      <c r="Q33" s="121" t="str">
        <f>IFERROR(__xludf.DUMMYFUNCTION("GOOGLETRANSLATE(B33,""zh-tw"",""KO"")"),"감자")</f>
        <v>감자</v>
      </c>
      <c r="R33" s="311" t="str">
        <f>IFERROR(__xludf.DUMMYFUNCTION("GOOGLETRANSLATE(C33,""zh-tw"",""KO"")"),"-")</f>
        <v>-</v>
      </c>
      <c r="S33" s="307" t="str">
        <f>IFERROR(__xludf.DUMMYFUNCTION("GOOGLETRANSLATE(A33,""zh-tw"",""ru"")"),"ростки картофеля")</f>
        <v>ростки картофеля</v>
      </c>
      <c r="T33" s="308" t="str">
        <f>IFERROR(__xludf.DUMMYFUNCTION("GOOGLETRANSLATE(B33,""zh-tw"",""ru"")"),"Картофель")</f>
        <v>Картофель</v>
      </c>
      <c r="U33" s="309" t="str">
        <f>IFERROR(__xludf.DUMMYFUNCTION("GOOGLETRANSLATE(C33,""zh-tw"",""ru"")"),"-")</f>
        <v>-</v>
      </c>
      <c r="V33" s="126" t="s">
        <v>4056</v>
      </c>
      <c r="W33" s="310" t="s">
        <v>4057</v>
      </c>
      <c r="X33" s="312" t="s">
        <v>4048</v>
      </c>
      <c r="Y33" s="94" t="s">
        <v>4058</v>
      </c>
      <c r="Z33" s="123" t="s">
        <v>4059</v>
      </c>
      <c r="AA33" s="313" t="s">
        <v>723</v>
      </c>
      <c r="AB33" s="17"/>
      <c r="AC33" s="17"/>
      <c r="AD33" s="17"/>
      <c r="AE33" s="17"/>
    </row>
    <row r="34">
      <c r="A34" s="100" t="s">
        <v>4060</v>
      </c>
      <c r="B34" s="117" t="s">
        <v>4061</v>
      </c>
      <c r="C34" s="306" t="s">
        <v>723</v>
      </c>
      <c r="D34" s="307" t="str">
        <f>IFERROR(__xludf.DUMMYFUNCTION("GOOGLETRANSLATE(A34,""zh-tw"",""ja"")"),"トマトの苗")</f>
        <v>トマトの苗</v>
      </c>
      <c r="E34" s="308" t="str">
        <f>IFERROR(__xludf.DUMMYFUNCTION("GOOGLETRANSLATE(B34,""zh-tw"",""ja"")"),"トマト")</f>
        <v>トマト</v>
      </c>
      <c r="F34" s="309" t="str">
        <f>IFERROR(__xludf.DUMMYFUNCTION("GOOGLETRANSLATE(C34,""zh-tw"",""ja"")"),"-")</f>
        <v>-</v>
      </c>
      <c r="G34" s="126" t="s">
        <v>4062</v>
      </c>
      <c r="H34" s="310" t="s">
        <v>4063</v>
      </c>
      <c r="I34" s="309" t="str">
        <f>IFERROR(__xludf.DUMMYFUNCTION("GOOGLETRANSLATE(C34,""zh-tw"",""en"")"),"-")</f>
        <v>-</v>
      </c>
      <c r="J34" s="307" t="str">
        <f>IFERROR(__xludf.DUMMYFUNCTION("GOOGLETRANSLATE(A34,""zh-tw"",""zh"")"),"番茄苗")</f>
        <v>番茄苗</v>
      </c>
      <c r="K34" s="308" t="str">
        <f>IFERROR(__xludf.DUMMYFUNCTION("GOOGLETRANSLATE(B34,""zh-tw"",""zh"")"),"番茄")</f>
        <v>番茄</v>
      </c>
      <c r="L34" s="309"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1" t="str">
        <f>IFERROR(__xludf.DUMMYFUNCTION("GOOGLETRANSLATE(C34,""zh-tw"",""es-MX"")"),"-")</f>
        <v>-</v>
      </c>
      <c r="P34" s="88" t="str">
        <f>IFERROR(__xludf.DUMMYFUNCTION("GOOGLETRANSLATE(A34,""zh-tw"",""KO"")"),"토마토 모종")</f>
        <v>토마토 모종</v>
      </c>
      <c r="Q34" s="121" t="str">
        <f>IFERROR(__xludf.DUMMYFUNCTION("GOOGLETRANSLATE(B34,""zh-tw"",""KO"")"),"토마토")</f>
        <v>토마토</v>
      </c>
      <c r="R34" s="311" t="str">
        <f>IFERROR(__xludf.DUMMYFUNCTION("GOOGLETRANSLATE(C34,""zh-tw"",""KO"")"),"-")</f>
        <v>-</v>
      </c>
      <c r="S34" s="307" t="str">
        <f>IFERROR(__xludf.DUMMYFUNCTION("GOOGLETRANSLATE(A34,""zh-tw"",""ru"")"),"Рассада томатов")</f>
        <v>Рассада томатов</v>
      </c>
      <c r="T34" s="308" t="str">
        <f>IFERROR(__xludf.DUMMYFUNCTION("GOOGLETRANSLATE(B34,""zh-tw"",""ru"")"),"помидор")</f>
        <v>помидор</v>
      </c>
      <c r="U34" s="309" t="str">
        <f>IFERROR(__xludf.DUMMYFUNCTION("GOOGLETRANSLATE(C34,""zh-tw"",""ru"")"),"-")</f>
        <v>-</v>
      </c>
      <c r="V34" s="126" t="s">
        <v>4064</v>
      </c>
      <c r="W34" s="310" t="s">
        <v>4065</v>
      </c>
      <c r="X34" s="312" t="s">
        <v>4048</v>
      </c>
      <c r="Y34" s="94" t="s">
        <v>4066</v>
      </c>
      <c r="Z34" s="123" t="s">
        <v>4067</v>
      </c>
      <c r="AA34" s="313" t="s">
        <v>723</v>
      </c>
      <c r="AB34" s="17"/>
      <c r="AC34" s="17"/>
      <c r="AD34" s="17"/>
      <c r="AE34" s="17"/>
    </row>
    <row r="35">
      <c r="A35" s="100" t="s">
        <v>4068</v>
      </c>
      <c r="B35" s="117" t="s">
        <v>4069</v>
      </c>
      <c r="C35" s="306" t="s">
        <v>723</v>
      </c>
      <c r="D35" s="307" t="str">
        <f>IFERROR(__xludf.DUMMYFUNCTION("GOOGLETRANSLATE(A35,""zh-tw"",""ja"")"),"ピーマンの苗")</f>
        <v>ピーマンの苗</v>
      </c>
      <c r="E35" s="308" t="str">
        <f>IFERROR(__xludf.DUMMYFUNCTION("GOOGLETRANSLATE(B35,""zh-tw"",""ja"")"),"チリ")</f>
        <v>チリ</v>
      </c>
      <c r="F35" s="309" t="str">
        <f>IFERROR(__xludf.DUMMYFUNCTION("GOOGLETRANSLATE(C35,""zh-tw"",""ja"")"),"-")</f>
        <v>-</v>
      </c>
      <c r="G35" s="126" t="s">
        <v>4070</v>
      </c>
      <c r="H35" s="310" t="s">
        <v>4071</v>
      </c>
      <c r="I35" s="309" t="str">
        <f>IFERROR(__xludf.DUMMYFUNCTION("GOOGLETRANSLATE(C35,""zh-tw"",""en"")"),"-")</f>
        <v>-</v>
      </c>
      <c r="J35" s="307" t="str">
        <f>IFERROR(__xludf.DUMMYFUNCTION("GOOGLETRANSLATE(A35,""zh-tw"",""zh"")"),"辣椒苗")</f>
        <v>辣椒苗</v>
      </c>
      <c r="K35" s="308" t="str">
        <f>IFERROR(__xludf.DUMMYFUNCTION("GOOGLETRANSLATE(B35,""zh-tw"",""zh"")"),"辣椒")</f>
        <v>辣椒</v>
      </c>
      <c r="L35" s="309"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1" t="str">
        <f>IFERROR(__xludf.DUMMYFUNCTION("GOOGLETRANSLATE(C35,""zh-tw"",""es-MX"")"),"-")</f>
        <v>-</v>
      </c>
      <c r="P35" s="88" t="str">
        <f>IFERROR(__xludf.DUMMYFUNCTION("GOOGLETRANSLATE(A35,""zh-tw"",""KO"")"),"고추 모종")</f>
        <v>고추 모종</v>
      </c>
      <c r="Q35" s="121" t="str">
        <f>IFERROR(__xludf.DUMMYFUNCTION("GOOGLETRANSLATE(B35,""zh-tw"",""KO"")"),"칠리")</f>
        <v>칠리</v>
      </c>
      <c r="R35" s="311" t="str">
        <f>IFERROR(__xludf.DUMMYFUNCTION("GOOGLETRANSLATE(C35,""zh-tw"",""KO"")"),"-")</f>
        <v>-</v>
      </c>
      <c r="S35" s="307" t="str">
        <f>IFERROR(__xludf.DUMMYFUNCTION("GOOGLETRANSLATE(A35,""zh-tw"",""ru"")"),"рассада перца")</f>
        <v>рассада перца</v>
      </c>
      <c r="T35" s="308" t="str">
        <f>IFERROR(__xludf.DUMMYFUNCTION("GOOGLETRANSLATE(B35,""zh-tw"",""ru"")"),"чили")</f>
        <v>чили</v>
      </c>
      <c r="U35" s="309" t="str">
        <f>IFERROR(__xludf.DUMMYFUNCTION("GOOGLETRANSLATE(C35,""zh-tw"",""ru"")"),"-")</f>
        <v>-</v>
      </c>
      <c r="V35" s="126" t="s">
        <v>4072</v>
      </c>
      <c r="W35" s="310" t="s">
        <v>4073</v>
      </c>
      <c r="X35" s="312" t="s">
        <v>4048</v>
      </c>
      <c r="Y35" s="94" t="s">
        <v>4074</v>
      </c>
      <c r="Z35" s="123" t="s">
        <v>4075</v>
      </c>
      <c r="AA35" s="313" t="s">
        <v>723</v>
      </c>
      <c r="AB35" s="17"/>
      <c r="AC35" s="17"/>
      <c r="AD35" s="17"/>
      <c r="AE35" s="17"/>
    </row>
    <row r="36">
      <c r="A36" s="100" t="s">
        <v>4076</v>
      </c>
      <c r="B36" s="117" t="s">
        <v>4077</v>
      </c>
      <c r="C36" s="306" t="s">
        <v>723</v>
      </c>
      <c r="D36" s="307" t="str">
        <f>IFERROR(__xludf.DUMMYFUNCTION("GOOGLETRANSLATE(A36,""zh-tw"",""ja"")"),"ジャッカロープ")</f>
        <v>ジャッカロープ</v>
      </c>
      <c r="E36" s="310" t="s">
        <v>4078</v>
      </c>
      <c r="F36" s="309" t="str">
        <f>IFERROR(__xludf.DUMMYFUNCTION("GOOGLETRANSLATE(C36,""zh-tw"",""ja"")"),"-")</f>
        <v>-</v>
      </c>
      <c r="G36" s="126" t="s">
        <v>4079</v>
      </c>
      <c r="H36" s="310" t="s">
        <v>4080</v>
      </c>
      <c r="I36" s="309" t="str">
        <f>IFERROR(__xludf.DUMMYFUNCTION("GOOGLETRANSLATE(C36,""zh-tw"",""en"")"),"-")</f>
        <v>-</v>
      </c>
      <c r="J36" s="307" t="str">
        <f>IFERROR(__xludf.DUMMYFUNCTION("GOOGLETRANSLATE(A36,""zh-tw"",""zh"")"),"角兔")</f>
        <v>角兔</v>
      </c>
      <c r="K36" s="308" t="str">
        <f>IFERROR(__xludf.DUMMYFUNCTION("GOOGLETRANSLATE(B36,""zh-tw"",""zh"")"),"兽肉")</f>
        <v>兽肉</v>
      </c>
      <c r="L36" s="309" t="str">
        <f>IFERROR(__xludf.DUMMYFUNCTION("GOOGLETRANSLATE(C36,""zh-tw"",""zh"")"),"-")</f>
        <v>-</v>
      </c>
      <c r="M36" s="88" t="str">
        <f>IFERROR(__xludf.DUMMYFUNCTION("GOOGLETRANSLATE(A36,""zh-tw"",""es-MX"")"),"Jackalope")</f>
        <v>Jackalope</v>
      </c>
      <c r="N36" s="121" t="str">
        <f>IFERROR(__xludf.DUMMYFUNCTION("GOOGLETRANSLATE(B36,""zh-tw"",""es-MX"")"),"carne animal")</f>
        <v>carne animal</v>
      </c>
      <c r="O36" s="311" t="str">
        <f>IFERROR(__xludf.DUMMYFUNCTION("GOOGLETRANSLATE(C36,""zh-tw"",""es-MX"")"),"-")</f>
        <v>-</v>
      </c>
      <c r="P36" s="100" t="s">
        <v>4081</v>
      </c>
      <c r="Q36" s="117" t="s">
        <v>4082</v>
      </c>
      <c r="R36" s="311" t="str">
        <f>IFERROR(__xludf.DUMMYFUNCTION("GOOGLETRANSLATE(C36,""zh-tw"",""KO"")"),"-")</f>
        <v>-</v>
      </c>
      <c r="S36" s="307" t="str">
        <f>IFERROR(__xludf.DUMMYFUNCTION("GOOGLETRANSLATE(A36,""zh-tw"",""ru"")"),"Шакалоп")</f>
        <v>Шакалоп</v>
      </c>
      <c r="T36" s="308" t="str">
        <f>IFERROR(__xludf.DUMMYFUNCTION("GOOGLETRANSLATE(B36,""zh-tw"",""ru"")"),"мясо животных")</f>
        <v>мясо животных</v>
      </c>
      <c r="U36" s="309" t="str">
        <f>IFERROR(__xludf.DUMMYFUNCTION("GOOGLETRANSLATE(C36,""zh-tw"",""ru"")"),"-")</f>
        <v>-</v>
      </c>
      <c r="V36" s="126" t="s">
        <v>4083</v>
      </c>
      <c r="W36" s="310" t="s">
        <v>4084</v>
      </c>
      <c r="X36" s="312" t="s">
        <v>3714</v>
      </c>
      <c r="Y36" s="94" t="s">
        <v>4085</v>
      </c>
      <c r="Z36" s="123" t="s">
        <v>4086</v>
      </c>
      <c r="AA36" s="313" t="s">
        <v>723</v>
      </c>
      <c r="AB36" s="17"/>
      <c r="AC36" s="17"/>
      <c r="AD36" s="17"/>
      <c r="AE36" s="17"/>
    </row>
    <row r="37">
      <c r="A37" s="100" t="s">
        <v>2540</v>
      </c>
      <c r="B37" s="117" t="s">
        <v>4087</v>
      </c>
      <c r="C37" s="306" t="s">
        <v>4088</v>
      </c>
      <c r="D37" s="307" t="str">
        <f>IFERROR(__xludf.DUMMYFUNCTION("GOOGLETRANSLATE(A37,""zh-tw"",""ja"")"),"かかし")</f>
        <v>かかし</v>
      </c>
      <c r="E37" s="310" t="s">
        <v>4089</v>
      </c>
      <c r="F37" s="312" t="s">
        <v>4090</v>
      </c>
      <c r="G37" s="126" t="s">
        <v>2546</v>
      </c>
      <c r="H37" s="310" t="s">
        <v>4091</v>
      </c>
      <c r="I37" s="312" t="s">
        <v>4092</v>
      </c>
      <c r="J37" s="307" t="str">
        <f>IFERROR(__xludf.DUMMYFUNCTION("GOOGLETRANSLATE(A37,""zh-tw"",""zh"")"),"稻草人")</f>
        <v>稻草人</v>
      </c>
      <c r="K37" s="308" t="str">
        <f>IFERROR(__xludf.DUMMYFUNCTION("GOOGLETRANSLATE(B37,""zh-tw"",""zh"")"),"稻草人的心")</f>
        <v>稻草人的心</v>
      </c>
      <c r="L37" s="309"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1" t="str">
        <f>IFERROR(__xludf.DUMMYFUNCTION("GOOGLETRANSLATE(C37,""zh-tw"",""es-MX"")"),"Pruebas de lesiones")</f>
        <v>Pruebas de lesiones</v>
      </c>
      <c r="P37" s="88" t="str">
        <f>IFERROR(__xludf.DUMMYFUNCTION("GOOGLETRANSLATE(A37,""zh-tw"",""KO"")"),"허수아비")</f>
        <v>허수아비</v>
      </c>
      <c r="Q37" s="117" t="s">
        <v>4093</v>
      </c>
      <c r="R37" s="306" t="s">
        <v>4094</v>
      </c>
      <c r="S37" s="307" t="str">
        <f>IFERROR(__xludf.DUMMYFUNCTION("GOOGLETRANSLATE(A37,""zh-tw"",""ru"")"),"пугало")</f>
        <v>пугало</v>
      </c>
      <c r="T37" s="308" t="str">
        <f>IFERROR(__xludf.DUMMYFUNCTION("GOOGLETRANSLATE(B37,""zh-tw"",""ru"")"),"Сердце Пугала")</f>
        <v>Сердце Пугала</v>
      </c>
      <c r="U37" s="309" t="str">
        <f>IFERROR(__xludf.DUMMYFUNCTION("GOOGLETRANSLATE(C37,""zh-tw"",""ru"")"),"Тестирование на травму")</f>
        <v>Тестирование на травму</v>
      </c>
      <c r="V37" s="126" t="s">
        <v>2549</v>
      </c>
      <c r="W37" s="310" t="s">
        <v>4095</v>
      </c>
      <c r="X37" s="312" t="s">
        <v>4096</v>
      </c>
      <c r="Y37" s="94" t="s">
        <v>2552</v>
      </c>
      <c r="Z37" s="123" t="s">
        <v>4097</v>
      </c>
      <c r="AA37" s="313" t="s">
        <v>4098</v>
      </c>
      <c r="AB37" s="17"/>
      <c r="AC37" s="17"/>
      <c r="AD37" s="17"/>
      <c r="AE37" s="17"/>
    </row>
    <row r="38">
      <c r="A38" s="100" t="s">
        <v>4099</v>
      </c>
      <c r="B38" s="117" t="s">
        <v>4100</v>
      </c>
      <c r="C38" s="306" t="s">
        <v>4101</v>
      </c>
      <c r="D38" s="307" t="str">
        <f>IFERROR(__xludf.DUMMYFUNCTION("GOOGLETRANSLATE(A38,""zh-tw"",""ja"")"),"浅羽")</f>
        <v>浅羽</v>
      </c>
      <c r="E38" s="310" t="s">
        <v>4102</v>
      </c>
      <c r="F38" s="312" t="s">
        <v>4103</v>
      </c>
      <c r="G38" s="126" t="s">
        <v>4104</v>
      </c>
      <c r="H38" s="310" t="s">
        <v>4105</v>
      </c>
      <c r="I38" s="312" t="s">
        <v>4106</v>
      </c>
      <c r="J38" s="307" t="str">
        <f>IFERROR(__xludf.DUMMYFUNCTION("GOOGLETRANSLATE(A38,""zh-tw"",""zh"")"),"浅羽")</f>
        <v>浅羽</v>
      </c>
      <c r="K38" s="308" t="str">
        <f>IFERROR(__xludf.DUMMYFUNCTION("GOOGLETRANSLATE(B38,""zh-tw"",""zh"")"),"猫爪")</f>
        <v>猫爪</v>
      </c>
      <c r="L38" s="309"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1"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4107</v>
      </c>
      <c r="R38" s="306" t="s">
        <v>4108</v>
      </c>
      <c r="S38" s="307" t="str">
        <f>IFERROR(__xludf.DUMMYFUNCTION("GOOGLETRANSLATE(A38,""zh-tw"",""ru"")"),"Асаба")</f>
        <v>Асаба</v>
      </c>
      <c r="T38" s="308" t="str">
        <f>IFERROR(__xludf.DUMMYFUNCTION("GOOGLETRANSLATE(B38,""zh-tw"",""ru"")"),"Кошачья лапка")</f>
        <v>Кошачья лапка</v>
      </c>
      <c r="U38" s="309" t="str">
        <f>IFERROR(__xludf.DUMMYFUNCTION("GOOGLETRANSLATE(C38,""zh-tw"",""ru"")"),"Тележка Кошко-девочки
Слабость: Гром")</f>
        <v>Тележка Кошко-девочки
Слабость: Гром</v>
      </c>
      <c r="V38" s="126" t="s">
        <v>4104</v>
      </c>
      <c r="W38" s="310" t="s">
        <v>4109</v>
      </c>
      <c r="X38" s="312" t="s">
        <v>4110</v>
      </c>
      <c r="Y38" s="94" t="s">
        <v>4104</v>
      </c>
      <c r="Z38" s="123" t="s">
        <v>4111</v>
      </c>
      <c r="AA38" s="313" t="s">
        <v>4112</v>
      </c>
      <c r="AB38" s="17"/>
      <c r="AC38" s="17"/>
      <c r="AD38" s="17"/>
      <c r="AE38" s="17"/>
    </row>
    <row r="39">
      <c r="A39" s="100" t="s">
        <v>4113</v>
      </c>
      <c r="B39" s="117" t="s">
        <v>4114</v>
      </c>
      <c r="C39" s="306" t="s">
        <v>723</v>
      </c>
      <c r="D39" s="100" t="s">
        <v>4115</v>
      </c>
      <c r="E39" s="117" t="s">
        <v>4116</v>
      </c>
      <c r="F39" s="309" t="str">
        <f>IFERROR(__xludf.DUMMYFUNCTION("GOOGLETRANSLATE(C39,""zh-tw"",""ja"")"),"-")</f>
        <v>-</v>
      </c>
      <c r="G39" s="100" t="s">
        <v>4117</v>
      </c>
      <c r="H39" s="117" t="s">
        <v>4118</v>
      </c>
      <c r="I39" s="311" t="str">
        <f>IFERROR(__xludf.DUMMYFUNCTION("GOOGLETRANSLATE(F39,""zh-tw"",""ja"")"),"-")</f>
        <v>-</v>
      </c>
      <c r="J39" s="307" t="str">
        <f>IFERROR(__xludf.DUMMYFUNCTION("GOOGLETRANSLATE(A39,""zh-tw"",""zh"")"),"火焰妖精")</f>
        <v>火焰妖精</v>
      </c>
      <c r="K39" s="308" t="str">
        <f>IFERROR(__xludf.DUMMYFUNCTION("GOOGLETRANSLATE(B39,""zh-tw"",""zh"")"),"熔岩杖")</f>
        <v>熔岩杖</v>
      </c>
      <c r="L39" s="309"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1" t="str">
        <f>IFERROR(__xludf.DUMMYFUNCTION("GOOGLETRANSLATE(C39,""zh-tw"",""es-MX"")"),"-")</f>
        <v>-</v>
      </c>
      <c r="P39" s="88" t="str">
        <f>IFERROR(__xludf.DUMMYFUNCTION("GOOGLETRANSLATE(A39,""zh-tw"",""KO"")"),"불꽃 요정")</f>
        <v>불꽃 요정</v>
      </c>
      <c r="Q39" s="117" t="s">
        <v>4119</v>
      </c>
      <c r="R39" s="311" t="str">
        <f>IFERROR(__xludf.DUMMYFUNCTION("GOOGLETRANSLATE(C39,""zh-tw"",""KO"")"),"-")</f>
        <v>-</v>
      </c>
      <c r="S39" s="307" t="str">
        <f>IFERROR(__xludf.DUMMYFUNCTION("GOOGLETRANSLATE(A39,""zh-tw"",""ru"")"),"Фея Пламени")</f>
        <v>Фея Пламени</v>
      </c>
      <c r="T39" s="308" t="str">
        <f>IFERROR(__xludf.DUMMYFUNCTION("GOOGLETRANSLATE(B39,""zh-tw"",""ru"")"),"Лавовый посох")</f>
        <v>Лавовый посох</v>
      </c>
      <c r="U39" s="309" t="str">
        <f>IFERROR(__xludf.DUMMYFUNCTION("GOOGLETRANSLATE(C39,""zh-tw"",""ru"")"),"-")</f>
        <v>-</v>
      </c>
      <c r="V39" s="126" t="s">
        <v>4120</v>
      </c>
      <c r="W39" s="310" t="s">
        <v>4121</v>
      </c>
      <c r="X39" s="312" t="s">
        <v>3714</v>
      </c>
      <c r="Y39" s="94" t="s">
        <v>4122</v>
      </c>
      <c r="Z39" s="123" t="s">
        <v>4123</v>
      </c>
      <c r="AA39" s="313" t="s">
        <v>723</v>
      </c>
      <c r="AB39" s="17"/>
      <c r="AC39" s="17"/>
      <c r="AD39" s="17"/>
      <c r="AE39" s="17"/>
    </row>
    <row r="40">
      <c r="A40" s="100" t="s">
        <v>4124</v>
      </c>
      <c r="B40" s="117" t="s">
        <v>4125</v>
      </c>
      <c r="C40" s="306" t="s">
        <v>723</v>
      </c>
      <c r="D40" s="100" t="s">
        <v>4126</v>
      </c>
      <c r="E40" s="117" t="s">
        <v>4127</v>
      </c>
      <c r="F40" s="309" t="str">
        <f>IFERROR(__xludf.DUMMYFUNCTION("GOOGLETRANSLATE(C40,""zh-tw"",""ja"")"),"-")</f>
        <v>-</v>
      </c>
      <c r="G40" s="100" t="s">
        <v>4128</v>
      </c>
      <c r="H40" s="117" t="s">
        <v>4129</v>
      </c>
      <c r="I40" s="311" t="str">
        <f>IFERROR(__xludf.DUMMYFUNCTION("GOOGLETRANSLATE(F40,""zh-tw"",""ja"")"),"-")</f>
        <v>-</v>
      </c>
      <c r="J40" s="307" t="str">
        <f>IFERROR(__xludf.DUMMYFUNCTION("GOOGLETRANSLATE(A40,""zh-tw"",""zh"")"),"燃烧史莱姆")</f>
        <v>燃烧史莱姆</v>
      </c>
      <c r="K40" s="308" t="str">
        <f>IFERROR(__xludf.DUMMYFUNCTION("GOOGLETRANSLATE(B40,""zh-tw"",""zh"")"),"熔岩戒指")</f>
        <v>熔岩戒指</v>
      </c>
      <c r="L40" s="309"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1" t="str">
        <f>IFERROR(__xludf.DUMMYFUNCTION("GOOGLETRANSLATE(C40,""zh-tw"",""es-MX"")"),"-")</f>
        <v>-</v>
      </c>
      <c r="P40" s="88" t="str">
        <f>IFERROR(__xludf.DUMMYFUNCTION("GOOGLETRANSLATE(A40,""zh-tw"",""KO"")"),"불타는 슬라임")</f>
        <v>불타는 슬라임</v>
      </c>
      <c r="Q40" s="117" t="s">
        <v>4130</v>
      </c>
      <c r="R40" s="311" t="str">
        <f>IFERROR(__xludf.DUMMYFUNCTION("GOOGLETRANSLATE(C40,""zh-tw"",""KO"")"),"-")</f>
        <v>-</v>
      </c>
      <c r="S40" s="307" t="str">
        <f>IFERROR(__xludf.DUMMYFUNCTION("GOOGLETRANSLATE(A40,""zh-tw"",""ru"")"),"Горящая слизь")</f>
        <v>Горящая слизь</v>
      </c>
      <c r="T40" s="308" t="str">
        <f>IFERROR(__xludf.DUMMYFUNCTION("GOOGLETRANSLATE(B40,""zh-tw"",""ru"")"),"Кольцо лавы")</f>
        <v>Кольцо лавы</v>
      </c>
      <c r="U40" s="309" t="str">
        <f>IFERROR(__xludf.DUMMYFUNCTION("GOOGLETRANSLATE(C40,""zh-tw"",""ru"")"),"-")</f>
        <v>-</v>
      </c>
      <c r="V40" s="126" t="s">
        <v>4131</v>
      </c>
      <c r="W40" s="310" t="s">
        <v>4132</v>
      </c>
      <c r="X40" s="312" t="s">
        <v>3714</v>
      </c>
      <c r="Y40" s="94" t="s">
        <v>4133</v>
      </c>
      <c r="Z40" s="123" t="s">
        <v>4134</v>
      </c>
      <c r="AA40" s="313" t="s">
        <v>723</v>
      </c>
      <c r="AB40" s="17"/>
      <c r="AC40" s="17"/>
      <c r="AD40" s="17"/>
      <c r="AE40" s="17"/>
    </row>
    <row r="41">
      <c r="A41" s="100" t="s">
        <v>4135</v>
      </c>
      <c r="B41" s="117" t="s">
        <v>4136</v>
      </c>
      <c r="C41" s="306" t="s">
        <v>723</v>
      </c>
      <c r="D41" s="100" t="s">
        <v>4135</v>
      </c>
      <c r="E41" s="117" t="s">
        <v>4137</v>
      </c>
      <c r="F41" s="309" t="str">
        <f>IFERROR(__xludf.DUMMYFUNCTION("GOOGLETRANSLATE(C41,""zh-tw"",""ja"")"),"-")</f>
        <v>-</v>
      </c>
      <c r="G41" s="100" t="s">
        <v>4138</v>
      </c>
      <c r="H41" s="117" t="s">
        <v>4139</v>
      </c>
      <c r="I41" s="311" t="str">
        <f>IFERROR(__xludf.DUMMYFUNCTION("GOOGLETRANSLATE(F41,""zh-tw"",""ja"")"),"-")</f>
        <v>-</v>
      </c>
      <c r="J41" s="307" t="str">
        <f>IFERROR(__xludf.DUMMYFUNCTION("GOOGLETRANSLATE(A41,""zh-tw"",""zh"")"),"炎魔")</f>
        <v>炎魔</v>
      </c>
      <c r="K41" s="308" t="str">
        <f>IFERROR(__xludf.DUMMYFUNCTION("GOOGLETRANSLATE(B41,""zh-tw"",""zh"")"),"熔岩杖/阳炎")</f>
        <v>熔岩杖/阳炎</v>
      </c>
      <c r="L41" s="309"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1"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1" t="str">
        <f>IFERROR(__xludf.DUMMYFUNCTION("GOOGLETRANSLATE(C41,""zh-tw"",""KO"")"),"-")</f>
        <v>-</v>
      </c>
      <c r="S41" s="307" t="str">
        <f>IFERROR(__xludf.DUMMYFUNCTION("GOOGLETRANSLATE(A41,""zh-tw"",""ru"")"),"Огненный Демон")</f>
        <v>Огненный Демон</v>
      </c>
      <c r="T41" s="308" t="str">
        <f>IFERROR(__xludf.DUMMYFUNCTION("GOOGLETRANSLATE(B41,""zh-tw"",""ru"")"),"Лавовый посох/Солнечный огонь")</f>
        <v>Лавовый посох/Солнечный огонь</v>
      </c>
      <c r="U41" s="309" t="str">
        <f>IFERROR(__xludf.DUMMYFUNCTION("GOOGLETRANSLATE(C41,""zh-tw"",""ru"")"),"-")</f>
        <v>-</v>
      </c>
      <c r="V41" s="126" t="s">
        <v>4138</v>
      </c>
      <c r="W41" s="310" t="s">
        <v>4140</v>
      </c>
      <c r="X41" s="312" t="s">
        <v>3714</v>
      </c>
      <c r="Y41" s="94" t="s">
        <v>4138</v>
      </c>
      <c r="Z41" s="123" t="s">
        <v>4141</v>
      </c>
      <c r="AA41" s="313" t="s">
        <v>723</v>
      </c>
      <c r="AB41" s="17"/>
      <c r="AC41" s="17"/>
      <c r="AD41" s="17"/>
      <c r="AE41" s="17"/>
    </row>
    <row r="42">
      <c r="A42" s="88" t="s">
        <v>4142</v>
      </c>
      <c r="B42" s="117" t="s">
        <v>4143</v>
      </c>
      <c r="C42" s="306" t="s">
        <v>4144</v>
      </c>
      <c r="D42" s="88" t="s">
        <v>4145</v>
      </c>
      <c r="E42" s="117" t="s">
        <v>4146</v>
      </c>
      <c r="F42" s="309"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4147</v>
      </c>
      <c r="H42" s="117" t="s">
        <v>4148</v>
      </c>
      <c r="I42" s="306" t="s">
        <v>4149</v>
      </c>
      <c r="J42" s="307" t="str">
        <f>IFERROR(__xludf.DUMMYFUNCTION("GOOGLETRANSLATE(A42,""zh-tw"",""zh"")"),"堕落法师的断手")</f>
        <v>堕落法师的断手</v>
      </c>
      <c r="K42" s="308" t="str">
        <f>IFERROR(__xludf.DUMMYFUNCTION("GOOGLETRANSLATE(B42,""zh-tw"",""zh"")"),"谢里斯的诅咒之手/红髓玉吊坠")</f>
        <v>谢里斯的诅咒之手/红髓玉吊坠</v>
      </c>
      <c r="L42" s="309"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Cherris")</f>
        <v>Colgante de jade cornalina y mano maldita de Cherris</v>
      </c>
      <c r="O42" s="311"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IFERROR(__xludf.DUMMYFUNCTION("GOOGLETRANSLATE(B42,""zh-tw"",""KO"")"),"체리스의 저주받은 손/카넬리안 제이드 펜던트")</f>
        <v>체리스의 저주받은 손/카넬리안 제이드 펜던트</v>
      </c>
      <c r="R42" s="311"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7" t="str">
        <f>IFERROR(__xludf.DUMMYFUNCTION("GOOGLETRANSLATE(A42,""zh-tw"",""ru"")"),"Отрубленная рука падшего мага")</f>
        <v>Отрубленная рука падшего мага</v>
      </c>
      <c r="T42" s="308" t="str">
        <f>IFERROR(__xludf.DUMMYFUNCTION("GOOGLETRANSLATE(B42,""zh-tw"",""ru"")"),"Проклятая рука Черрис/Кулон из сердолика и нефрита")</f>
        <v>Проклятая рука Черрис/Кулон из сердолика и нефрита</v>
      </c>
      <c r="U42" s="309"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4150</v>
      </c>
      <c r="W42" s="121" t="s">
        <v>4151</v>
      </c>
      <c r="X42" s="306" t="s">
        <v>723</v>
      </c>
      <c r="Y42" s="140" t="s">
        <v>4152</v>
      </c>
      <c r="Z42" s="123" t="s">
        <v>4153</v>
      </c>
      <c r="AA42" s="313" t="s">
        <v>4154</v>
      </c>
      <c r="AB42" s="143"/>
      <c r="AC42" s="143"/>
      <c r="AD42" s="143"/>
      <c r="AE42" s="143"/>
    </row>
    <row r="43">
      <c r="A43" s="100" t="s">
        <v>4155</v>
      </c>
      <c r="B43" s="117" t="s">
        <v>4156</v>
      </c>
      <c r="C43" s="306" t="s">
        <v>4157</v>
      </c>
      <c r="D43" s="100" t="s">
        <v>4155</v>
      </c>
      <c r="E43" s="117" t="s">
        <v>4158</v>
      </c>
      <c r="F43" s="306" t="s">
        <v>4159</v>
      </c>
      <c r="G43" s="100" t="s">
        <v>4155</v>
      </c>
      <c r="H43" s="117" t="s">
        <v>4160</v>
      </c>
      <c r="I43" s="306" t="s">
        <v>4161</v>
      </c>
      <c r="J43" s="307" t="str">
        <f>IFERROR(__xludf.DUMMYFUNCTION("GOOGLETRANSLATE(A43,""zh-tw"",""zh"")"),"ASABA")</f>
        <v>ASABA</v>
      </c>
      <c r="K43" s="308" t="str">
        <f>IFERROR(__xludf.DUMMYFUNCTION("GOOGLETRANSLATE(B43,""zh-tw"",""zh"")"),"ASAB的草莓")</f>
        <v>ASAB的草莓</v>
      </c>
      <c r="L43" s="309"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1"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1" t="str">
        <f>IFERROR(__xludf.DUMMYFUNCTION("GOOGLETRANSLATE(C43,""zh-tw"",""KO"")"),"아사바 도로, 길가에서 딸기를 먹다")</f>
        <v>아사바 도로, 길가에서 딸기를 먹다</v>
      </c>
      <c r="S43" s="307" t="str">
        <f>IFERROR(__xludf.DUMMYFUNCTION("GOOGLETRANSLATE(A43,""zh-tw"",""ru"")"),"АСАБА")</f>
        <v>АСАБА</v>
      </c>
      <c r="T43" s="308" t="str">
        <f>IFERROR(__xludf.DUMMYFUNCTION("GOOGLETRANSLATE(B43,""zh-tw"",""ru"")"),"Клубника от ASAB")</f>
        <v>Клубника от ASAB</v>
      </c>
      <c r="U43" s="309" t="str">
        <f>IFERROR(__xludf.DUMMYFUNCTION("GOOGLETRANSLATE(C43,""zh-tw"",""ru"")"),"Асаба Доро будет есть клубнику на обочине дороги")</f>
        <v>Асаба Доро будет есть клубнику на обочине дороги</v>
      </c>
      <c r="V43" s="100" t="s">
        <v>4155</v>
      </c>
      <c r="W43" s="117" t="s">
        <v>4162</v>
      </c>
      <c r="X43" s="306" t="s">
        <v>4163</v>
      </c>
      <c r="Y43" s="94" t="s">
        <v>4164</v>
      </c>
      <c r="Z43" s="123" t="s">
        <v>4165</v>
      </c>
      <c r="AA43" s="313" t="s">
        <v>4166</v>
      </c>
      <c r="AB43" s="17"/>
      <c r="AC43" s="17"/>
      <c r="AD43" s="17"/>
      <c r="AE43" s="17"/>
    </row>
    <row r="44">
      <c r="A44" s="100" t="s">
        <v>4167</v>
      </c>
      <c r="B44" s="117" t="s">
        <v>4168</v>
      </c>
      <c r="C44" s="306" t="s">
        <v>4169</v>
      </c>
      <c r="D44" s="100" t="s">
        <v>4170</v>
      </c>
      <c r="E44" s="117" t="s">
        <v>4171</v>
      </c>
      <c r="F44" s="306" t="s">
        <v>4169</v>
      </c>
      <c r="G44" s="100" t="s">
        <v>4172</v>
      </c>
      <c r="H44" s="117" t="s">
        <v>4173</v>
      </c>
      <c r="I44" s="306" t="s">
        <v>4169</v>
      </c>
      <c r="J44" s="307" t="str">
        <f>IFERROR(__xludf.DUMMYFUNCTION("GOOGLETRANSLATE(A44,""zh-tw"",""zh"")"),"狂暴的ASABA")</f>
        <v>狂暴的ASABA</v>
      </c>
      <c r="K44" s="308" t="str">
        <f>IFERROR(__xludf.DUMMYFUNCTION("GOOGLETRANSLATE(B44,""zh-tw"",""zh"")"),"ASAB的草莓.把草莓夺回来！ !")</f>
        <v>ASAB的草莓.把草莓夺回来！ !</v>
      </c>
      <c r="L44" s="309"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6" t="s">
        <v>4169</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6" t="s">
        <v>4169</v>
      </c>
      <c r="S44" s="307" t="str">
        <f>IFERROR(__xludf.DUMMYFUNCTION("GOOGLETRANSLATE(A44,""zh-tw"",""ru"")"),"Жестокая АСАБА")</f>
        <v>Жестокая АСАБА</v>
      </c>
      <c r="T44" s="308" t="str">
        <f>IFERROR(__xludf.DUMMYFUNCTION("GOOGLETRANSLATE(B44,""zh-tw"",""ru"")"),"Клубника от ASAB. Заберите клубнику обратно!")</f>
        <v>Клубника от ASAB. Заберите клубнику обратно!</v>
      </c>
      <c r="U44" s="306" t="s">
        <v>4169</v>
      </c>
      <c r="V44" s="100"/>
      <c r="W44" s="117" t="s">
        <v>4174</v>
      </c>
      <c r="X44" s="306" t="s">
        <v>4169</v>
      </c>
      <c r="Y44" s="94" t="s">
        <v>4164</v>
      </c>
      <c r="Z44" s="123" t="s">
        <v>4175</v>
      </c>
      <c r="AA44" s="313" t="s">
        <v>4169</v>
      </c>
      <c r="AB44" s="17"/>
      <c r="AC44" s="17"/>
      <c r="AD44" s="17"/>
      <c r="AE44" s="17"/>
    </row>
    <row r="45">
      <c r="A45" s="88" t="s">
        <v>4176</v>
      </c>
      <c r="B45" s="121" t="s">
        <v>4177</v>
      </c>
      <c r="C45" s="306" t="s">
        <v>4169</v>
      </c>
      <c r="D45" s="88" t="s">
        <v>4178</v>
      </c>
      <c r="E45" s="121" t="s">
        <v>4179</v>
      </c>
      <c r="F45" s="306" t="s">
        <v>4169</v>
      </c>
      <c r="G45" s="88" t="s">
        <v>4180</v>
      </c>
      <c r="H45" s="117" t="s">
        <v>4181</v>
      </c>
      <c r="I45" s="306" t="s">
        <v>4169</v>
      </c>
      <c r="J45" s="307" t="str">
        <f>IFERROR(__xludf.DUMMYFUNCTION("GOOGLETRANSLATE(A45,""zh-tw"",""zh"")"),"箱庭的白兔")</f>
        <v>箱庭的白兔</v>
      </c>
      <c r="K45" s="308" t="str">
        <f>IFERROR(__xludf.DUMMYFUNCTION("GOOGLETRANSLATE(B45,""zh-tw"",""zh"")"),"胡萝卜大剑/胡萝卜")</f>
        <v>胡萝卜大剑/胡萝卜</v>
      </c>
      <c r="L45" s="309"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6" t="s">
        <v>4182</v>
      </c>
      <c r="P45" s="88" t="str">
        <f>IFERROR(__xludf.DUMMYFUNCTION("GOOGLETRANSLATE(A45,""zh-tw"",""KO"")"),"하코니와 정원의 흰 토끼")</f>
        <v>하코니와 정원의 흰 토끼</v>
      </c>
      <c r="Q45" s="121" t="str">
        <f>IFERROR(__xludf.DUMMYFUNCTION("GOOGLETRANSLATE(B45,""zh-tw"",""KO"")"),"당근 검/당근")</f>
        <v>당근 검/당근</v>
      </c>
      <c r="R45" s="306" t="s">
        <v>4169</v>
      </c>
      <c r="S45" s="307" t="str">
        <f>IFERROR(__xludf.DUMMYFUNCTION("GOOGLETRANSLATE(A45,""zh-tw"",""ru"")"),"Белый кролик в саду Хаконива")</f>
        <v>Белый кролик в саду Хаконива</v>
      </c>
      <c r="T45" s="308" t="str">
        <f>IFERROR(__xludf.DUMMYFUNCTION("GOOGLETRANSLATE(B45,""zh-tw"",""ru"")"),"Морковный меч/Морковь")</f>
        <v>Морковный меч/Морковь</v>
      </c>
      <c r="U45" s="306" t="s">
        <v>4169</v>
      </c>
      <c r="V45" s="88" t="s">
        <v>4183</v>
      </c>
      <c r="W45" s="121" t="s">
        <v>4184</v>
      </c>
      <c r="X45" s="306" t="s">
        <v>4182</v>
      </c>
      <c r="Y45" s="140" t="s">
        <v>4185</v>
      </c>
      <c r="Z45" s="177" t="s">
        <v>4186</v>
      </c>
      <c r="AA45" s="313" t="s">
        <v>4169</v>
      </c>
      <c r="AB45" s="17"/>
      <c r="AC45" s="17"/>
      <c r="AD45" s="17"/>
      <c r="AE45" s="17"/>
    </row>
    <row r="46">
      <c r="A46" s="100" t="s">
        <v>4187</v>
      </c>
      <c r="B46" s="117" t="s">
        <v>4188</v>
      </c>
      <c r="C46" s="306" t="s">
        <v>723</v>
      </c>
      <c r="D46" s="100" t="s">
        <v>4189</v>
      </c>
      <c r="E46" s="121"/>
      <c r="F46" s="311"/>
      <c r="G46" s="100" t="s">
        <v>4190</v>
      </c>
      <c r="H46" s="117" t="s">
        <v>4191</v>
      </c>
      <c r="I46" s="306" t="s">
        <v>723</v>
      </c>
      <c r="J46" s="307" t="str">
        <f>IFERROR(__xludf.DUMMYFUNCTION("GOOGLETRANSLATE(A46,""zh-tw"",""zh"")"),"邪恶斗篷")</f>
        <v>邪恶斗篷</v>
      </c>
      <c r="K46" s="308" t="str">
        <f>IFERROR(__xludf.DUMMYFUNCTION("GOOGLETRANSLATE(B46,""zh-tw"",""zh"")"),"来自地狱/夜雾幻影/调皮的杰克")</f>
        <v>来自地狱/夜雾幻影/调皮的杰克</v>
      </c>
      <c r="L46" s="309"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1"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1" t="str">
        <f>IFERROR(__xludf.DUMMYFUNCTION("GOOGLETRANSLATE(C46,""zh-tw"",""KO"")"),"-")</f>
        <v>-</v>
      </c>
      <c r="S46" s="307" t="str">
        <f>IFERROR(__xludf.DUMMYFUNCTION("GOOGLETRANSLATE(A46,""zh-tw"",""ru"")"),"Злой Плащ")</f>
        <v>Злой Плащ</v>
      </c>
      <c r="T46" s="308" t="str">
        <f>IFERROR(__xludf.DUMMYFUNCTION("GOOGLETRANSLATE(B46,""zh-tw"",""ru"")"),"Из ада/Ночной туманный призрак/Непослушный Джек")</f>
        <v>Из ада/Ночной туманный призрак/Непослушный Джек</v>
      </c>
      <c r="U46" s="309" t="str">
        <f>IFERROR(__xludf.DUMMYFUNCTION("GOOGLETRANSLATE(C46,""zh-tw"",""ru"")"),"-")</f>
        <v>-</v>
      </c>
      <c r="V46" s="100" t="s">
        <v>4192</v>
      </c>
      <c r="W46" s="117" t="s">
        <v>4193</v>
      </c>
      <c r="X46" s="306" t="s">
        <v>723</v>
      </c>
      <c r="Y46" s="94" t="s">
        <v>4194</v>
      </c>
      <c r="Z46" s="123" t="s">
        <v>4195</v>
      </c>
      <c r="AA46" s="313" t="s">
        <v>723</v>
      </c>
      <c r="AB46" s="17"/>
      <c r="AC46" s="17"/>
      <c r="AD46" s="17"/>
      <c r="AE46" s="17"/>
    </row>
    <row r="47">
      <c r="A47" s="100" t="s">
        <v>4196</v>
      </c>
      <c r="B47" s="105" t="s">
        <v>4197</v>
      </c>
      <c r="C47" s="306" t="s">
        <v>4198</v>
      </c>
      <c r="D47" s="88"/>
      <c r="E47" s="121"/>
      <c r="F47" s="311"/>
      <c r="G47" s="100" t="s">
        <v>4199</v>
      </c>
      <c r="H47" s="117" t="s">
        <v>4200</v>
      </c>
      <c r="I47" s="306" t="s">
        <v>4201</v>
      </c>
      <c r="J47" s="307" t="str">
        <f>IFERROR(__xludf.DUMMYFUNCTION("GOOGLETRANSLATE(A47,""zh-tw"",""zh"")"),"萨卡班甲鱼(小)")</f>
        <v>萨卡班甲鱼(小)</v>
      </c>
      <c r="K47" s="308" t="str">
        <f>IFERROR(__xludf.DUMMYFUNCTION("GOOGLETRANSLATE(B47,""zh-tw"",""zh"")"),"◉▽◉(蓝色)")</f>
        <v>◉▽◉(蓝色)</v>
      </c>
      <c r="L47" s="309"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1" t="str">
        <f>IFERROR(__xludf.DUMMYFUNCTION("GOOGLETRANSLATE(C47,""zh-tw"",""es-MX"")"),"Utilice bombas para hacer estallar el agua.")</f>
        <v>Utilice bombas para hacer estallar el agua.</v>
      </c>
      <c r="P47" s="88" t="str">
        <f>IFERROR(__xludf.DUMMYFUNCTION("GOOGLETRANSLATE(A47,""zh-tw"",""KO"")"),"사카반 거북이(소)")</f>
        <v>사카반 거북이(소)</v>
      </c>
      <c r="Q47" s="121" t="str">
        <f>IFERROR(__xludf.DUMMYFUNCTION("GOOGLETRANSLATE(B47,""zh-tw"",""KO"")"),"◉▽◉(파란색)")</f>
        <v>◉▽◉(파란색)</v>
      </c>
      <c r="R47" s="311" t="str">
        <f>IFERROR(__xludf.DUMMYFUNCTION("GOOGLETRANSLATE(C47,""zh-tw"",""KO"")"),"폭탄을 사용하여 물을 날려 버리세요")</f>
        <v>폭탄을 사용하여 물을 날려 버리세요</v>
      </c>
      <c r="S47" s="307" t="str">
        <f>IFERROR(__xludf.DUMMYFUNCTION("GOOGLETRANSLATE(A47,""zh-tw"",""ru"")"),"Сакабанская мягкопанцирная черепаха (маленькая)")</f>
        <v>Сакабанская мягкопанцирная черепаха (маленькая)</v>
      </c>
      <c r="T47" s="308" t="str">
        <f>IFERROR(__xludf.DUMMYFUNCTION("GOOGLETRANSLATE(B47,""zh-tw"",""ru"")"),"◉▽◉(синий)")</f>
        <v>◉▽◉(синий)</v>
      </c>
      <c r="U47" s="309" t="str">
        <f>IFERROR(__xludf.DUMMYFUNCTION("GOOGLETRANSLATE(C47,""zh-tw"",""ru"")"),"Используйте бомбы, чтобы взорвать воду.")</f>
        <v>Используйте бомбы, чтобы взорвать воду.</v>
      </c>
      <c r="V47" s="100" t="s">
        <v>4202</v>
      </c>
      <c r="W47" s="315" t="s">
        <v>4203</v>
      </c>
      <c r="X47" s="306" t="s">
        <v>4204</v>
      </c>
      <c r="Y47" s="94" t="s">
        <v>4205</v>
      </c>
      <c r="Z47" s="123" t="s">
        <v>4206</v>
      </c>
      <c r="AA47" s="313" t="s">
        <v>4207</v>
      </c>
      <c r="AB47" s="17"/>
      <c r="AC47" s="17"/>
      <c r="AD47" s="17"/>
      <c r="AE47" s="17"/>
    </row>
    <row r="48">
      <c r="A48" s="100" t="s">
        <v>4208</v>
      </c>
      <c r="B48" s="121" t="s">
        <v>4209</v>
      </c>
      <c r="C48" s="306" t="s">
        <v>4198</v>
      </c>
      <c r="D48" s="88"/>
      <c r="E48" s="121"/>
      <c r="F48" s="311"/>
      <c r="G48" s="100" t="s">
        <v>4210</v>
      </c>
      <c r="H48" s="117" t="s">
        <v>4211</v>
      </c>
      <c r="I48" s="306" t="s">
        <v>4201</v>
      </c>
      <c r="J48" s="307" t="str">
        <f>IFERROR(__xludf.DUMMYFUNCTION("GOOGLETRANSLATE(A48,""zh-tw"",""zh"")"),"萨卡班甲鱼(大)")</f>
        <v>萨卡班甲鱼(大)</v>
      </c>
      <c r="K48" s="308" t="str">
        <f>IFERROR(__xludf.DUMMYFUNCTION("GOOGLETRANSLATE(B48,""zh-tw"",""zh"")"),"◉▽◉(紫色)")</f>
        <v>◉▽◉(紫色)</v>
      </c>
      <c r="L48" s="309"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1" t="str">
        <f>IFERROR(__xludf.DUMMYFUNCTION("GOOGLETRANSLATE(C48,""zh-tw"",""es-MX"")"),"Utilice bombas para hacer estallar el agua.")</f>
        <v>Utilice bombas para hacer estallar el agua.</v>
      </c>
      <c r="P48" s="88" t="str">
        <f>IFERROR(__xludf.DUMMYFUNCTION("GOOGLETRANSLATE(A48,""zh-tw"",""KO"")"),"사카반 거북이(대형)")</f>
        <v>사카반 거북이(대형)</v>
      </c>
      <c r="Q48" s="121" t="str">
        <f>IFERROR(__xludf.DUMMYFUNCTION("GOOGLETRANSLATE(B48,""zh-tw"",""KO"")"),"◉▽◉ (보라색)")</f>
        <v>◉▽◉ (보라색)</v>
      </c>
      <c r="R48" s="311" t="str">
        <f>IFERROR(__xludf.DUMMYFUNCTION("GOOGLETRANSLATE(C48,""zh-tw"",""KO"")"),"폭탄을 사용하여 물을 날려 버리세요")</f>
        <v>폭탄을 사용하여 물을 날려 버리세요</v>
      </c>
      <c r="S48" s="307" t="str">
        <f>IFERROR(__xludf.DUMMYFUNCTION("GOOGLETRANSLATE(A48,""zh-tw"",""ru"")"),"Сакабанская мягкопанцирная черепаха (большая)")</f>
        <v>Сакабанская мягкопанцирная черепаха (большая)</v>
      </c>
      <c r="T48" s="308" t="str">
        <f>IFERROR(__xludf.DUMMYFUNCTION("GOOGLETRANSLATE(B48,""zh-tw"",""ru"")"),"◉▽◉ (Фиолетовый)")</f>
        <v>◉▽◉ (Фиолетовый)</v>
      </c>
      <c r="U48" s="309" t="str">
        <f>IFERROR(__xludf.DUMMYFUNCTION("GOOGLETRANSLATE(C48,""zh-tw"",""ru"")"),"Используйте бомбы, чтобы взорвать воду.")</f>
        <v>Используйте бомбы, чтобы взорвать воду.</v>
      </c>
      <c r="V48" s="100" t="s">
        <v>4212</v>
      </c>
      <c r="W48" s="315" t="s">
        <v>4213</v>
      </c>
      <c r="X48" s="306" t="s">
        <v>4204</v>
      </c>
      <c r="Y48" s="94" t="s">
        <v>4214</v>
      </c>
      <c r="Z48" s="177" t="s">
        <v>4215</v>
      </c>
      <c r="AA48" s="313" t="s">
        <v>4207</v>
      </c>
      <c r="AB48" s="17"/>
      <c r="AC48" s="17"/>
      <c r="AD48" s="17"/>
      <c r="AE48" s="17"/>
    </row>
    <row r="49">
      <c r="A49" s="100" t="s">
        <v>4216</v>
      </c>
      <c r="B49" s="117" t="s">
        <v>4217</v>
      </c>
      <c r="C49" s="306" t="s">
        <v>4218</v>
      </c>
      <c r="D49" s="88"/>
      <c r="E49" s="121"/>
      <c r="F49" s="311"/>
      <c r="G49" s="100" t="s">
        <v>4219</v>
      </c>
      <c r="H49" s="117" t="s">
        <v>4220</v>
      </c>
      <c r="I49" s="306" t="s">
        <v>4221</v>
      </c>
      <c r="J49" s="307" t="str">
        <f>IFERROR(__xludf.DUMMYFUNCTION("GOOGLETRANSLATE(A49,""zh-tw"",""zh"")"),"应该已经灭绝的河之主!?")</f>
        <v>应该已经灭绝的河之主!?</v>
      </c>
      <c r="K49" s="308" t="str">
        <f>IFERROR(__xludf.DUMMYFUNCTION("GOOGLETRANSLATE(B49,""zh-tw"",""zh"")"),"◉▽◉(粉色)/王权之令")</f>
        <v>◉▽◉(粉色)/王权之令</v>
      </c>
      <c r="L49" s="309"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1"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1" t="str">
        <f>IFERROR(__xludf.DUMMYFUNCTION("GOOGLETRANSLATE(C49,""zh-tw"",""KO"")"),"보스
약점: 천둥")</f>
        <v>보스
약점: 천둥</v>
      </c>
      <c r="S49" s="307" t="str">
        <f>IFERROR(__xludf.DUMMYFUNCTION("GOOGLETRANSLATE(A49,""zh-tw"",""ru"")"),"Властелин реки, который должен был вымереть!?")</f>
        <v>Властелин реки, который должен был вымереть!?</v>
      </c>
      <c r="T49" s="308" t="str">
        <f>IFERROR(__xludf.DUMMYFUNCTION("GOOGLETRANSLATE(B49,""zh-tw"",""ru"")"),"◉▽◉(Розовый)/Королевский орден")</f>
        <v>◉▽◉(Розовый)/Королевский орден</v>
      </c>
      <c r="U49" s="309" t="str">
        <f>IFERROR(__xludf.DUMMYFUNCTION("GOOGLETRANSLATE(C49,""zh-tw"",""ru"")"),"БОСС
Слабость: Гром")</f>
        <v>БОСС
Слабость: Гром</v>
      </c>
      <c r="V49" s="100" t="s">
        <v>4222</v>
      </c>
      <c r="W49" s="315" t="s">
        <v>4223</v>
      </c>
      <c r="X49" s="306" t="s">
        <v>4224</v>
      </c>
      <c r="Y49" s="94" t="s">
        <v>4225</v>
      </c>
      <c r="Z49" s="123" t="s">
        <v>4226</v>
      </c>
      <c r="AA49" s="313" t="s">
        <v>4227</v>
      </c>
      <c r="AB49" s="17"/>
      <c r="AC49" s="17"/>
      <c r="AD49" s="17"/>
      <c r="AE49" s="17"/>
    </row>
    <row r="50">
      <c r="A50" s="88"/>
      <c r="B50" s="121"/>
      <c r="C50" s="311"/>
      <c r="D50" s="88"/>
      <c r="E50" s="121"/>
      <c r="F50" s="311"/>
      <c r="G50" s="88"/>
      <c r="H50" s="121"/>
      <c r="I50" s="311"/>
      <c r="J50" s="88"/>
      <c r="K50" s="121"/>
      <c r="L50" s="311"/>
      <c r="M50" s="316"/>
      <c r="N50" s="317"/>
      <c r="O50" s="318"/>
      <c r="P50" s="316"/>
      <c r="Q50" s="317"/>
      <c r="R50" s="318"/>
      <c r="S50" s="316"/>
      <c r="T50" s="317"/>
      <c r="U50" s="318"/>
      <c r="V50" s="88"/>
      <c r="W50" s="317"/>
      <c r="X50" s="311"/>
      <c r="Y50" s="94"/>
      <c r="Z50" s="123"/>
      <c r="AA50" s="313"/>
      <c r="AB50" s="17"/>
      <c r="AC50" s="17"/>
      <c r="AD50" s="17"/>
      <c r="AE50" s="17"/>
    </row>
    <row r="51">
      <c r="A51" s="88"/>
      <c r="B51" s="121"/>
      <c r="C51" s="311"/>
      <c r="D51" s="88"/>
      <c r="E51" s="121"/>
      <c r="F51" s="311"/>
      <c r="G51" s="88"/>
      <c r="H51" s="121"/>
      <c r="I51" s="311"/>
      <c r="J51" s="88"/>
      <c r="K51" s="121"/>
      <c r="L51" s="311"/>
      <c r="M51" s="316"/>
      <c r="N51" s="317"/>
      <c r="O51" s="318"/>
      <c r="P51" s="316"/>
      <c r="Q51" s="317"/>
      <c r="R51" s="318"/>
      <c r="S51" s="316"/>
      <c r="T51" s="317"/>
      <c r="U51" s="318"/>
      <c r="V51" s="88"/>
      <c r="W51" s="317"/>
      <c r="X51" s="311"/>
      <c r="Y51" s="94"/>
      <c r="Z51" s="123"/>
      <c r="AA51" s="313"/>
      <c r="AB51" s="17"/>
      <c r="AC51" s="17"/>
      <c r="AD51" s="17"/>
      <c r="AE51" s="17"/>
    </row>
    <row r="52">
      <c r="A52" s="88"/>
      <c r="B52" s="121"/>
      <c r="C52" s="311"/>
      <c r="D52" s="88"/>
      <c r="E52" s="121"/>
      <c r="F52" s="311"/>
      <c r="G52" s="88"/>
      <c r="H52" s="121"/>
      <c r="I52" s="311"/>
      <c r="J52" s="88"/>
      <c r="K52" s="121"/>
      <c r="L52" s="311"/>
      <c r="M52" s="316"/>
      <c r="N52" s="317"/>
      <c r="O52" s="318"/>
      <c r="P52" s="316"/>
      <c r="Q52" s="317"/>
      <c r="R52" s="318"/>
      <c r="S52" s="316"/>
      <c r="T52" s="317"/>
      <c r="U52" s="318"/>
      <c r="V52" s="88"/>
      <c r="W52" s="317"/>
      <c r="X52" s="311"/>
      <c r="Y52" s="94"/>
      <c r="Z52" s="123"/>
      <c r="AA52" s="313"/>
      <c r="AB52" s="17"/>
      <c r="AC52" s="17"/>
      <c r="AD52" s="17"/>
      <c r="AE52" s="17"/>
    </row>
    <row r="53">
      <c r="A53" s="88"/>
      <c r="B53" s="121"/>
      <c r="C53" s="311"/>
      <c r="D53" s="88"/>
      <c r="E53" s="121"/>
      <c r="F53" s="311"/>
      <c r="G53" s="88"/>
      <c r="H53" s="121"/>
      <c r="I53" s="311"/>
      <c r="J53" s="88"/>
      <c r="K53" s="121"/>
      <c r="L53" s="311"/>
      <c r="M53" s="316"/>
      <c r="N53" s="317"/>
      <c r="O53" s="318"/>
      <c r="P53" s="316"/>
      <c r="Q53" s="317"/>
      <c r="R53" s="318"/>
      <c r="S53" s="316"/>
      <c r="T53" s="317"/>
      <c r="U53" s="318"/>
      <c r="V53" s="88"/>
      <c r="W53" s="317"/>
      <c r="X53" s="311"/>
      <c r="Y53" s="94"/>
      <c r="Z53" s="123"/>
      <c r="AA53" s="313"/>
      <c r="AB53" s="17"/>
      <c r="AC53" s="17"/>
      <c r="AD53" s="17"/>
      <c r="AE53" s="17"/>
    </row>
    <row r="54">
      <c r="A54" s="88"/>
      <c r="B54" s="121"/>
      <c r="C54" s="311"/>
      <c r="D54" s="88"/>
      <c r="E54" s="121"/>
      <c r="F54" s="311"/>
      <c r="G54" s="88"/>
      <c r="H54" s="121"/>
      <c r="I54" s="311"/>
      <c r="J54" s="88"/>
      <c r="K54" s="121"/>
      <c r="L54" s="311"/>
      <c r="M54" s="316"/>
      <c r="N54" s="317"/>
      <c r="O54" s="318"/>
      <c r="P54" s="316"/>
      <c r="Q54" s="317"/>
      <c r="R54" s="318"/>
      <c r="S54" s="316"/>
      <c r="T54" s="317"/>
      <c r="U54" s="318"/>
      <c r="V54" s="88"/>
      <c r="W54" s="317"/>
      <c r="X54" s="311"/>
      <c r="Y54" s="94"/>
      <c r="Z54" s="123"/>
      <c r="AA54" s="313"/>
      <c r="AB54" s="17"/>
      <c r="AC54" s="17"/>
      <c r="AD54" s="17"/>
      <c r="AE54" s="17"/>
    </row>
    <row r="55">
      <c r="A55" s="88"/>
      <c r="B55" s="121"/>
      <c r="C55" s="311"/>
      <c r="D55" s="88"/>
      <c r="E55" s="121"/>
      <c r="F55" s="311"/>
      <c r="G55" s="88"/>
      <c r="H55" s="121"/>
      <c r="I55" s="311"/>
      <c r="J55" s="88"/>
      <c r="K55" s="121"/>
      <c r="L55" s="311"/>
      <c r="M55" s="316"/>
      <c r="N55" s="317"/>
      <c r="O55" s="318"/>
      <c r="P55" s="316"/>
      <c r="Q55" s="317"/>
      <c r="R55" s="318"/>
      <c r="S55" s="316"/>
      <c r="T55" s="317"/>
      <c r="U55" s="318"/>
      <c r="V55" s="88"/>
      <c r="W55" s="317"/>
      <c r="X55" s="311"/>
      <c r="Y55" s="94"/>
      <c r="Z55" s="123"/>
      <c r="AA55" s="313"/>
      <c r="AB55" s="17"/>
      <c r="AC55" s="17"/>
      <c r="AD55" s="17"/>
      <c r="AE55" s="17"/>
    </row>
    <row r="56">
      <c r="A56" s="88"/>
      <c r="B56" s="121"/>
      <c r="C56" s="311"/>
      <c r="D56" s="88"/>
      <c r="E56" s="121"/>
      <c r="F56" s="311"/>
      <c r="G56" s="88"/>
      <c r="H56" s="121"/>
      <c r="I56" s="311"/>
      <c r="J56" s="88"/>
      <c r="K56" s="121"/>
      <c r="L56" s="311"/>
      <c r="M56" s="316"/>
      <c r="N56" s="317"/>
      <c r="O56" s="318"/>
      <c r="P56" s="316"/>
      <c r="Q56" s="317"/>
      <c r="R56" s="318"/>
      <c r="S56" s="316"/>
      <c r="T56" s="317"/>
      <c r="U56" s="318"/>
      <c r="V56" s="88"/>
      <c r="W56" s="317"/>
      <c r="X56" s="311"/>
      <c r="Y56" s="94"/>
      <c r="Z56" s="123"/>
      <c r="AA56" s="313"/>
      <c r="AB56" s="17"/>
      <c r="AC56" s="17"/>
      <c r="AD56" s="17"/>
      <c r="AE56" s="17"/>
    </row>
    <row r="57">
      <c r="A57" s="88"/>
      <c r="B57" s="121"/>
      <c r="C57" s="311"/>
      <c r="D57" s="88"/>
      <c r="E57" s="121"/>
      <c r="F57" s="311"/>
      <c r="G57" s="88"/>
      <c r="H57" s="121"/>
      <c r="I57" s="311"/>
      <c r="J57" s="88"/>
      <c r="K57" s="121"/>
      <c r="L57" s="311"/>
      <c r="M57" s="316"/>
      <c r="N57" s="317"/>
      <c r="O57" s="318"/>
      <c r="P57" s="316"/>
      <c r="Q57" s="317"/>
      <c r="R57" s="318"/>
      <c r="S57" s="316"/>
      <c r="T57" s="317"/>
      <c r="U57" s="318"/>
      <c r="V57" s="88"/>
      <c r="W57" s="317"/>
      <c r="X57" s="311"/>
      <c r="Y57" s="94"/>
      <c r="Z57" s="123"/>
      <c r="AA57" s="313"/>
      <c r="AB57" s="17"/>
      <c r="AC57" s="17"/>
      <c r="AD57" s="17"/>
      <c r="AE57" s="17"/>
    </row>
    <row r="58">
      <c r="A58" s="88"/>
      <c r="B58" s="121"/>
      <c r="C58" s="311"/>
      <c r="D58" s="88"/>
      <c r="E58" s="121"/>
      <c r="F58" s="311"/>
      <c r="G58" s="88"/>
      <c r="H58" s="121"/>
      <c r="I58" s="311"/>
      <c r="J58" s="88"/>
      <c r="K58" s="121"/>
      <c r="L58" s="311"/>
      <c r="M58" s="316"/>
      <c r="N58" s="317"/>
      <c r="O58" s="318"/>
      <c r="P58" s="316"/>
      <c r="Q58" s="317"/>
      <c r="R58" s="318"/>
      <c r="S58" s="316"/>
      <c r="T58" s="317"/>
      <c r="U58" s="318"/>
      <c r="V58" s="88"/>
      <c r="W58" s="317"/>
      <c r="X58" s="311"/>
      <c r="Y58" s="94"/>
      <c r="Z58" s="123"/>
      <c r="AA58" s="313"/>
      <c r="AB58" s="17"/>
      <c r="AC58" s="17"/>
      <c r="AD58" s="17"/>
      <c r="AE58" s="17"/>
    </row>
    <row r="59">
      <c r="A59" s="88"/>
      <c r="B59" s="121"/>
      <c r="C59" s="311"/>
      <c r="D59" s="88"/>
      <c r="E59" s="121"/>
      <c r="F59" s="311"/>
      <c r="G59" s="88"/>
      <c r="H59" s="121"/>
      <c r="I59" s="311"/>
      <c r="J59" s="88"/>
      <c r="K59" s="121"/>
      <c r="L59" s="311"/>
      <c r="M59" s="316"/>
      <c r="N59" s="317"/>
      <c r="O59" s="318"/>
      <c r="P59" s="316"/>
      <c r="Q59" s="317"/>
      <c r="R59" s="318"/>
      <c r="S59" s="316"/>
      <c r="T59" s="317"/>
      <c r="U59" s="318"/>
      <c r="V59" s="88"/>
      <c r="W59" s="317"/>
      <c r="X59" s="311"/>
      <c r="Y59" s="94"/>
      <c r="Z59" s="123"/>
      <c r="AA59" s="313"/>
      <c r="AB59" s="17"/>
      <c r="AC59" s="17"/>
      <c r="AD59" s="17"/>
      <c r="AE59" s="17"/>
    </row>
    <row r="60">
      <c r="A60" s="88"/>
      <c r="B60" s="121"/>
      <c r="C60" s="311"/>
      <c r="D60" s="88"/>
      <c r="E60" s="121"/>
      <c r="F60" s="311"/>
      <c r="G60" s="88"/>
      <c r="H60" s="121"/>
      <c r="I60" s="311"/>
      <c r="J60" s="88"/>
      <c r="K60" s="121"/>
      <c r="L60" s="311"/>
      <c r="M60" s="316"/>
      <c r="N60" s="317"/>
      <c r="O60" s="318"/>
      <c r="P60" s="316"/>
      <c r="Q60" s="317"/>
      <c r="R60" s="318"/>
      <c r="S60" s="316"/>
      <c r="T60" s="317"/>
      <c r="U60" s="318"/>
      <c r="V60" s="88"/>
      <c r="W60" s="317"/>
      <c r="X60" s="311"/>
      <c r="Y60" s="94"/>
      <c r="Z60" s="123"/>
      <c r="AA60" s="313"/>
      <c r="AB60" s="17"/>
      <c r="AC60" s="17"/>
      <c r="AD60" s="17"/>
      <c r="AE60" s="17"/>
    </row>
    <row r="61">
      <c r="A61" s="88"/>
      <c r="B61" s="121"/>
      <c r="C61" s="311"/>
      <c r="D61" s="88"/>
      <c r="E61" s="121"/>
      <c r="F61" s="311"/>
      <c r="G61" s="88"/>
      <c r="H61" s="121"/>
      <c r="I61" s="311"/>
      <c r="J61" s="88"/>
      <c r="K61" s="121"/>
      <c r="L61" s="311"/>
      <c r="M61" s="316"/>
      <c r="N61" s="317"/>
      <c r="O61" s="318"/>
      <c r="P61" s="316"/>
      <c r="Q61" s="317"/>
      <c r="R61" s="318"/>
      <c r="S61" s="316"/>
      <c r="T61" s="317"/>
      <c r="U61" s="318"/>
      <c r="V61" s="88"/>
      <c r="W61" s="317"/>
      <c r="X61" s="311"/>
      <c r="Y61" s="94"/>
      <c r="Z61" s="123"/>
      <c r="AA61" s="313"/>
      <c r="AB61" s="17"/>
      <c r="AC61" s="17"/>
      <c r="AD61" s="17"/>
      <c r="AE61" s="17"/>
    </row>
    <row r="62">
      <c r="A62" s="88"/>
      <c r="B62" s="121"/>
      <c r="C62" s="311"/>
      <c r="D62" s="88"/>
      <c r="E62" s="121"/>
      <c r="F62" s="311"/>
      <c r="G62" s="88"/>
      <c r="H62" s="121"/>
      <c r="I62" s="311"/>
      <c r="J62" s="88"/>
      <c r="K62" s="121"/>
      <c r="L62" s="311"/>
      <c r="M62" s="316"/>
      <c r="N62" s="317"/>
      <c r="O62" s="318"/>
      <c r="P62" s="316"/>
      <c r="Q62" s="317"/>
      <c r="R62" s="318"/>
      <c r="S62" s="316"/>
      <c r="T62" s="317"/>
      <c r="U62" s="318"/>
      <c r="V62" s="88"/>
      <c r="W62" s="317"/>
      <c r="X62" s="311"/>
      <c r="Y62" s="94"/>
      <c r="Z62" s="123"/>
      <c r="AA62" s="313"/>
      <c r="AB62" s="17"/>
      <c r="AC62" s="17"/>
      <c r="AD62" s="17"/>
      <c r="AE62" s="17"/>
    </row>
    <row r="63">
      <c r="A63" s="88"/>
      <c r="B63" s="121"/>
      <c r="C63" s="311"/>
      <c r="D63" s="88"/>
      <c r="E63" s="121"/>
      <c r="F63" s="311"/>
      <c r="G63" s="88"/>
      <c r="H63" s="121"/>
      <c r="I63" s="311"/>
      <c r="J63" s="88"/>
      <c r="K63" s="121"/>
      <c r="L63" s="311"/>
      <c r="M63" s="316"/>
      <c r="N63" s="317"/>
      <c r="O63" s="318"/>
      <c r="P63" s="316"/>
      <c r="Q63" s="317"/>
      <c r="R63" s="318"/>
      <c r="S63" s="316"/>
      <c r="T63" s="317"/>
      <c r="U63" s="318"/>
      <c r="V63" s="88"/>
      <c r="W63" s="317"/>
      <c r="X63" s="311"/>
      <c r="Y63" s="94"/>
      <c r="Z63" s="123"/>
      <c r="AA63" s="313"/>
      <c r="AB63" s="17"/>
      <c r="AC63" s="17"/>
      <c r="AD63" s="17"/>
      <c r="AE63" s="17"/>
    </row>
    <row r="64">
      <c r="A64" s="88"/>
      <c r="B64" s="121"/>
      <c r="C64" s="311"/>
      <c r="D64" s="88"/>
      <c r="E64" s="121"/>
      <c r="F64" s="311"/>
      <c r="G64" s="88"/>
      <c r="H64" s="121"/>
      <c r="I64" s="311"/>
      <c r="J64" s="88"/>
      <c r="K64" s="121"/>
      <c r="L64" s="311"/>
      <c r="M64" s="316"/>
      <c r="N64" s="317"/>
      <c r="O64" s="318"/>
      <c r="P64" s="316"/>
      <c r="Q64" s="317"/>
      <c r="R64" s="318"/>
      <c r="S64" s="316"/>
      <c r="T64" s="317"/>
      <c r="U64" s="318"/>
      <c r="V64" s="88"/>
      <c r="W64" s="317"/>
      <c r="X64" s="311"/>
      <c r="Y64" s="94"/>
      <c r="Z64" s="123"/>
      <c r="AA64" s="313"/>
      <c r="AB64" s="17"/>
      <c r="AC64" s="17"/>
      <c r="AD64" s="17"/>
      <c r="AE64" s="17"/>
    </row>
    <row r="65">
      <c r="A65" s="88"/>
      <c r="B65" s="121"/>
      <c r="C65" s="311"/>
      <c r="D65" s="88"/>
      <c r="E65" s="121"/>
      <c r="F65" s="311"/>
      <c r="G65" s="88"/>
      <c r="H65" s="121"/>
      <c r="I65" s="311"/>
      <c r="J65" s="88"/>
      <c r="K65" s="121"/>
      <c r="L65" s="311"/>
      <c r="M65" s="316"/>
      <c r="N65" s="317"/>
      <c r="O65" s="318"/>
      <c r="P65" s="316"/>
      <c r="Q65" s="317"/>
      <c r="R65" s="318"/>
      <c r="S65" s="316"/>
      <c r="T65" s="317"/>
      <c r="U65" s="318"/>
      <c r="V65" s="88"/>
      <c r="W65" s="317"/>
      <c r="X65" s="311"/>
      <c r="Y65" s="94"/>
      <c r="Z65" s="123"/>
      <c r="AA65" s="313"/>
      <c r="AB65" s="17"/>
      <c r="AC65" s="17"/>
      <c r="AD65" s="17"/>
      <c r="AE65" s="17"/>
    </row>
    <row r="66">
      <c r="A66" s="88"/>
      <c r="B66" s="121"/>
      <c r="C66" s="311"/>
      <c r="D66" s="88"/>
      <c r="E66" s="121"/>
      <c r="F66" s="311"/>
      <c r="G66" s="88"/>
      <c r="H66" s="121"/>
      <c r="I66" s="311"/>
      <c r="J66" s="88"/>
      <c r="K66" s="121"/>
      <c r="L66" s="311"/>
      <c r="M66" s="316"/>
      <c r="N66" s="317"/>
      <c r="O66" s="318"/>
      <c r="P66" s="316"/>
      <c r="Q66" s="317"/>
      <c r="R66" s="318"/>
      <c r="S66" s="316"/>
      <c r="T66" s="317"/>
      <c r="U66" s="318"/>
      <c r="V66" s="88"/>
      <c r="W66" s="317"/>
      <c r="X66" s="311"/>
      <c r="Y66" s="94"/>
      <c r="Z66" s="123"/>
      <c r="AA66" s="313"/>
      <c r="AB66" s="17"/>
      <c r="AC66" s="17"/>
      <c r="AD66" s="17"/>
      <c r="AE66" s="17"/>
    </row>
    <row r="67">
      <c r="A67" s="88"/>
      <c r="B67" s="121"/>
      <c r="C67" s="311"/>
      <c r="D67" s="88"/>
      <c r="E67" s="121"/>
      <c r="F67" s="311"/>
      <c r="G67" s="88"/>
      <c r="H67" s="121"/>
      <c r="I67" s="311"/>
      <c r="J67" s="88"/>
      <c r="K67" s="121"/>
      <c r="L67" s="311"/>
      <c r="M67" s="316"/>
      <c r="N67" s="317"/>
      <c r="O67" s="318"/>
      <c r="P67" s="316"/>
      <c r="Q67" s="317"/>
      <c r="R67" s="318"/>
      <c r="S67" s="316"/>
      <c r="T67" s="317"/>
      <c r="U67" s="318"/>
      <c r="V67" s="88"/>
      <c r="W67" s="317"/>
      <c r="X67" s="311"/>
      <c r="Y67" s="94"/>
      <c r="Z67" s="123"/>
      <c r="AA67" s="313"/>
      <c r="AB67" s="17"/>
      <c r="AC67" s="17"/>
      <c r="AD67" s="17"/>
      <c r="AE67" s="17"/>
    </row>
    <row r="68">
      <c r="A68" s="88"/>
      <c r="B68" s="121"/>
      <c r="C68" s="311"/>
      <c r="D68" s="88"/>
      <c r="E68" s="121"/>
      <c r="F68" s="311"/>
      <c r="G68" s="88"/>
      <c r="H68" s="121"/>
      <c r="I68" s="311"/>
      <c r="J68" s="88"/>
      <c r="K68" s="121"/>
      <c r="L68" s="311"/>
      <c r="M68" s="316"/>
      <c r="N68" s="317"/>
      <c r="O68" s="318"/>
      <c r="P68" s="316"/>
      <c r="Q68" s="317"/>
      <c r="R68" s="318"/>
      <c r="S68" s="316"/>
      <c r="T68" s="317"/>
      <c r="U68" s="318"/>
      <c r="V68" s="88"/>
      <c r="W68" s="317"/>
      <c r="X68" s="311"/>
      <c r="Y68" s="94"/>
      <c r="Z68" s="123"/>
      <c r="AA68" s="313"/>
      <c r="AB68" s="17"/>
      <c r="AC68" s="17"/>
      <c r="AD68" s="17"/>
      <c r="AE68" s="17"/>
    </row>
    <row r="69">
      <c r="A69" s="88"/>
      <c r="B69" s="121"/>
      <c r="C69" s="311"/>
      <c r="D69" s="88"/>
      <c r="E69" s="121"/>
      <c r="F69" s="311"/>
      <c r="G69" s="88"/>
      <c r="H69" s="121"/>
      <c r="I69" s="311"/>
      <c r="J69" s="88"/>
      <c r="K69" s="121"/>
      <c r="L69" s="311"/>
      <c r="M69" s="316"/>
      <c r="N69" s="317"/>
      <c r="O69" s="318"/>
      <c r="P69" s="316"/>
      <c r="Q69" s="317"/>
      <c r="R69" s="318"/>
      <c r="S69" s="316"/>
      <c r="T69" s="317"/>
      <c r="U69" s="318"/>
      <c r="V69" s="88"/>
      <c r="W69" s="317"/>
      <c r="X69" s="311"/>
      <c r="Y69" s="94"/>
      <c r="Z69" s="123"/>
      <c r="AA69" s="313"/>
      <c r="AB69" s="17"/>
      <c r="AC69" s="17"/>
      <c r="AD69" s="17"/>
      <c r="AE69" s="17"/>
    </row>
    <row r="70">
      <c r="A70" s="88"/>
      <c r="B70" s="121"/>
      <c r="C70" s="311"/>
      <c r="D70" s="88"/>
      <c r="E70" s="121"/>
      <c r="F70" s="311"/>
      <c r="G70" s="88"/>
      <c r="H70" s="121"/>
      <c r="I70" s="311"/>
      <c r="J70" s="88"/>
      <c r="K70" s="121"/>
      <c r="L70" s="311"/>
      <c r="M70" s="316"/>
      <c r="N70" s="317"/>
      <c r="O70" s="318"/>
      <c r="P70" s="316"/>
      <c r="Q70" s="317"/>
      <c r="R70" s="318"/>
      <c r="S70" s="316"/>
      <c r="T70" s="317"/>
      <c r="U70" s="318"/>
      <c r="V70" s="88"/>
      <c r="W70" s="317"/>
      <c r="X70" s="311"/>
      <c r="Y70" s="94"/>
      <c r="Z70" s="123"/>
      <c r="AA70" s="313"/>
      <c r="AB70" s="17"/>
      <c r="AC70" s="17"/>
      <c r="AD70" s="17"/>
      <c r="AE70" s="17"/>
    </row>
    <row r="71">
      <c r="A71" s="88"/>
      <c r="B71" s="121"/>
      <c r="C71" s="311"/>
      <c r="D71" s="88"/>
      <c r="E71" s="121"/>
      <c r="F71" s="311"/>
      <c r="G71" s="88"/>
      <c r="H71" s="121"/>
      <c r="I71" s="311"/>
      <c r="J71" s="88"/>
      <c r="K71" s="121"/>
      <c r="L71" s="311"/>
      <c r="M71" s="316"/>
      <c r="N71" s="317"/>
      <c r="O71" s="318"/>
      <c r="P71" s="316"/>
      <c r="Q71" s="317"/>
      <c r="R71" s="318"/>
      <c r="S71" s="316"/>
      <c r="T71" s="317"/>
      <c r="U71" s="318"/>
      <c r="V71" s="88"/>
      <c r="W71" s="317"/>
      <c r="X71" s="311"/>
      <c r="Y71" s="94"/>
      <c r="Z71" s="123"/>
      <c r="AA71" s="313"/>
      <c r="AB71" s="17"/>
      <c r="AC71" s="17"/>
      <c r="AD71" s="17"/>
      <c r="AE71" s="17"/>
    </row>
    <row r="72">
      <c r="A72" s="88"/>
      <c r="B72" s="121"/>
      <c r="C72" s="311"/>
      <c r="D72" s="88"/>
      <c r="E72" s="121"/>
      <c r="F72" s="311"/>
      <c r="G72" s="88"/>
      <c r="H72" s="121"/>
      <c r="I72" s="311"/>
      <c r="J72" s="88"/>
      <c r="K72" s="121"/>
      <c r="L72" s="311"/>
      <c r="M72" s="316"/>
      <c r="N72" s="317"/>
      <c r="O72" s="318"/>
      <c r="P72" s="316"/>
      <c r="Q72" s="317"/>
      <c r="R72" s="318"/>
      <c r="S72" s="316"/>
      <c r="T72" s="317"/>
      <c r="U72" s="318"/>
      <c r="V72" s="88"/>
      <c r="W72" s="317"/>
      <c r="X72" s="311"/>
      <c r="Y72" s="94"/>
      <c r="Z72" s="123"/>
      <c r="AA72" s="313"/>
      <c r="AB72" s="17"/>
      <c r="AC72" s="17"/>
      <c r="AD72" s="17"/>
      <c r="AE72" s="17"/>
    </row>
    <row r="73">
      <c r="A73" s="88"/>
      <c r="B73" s="121"/>
      <c r="C73" s="311"/>
      <c r="D73" s="88"/>
      <c r="E73" s="121"/>
      <c r="F73" s="311"/>
      <c r="G73" s="88"/>
      <c r="H73" s="121"/>
      <c r="I73" s="311"/>
      <c r="J73" s="88"/>
      <c r="K73" s="121"/>
      <c r="L73" s="311"/>
      <c r="M73" s="316"/>
      <c r="N73" s="317"/>
      <c r="O73" s="318"/>
      <c r="P73" s="316"/>
      <c r="Q73" s="317"/>
      <c r="R73" s="318"/>
      <c r="S73" s="316"/>
      <c r="T73" s="317"/>
      <c r="U73" s="318"/>
      <c r="V73" s="88"/>
      <c r="W73" s="317"/>
      <c r="X73" s="311"/>
      <c r="Y73" s="94"/>
      <c r="Z73" s="123"/>
      <c r="AA73" s="313"/>
      <c r="AB73" s="17"/>
      <c r="AC73" s="17"/>
      <c r="AD73" s="17"/>
      <c r="AE73" s="17"/>
    </row>
    <row r="74">
      <c r="A74" s="88"/>
      <c r="B74" s="121"/>
      <c r="C74" s="311"/>
      <c r="D74" s="88"/>
      <c r="E74" s="121"/>
      <c r="F74" s="311"/>
      <c r="G74" s="88"/>
      <c r="H74" s="121"/>
      <c r="I74" s="311"/>
      <c r="J74" s="88"/>
      <c r="K74" s="121"/>
      <c r="L74" s="311"/>
      <c r="M74" s="316"/>
      <c r="N74" s="317"/>
      <c r="O74" s="318"/>
      <c r="P74" s="316"/>
      <c r="Q74" s="317"/>
      <c r="R74" s="318"/>
      <c r="S74" s="316"/>
      <c r="T74" s="317"/>
      <c r="U74" s="318"/>
      <c r="V74" s="88"/>
      <c r="W74" s="317"/>
      <c r="X74" s="311"/>
      <c r="Y74" s="94"/>
      <c r="Z74" s="123"/>
      <c r="AA74" s="313"/>
      <c r="AB74" s="17"/>
      <c r="AC74" s="17"/>
      <c r="AD74" s="17"/>
      <c r="AE74" s="17"/>
    </row>
    <row r="75">
      <c r="A75" s="88"/>
      <c r="B75" s="121"/>
      <c r="C75" s="311"/>
      <c r="D75" s="88"/>
      <c r="E75" s="121"/>
      <c r="F75" s="311"/>
      <c r="G75" s="88"/>
      <c r="H75" s="121"/>
      <c r="I75" s="311"/>
      <c r="J75" s="88"/>
      <c r="K75" s="121"/>
      <c r="L75" s="311"/>
      <c r="M75" s="316"/>
      <c r="N75" s="317"/>
      <c r="O75" s="318"/>
      <c r="P75" s="316"/>
      <c r="Q75" s="317"/>
      <c r="R75" s="318"/>
      <c r="S75" s="316"/>
      <c r="T75" s="317"/>
      <c r="U75" s="318"/>
      <c r="V75" s="88"/>
      <c r="W75" s="317"/>
      <c r="X75" s="311"/>
      <c r="Y75" s="94"/>
      <c r="Z75" s="123"/>
      <c r="AA75" s="313"/>
      <c r="AB75" s="17"/>
      <c r="AC75" s="17"/>
      <c r="AD75" s="17"/>
      <c r="AE75" s="17"/>
    </row>
    <row r="76">
      <c r="A76" s="88"/>
      <c r="B76" s="121"/>
      <c r="C76" s="311"/>
      <c r="D76" s="88"/>
      <c r="E76" s="121"/>
      <c r="F76" s="311"/>
      <c r="G76" s="88"/>
      <c r="H76" s="121"/>
      <c r="I76" s="311"/>
      <c r="J76" s="88"/>
      <c r="K76" s="121"/>
      <c r="L76" s="311"/>
      <c r="M76" s="316"/>
      <c r="N76" s="317"/>
      <c r="O76" s="318"/>
      <c r="P76" s="316"/>
      <c r="Q76" s="317"/>
      <c r="R76" s="318"/>
      <c r="S76" s="316"/>
      <c r="T76" s="317"/>
      <c r="U76" s="318"/>
      <c r="V76" s="88"/>
      <c r="W76" s="317"/>
      <c r="X76" s="311"/>
      <c r="Y76" s="94"/>
      <c r="Z76" s="123"/>
      <c r="AA76" s="313"/>
      <c r="AB76" s="17"/>
      <c r="AC76" s="17"/>
      <c r="AD76" s="17"/>
      <c r="AE76" s="17"/>
    </row>
    <row r="77">
      <c r="A77" s="88"/>
      <c r="B77" s="121"/>
      <c r="C77" s="311"/>
      <c r="D77" s="88"/>
      <c r="E77" s="121"/>
      <c r="F77" s="311"/>
      <c r="G77" s="88"/>
      <c r="H77" s="121"/>
      <c r="I77" s="311"/>
      <c r="J77" s="88"/>
      <c r="K77" s="121"/>
      <c r="L77" s="311"/>
      <c r="M77" s="316"/>
      <c r="N77" s="317"/>
      <c r="O77" s="318"/>
      <c r="P77" s="316"/>
      <c r="Q77" s="317"/>
      <c r="R77" s="318"/>
      <c r="S77" s="316"/>
      <c r="T77" s="317"/>
      <c r="U77" s="318"/>
      <c r="V77" s="88"/>
      <c r="W77" s="317"/>
      <c r="X77" s="311"/>
      <c r="Y77" s="94"/>
      <c r="Z77" s="123"/>
      <c r="AA77" s="313"/>
      <c r="AB77" s="17"/>
      <c r="AC77" s="17"/>
      <c r="AD77" s="17"/>
      <c r="AE77" s="17"/>
    </row>
    <row r="78">
      <c r="A78" s="88"/>
      <c r="B78" s="121"/>
      <c r="C78" s="311"/>
      <c r="D78" s="88"/>
      <c r="E78" s="121"/>
      <c r="F78" s="311"/>
      <c r="G78" s="88"/>
      <c r="H78" s="121"/>
      <c r="I78" s="311"/>
      <c r="J78" s="88"/>
      <c r="K78" s="121"/>
      <c r="L78" s="311"/>
      <c r="M78" s="316"/>
      <c r="N78" s="317"/>
      <c r="O78" s="318"/>
      <c r="P78" s="316"/>
      <c r="Q78" s="317"/>
      <c r="R78" s="318"/>
      <c r="S78" s="316"/>
      <c r="T78" s="317"/>
      <c r="U78" s="318"/>
      <c r="V78" s="88"/>
      <c r="W78" s="317"/>
      <c r="X78" s="311"/>
      <c r="Y78" s="94"/>
      <c r="Z78" s="123"/>
      <c r="AA78" s="313"/>
      <c r="AB78" s="17"/>
      <c r="AC78" s="17"/>
      <c r="AD78" s="17"/>
      <c r="AE78" s="17"/>
    </row>
    <row r="79">
      <c r="A79" s="88"/>
      <c r="B79" s="121"/>
      <c r="C79" s="311"/>
      <c r="D79" s="88"/>
      <c r="E79" s="121"/>
      <c r="F79" s="311"/>
      <c r="G79" s="88"/>
      <c r="H79" s="121"/>
      <c r="I79" s="311"/>
      <c r="J79" s="88"/>
      <c r="K79" s="121"/>
      <c r="L79" s="311"/>
      <c r="M79" s="316"/>
      <c r="N79" s="317"/>
      <c r="O79" s="318"/>
      <c r="P79" s="316"/>
      <c r="Q79" s="317"/>
      <c r="R79" s="318"/>
      <c r="S79" s="316"/>
      <c r="T79" s="317"/>
      <c r="U79" s="318"/>
      <c r="V79" s="88"/>
      <c r="W79" s="317"/>
      <c r="X79" s="311"/>
      <c r="Y79" s="94"/>
      <c r="Z79" s="123"/>
      <c r="AA79" s="313"/>
      <c r="AB79" s="17"/>
      <c r="AC79" s="17"/>
      <c r="AD79" s="17"/>
      <c r="AE79" s="17"/>
    </row>
    <row r="80">
      <c r="A80" s="88"/>
      <c r="B80" s="121"/>
      <c r="C80" s="311"/>
      <c r="D80" s="88"/>
      <c r="E80" s="121"/>
      <c r="F80" s="311"/>
      <c r="G80" s="88"/>
      <c r="H80" s="121"/>
      <c r="I80" s="311"/>
      <c r="J80" s="88"/>
      <c r="K80" s="121"/>
      <c r="L80" s="311"/>
      <c r="M80" s="316"/>
      <c r="N80" s="317"/>
      <c r="O80" s="318"/>
      <c r="P80" s="316"/>
      <c r="Q80" s="317"/>
      <c r="R80" s="318"/>
      <c r="S80" s="316"/>
      <c r="T80" s="317"/>
      <c r="U80" s="318"/>
      <c r="V80" s="88"/>
      <c r="W80" s="317"/>
      <c r="X80" s="311"/>
      <c r="Y80" s="94"/>
      <c r="Z80" s="123"/>
      <c r="AA80" s="313"/>
      <c r="AB80" s="17"/>
      <c r="AC80" s="17"/>
      <c r="AD80" s="17"/>
      <c r="AE80" s="17"/>
    </row>
    <row r="81">
      <c r="A81" s="88"/>
      <c r="B81" s="121"/>
      <c r="C81" s="311"/>
      <c r="D81" s="88"/>
      <c r="E81" s="121"/>
      <c r="F81" s="311"/>
      <c r="G81" s="88"/>
      <c r="H81" s="121"/>
      <c r="I81" s="311"/>
      <c r="J81" s="88"/>
      <c r="K81" s="121"/>
      <c r="L81" s="311"/>
      <c r="M81" s="316"/>
      <c r="N81" s="317"/>
      <c r="O81" s="318"/>
      <c r="P81" s="316"/>
      <c r="Q81" s="317"/>
      <c r="R81" s="318"/>
      <c r="S81" s="316"/>
      <c r="T81" s="317"/>
      <c r="U81" s="318"/>
      <c r="V81" s="88"/>
      <c r="W81" s="317"/>
      <c r="X81" s="311"/>
      <c r="Y81" s="94"/>
      <c r="Z81" s="123"/>
      <c r="AA81" s="313"/>
      <c r="AB81" s="17"/>
      <c r="AC81" s="17"/>
      <c r="AD81" s="17"/>
      <c r="AE81" s="17"/>
    </row>
    <row r="82">
      <c r="A82" s="88"/>
      <c r="B82" s="121"/>
      <c r="C82" s="311"/>
      <c r="D82" s="88"/>
      <c r="E82" s="121"/>
      <c r="F82" s="311"/>
      <c r="G82" s="88"/>
      <c r="H82" s="121"/>
      <c r="I82" s="311"/>
      <c r="J82" s="88"/>
      <c r="K82" s="121"/>
      <c r="L82" s="311"/>
      <c r="M82" s="316"/>
      <c r="N82" s="317"/>
      <c r="O82" s="318"/>
      <c r="P82" s="316"/>
      <c r="Q82" s="317"/>
      <c r="R82" s="318"/>
      <c r="S82" s="316"/>
      <c r="T82" s="317"/>
      <c r="U82" s="318"/>
      <c r="V82" s="88"/>
      <c r="W82" s="317"/>
      <c r="X82" s="311"/>
      <c r="Y82" s="94"/>
      <c r="Z82" s="123"/>
      <c r="AA82" s="313"/>
      <c r="AB82" s="17"/>
      <c r="AC82" s="17"/>
      <c r="AD82" s="17"/>
      <c r="AE82" s="17"/>
    </row>
    <row r="83">
      <c r="A83" s="88"/>
      <c r="B83" s="121"/>
      <c r="C83" s="311"/>
      <c r="D83" s="88"/>
      <c r="E83" s="121"/>
      <c r="F83" s="311"/>
      <c r="G83" s="88"/>
      <c r="H83" s="121"/>
      <c r="I83" s="311"/>
      <c r="J83" s="88"/>
      <c r="K83" s="121"/>
      <c r="L83" s="311"/>
      <c r="M83" s="316"/>
      <c r="N83" s="317"/>
      <c r="O83" s="318"/>
      <c r="P83" s="316"/>
      <c r="Q83" s="317"/>
      <c r="R83" s="318"/>
      <c r="S83" s="316"/>
      <c r="T83" s="317"/>
      <c r="U83" s="318"/>
      <c r="V83" s="88"/>
      <c r="W83" s="317"/>
      <c r="X83" s="311"/>
      <c r="Y83" s="94"/>
      <c r="Z83" s="123"/>
      <c r="AA83" s="313"/>
      <c r="AB83" s="17"/>
      <c r="AC83" s="17"/>
      <c r="AD83" s="17"/>
      <c r="AE83" s="17"/>
    </row>
    <row r="84">
      <c r="A84" s="88"/>
      <c r="B84" s="121"/>
      <c r="C84" s="311"/>
      <c r="D84" s="88"/>
      <c r="E84" s="121"/>
      <c r="F84" s="311"/>
      <c r="G84" s="88"/>
      <c r="H84" s="121"/>
      <c r="I84" s="311"/>
      <c r="J84" s="88"/>
      <c r="K84" s="121"/>
      <c r="L84" s="311"/>
      <c r="M84" s="316"/>
      <c r="N84" s="317"/>
      <c r="O84" s="318"/>
      <c r="P84" s="316"/>
      <c r="Q84" s="317"/>
      <c r="R84" s="318"/>
      <c r="S84" s="316"/>
      <c r="T84" s="317"/>
      <c r="U84" s="318"/>
      <c r="V84" s="88"/>
      <c r="W84" s="317"/>
      <c r="X84" s="311"/>
      <c r="Y84" s="94"/>
      <c r="Z84" s="123"/>
      <c r="AA84" s="313"/>
      <c r="AB84" s="17"/>
      <c r="AC84" s="17"/>
      <c r="AD84" s="17"/>
      <c r="AE84" s="17"/>
    </row>
    <row r="85">
      <c r="A85" s="88"/>
      <c r="B85" s="121"/>
      <c r="C85" s="311"/>
      <c r="D85" s="88"/>
      <c r="E85" s="121"/>
      <c r="F85" s="311"/>
      <c r="G85" s="88"/>
      <c r="H85" s="121"/>
      <c r="I85" s="311"/>
      <c r="J85" s="88"/>
      <c r="K85" s="121"/>
      <c r="L85" s="311"/>
      <c r="M85" s="316"/>
      <c r="N85" s="317"/>
      <c r="O85" s="318"/>
      <c r="P85" s="316"/>
      <c r="Q85" s="317"/>
      <c r="R85" s="318"/>
      <c r="S85" s="316"/>
      <c r="T85" s="317"/>
      <c r="U85" s="318"/>
      <c r="V85" s="88"/>
      <c r="W85" s="317"/>
      <c r="X85" s="311"/>
      <c r="Y85" s="94"/>
      <c r="Z85" s="123"/>
      <c r="AA85" s="313"/>
      <c r="AB85" s="17"/>
      <c r="AC85" s="17"/>
      <c r="AD85" s="17"/>
      <c r="AE85" s="17"/>
    </row>
    <row r="86">
      <c r="A86" s="88"/>
      <c r="B86" s="121"/>
      <c r="C86" s="311"/>
      <c r="D86" s="88"/>
      <c r="E86" s="121"/>
      <c r="F86" s="311"/>
      <c r="G86" s="88"/>
      <c r="H86" s="121"/>
      <c r="I86" s="311"/>
      <c r="J86" s="88"/>
      <c r="K86" s="121"/>
      <c r="L86" s="311"/>
      <c r="M86" s="316"/>
      <c r="N86" s="317"/>
      <c r="O86" s="318"/>
      <c r="P86" s="316"/>
      <c r="Q86" s="317"/>
      <c r="R86" s="318"/>
      <c r="S86" s="316"/>
      <c r="T86" s="317"/>
      <c r="U86" s="318"/>
      <c r="V86" s="88"/>
      <c r="W86" s="317"/>
      <c r="X86" s="311"/>
      <c r="Y86" s="94"/>
      <c r="Z86" s="123"/>
      <c r="AA86" s="313"/>
      <c r="AB86" s="17"/>
      <c r="AC86" s="17"/>
      <c r="AD86" s="17"/>
      <c r="AE86" s="17"/>
    </row>
    <row r="87">
      <c r="A87" s="88"/>
      <c r="B87" s="121"/>
      <c r="C87" s="311"/>
      <c r="D87" s="88"/>
      <c r="E87" s="121"/>
      <c r="F87" s="311"/>
      <c r="G87" s="88"/>
      <c r="H87" s="121"/>
      <c r="I87" s="311"/>
      <c r="J87" s="88"/>
      <c r="K87" s="121"/>
      <c r="L87" s="311"/>
      <c r="M87" s="316"/>
      <c r="N87" s="317"/>
      <c r="O87" s="318"/>
      <c r="P87" s="316"/>
      <c r="Q87" s="317"/>
      <c r="R87" s="318"/>
      <c r="S87" s="316"/>
      <c r="T87" s="317"/>
      <c r="U87" s="318"/>
      <c r="V87" s="88"/>
      <c r="W87" s="317"/>
      <c r="X87" s="311"/>
      <c r="Y87" s="94"/>
      <c r="Z87" s="123"/>
      <c r="AA87" s="313"/>
      <c r="AB87" s="17"/>
      <c r="AC87" s="17"/>
      <c r="AD87" s="17"/>
      <c r="AE87" s="17"/>
    </row>
    <row r="88">
      <c r="A88" s="88"/>
      <c r="B88" s="121"/>
      <c r="C88" s="311"/>
      <c r="D88" s="88"/>
      <c r="E88" s="121"/>
      <c r="F88" s="311"/>
      <c r="G88" s="88"/>
      <c r="H88" s="121"/>
      <c r="I88" s="311"/>
      <c r="J88" s="88"/>
      <c r="K88" s="121"/>
      <c r="L88" s="311"/>
      <c r="M88" s="316"/>
      <c r="N88" s="317"/>
      <c r="O88" s="318"/>
      <c r="P88" s="316"/>
      <c r="Q88" s="317"/>
      <c r="R88" s="318"/>
      <c r="S88" s="316"/>
      <c r="T88" s="317"/>
      <c r="U88" s="318"/>
      <c r="V88" s="88"/>
      <c r="W88" s="317"/>
      <c r="X88" s="311"/>
      <c r="Y88" s="94"/>
      <c r="Z88" s="123"/>
      <c r="AA88" s="313"/>
      <c r="AB88" s="17"/>
      <c r="AC88" s="17"/>
      <c r="AD88" s="17"/>
      <c r="AE88" s="17"/>
    </row>
    <row r="89">
      <c r="A89" s="88"/>
      <c r="B89" s="121"/>
      <c r="C89" s="311"/>
      <c r="D89" s="88"/>
      <c r="E89" s="121"/>
      <c r="F89" s="311"/>
      <c r="G89" s="88"/>
      <c r="H89" s="121"/>
      <c r="I89" s="311"/>
      <c r="J89" s="88"/>
      <c r="K89" s="121"/>
      <c r="L89" s="311"/>
      <c r="M89" s="316"/>
      <c r="N89" s="317"/>
      <c r="O89" s="318"/>
      <c r="P89" s="316"/>
      <c r="Q89" s="317"/>
      <c r="R89" s="318"/>
      <c r="S89" s="316"/>
      <c r="T89" s="317"/>
      <c r="U89" s="318"/>
      <c r="V89" s="88"/>
      <c r="W89" s="317"/>
      <c r="X89" s="311"/>
      <c r="Y89" s="94"/>
      <c r="Z89" s="123"/>
      <c r="AA89" s="313"/>
      <c r="AB89" s="17"/>
      <c r="AC89" s="17"/>
      <c r="AD89" s="17"/>
      <c r="AE89" s="17"/>
    </row>
    <row r="90">
      <c r="A90" s="88"/>
      <c r="B90" s="121"/>
      <c r="C90" s="311"/>
      <c r="D90" s="88"/>
      <c r="E90" s="121"/>
      <c r="F90" s="311"/>
      <c r="G90" s="88"/>
      <c r="H90" s="121"/>
      <c r="I90" s="311"/>
      <c r="J90" s="88"/>
      <c r="K90" s="121"/>
      <c r="L90" s="311"/>
      <c r="M90" s="316"/>
      <c r="N90" s="317"/>
      <c r="O90" s="318"/>
      <c r="P90" s="316"/>
      <c r="Q90" s="317"/>
      <c r="R90" s="318"/>
      <c r="S90" s="316"/>
      <c r="T90" s="317"/>
      <c r="U90" s="318"/>
      <c r="V90" s="88"/>
      <c r="W90" s="317"/>
      <c r="X90" s="311"/>
      <c r="Y90" s="94"/>
      <c r="Z90" s="123"/>
      <c r="AA90" s="313"/>
      <c r="AB90" s="17"/>
      <c r="AC90" s="17"/>
      <c r="AD90" s="17"/>
      <c r="AE90" s="17"/>
    </row>
    <row r="91">
      <c r="A91" s="88"/>
      <c r="B91" s="121"/>
      <c r="C91" s="311"/>
      <c r="D91" s="88"/>
      <c r="E91" s="121"/>
      <c r="F91" s="311"/>
      <c r="G91" s="88"/>
      <c r="H91" s="121"/>
      <c r="I91" s="311"/>
      <c r="J91" s="88"/>
      <c r="K91" s="121"/>
      <c r="L91" s="311"/>
      <c r="M91" s="316"/>
      <c r="N91" s="317"/>
      <c r="O91" s="318"/>
      <c r="P91" s="316"/>
      <c r="Q91" s="317"/>
      <c r="R91" s="318"/>
      <c r="S91" s="316"/>
      <c r="T91" s="317"/>
      <c r="U91" s="318"/>
      <c r="V91" s="88"/>
      <c r="W91" s="317"/>
      <c r="X91" s="311"/>
      <c r="Y91" s="94"/>
      <c r="Z91" s="123"/>
      <c r="AA91" s="313"/>
      <c r="AB91" s="17"/>
      <c r="AC91" s="17"/>
      <c r="AD91" s="17"/>
      <c r="AE91" s="17"/>
    </row>
    <row r="92">
      <c r="A92" s="88"/>
      <c r="B92" s="121"/>
      <c r="C92" s="311"/>
      <c r="D92" s="88"/>
      <c r="E92" s="121"/>
      <c r="F92" s="311"/>
      <c r="G92" s="88"/>
      <c r="H92" s="121"/>
      <c r="I92" s="311"/>
      <c r="J92" s="88"/>
      <c r="K92" s="121"/>
      <c r="L92" s="311"/>
      <c r="M92" s="316"/>
      <c r="N92" s="317"/>
      <c r="O92" s="318"/>
      <c r="P92" s="316"/>
      <c r="Q92" s="317"/>
      <c r="R92" s="318"/>
      <c r="S92" s="316"/>
      <c r="T92" s="317"/>
      <c r="U92" s="318"/>
      <c r="V92" s="88"/>
      <c r="W92" s="317"/>
      <c r="X92" s="311"/>
      <c r="Y92" s="94"/>
      <c r="Z92" s="123"/>
      <c r="AA92" s="313"/>
      <c r="AB92" s="17"/>
      <c r="AC92" s="17"/>
      <c r="AD92" s="17"/>
      <c r="AE92" s="17"/>
    </row>
    <row r="93">
      <c r="A93" s="88"/>
      <c r="B93" s="121"/>
      <c r="C93" s="311"/>
      <c r="D93" s="88"/>
      <c r="E93" s="121"/>
      <c r="F93" s="311"/>
      <c r="G93" s="88"/>
      <c r="H93" s="121"/>
      <c r="I93" s="311"/>
      <c r="J93" s="88"/>
      <c r="K93" s="121"/>
      <c r="L93" s="311"/>
      <c r="M93" s="316"/>
      <c r="N93" s="317"/>
      <c r="O93" s="318"/>
      <c r="P93" s="316"/>
      <c r="Q93" s="317"/>
      <c r="R93" s="318"/>
      <c r="S93" s="316"/>
      <c r="T93" s="317"/>
      <c r="U93" s="318"/>
      <c r="V93" s="88"/>
      <c r="W93" s="317"/>
      <c r="X93" s="311"/>
      <c r="Y93" s="94"/>
      <c r="Z93" s="123"/>
      <c r="AA93" s="313"/>
      <c r="AB93" s="17"/>
      <c r="AC93" s="17"/>
      <c r="AD93" s="17"/>
      <c r="AE93" s="17"/>
    </row>
    <row r="94">
      <c r="A94" s="88"/>
      <c r="B94" s="121"/>
      <c r="C94" s="311"/>
      <c r="D94" s="88"/>
      <c r="E94" s="121"/>
      <c r="F94" s="311"/>
      <c r="G94" s="88"/>
      <c r="H94" s="121"/>
      <c r="I94" s="311"/>
      <c r="J94" s="88"/>
      <c r="K94" s="121"/>
      <c r="L94" s="311"/>
      <c r="M94" s="316"/>
      <c r="N94" s="317"/>
      <c r="O94" s="318"/>
      <c r="P94" s="316"/>
      <c r="Q94" s="317"/>
      <c r="R94" s="318"/>
      <c r="S94" s="316"/>
      <c r="T94" s="317"/>
      <c r="U94" s="318"/>
      <c r="V94" s="88"/>
      <c r="W94" s="317"/>
      <c r="X94" s="311"/>
      <c r="Y94" s="94"/>
      <c r="Z94" s="123"/>
      <c r="AA94" s="313"/>
      <c r="AB94" s="17"/>
      <c r="AC94" s="17"/>
      <c r="AD94" s="17"/>
      <c r="AE94" s="17"/>
    </row>
    <row r="95">
      <c r="A95" s="88"/>
      <c r="B95" s="121"/>
      <c r="C95" s="311"/>
      <c r="D95" s="88"/>
      <c r="E95" s="121"/>
      <c r="F95" s="311"/>
      <c r="G95" s="88"/>
      <c r="H95" s="121"/>
      <c r="I95" s="311"/>
      <c r="J95" s="88"/>
      <c r="K95" s="121"/>
      <c r="L95" s="311"/>
      <c r="M95" s="316"/>
      <c r="N95" s="317"/>
      <c r="O95" s="318"/>
      <c r="P95" s="316"/>
      <c r="Q95" s="317"/>
      <c r="R95" s="318"/>
      <c r="S95" s="316"/>
      <c r="T95" s="317"/>
      <c r="U95" s="318"/>
      <c r="V95" s="88"/>
      <c r="W95" s="317"/>
      <c r="X95" s="311"/>
      <c r="Y95" s="94"/>
      <c r="Z95" s="123"/>
      <c r="AA95" s="313"/>
      <c r="AB95" s="17"/>
      <c r="AC95" s="17"/>
      <c r="AD95" s="17"/>
      <c r="AE95" s="17"/>
    </row>
    <row r="96">
      <c r="A96" s="88"/>
      <c r="B96" s="121"/>
      <c r="C96" s="311"/>
      <c r="D96" s="88"/>
      <c r="E96" s="121"/>
      <c r="F96" s="311"/>
      <c r="G96" s="88"/>
      <c r="H96" s="121"/>
      <c r="I96" s="311"/>
      <c r="J96" s="88"/>
      <c r="K96" s="121"/>
      <c r="L96" s="311"/>
      <c r="M96" s="316"/>
      <c r="N96" s="317"/>
      <c r="O96" s="318"/>
      <c r="P96" s="316"/>
      <c r="Q96" s="317"/>
      <c r="R96" s="318"/>
      <c r="S96" s="316"/>
      <c r="T96" s="317"/>
      <c r="U96" s="318"/>
      <c r="V96" s="88"/>
      <c r="W96" s="317"/>
      <c r="X96" s="311"/>
      <c r="Y96" s="94"/>
      <c r="Z96" s="123"/>
      <c r="AA96" s="313"/>
      <c r="AB96" s="17"/>
      <c r="AC96" s="17"/>
      <c r="AD96" s="17"/>
      <c r="AE96" s="17"/>
    </row>
    <row r="97">
      <c r="A97" s="88"/>
      <c r="B97" s="121"/>
      <c r="C97" s="311"/>
      <c r="D97" s="88"/>
      <c r="E97" s="121"/>
      <c r="F97" s="311"/>
      <c r="G97" s="88"/>
      <c r="H97" s="121"/>
      <c r="I97" s="311"/>
      <c r="J97" s="88"/>
      <c r="K97" s="121"/>
      <c r="L97" s="311"/>
      <c r="M97" s="316"/>
      <c r="N97" s="317"/>
      <c r="O97" s="318"/>
      <c r="P97" s="316"/>
      <c r="Q97" s="317"/>
      <c r="R97" s="318"/>
      <c r="S97" s="316"/>
      <c r="T97" s="317"/>
      <c r="U97" s="318"/>
      <c r="V97" s="88"/>
      <c r="W97" s="317"/>
      <c r="X97" s="311"/>
      <c r="Y97" s="94"/>
      <c r="Z97" s="123"/>
      <c r="AA97" s="313"/>
      <c r="AB97" s="17"/>
      <c r="AC97" s="17"/>
      <c r="AD97" s="17"/>
      <c r="AE97" s="17"/>
    </row>
    <row r="98">
      <c r="A98" s="88"/>
      <c r="B98" s="121"/>
      <c r="C98" s="311"/>
      <c r="D98" s="88"/>
      <c r="E98" s="121"/>
      <c r="F98" s="311"/>
      <c r="G98" s="88"/>
      <c r="H98" s="121"/>
      <c r="I98" s="311"/>
      <c r="J98" s="88"/>
      <c r="K98" s="121"/>
      <c r="L98" s="311"/>
      <c r="M98" s="316"/>
      <c r="N98" s="317"/>
      <c r="O98" s="318"/>
      <c r="P98" s="316"/>
      <c r="Q98" s="317"/>
      <c r="R98" s="318"/>
      <c r="S98" s="316"/>
      <c r="T98" s="317"/>
      <c r="U98" s="318"/>
      <c r="V98" s="88"/>
      <c r="W98" s="317"/>
      <c r="X98" s="311"/>
      <c r="Y98" s="94"/>
      <c r="Z98" s="123"/>
      <c r="AA98" s="313"/>
      <c r="AB98" s="17"/>
      <c r="AC98" s="17"/>
      <c r="AD98" s="17"/>
      <c r="AE98" s="17"/>
    </row>
    <row r="99">
      <c r="A99" s="88"/>
      <c r="B99" s="121"/>
      <c r="C99" s="311"/>
      <c r="D99" s="88"/>
      <c r="E99" s="121"/>
      <c r="F99" s="311"/>
      <c r="G99" s="88"/>
      <c r="H99" s="121"/>
      <c r="I99" s="311"/>
      <c r="J99" s="88"/>
      <c r="K99" s="121"/>
      <c r="L99" s="311"/>
      <c r="M99" s="316"/>
      <c r="N99" s="317"/>
      <c r="O99" s="318"/>
      <c r="P99" s="316"/>
      <c r="Q99" s="317"/>
      <c r="R99" s="318"/>
      <c r="S99" s="316"/>
      <c r="T99" s="317"/>
      <c r="U99" s="318"/>
      <c r="V99" s="88"/>
      <c r="W99" s="317"/>
      <c r="X99" s="311"/>
      <c r="Y99" s="94"/>
      <c r="Z99" s="123"/>
      <c r="AA99" s="313"/>
      <c r="AB99" s="17"/>
      <c r="AC99" s="17"/>
      <c r="AD99" s="17"/>
      <c r="AE99" s="17"/>
    </row>
    <row r="100">
      <c r="A100" s="88"/>
      <c r="B100" s="121"/>
      <c r="C100" s="311"/>
      <c r="D100" s="88"/>
      <c r="E100" s="121"/>
      <c r="F100" s="311"/>
      <c r="G100" s="88"/>
      <c r="H100" s="121"/>
      <c r="I100" s="311"/>
      <c r="J100" s="88"/>
      <c r="K100" s="121"/>
      <c r="L100" s="311"/>
      <c r="M100" s="316"/>
      <c r="N100" s="317"/>
      <c r="O100" s="318"/>
      <c r="P100" s="316"/>
      <c r="Q100" s="317"/>
      <c r="R100" s="318"/>
      <c r="S100" s="316"/>
      <c r="T100" s="317"/>
      <c r="U100" s="318"/>
      <c r="V100" s="88"/>
      <c r="W100" s="317"/>
      <c r="X100" s="311"/>
      <c r="Y100" s="94"/>
      <c r="Z100" s="123"/>
      <c r="AA100" s="313"/>
      <c r="AB100" s="17"/>
      <c r="AC100" s="17"/>
      <c r="AD100" s="17"/>
      <c r="AE100" s="17"/>
    </row>
    <row r="101">
      <c r="A101" s="88"/>
      <c r="B101" s="121"/>
      <c r="C101" s="311"/>
      <c r="D101" s="88"/>
      <c r="E101" s="121"/>
      <c r="F101" s="311"/>
      <c r="G101" s="88"/>
      <c r="H101" s="121"/>
      <c r="I101" s="311"/>
      <c r="J101" s="88"/>
      <c r="K101" s="121"/>
      <c r="L101" s="311"/>
      <c r="M101" s="316"/>
      <c r="N101" s="317"/>
      <c r="O101" s="318"/>
      <c r="P101" s="316"/>
      <c r="Q101" s="317"/>
      <c r="R101" s="318"/>
      <c r="S101" s="316"/>
      <c r="T101" s="317"/>
      <c r="U101" s="318"/>
      <c r="V101" s="88"/>
      <c r="W101" s="317"/>
      <c r="X101" s="311"/>
      <c r="Y101" s="94"/>
      <c r="Z101" s="123"/>
      <c r="AA101" s="313"/>
      <c r="AB101" s="17"/>
      <c r="AC101" s="17"/>
      <c r="AD101" s="17"/>
      <c r="AE101" s="17"/>
    </row>
    <row r="102">
      <c r="A102" s="88"/>
      <c r="B102" s="121"/>
      <c r="C102" s="311"/>
      <c r="D102" s="88"/>
      <c r="E102" s="121"/>
      <c r="F102" s="311"/>
      <c r="G102" s="88"/>
      <c r="H102" s="121"/>
      <c r="I102" s="311"/>
      <c r="J102" s="88"/>
      <c r="K102" s="121"/>
      <c r="L102" s="311"/>
      <c r="M102" s="316"/>
      <c r="N102" s="317"/>
      <c r="O102" s="318"/>
      <c r="P102" s="316"/>
      <c r="Q102" s="317"/>
      <c r="R102" s="318"/>
      <c r="S102" s="316"/>
      <c r="T102" s="317"/>
      <c r="U102" s="318"/>
      <c r="V102" s="88"/>
      <c r="W102" s="317"/>
      <c r="X102" s="311"/>
      <c r="Y102" s="94"/>
      <c r="Z102" s="123"/>
      <c r="AA102" s="313"/>
      <c r="AB102" s="17"/>
      <c r="AC102" s="17"/>
      <c r="AD102" s="17"/>
      <c r="AE102" s="17"/>
    </row>
    <row r="103">
      <c r="A103" s="88"/>
      <c r="B103" s="121"/>
      <c r="C103" s="311"/>
      <c r="D103" s="88"/>
      <c r="E103" s="121"/>
      <c r="F103" s="311"/>
      <c r="G103" s="88"/>
      <c r="H103" s="121"/>
      <c r="I103" s="311"/>
      <c r="J103" s="88"/>
      <c r="K103" s="121"/>
      <c r="L103" s="311"/>
      <c r="M103" s="316"/>
      <c r="N103" s="317"/>
      <c r="O103" s="318"/>
      <c r="P103" s="316"/>
      <c r="Q103" s="317"/>
      <c r="R103" s="318"/>
      <c r="S103" s="316"/>
      <c r="T103" s="317"/>
      <c r="U103" s="318"/>
      <c r="V103" s="88"/>
      <c r="W103" s="317"/>
      <c r="X103" s="311"/>
      <c r="Y103" s="94"/>
      <c r="Z103" s="123"/>
      <c r="AA103" s="313"/>
      <c r="AB103" s="17"/>
      <c r="AC103" s="17"/>
      <c r="AD103" s="17"/>
      <c r="AE103" s="17"/>
    </row>
    <row r="104">
      <c r="A104" s="88"/>
      <c r="B104" s="121"/>
      <c r="C104" s="311"/>
      <c r="D104" s="88"/>
      <c r="E104" s="121"/>
      <c r="F104" s="311"/>
      <c r="G104" s="88"/>
      <c r="H104" s="121"/>
      <c r="I104" s="311"/>
      <c r="J104" s="88"/>
      <c r="K104" s="121"/>
      <c r="L104" s="311"/>
      <c r="M104" s="316"/>
      <c r="N104" s="317"/>
      <c r="O104" s="318"/>
      <c r="P104" s="316"/>
      <c r="Q104" s="317"/>
      <c r="R104" s="318"/>
      <c r="S104" s="316"/>
      <c r="T104" s="317"/>
      <c r="U104" s="318"/>
      <c r="V104" s="88"/>
      <c r="W104" s="317"/>
      <c r="X104" s="311"/>
      <c r="Y104" s="94"/>
      <c r="Z104" s="123"/>
      <c r="AA104" s="313"/>
      <c r="AB104" s="17"/>
      <c r="AC104" s="17"/>
      <c r="AD104" s="17"/>
      <c r="AE104" s="17"/>
    </row>
    <row r="105">
      <c r="A105" s="88"/>
      <c r="B105" s="121"/>
      <c r="C105" s="311"/>
      <c r="D105" s="88"/>
      <c r="E105" s="121"/>
      <c r="F105" s="311"/>
      <c r="G105" s="88"/>
      <c r="H105" s="121"/>
      <c r="I105" s="311"/>
      <c r="J105" s="88"/>
      <c r="K105" s="121"/>
      <c r="L105" s="311"/>
      <c r="M105" s="316"/>
      <c r="N105" s="317"/>
      <c r="O105" s="318"/>
      <c r="P105" s="316"/>
      <c r="Q105" s="317"/>
      <c r="R105" s="318"/>
      <c r="S105" s="316"/>
      <c r="T105" s="317"/>
      <c r="U105" s="318"/>
      <c r="V105" s="88"/>
      <c r="W105" s="317"/>
      <c r="X105" s="311"/>
      <c r="Y105" s="94"/>
      <c r="Z105" s="123"/>
      <c r="AA105" s="313"/>
      <c r="AB105" s="17"/>
      <c r="AC105" s="17"/>
      <c r="AD105" s="17"/>
      <c r="AE105" s="17"/>
    </row>
    <row r="106">
      <c r="A106" s="88"/>
      <c r="B106" s="121"/>
      <c r="C106" s="311"/>
      <c r="D106" s="88"/>
      <c r="E106" s="121"/>
      <c r="F106" s="311"/>
      <c r="G106" s="88"/>
      <c r="H106" s="121"/>
      <c r="I106" s="311"/>
      <c r="J106" s="88"/>
      <c r="K106" s="121"/>
      <c r="L106" s="311"/>
      <c r="M106" s="316"/>
      <c r="N106" s="317"/>
      <c r="O106" s="318"/>
      <c r="P106" s="316"/>
      <c r="Q106" s="317"/>
      <c r="R106" s="318"/>
      <c r="S106" s="316"/>
      <c r="T106" s="317"/>
      <c r="U106" s="318"/>
      <c r="V106" s="88"/>
      <c r="W106" s="317"/>
      <c r="X106" s="311"/>
      <c r="Y106" s="94"/>
      <c r="Z106" s="123"/>
      <c r="AA106" s="313"/>
      <c r="AB106" s="17"/>
      <c r="AC106" s="17"/>
      <c r="AD106" s="17"/>
      <c r="AE106" s="17"/>
    </row>
    <row r="107">
      <c r="A107" s="88"/>
      <c r="B107" s="121"/>
      <c r="C107" s="311"/>
      <c r="D107" s="88"/>
      <c r="E107" s="121"/>
      <c r="F107" s="311"/>
      <c r="G107" s="88"/>
      <c r="H107" s="121"/>
      <c r="I107" s="311"/>
      <c r="J107" s="88"/>
      <c r="K107" s="121"/>
      <c r="L107" s="311"/>
      <c r="M107" s="316"/>
      <c r="N107" s="317"/>
      <c r="O107" s="318"/>
      <c r="P107" s="316"/>
      <c r="Q107" s="317"/>
      <c r="R107" s="318"/>
      <c r="S107" s="316"/>
      <c r="T107" s="317"/>
      <c r="U107" s="318"/>
      <c r="V107" s="88"/>
      <c r="W107" s="317"/>
      <c r="X107" s="311"/>
      <c r="Y107" s="94"/>
      <c r="Z107" s="123"/>
      <c r="AA107" s="313"/>
      <c r="AB107" s="17"/>
      <c r="AC107" s="17"/>
      <c r="AD107" s="17"/>
      <c r="AE107" s="17"/>
    </row>
    <row r="108">
      <c r="A108" s="88"/>
      <c r="B108" s="121"/>
      <c r="C108" s="311"/>
      <c r="D108" s="88"/>
      <c r="E108" s="121"/>
      <c r="F108" s="311"/>
      <c r="G108" s="88"/>
      <c r="H108" s="121"/>
      <c r="I108" s="311"/>
      <c r="J108" s="88"/>
      <c r="K108" s="121"/>
      <c r="L108" s="311"/>
      <c r="M108" s="316"/>
      <c r="N108" s="317"/>
      <c r="O108" s="318"/>
      <c r="P108" s="316"/>
      <c r="Q108" s="317"/>
      <c r="R108" s="318"/>
      <c r="S108" s="316"/>
      <c r="T108" s="317"/>
      <c r="U108" s="318"/>
      <c r="V108" s="88"/>
      <c r="W108" s="317"/>
      <c r="X108" s="311"/>
      <c r="Y108" s="94"/>
      <c r="Z108" s="123"/>
      <c r="AA108" s="313"/>
      <c r="AB108" s="17"/>
      <c r="AC108" s="17"/>
      <c r="AD108" s="17"/>
      <c r="AE108" s="17"/>
    </row>
    <row r="109">
      <c r="A109" s="88"/>
      <c r="B109" s="121"/>
      <c r="C109" s="311"/>
      <c r="D109" s="88"/>
      <c r="E109" s="121"/>
      <c r="F109" s="311"/>
      <c r="G109" s="88"/>
      <c r="H109" s="121"/>
      <c r="I109" s="311"/>
      <c r="J109" s="88"/>
      <c r="K109" s="121"/>
      <c r="L109" s="311"/>
      <c r="M109" s="316"/>
      <c r="N109" s="317"/>
      <c r="O109" s="318"/>
      <c r="P109" s="316"/>
      <c r="Q109" s="317"/>
      <c r="R109" s="318"/>
      <c r="S109" s="316"/>
      <c r="T109" s="317"/>
      <c r="U109" s="318"/>
      <c r="V109" s="88"/>
      <c r="W109" s="317"/>
      <c r="X109" s="311"/>
      <c r="Y109" s="94"/>
      <c r="Z109" s="123"/>
      <c r="AA109" s="313"/>
      <c r="AB109" s="17"/>
      <c r="AC109" s="17"/>
      <c r="AD109" s="17"/>
      <c r="AE109" s="17"/>
    </row>
    <row r="110">
      <c r="A110" s="88"/>
      <c r="B110" s="121"/>
      <c r="C110" s="311"/>
      <c r="D110" s="88"/>
      <c r="E110" s="121"/>
      <c r="F110" s="311"/>
      <c r="G110" s="88"/>
      <c r="H110" s="121"/>
      <c r="I110" s="311"/>
      <c r="J110" s="88"/>
      <c r="K110" s="121"/>
      <c r="L110" s="311"/>
      <c r="M110" s="316"/>
      <c r="N110" s="317"/>
      <c r="O110" s="318"/>
      <c r="P110" s="316"/>
      <c r="Q110" s="317"/>
      <c r="R110" s="318"/>
      <c r="S110" s="316"/>
      <c r="T110" s="317"/>
      <c r="U110" s="318"/>
      <c r="V110" s="88"/>
      <c r="W110" s="317"/>
      <c r="X110" s="311"/>
      <c r="Y110" s="94"/>
      <c r="Z110" s="123"/>
      <c r="AA110" s="313"/>
      <c r="AB110" s="17"/>
      <c r="AC110" s="17"/>
      <c r="AD110" s="17"/>
      <c r="AE110" s="17"/>
    </row>
    <row r="111">
      <c r="A111" s="88"/>
      <c r="B111" s="121"/>
      <c r="C111" s="311"/>
      <c r="D111" s="88"/>
      <c r="E111" s="121"/>
      <c r="F111" s="311"/>
      <c r="G111" s="88"/>
      <c r="H111" s="121"/>
      <c r="I111" s="311"/>
      <c r="J111" s="88"/>
      <c r="K111" s="121"/>
      <c r="L111" s="311"/>
      <c r="M111" s="316"/>
      <c r="N111" s="317"/>
      <c r="O111" s="318"/>
      <c r="P111" s="316"/>
      <c r="Q111" s="317"/>
      <c r="R111" s="318"/>
      <c r="S111" s="316"/>
      <c r="T111" s="317"/>
      <c r="U111" s="318"/>
      <c r="V111" s="88"/>
      <c r="W111" s="317"/>
      <c r="X111" s="311"/>
      <c r="Y111" s="94"/>
      <c r="Z111" s="123"/>
      <c r="AA111" s="313"/>
      <c r="AB111" s="17"/>
      <c r="AC111" s="17"/>
      <c r="AD111" s="17"/>
      <c r="AE111" s="17"/>
    </row>
    <row r="112">
      <c r="A112" s="88"/>
      <c r="B112" s="121"/>
      <c r="C112" s="311"/>
      <c r="D112" s="88"/>
      <c r="E112" s="121"/>
      <c r="F112" s="311"/>
      <c r="G112" s="88"/>
      <c r="H112" s="121"/>
      <c r="I112" s="311"/>
      <c r="J112" s="88"/>
      <c r="K112" s="121"/>
      <c r="L112" s="311"/>
      <c r="M112" s="316"/>
      <c r="N112" s="317"/>
      <c r="O112" s="318"/>
      <c r="P112" s="316"/>
      <c r="Q112" s="317"/>
      <c r="R112" s="318"/>
      <c r="S112" s="316"/>
      <c r="T112" s="317"/>
      <c r="U112" s="318"/>
      <c r="V112" s="88"/>
      <c r="W112" s="317"/>
      <c r="X112" s="311"/>
      <c r="Y112" s="94"/>
      <c r="Z112" s="123"/>
      <c r="AA112" s="313"/>
      <c r="AB112" s="17"/>
      <c r="AC112" s="17"/>
      <c r="AD112" s="17"/>
      <c r="AE112" s="17"/>
    </row>
    <row r="113">
      <c r="A113" s="88"/>
      <c r="B113" s="121"/>
      <c r="C113" s="311"/>
      <c r="D113" s="88"/>
      <c r="E113" s="121"/>
      <c r="F113" s="311"/>
      <c r="G113" s="88"/>
      <c r="H113" s="121"/>
      <c r="I113" s="311"/>
      <c r="J113" s="88"/>
      <c r="K113" s="121"/>
      <c r="L113" s="311"/>
      <c r="M113" s="316"/>
      <c r="N113" s="317"/>
      <c r="O113" s="318"/>
      <c r="P113" s="316"/>
      <c r="Q113" s="317"/>
      <c r="R113" s="318"/>
      <c r="S113" s="316"/>
      <c r="T113" s="317"/>
      <c r="U113" s="318"/>
      <c r="V113" s="88"/>
      <c r="W113" s="317"/>
      <c r="X113" s="311"/>
      <c r="Y113" s="94"/>
      <c r="Z113" s="123"/>
      <c r="AA113" s="313"/>
      <c r="AB113" s="17"/>
      <c r="AC113" s="17"/>
      <c r="AD113" s="17"/>
      <c r="AE113" s="17"/>
    </row>
    <row r="114">
      <c r="A114" s="88"/>
      <c r="B114" s="121"/>
      <c r="C114" s="311"/>
      <c r="D114" s="88"/>
      <c r="E114" s="121"/>
      <c r="F114" s="311"/>
      <c r="G114" s="88"/>
      <c r="H114" s="121"/>
      <c r="I114" s="311"/>
      <c r="J114" s="88"/>
      <c r="K114" s="121"/>
      <c r="L114" s="311"/>
      <c r="M114" s="316"/>
      <c r="N114" s="317"/>
      <c r="O114" s="318"/>
      <c r="P114" s="316"/>
      <c r="Q114" s="317"/>
      <c r="R114" s="318"/>
      <c r="S114" s="316"/>
      <c r="T114" s="317"/>
      <c r="U114" s="318"/>
      <c r="V114" s="88"/>
      <c r="W114" s="317"/>
      <c r="X114" s="311"/>
      <c r="Y114" s="94"/>
      <c r="Z114" s="123"/>
      <c r="AA114" s="313"/>
      <c r="AB114" s="17"/>
      <c r="AC114" s="17"/>
      <c r="AD114" s="17"/>
      <c r="AE114" s="17"/>
    </row>
    <row r="115">
      <c r="A115" s="88"/>
      <c r="B115" s="121"/>
      <c r="C115" s="311"/>
      <c r="D115" s="88"/>
      <c r="E115" s="121"/>
      <c r="F115" s="311"/>
      <c r="G115" s="88"/>
      <c r="H115" s="121"/>
      <c r="I115" s="311"/>
      <c r="J115" s="88"/>
      <c r="K115" s="121"/>
      <c r="L115" s="311"/>
      <c r="M115" s="316"/>
      <c r="N115" s="317"/>
      <c r="O115" s="318"/>
      <c r="P115" s="316"/>
      <c r="Q115" s="317"/>
      <c r="R115" s="318"/>
      <c r="S115" s="316"/>
      <c r="T115" s="317"/>
      <c r="U115" s="318"/>
      <c r="V115" s="88"/>
      <c r="W115" s="317"/>
      <c r="X115" s="311"/>
      <c r="Y115" s="94"/>
      <c r="Z115" s="123"/>
      <c r="AA115" s="313"/>
      <c r="AB115" s="17"/>
      <c r="AC115" s="17"/>
      <c r="AD115" s="17"/>
      <c r="AE115" s="17"/>
    </row>
    <row r="116">
      <c r="A116" s="88"/>
      <c r="B116" s="121"/>
      <c r="C116" s="311"/>
      <c r="D116" s="88"/>
      <c r="E116" s="121"/>
      <c r="F116" s="311"/>
      <c r="G116" s="88"/>
      <c r="H116" s="121"/>
      <c r="I116" s="311"/>
      <c r="J116" s="88"/>
      <c r="K116" s="121"/>
      <c r="L116" s="311"/>
      <c r="M116" s="316"/>
      <c r="N116" s="317"/>
      <c r="O116" s="318"/>
      <c r="P116" s="316"/>
      <c r="Q116" s="317"/>
      <c r="R116" s="318"/>
      <c r="S116" s="316"/>
      <c r="T116" s="317"/>
      <c r="U116" s="318"/>
      <c r="V116" s="88"/>
      <c r="W116" s="317"/>
      <c r="X116" s="311"/>
      <c r="Y116" s="94"/>
      <c r="Z116" s="123"/>
      <c r="AA116" s="313"/>
      <c r="AB116" s="17"/>
      <c r="AC116" s="17"/>
      <c r="AD116" s="17"/>
      <c r="AE116" s="17"/>
    </row>
    <row r="117">
      <c r="A117" s="88"/>
      <c r="B117" s="121"/>
      <c r="C117" s="311"/>
      <c r="D117" s="88"/>
      <c r="E117" s="121"/>
      <c r="F117" s="311"/>
      <c r="G117" s="88"/>
      <c r="H117" s="121"/>
      <c r="I117" s="311"/>
      <c r="J117" s="88"/>
      <c r="K117" s="121"/>
      <c r="L117" s="311"/>
      <c r="M117" s="316"/>
      <c r="N117" s="317"/>
      <c r="O117" s="318"/>
      <c r="P117" s="316"/>
      <c r="Q117" s="317"/>
      <c r="R117" s="318"/>
      <c r="S117" s="316"/>
      <c r="T117" s="317"/>
      <c r="U117" s="318"/>
      <c r="V117" s="88"/>
      <c r="W117" s="317"/>
      <c r="X117" s="311"/>
      <c r="Y117" s="94"/>
      <c r="Z117" s="123"/>
      <c r="AA117" s="313"/>
      <c r="AB117" s="17"/>
      <c r="AC117" s="17"/>
      <c r="AD117" s="17"/>
      <c r="AE117" s="17"/>
    </row>
    <row r="118">
      <c r="A118" s="88"/>
      <c r="B118" s="121"/>
      <c r="C118" s="311"/>
      <c r="D118" s="88"/>
      <c r="E118" s="121"/>
      <c r="F118" s="311"/>
      <c r="G118" s="88"/>
      <c r="H118" s="121"/>
      <c r="I118" s="311"/>
      <c r="J118" s="88"/>
      <c r="K118" s="121"/>
      <c r="L118" s="311"/>
      <c r="M118" s="316"/>
      <c r="N118" s="317"/>
      <c r="O118" s="318"/>
      <c r="P118" s="316"/>
      <c r="Q118" s="317"/>
      <c r="R118" s="318"/>
      <c r="S118" s="316"/>
      <c r="T118" s="317"/>
      <c r="U118" s="318"/>
      <c r="V118" s="88"/>
      <c r="W118" s="317"/>
      <c r="X118" s="311"/>
      <c r="Y118" s="94"/>
      <c r="Z118" s="123"/>
      <c r="AA118" s="313"/>
      <c r="AB118" s="17"/>
      <c r="AC118" s="17"/>
      <c r="AD118" s="17"/>
      <c r="AE118" s="17"/>
    </row>
    <row r="119">
      <c r="A119" s="88"/>
      <c r="B119" s="121"/>
      <c r="C119" s="311"/>
      <c r="D119" s="88"/>
      <c r="E119" s="121"/>
      <c r="F119" s="311"/>
      <c r="G119" s="88"/>
      <c r="H119" s="121"/>
      <c r="I119" s="311"/>
      <c r="J119" s="88"/>
      <c r="K119" s="121"/>
      <c r="L119" s="311"/>
      <c r="M119" s="316"/>
      <c r="N119" s="317"/>
      <c r="O119" s="318"/>
      <c r="P119" s="316"/>
      <c r="Q119" s="317"/>
      <c r="R119" s="318"/>
      <c r="S119" s="316"/>
      <c r="T119" s="317"/>
      <c r="U119" s="318"/>
      <c r="V119" s="88"/>
      <c r="W119" s="317"/>
      <c r="X119" s="311"/>
      <c r="Y119" s="94"/>
      <c r="Z119" s="123"/>
      <c r="AA119" s="313"/>
      <c r="AB119" s="17"/>
      <c r="AC119" s="17"/>
      <c r="AD119" s="17"/>
      <c r="AE119" s="17"/>
    </row>
    <row r="120">
      <c r="A120" s="88"/>
      <c r="B120" s="121"/>
      <c r="C120" s="311"/>
      <c r="D120" s="88"/>
      <c r="E120" s="121"/>
      <c r="F120" s="311"/>
      <c r="G120" s="88"/>
      <c r="H120" s="121"/>
      <c r="I120" s="311"/>
      <c r="J120" s="88"/>
      <c r="K120" s="121"/>
      <c r="L120" s="311"/>
      <c r="M120" s="316"/>
      <c r="N120" s="317"/>
      <c r="O120" s="318"/>
      <c r="P120" s="316"/>
      <c r="Q120" s="317"/>
      <c r="R120" s="318"/>
      <c r="S120" s="316"/>
      <c r="T120" s="317"/>
      <c r="U120" s="318"/>
      <c r="V120" s="88"/>
      <c r="W120" s="317"/>
      <c r="X120" s="311"/>
      <c r="Y120" s="94"/>
      <c r="Z120" s="123"/>
      <c r="AA120" s="313"/>
      <c r="AB120" s="17"/>
      <c r="AC120" s="17"/>
      <c r="AD120" s="17"/>
      <c r="AE120" s="17"/>
    </row>
    <row r="121">
      <c r="A121" s="88"/>
      <c r="B121" s="121"/>
      <c r="C121" s="311"/>
      <c r="D121" s="88"/>
      <c r="E121" s="121"/>
      <c r="F121" s="311"/>
      <c r="G121" s="88"/>
      <c r="H121" s="121"/>
      <c r="I121" s="311"/>
      <c r="J121" s="88"/>
      <c r="K121" s="121"/>
      <c r="L121" s="311"/>
      <c r="M121" s="316"/>
      <c r="N121" s="317"/>
      <c r="O121" s="318"/>
      <c r="P121" s="316"/>
      <c r="Q121" s="317"/>
      <c r="R121" s="318"/>
      <c r="S121" s="316"/>
      <c r="T121" s="317"/>
      <c r="U121" s="318"/>
      <c r="V121" s="88"/>
      <c r="W121" s="317"/>
      <c r="X121" s="311"/>
      <c r="Y121" s="94"/>
      <c r="Z121" s="123"/>
      <c r="AA121" s="313"/>
      <c r="AB121" s="17"/>
      <c r="AC121" s="17"/>
      <c r="AD121" s="17"/>
      <c r="AE121" s="17"/>
    </row>
    <row r="122">
      <c r="A122" s="88"/>
      <c r="B122" s="121"/>
      <c r="C122" s="311"/>
      <c r="D122" s="88"/>
      <c r="E122" s="121"/>
      <c r="F122" s="311"/>
      <c r="G122" s="88"/>
      <c r="H122" s="121"/>
      <c r="I122" s="311"/>
      <c r="J122" s="88"/>
      <c r="K122" s="121"/>
      <c r="L122" s="311"/>
      <c r="M122" s="316"/>
      <c r="N122" s="317"/>
      <c r="O122" s="318"/>
      <c r="P122" s="316"/>
      <c r="Q122" s="317"/>
      <c r="R122" s="318"/>
      <c r="S122" s="316"/>
      <c r="T122" s="317"/>
      <c r="U122" s="318"/>
      <c r="V122" s="88"/>
      <c r="W122" s="317"/>
      <c r="X122" s="311"/>
      <c r="Y122" s="94"/>
      <c r="Z122" s="123"/>
      <c r="AA122" s="313"/>
      <c r="AB122" s="17"/>
      <c r="AC122" s="17"/>
      <c r="AD122" s="17"/>
      <c r="AE122" s="17"/>
    </row>
    <row r="123">
      <c r="A123" s="88"/>
      <c r="B123" s="121"/>
      <c r="C123" s="311"/>
      <c r="D123" s="88"/>
      <c r="E123" s="121"/>
      <c r="F123" s="311"/>
      <c r="G123" s="88"/>
      <c r="H123" s="121"/>
      <c r="I123" s="311"/>
      <c r="J123" s="88"/>
      <c r="K123" s="121"/>
      <c r="L123" s="311"/>
      <c r="M123" s="316"/>
      <c r="N123" s="317"/>
      <c r="O123" s="318"/>
      <c r="P123" s="316"/>
      <c r="Q123" s="317"/>
      <c r="R123" s="318"/>
      <c r="S123" s="316"/>
      <c r="T123" s="317"/>
      <c r="U123" s="318"/>
      <c r="V123" s="88"/>
      <c r="W123" s="317"/>
      <c r="X123" s="311"/>
      <c r="Y123" s="94"/>
      <c r="Z123" s="123"/>
      <c r="AA123" s="313"/>
      <c r="AB123" s="17"/>
      <c r="AC123" s="17"/>
      <c r="AD123" s="17"/>
      <c r="AE123" s="17"/>
    </row>
    <row r="124">
      <c r="A124" s="88"/>
      <c r="B124" s="121"/>
      <c r="C124" s="311"/>
      <c r="D124" s="88"/>
      <c r="E124" s="121"/>
      <c r="F124" s="311"/>
      <c r="G124" s="88"/>
      <c r="H124" s="121"/>
      <c r="I124" s="311"/>
      <c r="J124" s="88"/>
      <c r="K124" s="121"/>
      <c r="L124" s="311"/>
      <c r="M124" s="316"/>
      <c r="N124" s="317"/>
      <c r="O124" s="318"/>
      <c r="P124" s="316"/>
      <c r="Q124" s="317"/>
      <c r="R124" s="318"/>
      <c r="S124" s="316"/>
      <c r="T124" s="317"/>
      <c r="U124" s="318"/>
      <c r="V124" s="88"/>
      <c r="W124" s="317"/>
      <c r="X124" s="311"/>
      <c r="Y124" s="94"/>
      <c r="Z124" s="123"/>
      <c r="AA124" s="313"/>
      <c r="AB124" s="17"/>
      <c r="AC124" s="17"/>
      <c r="AD124" s="17"/>
      <c r="AE124" s="17"/>
    </row>
    <row r="125">
      <c r="A125" s="88"/>
      <c r="B125" s="121"/>
      <c r="C125" s="311"/>
      <c r="D125" s="88"/>
      <c r="E125" s="121"/>
      <c r="F125" s="311"/>
      <c r="G125" s="88"/>
      <c r="H125" s="121"/>
      <c r="I125" s="311"/>
      <c r="J125" s="88"/>
      <c r="K125" s="121"/>
      <c r="L125" s="311"/>
      <c r="M125" s="316"/>
      <c r="N125" s="317"/>
      <c r="O125" s="318"/>
      <c r="P125" s="316"/>
      <c r="Q125" s="317"/>
      <c r="R125" s="318"/>
      <c r="S125" s="316"/>
      <c r="T125" s="317"/>
      <c r="U125" s="318"/>
      <c r="V125" s="88"/>
      <c r="W125" s="317"/>
      <c r="X125" s="311"/>
      <c r="Y125" s="94"/>
      <c r="Z125" s="123"/>
      <c r="AA125" s="313"/>
      <c r="AB125" s="17"/>
      <c r="AC125" s="17"/>
      <c r="AD125" s="17"/>
      <c r="AE125" s="17"/>
    </row>
    <row r="126">
      <c r="A126" s="88"/>
      <c r="B126" s="121"/>
      <c r="C126" s="311"/>
      <c r="D126" s="88"/>
      <c r="E126" s="121"/>
      <c r="F126" s="311"/>
      <c r="G126" s="88"/>
      <c r="H126" s="121"/>
      <c r="I126" s="311"/>
      <c r="J126" s="88"/>
      <c r="K126" s="121"/>
      <c r="L126" s="311"/>
      <c r="M126" s="316"/>
      <c r="N126" s="317"/>
      <c r="O126" s="318"/>
      <c r="P126" s="316"/>
      <c r="Q126" s="317"/>
      <c r="R126" s="318"/>
      <c r="S126" s="316"/>
      <c r="T126" s="317"/>
      <c r="U126" s="318"/>
      <c r="V126" s="88"/>
      <c r="W126" s="317"/>
      <c r="X126" s="311"/>
      <c r="Y126" s="94"/>
      <c r="Z126" s="123"/>
      <c r="AA126" s="313"/>
      <c r="AB126" s="17"/>
      <c r="AC126" s="17"/>
      <c r="AD126" s="17"/>
      <c r="AE126" s="17"/>
    </row>
    <row r="127">
      <c r="A127" s="88"/>
      <c r="B127" s="121"/>
      <c r="C127" s="311"/>
      <c r="D127" s="88"/>
      <c r="E127" s="121"/>
      <c r="F127" s="311"/>
      <c r="G127" s="88"/>
      <c r="H127" s="121"/>
      <c r="I127" s="311"/>
      <c r="J127" s="88"/>
      <c r="K127" s="121"/>
      <c r="L127" s="311"/>
      <c r="M127" s="316"/>
      <c r="N127" s="317"/>
      <c r="O127" s="318"/>
      <c r="P127" s="316"/>
      <c r="Q127" s="317"/>
      <c r="R127" s="318"/>
      <c r="S127" s="316"/>
      <c r="T127" s="317"/>
      <c r="U127" s="318"/>
      <c r="V127" s="88"/>
      <c r="W127" s="317"/>
      <c r="X127" s="311"/>
      <c r="Y127" s="94"/>
      <c r="Z127" s="123"/>
      <c r="AA127" s="313"/>
      <c r="AB127" s="17"/>
      <c r="AC127" s="17"/>
      <c r="AD127" s="17"/>
      <c r="AE127" s="17"/>
    </row>
    <row r="128">
      <c r="A128" s="88"/>
      <c r="B128" s="121"/>
      <c r="C128" s="311"/>
      <c r="D128" s="88"/>
      <c r="E128" s="121"/>
      <c r="F128" s="311"/>
      <c r="G128" s="88"/>
      <c r="H128" s="121"/>
      <c r="I128" s="311"/>
      <c r="J128" s="88"/>
      <c r="K128" s="121"/>
      <c r="L128" s="311"/>
      <c r="M128" s="316"/>
      <c r="N128" s="317"/>
      <c r="O128" s="318"/>
      <c r="P128" s="316"/>
      <c r="Q128" s="317"/>
      <c r="R128" s="318"/>
      <c r="S128" s="316"/>
      <c r="T128" s="317"/>
      <c r="U128" s="318"/>
      <c r="V128" s="88"/>
      <c r="W128" s="317"/>
      <c r="X128" s="311"/>
      <c r="Y128" s="94"/>
      <c r="Z128" s="123"/>
      <c r="AA128" s="313"/>
      <c r="AB128" s="17"/>
      <c r="AC128" s="17"/>
      <c r="AD128" s="17"/>
      <c r="AE128" s="17"/>
    </row>
    <row r="129">
      <c r="A129" s="88"/>
      <c r="B129" s="121"/>
      <c r="C129" s="311"/>
      <c r="D129" s="88"/>
      <c r="E129" s="121"/>
      <c r="F129" s="311"/>
      <c r="G129" s="88"/>
      <c r="H129" s="121"/>
      <c r="I129" s="311"/>
      <c r="J129" s="88"/>
      <c r="K129" s="121"/>
      <c r="L129" s="311"/>
      <c r="M129" s="316"/>
      <c r="N129" s="317"/>
      <c r="O129" s="318"/>
      <c r="P129" s="316"/>
      <c r="Q129" s="317"/>
      <c r="R129" s="318"/>
      <c r="S129" s="316"/>
      <c r="T129" s="317"/>
      <c r="U129" s="318"/>
      <c r="V129" s="88"/>
      <c r="W129" s="317"/>
      <c r="X129" s="311"/>
      <c r="Y129" s="94"/>
      <c r="Z129" s="123"/>
      <c r="AA129" s="313"/>
      <c r="AB129" s="17"/>
      <c r="AC129" s="17"/>
      <c r="AD129" s="17"/>
      <c r="AE129" s="17"/>
    </row>
    <row r="130">
      <c r="A130" s="88"/>
      <c r="B130" s="121"/>
      <c r="C130" s="311"/>
      <c r="D130" s="88"/>
      <c r="E130" s="121"/>
      <c r="F130" s="311"/>
      <c r="G130" s="88"/>
      <c r="H130" s="121"/>
      <c r="I130" s="311"/>
      <c r="J130" s="88"/>
      <c r="K130" s="121"/>
      <c r="L130" s="311"/>
      <c r="M130" s="316"/>
      <c r="N130" s="317"/>
      <c r="O130" s="318"/>
      <c r="P130" s="316"/>
      <c r="Q130" s="317"/>
      <c r="R130" s="318"/>
      <c r="S130" s="316"/>
      <c r="T130" s="317"/>
      <c r="U130" s="318"/>
      <c r="V130" s="88"/>
      <c r="W130" s="317"/>
      <c r="X130" s="311"/>
      <c r="Y130" s="94"/>
      <c r="Z130" s="123"/>
      <c r="AA130" s="313"/>
      <c r="AB130" s="17"/>
      <c r="AC130" s="17"/>
      <c r="AD130" s="17"/>
      <c r="AE130" s="17"/>
    </row>
    <row r="131">
      <c r="A131" s="88"/>
      <c r="B131" s="121"/>
      <c r="C131" s="311"/>
      <c r="D131" s="88"/>
      <c r="E131" s="121"/>
      <c r="F131" s="311"/>
      <c r="G131" s="88"/>
      <c r="H131" s="121"/>
      <c r="I131" s="311"/>
      <c r="J131" s="88"/>
      <c r="K131" s="121"/>
      <c r="L131" s="311"/>
      <c r="M131" s="316"/>
      <c r="N131" s="317"/>
      <c r="O131" s="318"/>
      <c r="P131" s="316"/>
      <c r="Q131" s="317"/>
      <c r="R131" s="318"/>
      <c r="S131" s="316"/>
      <c r="T131" s="317"/>
      <c r="U131" s="318"/>
      <c r="V131" s="88"/>
      <c r="W131" s="317"/>
      <c r="X131" s="311"/>
      <c r="Y131" s="143"/>
      <c r="Z131" s="143"/>
      <c r="AA131" s="143"/>
      <c r="AB131" s="17"/>
      <c r="AC131" s="17"/>
      <c r="AD131" s="17"/>
      <c r="AE131" s="17"/>
    </row>
    <row r="132">
      <c r="A132" s="88"/>
      <c r="B132" s="121"/>
      <c r="C132" s="311"/>
      <c r="D132" s="88"/>
      <c r="E132" s="121"/>
      <c r="F132" s="311"/>
      <c r="G132" s="88"/>
      <c r="H132" s="121"/>
      <c r="I132" s="311"/>
      <c r="J132" s="88"/>
      <c r="K132" s="121"/>
      <c r="L132" s="311"/>
      <c r="M132" s="316"/>
      <c r="N132" s="317"/>
      <c r="O132" s="318"/>
      <c r="P132" s="316"/>
      <c r="Q132" s="317"/>
      <c r="R132" s="318"/>
      <c r="S132" s="316"/>
      <c r="T132" s="317"/>
      <c r="U132" s="318"/>
      <c r="V132" s="88"/>
      <c r="W132" s="317"/>
      <c r="X132" s="311"/>
      <c r="Y132" s="143"/>
      <c r="Z132" s="143"/>
      <c r="AA132" s="143"/>
      <c r="AB132" s="17"/>
      <c r="AC132" s="17"/>
      <c r="AD132" s="17"/>
      <c r="AE132" s="17"/>
    </row>
    <row r="133">
      <c r="A133" s="88"/>
      <c r="B133" s="121"/>
      <c r="C133" s="311"/>
      <c r="D133" s="88"/>
      <c r="E133" s="121"/>
      <c r="F133" s="311"/>
      <c r="G133" s="88"/>
      <c r="H133" s="121"/>
      <c r="I133" s="311"/>
      <c r="J133" s="88"/>
      <c r="K133" s="121"/>
      <c r="L133" s="311"/>
      <c r="M133" s="316"/>
      <c r="N133" s="317"/>
      <c r="O133" s="318"/>
      <c r="P133" s="316"/>
      <c r="Q133" s="317"/>
      <c r="R133" s="318"/>
      <c r="S133" s="316"/>
      <c r="T133" s="317"/>
      <c r="U133" s="318"/>
      <c r="V133" s="88"/>
      <c r="W133" s="317"/>
      <c r="X133" s="311"/>
      <c r="Y133" s="143"/>
      <c r="Z133" s="143"/>
      <c r="AA133" s="143"/>
      <c r="AB133" s="17"/>
      <c r="AC133" s="17"/>
      <c r="AD133" s="17"/>
      <c r="AE133" s="17"/>
    </row>
    <row r="134">
      <c r="A134" s="88"/>
      <c r="B134" s="121"/>
      <c r="C134" s="311"/>
      <c r="D134" s="88"/>
      <c r="E134" s="121"/>
      <c r="F134" s="311"/>
      <c r="G134" s="88"/>
      <c r="H134" s="121"/>
      <c r="I134" s="311"/>
      <c r="J134" s="88"/>
      <c r="K134" s="121"/>
      <c r="L134" s="311"/>
      <c r="M134" s="316"/>
      <c r="N134" s="317"/>
      <c r="O134" s="318"/>
      <c r="P134" s="316"/>
      <c r="Q134" s="317"/>
      <c r="R134" s="318"/>
      <c r="S134" s="316"/>
      <c r="T134" s="317"/>
      <c r="U134" s="318"/>
      <c r="V134" s="88"/>
      <c r="W134" s="317"/>
      <c r="X134" s="311"/>
      <c r="Y134" s="143"/>
      <c r="Z134" s="143"/>
      <c r="AA134" s="143"/>
      <c r="AB134" s="17"/>
      <c r="AC134" s="17"/>
      <c r="AD134" s="17"/>
      <c r="AE134" s="17"/>
    </row>
    <row r="135">
      <c r="A135" s="88"/>
      <c r="B135" s="121"/>
      <c r="C135" s="311"/>
      <c r="D135" s="88"/>
      <c r="E135" s="121"/>
      <c r="F135" s="311"/>
      <c r="G135" s="88"/>
      <c r="H135" s="121"/>
      <c r="I135" s="311"/>
      <c r="J135" s="88"/>
      <c r="K135" s="121"/>
      <c r="L135" s="311"/>
      <c r="M135" s="316"/>
      <c r="N135" s="317"/>
      <c r="O135" s="318"/>
      <c r="P135" s="316"/>
      <c r="Q135" s="317"/>
      <c r="R135" s="318"/>
      <c r="S135" s="316"/>
      <c r="T135" s="317"/>
      <c r="U135" s="318"/>
      <c r="V135" s="88"/>
      <c r="W135" s="317"/>
      <c r="X135" s="311"/>
      <c r="Y135" s="143"/>
      <c r="Z135" s="143"/>
      <c r="AA135" s="143"/>
      <c r="AB135" s="17"/>
      <c r="AC135" s="17"/>
      <c r="AD135" s="17"/>
      <c r="AE135" s="17"/>
    </row>
    <row r="136">
      <c r="A136" s="88"/>
      <c r="B136" s="121"/>
      <c r="C136" s="311"/>
      <c r="D136" s="88"/>
      <c r="E136" s="121"/>
      <c r="F136" s="311"/>
      <c r="G136" s="88"/>
      <c r="H136" s="121"/>
      <c r="I136" s="311"/>
      <c r="J136" s="88"/>
      <c r="K136" s="121"/>
      <c r="L136" s="311"/>
      <c r="M136" s="316"/>
      <c r="N136" s="317"/>
      <c r="O136" s="318"/>
      <c r="P136" s="316"/>
      <c r="Q136" s="317"/>
      <c r="R136" s="318"/>
      <c r="S136" s="316"/>
      <c r="T136" s="317"/>
      <c r="U136" s="318"/>
      <c r="V136" s="88"/>
      <c r="W136" s="317"/>
      <c r="X136" s="311"/>
      <c r="Y136" s="143"/>
      <c r="Z136" s="143"/>
      <c r="AA136" s="143"/>
      <c r="AB136" s="17"/>
      <c r="AC136" s="17"/>
      <c r="AD136" s="17"/>
      <c r="AE136" s="17"/>
    </row>
    <row r="137">
      <c r="A137" s="88"/>
      <c r="B137" s="121"/>
      <c r="C137" s="311"/>
      <c r="D137" s="88"/>
      <c r="E137" s="121"/>
      <c r="F137" s="311"/>
      <c r="G137" s="88"/>
      <c r="H137" s="121"/>
      <c r="I137" s="311"/>
      <c r="J137" s="88"/>
      <c r="K137" s="121"/>
      <c r="L137" s="311"/>
      <c r="M137" s="316"/>
      <c r="N137" s="317"/>
      <c r="O137" s="318"/>
      <c r="P137" s="316"/>
      <c r="Q137" s="317"/>
      <c r="R137" s="318"/>
      <c r="S137" s="316"/>
      <c r="T137" s="317"/>
      <c r="U137" s="318"/>
      <c r="V137" s="88"/>
      <c r="W137" s="317"/>
      <c r="X137" s="311"/>
      <c r="Y137" s="143"/>
      <c r="Z137" s="143"/>
      <c r="AA137" s="143"/>
      <c r="AB137" s="17"/>
      <c r="AC137" s="17"/>
      <c r="AD137" s="17"/>
      <c r="AE137" s="17"/>
    </row>
    <row r="138">
      <c r="A138" s="88"/>
      <c r="B138" s="121"/>
      <c r="C138" s="311"/>
      <c r="D138" s="88"/>
      <c r="E138" s="121"/>
      <c r="F138" s="311"/>
      <c r="G138" s="88"/>
      <c r="H138" s="121"/>
      <c r="I138" s="311"/>
      <c r="J138" s="88"/>
      <c r="K138" s="121"/>
      <c r="L138" s="311"/>
      <c r="M138" s="316"/>
      <c r="N138" s="317"/>
      <c r="O138" s="318"/>
      <c r="P138" s="316"/>
      <c r="Q138" s="317"/>
      <c r="R138" s="318"/>
      <c r="S138" s="316"/>
      <c r="T138" s="317"/>
      <c r="U138" s="318"/>
      <c r="V138" s="88"/>
      <c r="W138" s="317"/>
      <c r="X138" s="311"/>
      <c r="Y138" s="143"/>
      <c r="Z138" s="143"/>
      <c r="AA138" s="143"/>
      <c r="AB138" s="17"/>
      <c r="AC138" s="17"/>
      <c r="AD138" s="17"/>
      <c r="AE138" s="17"/>
    </row>
    <row r="139">
      <c r="A139" s="88"/>
      <c r="B139" s="121"/>
      <c r="C139" s="311"/>
      <c r="D139" s="88"/>
      <c r="E139" s="121"/>
      <c r="F139" s="311"/>
      <c r="G139" s="88"/>
      <c r="H139" s="121"/>
      <c r="I139" s="311"/>
      <c r="J139" s="88"/>
      <c r="K139" s="121"/>
      <c r="L139" s="311"/>
      <c r="M139" s="316"/>
      <c r="N139" s="317"/>
      <c r="O139" s="318"/>
      <c r="P139" s="316"/>
      <c r="Q139" s="317"/>
      <c r="R139" s="318"/>
      <c r="S139" s="316"/>
      <c r="T139" s="317"/>
      <c r="U139" s="318"/>
      <c r="V139" s="88"/>
      <c r="W139" s="317"/>
      <c r="X139" s="311"/>
      <c r="Y139" s="143"/>
      <c r="Z139" s="143"/>
      <c r="AA139" s="143"/>
      <c r="AB139" s="17"/>
      <c r="AC139" s="17"/>
      <c r="AD139" s="17"/>
      <c r="AE139" s="17"/>
    </row>
    <row r="140">
      <c r="A140" s="88"/>
      <c r="B140" s="121"/>
      <c r="C140" s="311"/>
      <c r="D140" s="88"/>
      <c r="E140" s="121"/>
      <c r="F140" s="311"/>
      <c r="G140" s="88"/>
      <c r="H140" s="121"/>
      <c r="I140" s="311"/>
      <c r="J140" s="88"/>
      <c r="K140" s="121"/>
      <c r="L140" s="311"/>
      <c r="M140" s="316"/>
      <c r="N140" s="317"/>
      <c r="O140" s="318"/>
      <c r="P140" s="316"/>
      <c r="Q140" s="317"/>
      <c r="R140" s="318"/>
      <c r="S140" s="316"/>
      <c r="T140" s="317"/>
      <c r="U140" s="318"/>
      <c r="V140" s="88"/>
      <c r="W140" s="317"/>
      <c r="X140" s="311"/>
      <c r="Y140" s="143"/>
      <c r="Z140" s="143"/>
      <c r="AA140" s="143"/>
      <c r="AB140" s="17"/>
      <c r="AC140" s="17"/>
      <c r="AD140" s="17"/>
      <c r="AE140" s="17"/>
    </row>
    <row r="141">
      <c r="A141" s="88"/>
      <c r="B141" s="121"/>
      <c r="C141" s="311"/>
      <c r="D141" s="88"/>
      <c r="E141" s="121"/>
      <c r="F141" s="311"/>
      <c r="G141" s="88"/>
      <c r="H141" s="121"/>
      <c r="I141" s="311"/>
      <c r="J141" s="88"/>
      <c r="K141" s="121"/>
      <c r="L141" s="311"/>
      <c r="M141" s="316"/>
      <c r="N141" s="317"/>
      <c r="O141" s="318"/>
      <c r="P141" s="316"/>
      <c r="Q141" s="317"/>
      <c r="R141" s="318"/>
      <c r="S141" s="316"/>
      <c r="T141" s="317"/>
      <c r="U141" s="318"/>
      <c r="V141" s="88"/>
      <c r="W141" s="317"/>
      <c r="X141" s="311"/>
      <c r="Y141" s="143"/>
      <c r="Z141" s="143"/>
      <c r="AA141" s="143"/>
      <c r="AB141" s="17"/>
      <c r="AC141" s="17"/>
      <c r="AD141" s="17"/>
      <c r="AE141" s="17"/>
    </row>
    <row r="142">
      <c r="A142" s="88"/>
      <c r="B142" s="121"/>
      <c r="C142" s="311"/>
      <c r="D142" s="88"/>
      <c r="E142" s="121"/>
      <c r="F142" s="311"/>
      <c r="G142" s="88"/>
      <c r="H142" s="121"/>
      <c r="I142" s="311"/>
      <c r="J142" s="88"/>
      <c r="K142" s="121"/>
      <c r="L142" s="311"/>
      <c r="M142" s="316"/>
      <c r="N142" s="317"/>
      <c r="O142" s="318"/>
      <c r="P142" s="316"/>
      <c r="Q142" s="317"/>
      <c r="R142" s="318"/>
      <c r="S142" s="316"/>
      <c r="T142" s="317"/>
      <c r="U142" s="318"/>
      <c r="V142" s="88"/>
      <c r="W142" s="317"/>
      <c r="X142" s="311"/>
      <c r="Y142" s="143"/>
      <c r="Z142" s="143"/>
      <c r="AA142" s="143"/>
      <c r="AB142" s="17"/>
      <c r="AC142" s="17"/>
      <c r="AD142" s="17"/>
      <c r="AE142" s="17"/>
    </row>
    <row r="143">
      <c r="A143" s="88"/>
      <c r="B143" s="121"/>
      <c r="C143" s="311"/>
      <c r="D143" s="88"/>
      <c r="E143" s="121"/>
      <c r="F143" s="311"/>
      <c r="G143" s="88"/>
      <c r="H143" s="121"/>
      <c r="I143" s="311"/>
      <c r="J143" s="88"/>
      <c r="K143" s="121"/>
      <c r="L143" s="311"/>
      <c r="M143" s="316"/>
      <c r="N143" s="317"/>
      <c r="O143" s="318"/>
      <c r="P143" s="316"/>
      <c r="Q143" s="317"/>
      <c r="R143" s="318"/>
      <c r="S143" s="316"/>
      <c r="T143" s="317"/>
      <c r="U143" s="318"/>
      <c r="V143" s="88"/>
      <c r="W143" s="317"/>
      <c r="X143" s="311"/>
      <c r="Y143" s="143"/>
      <c r="Z143" s="143"/>
      <c r="AA143" s="143"/>
      <c r="AB143" s="17"/>
      <c r="AC143" s="17"/>
      <c r="AD143" s="17"/>
      <c r="AE143" s="17"/>
    </row>
    <row r="144">
      <c r="A144" s="88"/>
      <c r="B144" s="121"/>
      <c r="C144" s="311"/>
      <c r="D144" s="88"/>
      <c r="E144" s="121"/>
      <c r="F144" s="311"/>
      <c r="G144" s="88"/>
      <c r="H144" s="121"/>
      <c r="I144" s="311"/>
      <c r="J144" s="88"/>
      <c r="K144" s="121"/>
      <c r="L144" s="311"/>
      <c r="M144" s="316"/>
      <c r="N144" s="317"/>
      <c r="O144" s="318"/>
      <c r="P144" s="316"/>
      <c r="Q144" s="317"/>
      <c r="R144" s="318"/>
      <c r="S144" s="316"/>
      <c r="T144" s="317"/>
      <c r="U144" s="318"/>
      <c r="V144" s="88"/>
      <c r="W144" s="317"/>
      <c r="X144" s="311"/>
      <c r="Y144" s="143"/>
      <c r="Z144" s="143"/>
      <c r="AA144" s="143"/>
      <c r="AB144" s="17"/>
      <c r="AC144" s="17"/>
      <c r="AD144" s="17"/>
      <c r="AE144" s="17"/>
    </row>
    <row r="145">
      <c r="A145" s="88"/>
      <c r="B145" s="121"/>
      <c r="C145" s="311"/>
      <c r="D145" s="88"/>
      <c r="E145" s="121"/>
      <c r="F145" s="311"/>
      <c r="G145" s="88"/>
      <c r="H145" s="121"/>
      <c r="I145" s="311"/>
      <c r="J145" s="88"/>
      <c r="K145" s="121"/>
      <c r="L145" s="311"/>
      <c r="M145" s="316"/>
      <c r="N145" s="317"/>
      <c r="O145" s="318"/>
      <c r="P145" s="316"/>
      <c r="Q145" s="317"/>
      <c r="R145" s="318"/>
      <c r="S145" s="316"/>
      <c r="T145" s="317"/>
      <c r="U145" s="318"/>
      <c r="V145" s="88"/>
      <c r="W145" s="317"/>
      <c r="X145" s="311"/>
      <c r="Y145" s="143"/>
      <c r="Z145" s="143"/>
      <c r="AA145" s="143"/>
      <c r="AB145" s="17"/>
      <c r="AC145" s="17"/>
      <c r="AD145" s="17"/>
      <c r="AE145" s="17"/>
    </row>
    <row r="146">
      <c r="A146" s="88"/>
      <c r="B146" s="121"/>
      <c r="C146" s="311"/>
      <c r="D146" s="88"/>
      <c r="E146" s="121"/>
      <c r="F146" s="311"/>
      <c r="G146" s="88"/>
      <c r="H146" s="121"/>
      <c r="I146" s="311"/>
      <c r="J146" s="88"/>
      <c r="K146" s="121"/>
      <c r="L146" s="311"/>
      <c r="M146" s="316"/>
      <c r="N146" s="317"/>
      <c r="O146" s="318"/>
      <c r="P146" s="316"/>
      <c r="Q146" s="317"/>
      <c r="R146" s="318"/>
      <c r="S146" s="316"/>
      <c r="T146" s="317"/>
      <c r="U146" s="318"/>
      <c r="V146" s="88"/>
      <c r="W146" s="317"/>
      <c r="X146" s="311"/>
      <c r="Y146" s="143"/>
      <c r="Z146" s="143"/>
      <c r="AA146" s="143"/>
      <c r="AB146" s="17"/>
      <c r="AC146" s="17"/>
      <c r="AD146" s="17"/>
      <c r="AE146" s="17"/>
    </row>
    <row r="147">
      <c r="A147" s="88"/>
      <c r="B147" s="121"/>
      <c r="C147" s="311"/>
      <c r="D147" s="88"/>
      <c r="E147" s="121"/>
      <c r="F147" s="311"/>
      <c r="G147" s="88"/>
      <c r="H147" s="121"/>
      <c r="I147" s="311"/>
      <c r="J147" s="88"/>
      <c r="K147" s="121"/>
      <c r="L147" s="311"/>
      <c r="M147" s="316"/>
      <c r="N147" s="317"/>
      <c r="O147" s="318"/>
      <c r="P147" s="316"/>
      <c r="Q147" s="317"/>
      <c r="R147" s="318"/>
      <c r="S147" s="316"/>
      <c r="T147" s="317"/>
      <c r="U147" s="318"/>
      <c r="V147" s="88"/>
      <c r="W147" s="317"/>
      <c r="X147" s="311"/>
      <c r="Y147" s="143"/>
      <c r="Z147" s="143"/>
      <c r="AA147" s="143"/>
      <c r="AB147" s="17"/>
      <c r="AC147" s="17"/>
      <c r="AD147" s="17"/>
      <c r="AE147" s="17"/>
    </row>
    <row r="148">
      <c r="A148" s="88"/>
      <c r="B148" s="121"/>
      <c r="C148" s="311"/>
      <c r="D148" s="88"/>
      <c r="E148" s="121"/>
      <c r="F148" s="311"/>
      <c r="G148" s="88"/>
      <c r="H148" s="121"/>
      <c r="I148" s="311"/>
      <c r="J148" s="88"/>
      <c r="K148" s="121"/>
      <c r="L148" s="311"/>
      <c r="M148" s="316"/>
      <c r="N148" s="317"/>
      <c r="O148" s="318"/>
      <c r="P148" s="316"/>
      <c r="Q148" s="317"/>
      <c r="R148" s="318"/>
      <c r="S148" s="316"/>
      <c r="T148" s="317"/>
      <c r="U148" s="318"/>
      <c r="V148" s="88"/>
      <c r="W148" s="317"/>
      <c r="X148" s="311"/>
      <c r="Y148" s="143"/>
      <c r="Z148" s="143"/>
      <c r="AA148" s="143"/>
      <c r="AB148" s="17"/>
      <c r="AC148" s="17"/>
      <c r="AD148" s="17"/>
      <c r="AE148" s="17"/>
    </row>
    <row r="149">
      <c r="A149" s="88"/>
      <c r="B149" s="121"/>
      <c r="C149" s="311"/>
      <c r="D149" s="88"/>
      <c r="E149" s="121"/>
      <c r="F149" s="311"/>
      <c r="G149" s="88"/>
      <c r="H149" s="121"/>
      <c r="I149" s="311"/>
      <c r="J149" s="88"/>
      <c r="K149" s="121"/>
      <c r="L149" s="311"/>
      <c r="M149" s="316"/>
      <c r="N149" s="317"/>
      <c r="O149" s="318"/>
      <c r="P149" s="316"/>
      <c r="Q149" s="317"/>
      <c r="R149" s="318"/>
      <c r="S149" s="316"/>
      <c r="T149" s="317"/>
      <c r="U149" s="318"/>
      <c r="V149" s="88"/>
      <c r="W149" s="317"/>
      <c r="X149" s="311"/>
      <c r="Y149" s="143"/>
      <c r="Z149" s="143"/>
      <c r="AA149" s="143"/>
      <c r="AB149" s="17"/>
      <c r="AC149" s="17"/>
      <c r="AD149" s="17"/>
      <c r="AE149" s="17"/>
    </row>
    <row r="150">
      <c r="A150" s="88"/>
      <c r="B150" s="121"/>
      <c r="C150" s="311"/>
      <c r="D150" s="88"/>
      <c r="E150" s="121"/>
      <c r="F150" s="311"/>
      <c r="G150" s="88"/>
      <c r="H150" s="121"/>
      <c r="I150" s="311"/>
      <c r="J150" s="88"/>
      <c r="K150" s="121"/>
      <c r="L150" s="311"/>
      <c r="M150" s="316"/>
      <c r="N150" s="317"/>
      <c r="O150" s="318"/>
      <c r="P150" s="316"/>
      <c r="Q150" s="317"/>
      <c r="R150" s="318"/>
      <c r="S150" s="316"/>
      <c r="T150" s="317"/>
      <c r="U150" s="318"/>
      <c r="V150" s="88"/>
      <c r="W150" s="317"/>
      <c r="X150" s="311"/>
      <c r="Y150" s="143"/>
      <c r="Z150" s="143"/>
      <c r="AA150" s="143"/>
      <c r="AB150" s="17"/>
      <c r="AC150" s="17"/>
      <c r="AD150" s="17"/>
      <c r="AE150" s="17"/>
    </row>
    <row r="151">
      <c r="A151" s="88"/>
      <c r="B151" s="121"/>
      <c r="C151" s="311"/>
      <c r="D151" s="88"/>
      <c r="E151" s="121"/>
      <c r="F151" s="311"/>
      <c r="G151" s="88"/>
      <c r="H151" s="121"/>
      <c r="I151" s="311"/>
      <c r="J151" s="88"/>
      <c r="K151" s="121"/>
      <c r="L151" s="311"/>
      <c r="M151" s="316"/>
      <c r="N151" s="317"/>
      <c r="O151" s="318"/>
      <c r="P151" s="316"/>
      <c r="Q151" s="317"/>
      <c r="R151" s="318"/>
      <c r="S151" s="316"/>
      <c r="T151" s="317"/>
      <c r="U151" s="318"/>
      <c r="V151" s="88"/>
      <c r="W151" s="317"/>
      <c r="X151" s="311"/>
      <c r="Y151" s="143"/>
      <c r="Z151" s="143"/>
      <c r="AA151" s="143"/>
      <c r="AB151" s="17"/>
      <c r="AC151" s="17"/>
      <c r="AD151" s="17"/>
      <c r="AE151" s="17"/>
    </row>
    <row r="152">
      <c r="A152" s="88"/>
      <c r="B152" s="121"/>
      <c r="C152" s="311"/>
      <c r="D152" s="88"/>
      <c r="E152" s="121"/>
      <c r="F152" s="311"/>
      <c r="G152" s="88"/>
      <c r="H152" s="121"/>
      <c r="I152" s="311"/>
      <c r="J152" s="88"/>
      <c r="K152" s="121"/>
      <c r="L152" s="311"/>
      <c r="M152" s="316"/>
      <c r="N152" s="317"/>
      <c r="O152" s="318"/>
      <c r="P152" s="316"/>
      <c r="Q152" s="317"/>
      <c r="R152" s="318"/>
      <c r="S152" s="316"/>
      <c r="T152" s="317"/>
      <c r="U152" s="318"/>
      <c r="V152" s="88"/>
      <c r="W152" s="317"/>
      <c r="X152" s="311"/>
      <c r="Y152" s="143"/>
      <c r="Z152" s="143"/>
      <c r="AA152" s="143"/>
      <c r="AB152" s="17"/>
      <c r="AC152" s="17"/>
      <c r="AD152" s="17"/>
      <c r="AE152" s="17"/>
    </row>
    <row r="153">
      <c r="A153" s="88"/>
      <c r="B153" s="121"/>
      <c r="C153" s="311"/>
      <c r="D153" s="88"/>
      <c r="E153" s="121"/>
      <c r="F153" s="311"/>
      <c r="G153" s="88"/>
      <c r="H153" s="121"/>
      <c r="I153" s="311"/>
      <c r="J153" s="88"/>
      <c r="K153" s="121"/>
      <c r="L153" s="311"/>
      <c r="M153" s="316"/>
      <c r="N153" s="317"/>
      <c r="O153" s="318"/>
      <c r="P153" s="316"/>
      <c r="Q153" s="317"/>
      <c r="R153" s="318"/>
      <c r="S153" s="316"/>
      <c r="T153" s="317"/>
      <c r="U153" s="318"/>
      <c r="V153" s="88"/>
      <c r="W153" s="317"/>
      <c r="X153" s="311"/>
      <c r="Y153" s="143"/>
      <c r="Z153" s="143"/>
      <c r="AA153" s="143"/>
      <c r="AB153" s="17"/>
      <c r="AC153" s="17"/>
      <c r="AD153" s="17"/>
      <c r="AE153" s="17"/>
    </row>
    <row r="154">
      <c r="A154" s="88"/>
      <c r="B154" s="121"/>
      <c r="C154" s="311"/>
      <c r="D154" s="88"/>
      <c r="E154" s="121"/>
      <c r="F154" s="311"/>
      <c r="G154" s="88"/>
      <c r="H154" s="121"/>
      <c r="I154" s="311"/>
      <c r="J154" s="88"/>
      <c r="K154" s="121"/>
      <c r="L154" s="311"/>
      <c r="M154" s="316"/>
      <c r="N154" s="317"/>
      <c r="O154" s="318"/>
      <c r="P154" s="316"/>
      <c r="Q154" s="317"/>
      <c r="R154" s="318"/>
      <c r="S154" s="316"/>
      <c r="T154" s="317"/>
      <c r="U154" s="318"/>
      <c r="V154" s="88"/>
      <c r="W154" s="317"/>
      <c r="X154" s="311"/>
      <c r="Y154" s="143"/>
      <c r="Z154" s="143"/>
      <c r="AA154" s="143"/>
      <c r="AB154" s="17"/>
      <c r="AC154" s="17"/>
      <c r="AD154" s="17"/>
      <c r="AE154" s="17"/>
    </row>
    <row r="155">
      <c r="A155" s="88"/>
      <c r="B155" s="121"/>
      <c r="C155" s="311"/>
      <c r="D155" s="88"/>
      <c r="E155" s="121"/>
      <c r="F155" s="311"/>
      <c r="G155" s="88"/>
      <c r="H155" s="121"/>
      <c r="I155" s="311"/>
      <c r="J155" s="88"/>
      <c r="K155" s="121"/>
      <c r="L155" s="311"/>
      <c r="M155" s="316"/>
      <c r="N155" s="317"/>
      <c r="O155" s="318"/>
      <c r="P155" s="316"/>
      <c r="Q155" s="317"/>
      <c r="R155" s="318"/>
      <c r="S155" s="316"/>
      <c r="T155" s="317"/>
      <c r="U155" s="318"/>
      <c r="V155" s="88"/>
      <c r="W155" s="317"/>
      <c r="X155" s="311"/>
      <c r="Y155" s="143"/>
      <c r="Z155" s="143"/>
      <c r="AA155" s="143"/>
      <c r="AB155" s="17"/>
      <c r="AC155" s="17"/>
      <c r="AD155" s="17"/>
      <c r="AE155" s="17"/>
    </row>
    <row r="156">
      <c r="A156" s="88"/>
      <c r="B156" s="121"/>
      <c r="C156" s="311"/>
      <c r="D156" s="88"/>
      <c r="E156" s="121"/>
      <c r="F156" s="311"/>
      <c r="G156" s="88"/>
      <c r="H156" s="121"/>
      <c r="I156" s="311"/>
      <c r="J156" s="88"/>
      <c r="K156" s="121"/>
      <c r="L156" s="311"/>
      <c r="M156" s="316"/>
      <c r="N156" s="317"/>
      <c r="O156" s="318"/>
      <c r="P156" s="316"/>
      <c r="Q156" s="317"/>
      <c r="R156" s="318"/>
      <c r="S156" s="316"/>
      <c r="T156" s="317"/>
      <c r="U156" s="318"/>
      <c r="V156" s="88"/>
      <c r="W156" s="317"/>
      <c r="X156" s="311"/>
      <c r="Y156" s="143"/>
      <c r="Z156" s="143"/>
      <c r="AA156" s="143"/>
      <c r="AB156" s="17"/>
      <c r="AC156" s="17"/>
      <c r="AD156" s="17"/>
      <c r="AE156" s="17"/>
    </row>
    <row r="157">
      <c r="A157" s="88"/>
      <c r="B157" s="121"/>
      <c r="C157" s="311"/>
      <c r="D157" s="88"/>
      <c r="E157" s="121"/>
      <c r="F157" s="311"/>
      <c r="G157" s="88"/>
      <c r="H157" s="121"/>
      <c r="I157" s="311"/>
      <c r="J157" s="88"/>
      <c r="K157" s="121"/>
      <c r="L157" s="311"/>
      <c r="M157" s="316"/>
      <c r="N157" s="317"/>
      <c r="O157" s="318"/>
      <c r="P157" s="316"/>
      <c r="Q157" s="317"/>
      <c r="R157" s="318"/>
      <c r="S157" s="316"/>
      <c r="T157" s="317"/>
      <c r="U157" s="318"/>
      <c r="V157" s="88"/>
      <c r="W157" s="317"/>
      <c r="X157" s="311"/>
      <c r="Y157" s="143"/>
      <c r="Z157" s="143"/>
      <c r="AA157" s="143"/>
      <c r="AB157" s="17"/>
      <c r="AC157" s="17"/>
      <c r="AD157" s="17"/>
      <c r="AE157" s="17"/>
    </row>
    <row r="158">
      <c r="A158" s="88"/>
      <c r="B158" s="121"/>
      <c r="C158" s="311"/>
      <c r="D158" s="88"/>
      <c r="E158" s="121"/>
      <c r="F158" s="311"/>
      <c r="G158" s="88"/>
      <c r="H158" s="121"/>
      <c r="I158" s="311"/>
      <c r="J158" s="88"/>
      <c r="K158" s="121"/>
      <c r="L158" s="311"/>
      <c r="M158" s="316"/>
      <c r="N158" s="317"/>
      <c r="O158" s="318"/>
      <c r="P158" s="316"/>
      <c r="Q158" s="317"/>
      <c r="R158" s="318"/>
      <c r="S158" s="316"/>
      <c r="T158" s="317"/>
      <c r="U158" s="318"/>
      <c r="V158" s="88"/>
      <c r="W158" s="317"/>
      <c r="X158" s="311"/>
      <c r="Y158" s="143"/>
      <c r="Z158" s="143"/>
      <c r="AA158" s="143"/>
      <c r="AB158" s="17"/>
      <c r="AC158" s="17"/>
      <c r="AD158" s="17"/>
      <c r="AE158" s="17"/>
    </row>
    <row r="159">
      <c r="A159" s="88"/>
      <c r="B159" s="121"/>
      <c r="C159" s="311"/>
      <c r="D159" s="88"/>
      <c r="E159" s="121"/>
      <c r="F159" s="311"/>
      <c r="G159" s="88"/>
      <c r="H159" s="121"/>
      <c r="I159" s="311"/>
      <c r="J159" s="88"/>
      <c r="K159" s="121"/>
      <c r="L159" s="311"/>
      <c r="M159" s="316"/>
      <c r="N159" s="317"/>
      <c r="O159" s="318"/>
      <c r="P159" s="316"/>
      <c r="Q159" s="317"/>
      <c r="R159" s="318"/>
      <c r="S159" s="316"/>
      <c r="T159" s="317"/>
      <c r="U159" s="318"/>
      <c r="V159" s="88"/>
      <c r="W159" s="317"/>
      <c r="X159" s="311"/>
      <c r="Y159" s="143"/>
      <c r="Z159" s="143"/>
      <c r="AA159" s="143"/>
      <c r="AB159" s="17"/>
      <c r="AC159" s="17"/>
      <c r="AD159" s="17"/>
      <c r="AE159" s="17"/>
    </row>
    <row r="160">
      <c r="A160" s="88"/>
      <c r="B160" s="121"/>
      <c r="C160" s="311"/>
      <c r="D160" s="88"/>
      <c r="E160" s="121"/>
      <c r="F160" s="311"/>
      <c r="G160" s="88"/>
      <c r="H160" s="121"/>
      <c r="I160" s="311"/>
      <c r="J160" s="88"/>
      <c r="K160" s="121"/>
      <c r="L160" s="311"/>
      <c r="M160" s="316"/>
      <c r="N160" s="317"/>
      <c r="O160" s="318"/>
      <c r="P160" s="316"/>
      <c r="Q160" s="317"/>
      <c r="R160" s="318"/>
      <c r="S160" s="316"/>
      <c r="T160" s="317"/>
      <c r="U160" s="318"/>
      <c r="V160" s="88"/>
      <c r="W160" s="317"/>
      <c r="X160" s="311"/>
      <c r="Y160" s="143"/>
      <c r="Z160" s="143"/>
      <c r="AA160" s="143"/>
      <c r="AB160" s="17"/>
      <c r="AC160" s="17"/>
      <c r="AD160" s="17"/>
      <c r="AE160" s="17"/>
    </row>
    <row r="161">
      <c r="A161" s="88"/>
      <c r="B161" s="121"/>
      <c r="C161" s="311"/>
      <c r="D161" s="88"/>
      <c r="E161" s="121"/>
      <c r="F161" s="311"/>
      <c r="G161" s="88"/>
      <c r="H161" s="121"/>
      <c r="I161" s="311"/>
      <c r="J161" s="88"/>
      <c r="K161" s="121"/>
      <c r="L161" s="311"/>
      <c r="M161" s="316"/>
      <c r="N161" s="317"/>
      <c r="O161" s="318"/>
      <c r="P161" s="316"/>
      <c r="Q161" s="317"/>
      <c r="R161" s="318"/>
      <c r="S161" s="316"/>
      <c r="T161" s="317"/>
      <c r="U161" s="318"/>
      <c r="V161" s="88"/>
      <c r="W161" s="317"/>
      <c r="X161" s="311"/>
      <c r="Y161" s="143"/>
      <c r="Z161" s="143"/>
      <c r="AA161" s="143"/>
      <c r="AB161" s="17"/>
      <c r="AC161" s="17"/>
      <c r="AD161" s="17"/>
      <c r="AE161" s="17"/>
    </row>
    <row r="162">
      <c r="A162" s="88"/>
      <c r="B162" s="121"/>
      <c r="C162" s="311"/>
      <c r="D162" s="88"/>
      <c r="E162" s="121"/>
      <c r="F162" s="311"/>
      <c r="G162" s="88"/>
      <c r="H162" s="121"/>
      <c r="I162" s="311"/>
      <c r="J162" s="88"/>
      <c r="K162" s="121"/>
      <c r="L162" s="311"/>
      <c r="M162" s="316"/>
      <c r="N162" s="317"/>
      <c r="O162" s="318"/>
      <c r="P162" s="316"/>
      <c r="Q162" s="317"/>
      <c r="R162" s="318"/>
      <c r="S162" s="316"/>
      <c r="T162" s="317"/>
      <c r="U162" s="318"/>
      <c r="V162" s="88"/>
      <c r="W162" s="317"/>
      <c r="X162" s="311"/>
      <c r="Y162" s="143"/>
      <c r="Z162" s="143"/>
      <c r="AA162" s="143"/>
      <c r="AB162" s="17"/>
      <c r="AC162" s="17"/>
      <c r="AD162" s="17"/>
      <c r="AE162" s="17"/>
    </row>
    <row r="163">
      <c r="A163" s="88"/>
      <c r="B163" s="121"/>
      <c r="C163" s="311"/>
      <c r="D163" s="88"/>
      <c r="E163" s="121"/>
      <c r="F163" s="311"/>
      <c r="G163" s="88"/>
      <c r="H163" s="121"/>
      <c r="I163" s="311"/>
      <c r="J163" s="88"/>
      <c r="K163" s="121"/>
      <c r="L163" s="311"/>
      <c r="M163" s="316"/>
      <c r="N163" s="317"/>
      <c r="O163" s="318"/>
      <c r="P163" s="316"/>
      <c r="Q163" s="317"/>
      <c r="R163" s="318"/>
      <c r="S163" s="316"/>
      <c r="T163" s="317"/>
      <c r="U163" s="318"/>
      <c r="V163" s="88"/>
      <c r="W163" s="317"/>
      <c r="X163" s="311"/>
      <c r="Y163" s="143"/>
      <c r="Z163" s="143"/>
      <c r="AA163" s="143"/>
      <c r="AB163" s="17"/>
      <c r="AC163" s="17"/>
      <c r="AD163" s="17"/>
      <c r="AE163" s="17"/>
    </row>
    <row r="164">
      <c r="A164" s="88"/>
      <c r="B164" s="121"/>
      <c r="C164" s="311"/>
      <c r="D164" s="88"/>
      <c r="E164" s="121"/>
      <c r="F164" s="311"/>
      <c r="G164" s="88"/>
      <c r="H164" s="121"/>
      <c r="I164" s="311"/>
      <c r="J164" s="88"/>
      <c r="K164" s="121"/>
      <c r="L164" s="311"/>
      <c r="M164" s="316"/>
      <c r="N164" s="317"/>
      <c r="O164" s="318"/>
      <c r="P164" s="316"/>
      <c r="Q164" s="317"/>
      <c r="R164" s="318"/>
      <c r="S164" s="316"/>
      <c r="T164" s="317"/>
      <c r="U164" s="318"/>
      <c r="V164" s="88"/>
      <c r="W164" s="317"/>
      <c r="X164" s="311"/>
      <c r="Y164" s="143"/>
      <c r="Z164" s="143"/>
      <c r="AA164" s="143"/>
      <c r="AB164" s="17"/>
      <c r="AC164" s="17"/>
      <c r="AD164" s="17"/>
      <c r="AE164" s="17"/>
    </row>
    <row r="165">
      <c r="A165" s="88"/>
      <c r="B165" s="121"/>
      <c r="C165" s="311"/>
      <c r="D165" s="88"/>
      <c r="E165" s="121"/>
      <c r="F165" s="311"/>
      <c r="G165" s="88"/>
      <c r="H165" s="121"/>
      <c r="I165" s="311"/>
      <c r="J165" s="88"/>
      <c r="K165" s="121"/>
      <c r="L165" s="311"/>
      <c r="M165" s="316"/>
      <c r="N165" s="317"/>
      <c r="O165" s="318"/>
      <c r="P165" s="316"/>
      <c r="Q165" s="317"/>
      <c r="R165" s="318"/>
      <c r="S165" s="316"/>
      <c r="T165" s="317"/>
      <c r="U165" s="318"/>
      <c r="V165" s="88"/>
      <c r="W165" s="317"/>
      <c r="X165" s="311"/>
      <c r="Y165" s="143"/>
      <c r="Z165" s="143"/>
      <c r="AA165" s="143"/>
      <c r="AB165" s="17"/>
      <c r="AC165" s="17"/>
      <c r="AD165" s="17"/>
      <c r="AE165" s="17"/>
    </row>
    <row r="166">
      <c r="A166" s="88"/>
      <c r="B166" s="121"/>
      <c r="C166" s="311"/>
      <c r="D166" s="88"/>
      <c r="E166" s="121"/>
      <c r="F166" s="311"/>
      <c r="G166" s="88"/>
      <c r="H166" s="121"/>
      <c r="I166" s="311"/>
      <c r="J166" s="88"/>
      <c r="K166" s="121"/>
      <c r="L166" s="311"/>
      <c r="M166" s="316"/>
      <c r="N166" s="317"/>
      <c r="O166" s="318"/>
      <c r="P166" s="316"/>
      <c r="Q166" s="317"/>
      <c r="R166" s="318"/>
      <c r="S166" s="316"/>
      <c r="T166" s="317"/>
      <c r="U166" s="318"/>
      <c r="V166" s="88"/>
      <c r="W166" s="317"/>
      <c r="X166" s="311"/>
      <c r="Y166" s="143"/>
      <c r="Z166" s="143"/>
      <c r="AA166" s="143"/>
      <c r="AB166" s="17"/>
      <c r="AC166" s="17"/>
      <c r="AD166" s="17"/>
      <c r="AE166" s="17"/>
    </row>
    <row r="167">
      <c r="A167" s="88"/>
      <c r="B167" s="121"/>
      <c r="C167" s="311"/>
      <c r="D167" s="88"/>
      <c r="E167" s="121"/>
      <c r="F167" s="311"/>
      <c r="G167" s="88"/>
      <c r="H167" s="121"/>
      <c r="I167" s="311"/>
      <c r="J167" s="88"/>
      <c r="K167" s="121"/>
      <c r="L167" s="311"/>
      <c r="M167" s="316"/>
      <c r="N167" s="317"/>
      <c r="O167" s="318"/>
      <c r="P167" s="316"/>
      <c r="Q167" s="317"/>
      <c r="R167" s="318"/>
      <c r="S167" s="316"/>
      <c r="T167" s="317"/>
      <c r="U167" s="318"/>
      <c r="V167" s="88"/>
      <c r="W167" s="317"/>
      <c r="X167" s="311"/>
      <c r="Y167" s="143"/>
      <c r="Z167" s="143"/>
      <c r="AA167" s="143"/>
      <c r="AB167" s="17"/>
      <c r="AC167" s="17"/>
      <c r="AD167" s="17"/>
      <c r="AE167" s="17"/>
    </row>
    <row r="168">
      <c r="A168" s="88"/>
      <c r="B168" s="121"/>
      <c r="C168" s="311"/>
      <c r="D168" s="88"/>
      <c r="E168" s="121"/>
      <c r="F168" s="311"/>
      <c r="G168" s="88"/>
      <c r="H168" s="121"/>
      <c r="I168" s="311"/>
      <c r="J168" s="88"/>
      <c r="K168" s="121"/>
      <c r="L168" s="311"/>
      <c r="M168" s="316"/>
      <c r="N168" s="317"/>
      <c r="O168" s="318"/>
      <c r="P168" s="316"/>
      <c r="Q168" s="317"/>
      <c r="R168" s="318"/>
      <c r="S168" s="316"/>
      <c r="T168" s="317"/>
      <c r="U168" s="318"/>
      <c r="V168" s="88"/>
      <c r="W168" s="317"/>
      <c r="X168" s="311"/>
      <c r="Y168" s="143"/>
      <c r="Z168" s="143"/>
      <c r="AA168" s="143"/>
      <c r="AB168" s="17"/>
      <c r="AC168" s="17"/>
      <c r="AD168" s="17"/>
      <c r="AE168" s="17"/>
    </row>
    <row r="169">
      <c r="A169" s="88"/>
      <c r="B169" s="121"/>
      <c r="C169" s="311"/>
      <c r="D169" s="88"/>
      <c r="E169" s="121"/>
      <c r="F169" s="311"/>
      <c r="G169" s="88"/>
      <c r="H169" s="121"/>
      <c r="I169" s="311"/>
      <c r="J169" s="88"/>
      <c r="K169" s="121"/>
      <c r="L169" s="311"/>
      <c r="M169" s="316"/>
      <c r="N169" s="317"/>
      <c r="O169" s="318"/>
      <c r="P169" s="316"/>
      <c r="Q169" s="317"/>
      <c r="R169" s="318"/>
      <c r="S169" s="316"/>
      <c r="T169" s="317"/>
      <c r="U169" s="318"/>
      <c r="V169" s="88"/>
      <c r="W169" s="317"/>
      <c r="X169" s="311"/>
      <c r="Y169" s="143"/>
      <c r="Z169" s="143"/>
      <c r="AA169" s="143"/>
      <c r="AB169" s="17"/>
      <c r="AC169" s="17"/>
      <c r="AD169" s="17"/>
      <c r="AE169" s="17"/>
    </row>
    <row r="170">
      <c r="A170" s="88"/>
      <c r="B170" s="121"/>
      <c r="C170" s="311"/>
      <c r="D170" s="88"/>
      <c r="E170" s="121"/>
      <c r="F170" s="311"/>
      <c r="G170" s="88"/>
      <c r="H170" s="121"/>
      <c r="I170" s="311"/>
      <c r="J170" s="88"/>
      <c r="K170" s="121"/>
      <c r="L170" s="311"/>
      <c r="M170" s="316"/>
      <c r="N170" s="317"/>
      <c r="O170" s="318"/>
      <c r="P170" s="316"/>
      <c r="Q170" s="317"/>
      <c r="R170" s="318"/>
      <c r="S170" s="316"/>
      <c r="T170" s="317"/>
      <c r="U170" s="318"/>
      <c r="V170" s="88"/>
      <c r="W170" s="317"/>
      <c r="X170" s="311"/>
      <c r="Y170" s="143"/>
      <c r="Z170" s="143"/>
      <c r="AA170" s="143"/>
      <c r="AB170" s="17"/>
      <c r="AC170" s="17"/>
      <c r="AD170" s="17"/>
      <c r="AE170" s="17"/>
    </row>
    <row r="171">
      <c r="A171" s="88"/>
      <c r="B171" s="121"/>
      <c r="C171" s="311"/>
      <c r="D171" s="88"/>
      <c r="E171" s="121"/>
      <c r="F171" s="311"/>
      <c r="G171" s="88"/>
      <c r="H171" s="121"/>
      <c r="I171" s="311"/>
      <c r="J171" s="88"/>
      <c r="K171" s="121"/>
      <c r="L171" s="311"/>
      <c r="M171" s="316"/>
      <c r="N171" s="317"/>
      <c r="O171" s="318"/>
      <c r="P171" s="316"/>
      <c r="Q171" s="317"/>
      <c r="R171" s="318"/>
      <c r="S171" s="316"/>
      <c r="T171" s="317"/>
      <c r="U171" s="318"/>
      <c r="V171" s="88"/>
      <c r="W171" s="317"/>
      <c r="X171" s="311"/>
      <c r="Y171" s="143"/>
      <c r="Z171" s="143"/>
      <c r="AA171" s="143"/>
      <c r="AB171" s="17"/>
      <c r="AC171" s="17"/>
      <c r="AD171" s="17"/>
      <c r="AE171" s="17"/>
    </row>
    <row r="172">
      <c r="A172" s="88"/>
      <c r="B172" s="121"/>
      <c r="C172" s="311"/>
      <c r="D172" s="88"/>
      <c r="E172" s="121"/>
      <c r="F172" s="311"/>
      <c r="G172" s="88"/>
      <c r="H172" s="121"/>
      <c r="I172" s="311"/>
      <c r="J172" s="88"/>
      <c r="K172" s="121"/>
      <c r="L172" s="311"/>
      <c r="M172" s="316"/>
      <c r="N172" s="317"/>
      <c r="O172" s="318"/>
      <c r="P172" s="316"/>
      <c r="Q172" s="317"/>
      <c r="R172" s="318"/>
      <c r="S172" s="316"/>
      <c r="T172" s="317"/>
      <c r="U172" s="318"/>
      <c r="V172" s="88"/>
      <c r="W172" s="317"/>
      <c r="X172" s="311"/>
      <c r="Y172" s="143"/>
      <c r="Z172" s="143"/>
      <c r="AA172" s="143"/>
      <c r="AB172" s="17"/>
      <c r="AC172" s="17"/>
      <c r="AD172" s="17"/>
      <c r="AE172" s="17"/>
    </row>
    <row r="173">
      <c r="A173" s="88"/>
      <c r="B173" s="121"/>
      <c r="C173" s="311"/>
      <c r="D173" s="88"/>
      <c r="E173" s="121"/>
      <c r="F173" s="311"/>
      <c r="G173" s="88"/>
      <c r="H173" s="121"/>
      <c r="I173" s="311"/>
      <c r="J173" s="88"/>
      <c r="K173" s="121"/>
      <c r="L173" s="311"/>
      <c r="M173" s="316"/>
      <c r="N173" s="317"/>
      <c r="O173" s="318"/>
      <c r="P173" s="316"/>
      <c r="Q173" s="317"/>
      <c r="R173" s="318"/>
      <c r="S173" s="316"/>
      <c r="T173" s="317"/>
      <c r="U173" s="318"/>
      <c r="V173" s="88"/>
      <c r="W173" s="317"/>
      <c r="X173" s="311"/>
      <c r="Y173" s="143"/>
      <c r="Z173" s="143"/>
      <c r="AA173" s="143"/>
      <c r="AB173" s="17"/>
      <c r="AC173" s="17"/>
      <c r="AD173" s="17"/>
      <c r="AE173" s="17"/>
    </row>
    <row r="174">
      <c r="A174" s="88"/>
      <c r="B174" s="121"/>
      <c r="C174" s="311"/>
      <c r="D174" s="88"/>
      <c r="E174" s="121"/>
      <c r="F174" s="311"/>
      <c r="G174" s="88"/>
      <c r="H174" s="121"/>
      <c r="I174" s="311"/>
      <c r="J174" s="88"/>
      <c r="K174" s="121"/>
      <c r="L174" s="311"/>
      <c r="M174" s="316"/>
      <c r="N174" s="317"/>
      <c r="O174" s="318"/>
      <c r="P174" s="316"/>
      <c r="Q174" s="317"/>
      <c r="R174" s="318"/>
      <c r="S174" s="316"/>
      <c r="T174" s="317"/>
      <c r="U174" s="318"/>
      <c r="V174" s="88"/>
      <c r="W174" s="317"/>
      <c r="X174" s="311"/>
      <c r="Y174" s="143"/>
      <c r="Z174" s="143"/>
      <c r="AA174" s="143"/>
      <c r="AB174" s="17"/>
      <c r="AC174" s="17"/>
      <c r="AD174" s="17"/>
      <c r="AE174" s="17"/>
    </row>
    <row r="175">
      <c r="A175" s="88"/>
      <c r="B175" s="121"/>
      <c r="C175" s="311"/>
      <c r="D175" s="88"/>
      <c r="E175" s="121"/>
      <c r="F175" s="311"/>
      <c r="G175" s="88"/>
      <c r="H175" s="121"/>
      <c r="I175" s="311"/>
      <c r="J175" s="88"/>
      <c r="K175" s="121"/>
      <c r="L175" s="311"/>
      <c r="M175" s="316"/>
      <c r="N175" s="317"/>
      <c r="O175" s="318"/>
      <c r="P175" s="316"/>
      <c r="Q175" s="317"/>
      <c r="R175" s="318"/>
      <c r="S175" s="316"/>
      <c r="T175" s="317"/>
      <c r="U175" s="318"/>
      <c r="V175" s="88"/>
      <c r="W175" s="317"/>
      <c r="X175" s="311"/>
      <c r="Y175" s="143"/>
      <c r="Z175" s="143"/>
      <c r="AA175" s="143"/>
      <c r="AB175" s="17"/>
      <c r="AC175" s="17"/>
      <c r="AD175" s="17"/>
      <c r="AE175" s="17"/>
    </row>
    <row r="176">
      <c r="A176" s="88"/>
      <c r="B176" s="121"/>
      <c r="C176" s="311"/>
      <c r="D176" s="88"/>
      <c r="E176" s="121"/>
      <c r="F176" s="311"/>
      <c r="G176" s="88"/>
      <c r="H176" s="121"/>
      <c r="I176" s="311"/>
      <c r="J176" s="88"/>
      <c r="K176" s="121"/>
      <c r="L176" s="311"/>
      <c r="M176" s="316"/>
      <c r="N176" s="317"/>
      <c r="O176" s="318"/>
      <c r="P176" s="316"/>
      <c r="Q176" s="317"/>
      <c r="R176" s="318"/>
      <c r="S176" s="316"/>
      <c r="T176" s="317"/>
      <c r="U176" s="318"/>
      <c r="V176" s="88"/>
      <c r="W176" s="317"/>
      <c r="X176" s="311"/>
      <c r="Y176" s="143"/>
      <c r="Z176" s="143"/>
      <c r="AA176" s="143"/>
      <c r="AB176" s="17"/>
      <c r="AC176" s="17"/>
      <c r="AD176" s="17"/>
      <c r="AE176" s="17"/>
    </row>
    <row r="177">
      <c r="A177" s="88"/>
      <c r="B177" s="121"/>
      <c r="C177" s="311"/>
      <c r="D177" s="88"/>
      <c r="E177" s="121"/>
      <c r="F177" s="311"/>
      <c r="G177" s="88"/>
      <c r="H177" s="121"/>
      <c r="I177" s="311"/>
      <c r="J177" s="88"/>
      <c r="K177" s="121"/>
      <c r="L177" s="311"/>
      <c r="M177" s="316"/>
      <c r="N177" s="317"/>
      <c r="O177" s="318"/>
      <c r="P177" s="316"/>
      <c r="Q177" s="317"/>
      <c r="R177" s="318"/>
      <c r="S177" s="316"/>
      <c r="T177" s="317"/>
      <c r="U177" s="318"/>
      <c r="V177" s="88"/>
      <c r="W177" s="317"/>
      <c r="X177" s="311"/>
      <c r="Y177" s="143"/>
      <c r="Z177" s="143"/>
      <c r="AA177" s="143"/>
      <c r="AB177" s="17"/>
      <c r="AC177" s="17"/>
      <c r="AD177" s="17"/>
      <c r="AE177" s="17"/>
    </row>
    <row r="178">
      <c r="A178" s="88"/>
      <c r="B178" s="121"/>
      <c r="C178" s="311"/>
      <c r="D178" s="88"/>
      <c r="E178" s="121"/>
      <c r="F178" s="311"/>
      <c r="G178" s="88"/>
      <c r="H178" s="121"/>
      <c r="I178" s="311"/>
      <c r="J178" s="88"/>
      <c r="K178" s="121"/>
      <c r="L178" s="311"/>
      <c r="M178" s="316"/>
      <c r="N178" s="317"/>
      <c r="O178" s="318"/>
      <c r="P178" s="316"/>
      <c r="Q178" s="317"/>
      <c r="R178" s="318"/>
      <c r="S178" s="316"/>
      <c r="T178" s="317"/>
      <c r="U178" s="318"/>
      <c r="V178" s="88"/>
      <c r="W178" s="317"/>
      <c r="X178" s="311"/>
      <c r="Y178" s="143"/>
      <c r="Z178" s="143"/>
      <c r="AA178" s="143"/>
      <c r="AB178" s="17"/>
      <c r="AC178" s="17"/>
      <c r="AD178" s="17"/>
      <c r="AE178" s="17"/>
    </row>
    <row r="179">
      <c r="A179" s="88"/>
      <c r="B179" s="121"/>
      <c r="C179" s="311"/>
      <c r="D179" s="88"/>
      <c r="E179" s="121"/>
      <c r="F179" s="311"/>
      <c r="G179" s="88"/>
      <c r="H179" s="121"/>
      <c r="I179" s="311"/>
      <c r="J179" s="88"/>
      <c r="K179" s="121"/>
      <c r="L179" s="311"/>
      <c r="M179" s="316"/>
      <c r="N179" s="317"/>
      <c r="O179" s="318"/>
      <c r="P179" s="316"/>
      <c r="Q179" s="317"/>
      <c r="R179" s="318"/>
      <c r="S179" s="316"/>
      <c r="T179" s="317"/>
      <c r="U179" s="318"/>
      <c r="V179" s="88"/>
      <c r="W179" s="317"/>
      <c r="X179" s="311"/>
      <c r="Y179" s="143"/>
      <c r="Z179" s="143"/>
      <c r="AA179" s="143"/>
      <c r="AB179" s="17"/>
      <c r="AC179" s="17"/>
      <c r="AD179" s="17"/>
      <c r="AE179" s="17"/>
    </row>
    <row r="180">
      <c r="A180" s="88"/>
      <c r="B180" s="121"/>
      <c r="C180" s="311"/>
      <c r="D180" s="88"/>
      <c r="E180" s="121"/>
      <c r="F180" s="311"/>
      <c r="G180" s="88"/>
      <c r="H180" s="121"/>
      <c r="I180" s="311"/>
      <c r="J180" s="88"/>
      <c r="K180" s="121"/>
      <c r="L180" s="311"/>
      <c r="M180" s="316"/>
      <c r="N180" s="317"/>
      <c r="O180" s="318"/>
      <c r="P180" s="316"/>
      <c r="Q180" s="317"/>
      <c r="R180" s="318"/>
      <c r="S180" s="316"/>
      <c r="T180" s="317"/>
      <c r="U180" s="318"/>
      <c r="V180" s="88"/>
      <c r="W180" s="317"/>
      <c r="X180" s="311"/>
      <c r="Y180" s="143"/>
      <c r="Z180" s="143"/>
      <c r="AA180" s="143"/>
      <c r="AB180" s="17"/>
      <c r="AC180" s="17"/>
      <c r="AD180" s="17"/>
      <c r="AE180" s="17"/>
    </row>
    <row r="181">
      <c r="A181" s="88"/>
      <c r="B181" s="121"/>
      <c r="C181" s="311"/>
      <c r="D181" s="88"/>
      <c r="E181" s="121"/>
      <c r="F181" s="311"/>
      <c r="G181" s="88"/>
      <c r="H181" s="121"/>
      <c r="I181" s="311"/>
      <c r="J181" s="88"/>
      <c r="K181" s="121"/>
      <c r="L181" s="311"/>
      <c r="M181" s="316"/>
      <c r="N181" s="317"/>
      <c r="O181" s="318"/>
      <c r="P181" s="316"/>
      <c r="Q181" s="317"/>
      <c r="R181" s="318"/>
      <c r="S181" s="316"/>
      <c r="T181" s="317"/>
      <c r="U181" s="318"/>
      <c r="V181" s="88"/>
      <c r="W181" s="317"/>
      <c r="X181" s="311"/>
      <c r="Y181" s="143"/>
      <c r="Z181" s="143"/>
      <c r="AA181" s="143"/>
      <c r="AB181" s="17"/>
      <c r="AC181" s="17"/>
      <c r="AD181" s="17"/>
      <c r="AE181" s="17"/>
    </row>
    <row r="182">
      <c r="A182" s="88"/>
      <c r="B182" s="121"/>
      <c r="C182" s="311"/>
      <c r="D182" s="88"/>
      <c r="E182" s="121"/>
      <c r="F182" s="311"/>
      <c r="G182" s="88"/>
      <c r="H182" s="121"/>
      <c r="I182" s="311"/>
      <c r="J182" s="88"/>
      <c r="K182" s="121"/>
      <c r="L182" s="311"/>
      <c r="M182" s="316"/>
      <c r="N182" s="317"/>
      <c r="O182" s="318"/>
      <c r="P182" s="316"/>
      <c r="Q182" s="317"/>
      <c r="R182" s="318"/>
      <c r="S182" s="316"/>
      <c r="T182" s="317"/>
      <c r="U182" s="318"/>
      <c r="V182" s="88"/>
      <c r="W182" s="317"/>
      <c r="X182" s="311"/>
      <c r="Y182" s="143"/>
      <c r="Z182" s="143"/>
      <c r="AA182" s="143"/>
      <c r="AB182" s="17"/>
      <c r="AC182" s="17"/>
      <c r="AD182" s="17"/>
      <c r="AE182" s="17"/>
    </row>
    <row r="183">
      <c r="A183" s="88"/>
      <c r="B183" s="121"/>
      <c r="C183" s="311"/>
      <c r="D183" s="88"/>
      <c r="E183" s="121"/>
      <c r="F183" s="311"/>
      <c r="G183" s="88"/>
      <c r="H183" s="121"/>
      <c r="I183" s="311"/>
      <c r="J183" s="88"/>
      <c r="K183" s="121"/>
      <c r="L183" s="311"/>
      <c r="M183" s="316"/>
      <c r="N183" s="317"/>
      <c r="O183" s="318"/>
      <c r="P183" s="316"/>
      <c r="Q183" s="317"/>
      <c r="R183" s="318"/>
      <c r="S183" s="316"/>
      <c r="T183" s="317"/>
      <c r="U183" s="318"/>
      <c r="V183" s="88"/>
      <c r="W183" s="317"/>
      <c r="X183" s="311"/>
      <c r="Y183" s="143"/>
      <c r="Z183" s="143"/>
      <c r="AA183" s="143"/>
      <c r="AB183" s="17"/>
      <c r="AC183" s="17"/>
      <c r="AD183" s="17"/>
      <c r="AE183" s="17"/>
    </row>
    <row r="184">
      <c r="A184" s="88"/>
      <c r="B184" s="121"/>
      <c r="C184" s="311"/>
      <c r="D184" s="88"/>
      <c r="E184" s="121"/>
      <c r="F184" s="311"/>
      <c r="G184" s="88"/>
      <c r="H184" s="121"/>
      <c r="I184" s="311"/>
      <c r="J184" s="88"/>
      <c r="K184" s="121"/>
      <c r="L184" s="311"/>
      <c r="M184" s="316"/>
      <c r="N184" s="317"/>
      <c r="O184" s="318"/>
      <c r="P184" s="316"/>
      <c r="Q184" s="317"/>
      <c r="R184" s="318"/>
      <c r="S184" s="316"/>
      <c r="T184" s="317"/>
      <c r="U184" s="318"/>
      <c r="V184" s="88"/>
      <c r="W184" s="317"/>
      <c r="X184" s="311"/>
      <c r="Y184" s="143"/>
      <c r="Z184" s="143"/>
      <c r="AA184" s="143"/>
      <c r="AB184" s="17"/>
      <c r="AC184" s="17"/>
      <c r="AD184" s="17"/>
      <c r="AE184" s="17"/>
    </row>
    <row r="185">
      <c r="A185" s="88"/>
      <c r="B185" s="121"/>
      <c r="C185" s="311"/>
      <c r="D185" s="88"/>
      <c r="E185" s="121"/>
      <c r="F185" s="311"/>
      <c r="G185" s="88"/>
      <c r="H185" s="121"/>
      <c r="I185" s="311"/>
      <c r="J185" s="88"/>
      <c r="K185" s="121"/>
      <c r="L185" s="311"/>
      <c r="M185" s="316"/>
      <c r="N185" s="317"/>
      <c r="O185" s="318"/>
      <c r="P185" s="316"/>
      <c r="Q185" s="317"/>
      <c r="R185" s="318"/>
      <c r="S185" s="316"/>
      <c r="T185" s="317"/>
      <c r="U185" s="318"/>
      <c r="V185" s="88"/>
      <c r="W185" s="317"/>
      <c r="X185" s="311"/>
      <c r="Y185" s="143"/>
      <c r="Z185" s="143"/>
      <c r="AA185" s="143"/>
      <c r="AB185" s="17"/>
      <c r="AC185" s="17"/>
      <c r="AD185" s="17"/>
      <c r="AE185" s="17"/>
    </row>
    <row r="186">
      <c r="A186" s="88"/>
      <c r="B186" s="121"/>
      <c r="C186" s="311"/>
      <c r="D186" s="88"/>
      <c r="E186" s="121"/>
      <c r="F186" s="311"/>
      <c r="G186" s="88"/>
      <c r="H186" s="121"/>
      <c r="I186" s="311"/>
      <c r="J186" s="88"/>
      <c r="K186" s="121"/>
      <c r="L186" s="311"/>
      <c r="M186" s="316"/>
      <c r="N186" s="317"/>
      <c r="O186" s="318"/>
      <c r="P186" s="316"/>
      <c r="Q186" s="317"/>
      <c r="R186" s="318"/>
      <c r="S186" s="316"/>
      <c r="T186" s="317"/>
      <c r="U186" s="318"/>
      <c r="V186" s="88"/>
      <c r="W186" s="317"/>
      <c r="X186" s="311"/>
      <c r="Y186" s="143"/>
      <c r="Z186" s="143"/>
      <c r="AA186" s="143"/>
      <c r="AB186" s="17"/>
      <c r="AC186" s="17"/>
      <c r="AD186" s="17"/>
      <c r="AE186" s="17"/>
    </row>
    <row r="187">
      <c r="A187" s="88"/>
      <c r="B187" s="121"/>
      <c r="C187" s="311"/>
      <c r="D187" s="88"/>
      <c r="E187" s="121"/>
      <c r="F187" s="311"/>
      <c r="G187" s="88"/>
      <c r="H187" s="121"/>
      <c r="I187" s="311"/>
      <c r="J187" s="88"/>
      <c r="K187" s="121"/>
      <c r="L187" s="311"/>
      <c r="M187" s="316"/>
      <c r="N187" s="317"/>
      <c r="O187" s="318"/>
      <c r="P187" s="316"/>
      <c r="Q187" s="317"/>
      <c r="R187" s="318"/>
      <c r="S187" s="316"/>
      <c r="T187" s="317"/>
      <c r="U187" s="318"/>
      <c r="V187" s="88"/>
      <c r="W187" s="317"/>
      <c r="X187" s="311"/>
      <c r="Y187" s="143"/>
      <c r="Z187" s="143"/>
      <c r="AA187" s="143"/>
      <c r="AB187" s="17"/>
      <c r="AC187" s="17"/>
      <c r="AD187" s="17"/>
      <c r="AE187" s="17"/>
    </row>
    <row r="188">
      <c r="A188" s="88"/>
      <c r="B188" s="121"/>
      <c r="C188" s="311"/>
      <c r="D188" s="88"/>
      <c r="E188" s="121"/>
      <c r="F188" s="311"/>
      <c r="G188" s="88"/>
      <c r="H188" s="121"/>
      <c r="I188" s="311"/>
      <c r="J188" s="88"/>
      <c r="K188" s="121"/>
      <c r="L188" s="311"/>
      <c r="M188" s="316"/>
      <c r="N188" s="317"/>
      <c r="O188" s="318"/>
      <c r="P188" s="316"/>
      <c r="Q188" s="317"/>
      <c r="R188" s="318"/>
      <c r="S188" s="316"/>
      <c r="T188" s="317"/>
      <c r="U188" s="318"/>
      <c r="V188" s="88"/>
      <c r="W188" s="317"/>
      <c r="X188" s="311"/>
      <c r="Y188" s="143"/>
      <c r="Z188" s="143"/>
      <c r="AA188" s="143"/>
      <c r="AB188" s="17"/>
      <c r="AC188" s="17"/>
      <c r="AD188" s="17"/>
      <c r="AE188" s="17"/>
    </row>
    <row r="189">
      <c r="A189" s="88"/>
      <c r="B189" s="121"/>
      <c r="C189" s="311"/>
      <c r="D189" s="88"/>
      <c r="E189" s="121"/>
      <c r="F189" s="311"/>
      <c r="G189" s="88"/>
      <c r="H189" s="121"/>
      <c r="I189" s="311"/>
      <c r="J189" s="88"/>
      <c r="K189" s="121"/>
      <c r="L189" s="311"/>
      <c r="M189" s="316"/>
      <c r="N189" s="317"/>
      <c r="O189" s="318"/>
      <c r="P189" s="316"/>
      <c r="Q189" s="317"/>
      <c r="R189" s="318"/>
      <c r="S189" s="316"/>
      <c r="T189" s="317"/>
      <c r="U189" s="318"/>
      <c r="V189" s="88"/>
      <c r="W189" s="317"/>
      <c r="X189" s="311"/>
      <c r="Y189" s="143"/>
      <c r="Z189" s="143"/>
      <c r="AA189" s="143"/>
      <c r="AB189" s="17"/>
      <c r="AC189" s="17"/>
      <c r="AD189" s="17"/>
      <c r="AE189" s="17"/>
    </row>
    <row r="190">
      <c r="A190" s="88"/>
      <c r="B190" s="121"/>
      <c r="C190" s="311"/>
      <c r="D190" s="88"/>
      <c r="E190" s="121"/>
      <c r="F190" s="311"/>
      <c r="G190" s="88"/>
      <c r="H190" s="121"/>
      <c r="I190" s="311"/>
      <c r="J190" s="88"/>
      <c r="K190" s="121"/>
      <c r="L190" s="311"/>
      <c r="M190" s="316"/>
      <c r="N190" s="317"/>
      <c r="O190" s="318"/>
      <c r="P190" s="316"/>
      <c r="Q190" s="317"/>
      <c r="R190" s="318"/>
      <c r="S190" s="316"/>
      <c r="T190" s="317"/>
      <c r="U190" s="318"/>
      <c r="V190" s="88"/>
      <c r="W190" s="317"/>
      <c r="X190" s="311"/>
      <c r="Y190" s="143"/>
      <c r="Z190" s="143"/>
      <c r="AA190" s="143"/>
      <c r="AB190" s="17"/>
      <c r="AC190" s="17"/>
      <c r="AD190" s="17"/>
      <c r="AE190" s="17"/>
    </row>
    <row r="191">
      <c r="A191" s="88"/>
      <c r="B191" s="121"/>
      <c r="C191" s="311"/>
      <c r="D191" s="88"/>
      <c r="E191" s="121"/>
      <c r="F191" s="311"/>
      <c r="G191" s="88"/>
      <c r="H191" s="121"/>
      <c r="I191" s="311"/>
      <c r="J191" s="88"/>
      <c r="K191" s="121"/>
      <c r="L191" s="311"/>
      <c r="M191" s="316"/>
      <c r="N191" s="317"/>
      <c r="O191" s="318"/>
      <c r="P191" s="316"/>
      <c r="Q191" s="317"/>
      <c r="R191" s="318"/>
      <c r="S191" s="316"/>
      <c r="T191" s="317"/>
      <c r="U191" s="318"/>
      <c r="V191" s="88"/>
      <c r="W191" s="317"/>
      <c r="X191" s="311"/>
      <c r="Y191" s="143"/>
      <c r="Z191" s="143"/>
      <c r="AA191" s="143"/>
      <c r="AB191" s="17"/>
      <c r="AC191" s="17"/>
      <c r="AD191" s="17"/>
      <c r="AE191" s="17"/>
    </row>
    <row r="192">
      <c r="A192" s="88"/>
      <c r="B192" s="121"/>
      <c r="C192" s="311"/>
      <c r="D192" s="88"/>
      <c r="E192" s="121"/>
      <c r="F192" s="311"/>
      <c r="G192" s="88"/>
      <c r="H192" s="121"/>
      <c r="I192" s="311"/>
      <c r="J192" s="88"/>
      <c r="K192" s="121"/>
      <c r="L192" s="311"/>
      <c r="M192" s="316"/>
      <c r="N192" s="317"/>
      <c r="O192" s="318"/>
      <c r="P192" s="316"/>
      <c r="Q192" s="317"/>
      <c r="R192" s="318"/>
      <c r="S192" s="316"/>
      <c r="T192" s="317"/>
      <c r="U192" s="318"/>
      <c r="V192" s="88"/>
      <c r="W192" s="317"/>
      <c r="X192" s="311"/>
      <c r="Y192" s="143"/>
      <c r="Z192" s="143"/>
      <c r="AA192" s="143"/>
      <c r="AB192" s="17"/>
      <c r="AC192" s="17"/>
      <c r="AD192" s="17"/>
      <c r="AE192" s="17"/>
    </row>
    <row r="193">
      <c r="A193" s="88"/>
      <c r="B193" s="121"/>
      <c r="C193" s="311"/>
      <c r="D193" s="88"/>
      <c r="E193" s="121"/>
      <c r="F193" s="311"/>
      <c r="G193" s="88"/>
      <c r="H193" s="121"/>
      <c r="I193" s="311"/>
      <c r="J193" s="88"/>
      <c r="K193" s="121"/>
      <c r="L193" s="311"/>
      <c r="M193" s="316"/>
      <c r="N193" s="317"/>
      <c r="O193" s="318"/>
      <c r="P193" s="316"/>
      <c r="Q193" s="317"/>
      <c r="R193" s="318"/>
      <c r="S193" s="316"/>
      <c r="T193" s="317"/>
      <c r="U193" s="318"/>
      <c r="V193" s="88"/>
      <c r="W193" s="317"/>
      <c r="X193" s="311"/>
      <c r="Y193" s="143"/>
      <c r="Z193" s="143"/>
      <c r="AA193" s="143"/>
      <c r="AB193" s="17"/>
      <c r="AC193" s="17"/>
      <c r="AD193" s="17"/>
      <c r="AE193" s="17"/>
    </row>
    <row r="194">
      <c r="A194" s="88"/>
      <c r="B194" s="121"/>
      <c r="C194" s="311"/>
      <c r="D194" s="88"/>
      <c r="E194" s="121"/>
      <c r="F194" s="311"/>
      <c r="G194" s="88"/>
      <c r="H194" s="121"/>
      <c r="I194" s="311"/>
      <c r="J194" s="88"/>
      <c r="K194" s="121"/>
      <c r="L194" s="311"/>
      <c r="M194" s="316"/>
      <c r="N194" s="317"/>
      <c r="O194" s="318"/>
      <c r="P194" s="316"/>
      <c r="Q194" s="317"/>
      <c r="R194" s="318"/>
      <c r="S194" s="316"/>
      <c r="T194" s="317"/>
      <c r="U194" s="318"/>
      <c r="V194" s="88"/>
      <c r="W194" s="317"/>
      <c r="X194" s="311"/>
      <c r="Y194" s="143"/>
      <c r="Z194" s="143"/>
      <c r="AA194" s="143"/>
      <c r="AB194" s="17"/>
      <c r="AC194" s="17"/>
      <c r="AD194" s="17"/>
      <c r="AE194" s="17"/>
    </row>
    <row r="195">
      <c r="A195" s="88"/>
      <c r="B195" s="121"/>
      <c r="C195" s="311"/>
      <c r="D195" s="88"/>
      <c r="E195" s="121"/>
      <c r="F195" s="311"/>
      <c r="G195" s="88"/>
      <c r="H195" s="121"/>
      <c r="I195" s="311"/>
      <c r="J195" s="88"/>
      <c r="K195" s="121"/>
      <c r="L195" s="311"/>
      <c r="M195" s="316"/>
      <c r="N195" s="317"/>
      <c r="O195" s="318"/>
      <c r="P195" s="316"/>
      <c r="Q195" s="317"/>
      <c r="R195" s="318"/>
      <c r="S195" s="316"/>
      <c r="T195" s="317"/>
      <c r="U195" s="318"/>
      <c r="V195" s="88"/>
      <c r="W195" s="317"/>
      <c r="X195" s="311"/>
      <c r="Y195" s="143"/>
      <c r="Z195" s="143"/>
      <c r="AA195" s="143"/>
      <c r="AB195" s="17"/>
      <c r="AC195" s="17"/>
      <c r="AD195" s="17"/>
      <c r="AE195" s="17"/>
    </row>
    <row r="196">
      <c r="A196" s="88"/>
      <c r="B196" s="121"/>
      <c r="C196" s="311"/>
      <c r="D196" s="88"/>
      <c r="E196" s="121"/>
      <c r="F196" s="311"/>
      <c r="G196" s="88"/>
      <c r="H196" s="121"/>
      <c r="I196" s="311"/>
      <c r="J196" s="88"/>
      <c r="K196" s="121"/>
      <c r="L196" s="311"/>
      <c r="M196" s="316"/>
      <c r="N196" s="317"/>
      <c r="O196" s="318"/>
      <c r="P196" s="316"/>
      <c r="Q196" s="317"/>
      <c r="R196" s="318"/>
      <c r="S196" s="316"/>
      <c r="T196" s="317"/>
      <c r="U196" s="318"/>
      <c r="V196" s="88"/>
      <c r="W196" s="317"/>
      <c r="X196" s="311"/>
      <c r="Y196" s="143"/>
      <c r="Z196" s="143"/>
      <c r="AA196" s="143"/>
      <c r="AB196" s="17"/>
      <c r="AC196" s="17"/>
      <c r="AD196" s="17"/>
      <c r="AE196" s="17"/>
    </row>
    <row r="197">
      <c r="A197" s="88"/>
      <c r="B197" s="121"/>
      <c r="C197" s="311"/>
      <c r="D197" s="88"/>
      <c r="E197" s="121"/>
      <c r="F197" s="311"/>
      <c r="G197" s="88"/>
      <c r="H197" s="121"/>
      <c r="I197" s="311"/>
      <c r="J197" s="88"/>
      <c r="K197" s="121"/>
      <c r="L197" s="311"/>
      <c r="M197" s="316"/>
      <c r="N197" s="317"/>
      <c r="O197" s="318"/>
      <c r="P197" s="316"/>
      <c r="Q197" s="317"/>
      <c r="R197" s="318"/>
      <c r="S197" s="316"/>
      <c r="T197" s="317"/>
      <c r="U197" s="318"/>
      <c r="V197" s="88"/>
      <c r="W197" s="317"/>
      <c r="X197" s="311"/>
      <c r="Y197" s="143"/>
      <c r="Z197" s="143"/>
      <c r="AA197" s="143"/>
      <c r="AB197" s="17"/>
      <c r="AC197" s="17"/>
      <c r="AD197" s="17"/>
      <c r="AE197" s="17"/>
    </row>
    <row r="198">
      <c r="A198" s="88"/>
      <c r="B198" s="121"/>
      <c r="C198" s="311"/>
      <c r="D198" s="88"/>
      <c r="E198" s="121"/>
      <c r="F198" s="311"/>
      <c r="G198" s="88"/>
      <c r="H198" s="121"/>
      <c r="I198" s="311"/>
      <c r="J198" s="88"/>
      <c r="K198" s="121"/>
      <c r="L198" s="311"/>
      <c r="M198" s="316"/>
      <c r="N198" s="317"/>
      <c r="O198" s="318"/>
      <c r="P198" s="316"/>
      <c r="Q198" s="317"/>
      <c r="R198" s="318"/>
      <c r="S198" s="316"/>
      <c r="T198" s="317"/>
      <c r="U198" s="318"/>
      <c r="V198" s="88"/>
      <c r="W198" s="317"/>
      <c r="X198" s="311"/>
      <c r="Y198" s="143"/>
      <c r="Z198" s="143"/>
      <c r="AA198" s="143"/>
      <c r="AB198" s="17"/>
      <c r="AC198" s="17"/>
      <c r="AD198" s="17"/>
      <c r="AE198" s="17"/>
    </row>
    <row r="199">
      <c r="A199" s="88"/>
      <c r="B199" s="121"/>
      <c r="C199" s="311"/>
      <c r="D199" s="88"/>
      <c r="E199" s="121"/>
      <c r="F199" s="311"/>
      <c r="G199" s="88"/>
      <c r="H199" s="121"/>
      <c r="I199" s="311"/>
      <c r="J199" s="88"/>
      <c r="K199" s="121"/>
      <c r="L199" s="311"/>
      <c r="M199" s="316"/>
      <c r="N199" s="317"/>
      <c r="O199" s="318"/>
      <c r="P199" s="316"/>
      <c r="Q199" s="317"/>
      <c r="R199" s="318"/>
      <c r="S199" s="316"/>
      <c r="T199" s="317"/>
      <c r="U199" s="318"/>
      <c r="V199" s="88"/>
      <c r="W199" s="317"/>
      <c r="X199" s="311"/>
      <c r="Y199" s="143"/>
      <c r="Z199" s="143"/>
      <c r="AA199" s="143"/>
      <c r="AB199" s="17"/>
      <c r="AC199" s="17"/>
      <c r="AD199" s="17"/>
      <c r="AE199" s="17"/>
    </row>
    <row r="200">
      <c r="A200" s="88"/>
      <c r="B200" s="121"/>
      <c r="C200" s="311"/>
      <c r="D200" s="88"/>
      <c r="E200" s="121"/>
      <c r="F200" s="311"/>
      <c r="G200" s="88"/>
      <c r="H200" s="121"/>
      <c r="I200" s="311"/>
      <c r="J200" s="88"/>
      <c r="K200" s="121"/>
      <c r="L200" s="311"/>
      <c r="M200" s="316"/>
      <c r="N200" s="317"/>
      <c r="O200" s="318"/>
      <c r="P200" s="316"/>
      <c r="Q200" s="317"/>
      <c r="R200" s="318"/>
      <c r="S200" s="316"/>
      <c r="T200" s="317"/>
      <c r="U200" s="318"/>
      <c r="V200" s="88"/>
      <c r="W200" s="317"/>
      <c r="X200" s="311"/>
      <c r="Y200" s="143"/>
      <c r="Z200" s="143"/>
      <c r="AA200" s="143"/>
      <c r="AB200" s="17"/>
      <c r="AC200" s="17"/>
      <c r="AD200" s="17"/>
      <c r="AE200" s="17"/>
    </row>
    <row r="201">
      <c r="A201" s="88"/>
      <c r="B201" s="121"/>
      <c r="C201" s="311"/>
      <c r="D201" s="88"/>
      <c r="E201" s="121"/>
      <c r="F201" s="311"/>
      <c r="G201" s="88"/>
      <c r="H201" s="121"/>
      <c r="I201" s="311"/>
      <c r="J201" s="88"/>
      <c r="K201" s="121"/>
      <c r="L201" s="311"/>
      <c r="M201" s="316"/>
      <c r="N201" s="317"/>
      <c r="O201" s="318"/>
      <c r="P201" s="316"/>
      <c r="Q201" s="317"/>
      <c r="R201" s="318"/>
      <c r="S201" s="316"/>
      <c r="T201" s="317"/>
      <c r="U201" s="318"/>
      <c r="V201" s="88"/>
      <c r="W201" s="317"/>
      <c r="X201" s="311"/>
      <c r="Y201" s="143"/>
      <c r="Z201" s="143"/>
      <c r="AA201" s="143"/>
      <c r="AB201" s="17"/>
      <c r="AC201" s="17"/>
      <c r="AD201" s="17"/>
      <c r="AE201" s="17"/>
    </row>
    <row r="202">
      <c r="A202" s="88"/>
      <c r="B202" s="121"/>
      <c r="C202" s="311"/>
      <c r="D202" s="88"/>
      <c r="E202" s="121"/>
      <c r="F202" s="311"/>
      <c r="G202" s="88"/>
      <c r="H202" s="121"/>
      <c r="I202" s="311"/>
      <c r="J202" s="88"/>
      <c r="K202" s="121"/>
      <c r="L202" s="311"/>
      <c r="M202" s="316"/>
      <c r="N202" s="317"/>
      <c r="O202" s="318"/>
      <c r="P202" s="316"/>
      <c r="Q202" s="317"/>
      <c r="R202" s="318"/>
      <c r="S202" s="316"/>
      <c r="T202" s="317"/>
      <c r="U202" s="318"/>
      <c r="V202" s="88"/>
      <c r="W202" s="317"/>
      <c r="X202" s="311"/>
      <c r="Y202" s="143"/>
      <c r="Z202" s="143"/>
      <c r="AA202" s="143"/>
      <c r="AB202" s="17"/>
      <c r="AC202" s="17"/>
      <c r="AD202" s="17"/>
      <c r="AE202" s="17"/>
    </row>
    <row r="203">
      <c r="A203" s="88"/>
      <c r="B203" s="121"/>
      <c r="C203" s="311"/>
      <c r="D203" s="88"/>
      <c r="E203" s="121"/>
      <c r="F203" s="311"/>
      <c r="G203" s="88"/>
      <c r="H203" s="121"/>
      <c r="I203" s="311"/>
      <c r="J203" s="88"/>
      <c r="K203" s="121"/>
      <c r="L203" s="311"/>
      <c r="M203" s="316"/>
      <c r="N203" s="317"/>
      <c r="O203" s="318"/>
      <c r="P203" s="316"/>
      <c r="Q203" s="317"/>
      <c r="R203" s="318"/>
      <c r="S203" s="316"/>
      <c r="T203" s="317"/>
      <c r="U203" s="318"/>
      <c r="V203" s="88"/>
      <c r="W203" s="317"/>
      <c r="X203" s="311"/>
      <c r="Y203" s="143"/>
      <c r="Z203" s="143"/>
      <c r="AA203" s="143"/>
      <c r="AB203" s="17"/>
      <c r="AC203" s="17"/>
      <c r="AD203" s="17"/>
      <c r="AE203" s="17"/>
    </row>
    <row r="204">
      <c r="A204" s="88"/>
      <c r="B204" s="121"/>
      <c r="C204" s="311"/>
      <c r="D204" s="88"/>
      <c r="E204" s="121"/>
      <c r="F204" s="311"/>
      <c r="G204" s="88"/>
      <c r="H204" s="121"/>
      <c r="I204" s="311"/>
      <c r="J204" s="88"/>
      <c r="K204" s="121"/>
      <c r="L204" s="311"/>
      <c r="M204" s="316"/>
      <c r="N204" s="317"/>
      <c r="O204" s="318"/>
      <c r="P204" s="316"/>
      <c r="Q204" s="317"/>
      <c r="R204" s="318"/>
      <c r="S204" s="316"/>
      <c r="T204" s="317"/>
      <c r="U204" s="318"/>
      <c r="V204" s="88"/>
      <c r="W204" s="317"/>
      <c r="X204" s="311"/>
      <c r="Y204" s="143"/>
      <c r="Z204" s="143"/>
      <c r="AA204" s="143"/>
      <c r="AB204" s="17"/>
      <c r="AC204" s="17"/>
      <c r="AD204" s="17"/>
      <c r="AE204" s="17"/>
    </row>
    <row r="205">
      <c r="A205" s="88"/>
      <c r="B205" s="121"/>
      <c r="C205" s="311"/>
      <c r="D205" s="88"/>
      <c r="E205" s="121"/>
      <c r="F205" s="311"/>
      <c r="G205" s="88"/>
      <c r="H205" s="121"/>
      <c r="I205" s="311"/>
      <c r="J205" s="88"/>
      <c r="K205" s="121"/>
      <c r="L205" s="311"/>
      <c r="M205" s="316"/>
      <c r="N205" s="317"/>
      <c r="O205" s="318"/>
      <c r="P205" s="316"/>
      <c r="Q205" s="317"/>
      <c r="R205" s="318"/>
      <c r="S205" s="316"/>
      <c r="T205" s="317"/>
      <c r="U205" s="318"/>
      <c r="V205" s="88"/>
      <c r="W205" s="317"/>
      <c r="X205" s="311"/>
      <c r="Y205" s="143"/>
      <c r="Z205" s="143"/>
      <c r="AA205" s="143"/>
      <c r="AB205" s="17"/>
      <c r="AC205" s="17"/>
      <c r="AD205" s="17"/>
      <c r="AE205" s="17"/>
    </row>
    <row r="206">
      <c r="A206" s="88"/>
      <c r="B206" s="121"/>
      <c r="C206" s="311"/>
      <c r="D206" s="88"/>
      <c r="E206" s="121"/>
      <c r="F206" s="311"/>
      <c r="G206" s="88"/>
      <c r="H206" s="121"/>
      <c r="I206" s="311"/>
      <c r="J206" s="88"/>
      <c r="K206" s="121"/>
      <c r="L206" s="311"/>
      <c r="M206" s="316"/>
      <c r="N206" s="317"/>
      <c r="O206" s="318"/>
      <c r="P206" s="316"/>
      <c r="Q206" s="317"/>
      <c r="R206" s="318"/>
      <c r="S206" s="316"/>
      <c r="T206" s="317"/>
      <c r="U206" s="318"/>
      <c r="V206" s="88"/>
      <c r="W206" s="317"/>
      <c r="X206" s="311"/>
      <c r="Y206" s="143"/>
      <c r="Z206" s="143"/>
      <c r="AA206" s="143"/>
      <c r="AB206" s="17"/>
      <c r="AC206" s="17"/>
      <c r="AD206" s="17"/>
      <c r="AE206" s="17"/>
    </row>
    <row r="207">
      <c r="A207" s="88"/>
      <c r="B207" s="121"/>
      <c r="C207" s="311"/>
      <c r="D207" s="88"/>
      <c r="E207" s="121"/>
      <c r="F207" s="311"/>
      <c r="G207" s="88"/>
      <c r="H207" s="121"/>
      <c r="I207" s="311"/>
      <c r="J207" s="88"/>
      <c r="K207" s="121"/>
      <c r="L207" s="311"/>
      <c r="M207" s="316"/>
      <c r="N207" s="317"/>
      <c r="O207" s="318"/>
      <c r="P207" s="316"/>
      <c r="Q207" s="317"/>
      <c r="R207" s="318"/>
      <c r="S207" s="316"/>
      <c r="T207" s="317"/>
      <c r="U207" s="318"/>
      <c r="V207" s="88"/>
      <c r="W207" s="317"/>
      <c r="X207" s="311"/>
      <c r="Y207" s="143"/>
      <c r="Z207" s="143"/>
      <c r="AA207" s="143"/>
      <c r="AB207" s="17"/>
      <c r="AC207" s="17"/>
      <c r="AD207" s="17"/>
      <c r="AE207" s="17"/>
    </row>
    <row r="208">
      <c r="A208" s="88"/>
      <c r="B208" s="121"/>
      <c r="C208" s="311"/>
      <c r="D208" s="88"/>
      <c r="E208" s="121"/>
      <c r="F208" s="311"/>
      <c r="G208" s="88"/>
      <c r="H208" s="121"/>
      <c r="I208" s="311"/>
      <c r="J208" s="88"/>
      <c r="K208" s="121"/>
      <c r="L208" s="311"/>
      <c r="M208" s="316"/>
      <c r="N208" s="317"/>
      <c r="O208" s="318"/>
      <c r="P208" s="316"/>
      <c r="Q208" s="317"/>
      <c r="R208" s="318"/>
      <c r="S208" s="316"/>
      <c r="T208" s="317"/>
      <c r="U208" s="318"/>
      <c r="V208" s="88"/>
      <c r="W208" s="317"/>
      <c r="X208" s="311"/>
      <c r="Y208" s="143"/>
      <c r="Z208" s="143"/>
      <c r="AA208" s="143"/>
      <c r="AB208" s="17"/>
      <c r="AC208" s="17"/>
      <c r="AD208" s="17"/>
      <c r="AE208" s="17"/>
    </row>
    <row r="209">
      <c r="A209" s="88"/>
      <c r="B209" s="121"/>
      <c r="C209" s="311"/>
      <c r="D209" s="88"/>
      <c r="E209" s="121"/>
      <c r="F209" s="311"/>
      <c r="G209" s="88"/>
      <c r="H209" s="121"/>
      <c r="I209" s="311"/>
      <c r="J209" s="88"/>
      <c r="K209" s="121"/>
      <c r="L209" s="311"/>
      <c r="M209" s="316"/>
      <c r="N209" s="317"/>
      <c r="O209" s="318"/>
      <c r="P209" s="316"/>
      <c r="Q209" s="317"/>
      <c r="R209" s="318"/>
      <c r="S209" s="316"/>
      <c r="T209" s="317"/>
      <c r="U209" s="318"/>
      <c r="V209" s="88"/>
      <c r="W209" s="317"/>
      <c r="X209" s="311"/>
      <c r="Y209" s="143"/>
      <c r="Z209" s="143"/>
      <c r="AA209" s="143"/>
      <c r="AB209" s="17"/>
      <c r="AC209" s="17"/>
      <c r="AD209" s="17"/>
      <c r="AE209" s="17"/>
    </row>
    <row r="210">
      <c r="A210" s="88"/>
      <c r="B210" s="121"/>
      <c r="C210" s="311"/>
      <c r="D210" s="88"/>
      <c r="E210" s="121"/>
      <c r="F210" s="311"/>
      <c r="G210" s="88"/>
      <c r="H210" s="121"/>
      <c r="I210" s="311"/>
      <c r="J210" s="88"/>
      <c r="K210" s="121"/>
      <c r="L210" s="311"/>
      <c r="M210" s="316"/>
      <c r="N210" s="317"/>
      <c r="O210" s="318"/>
      <c r="P210" s="316"/>
      <c r="Q210" s="317"/>
      <c r="R210" s="318"/>
      <c r="S210" s="316"/>
      <c r="T210" s="317"/>
      <c r="U210" s="318"/>
      <c r="V210" s="88"/>
      <c r="W210" s="317"/>
      <c r="X210" s="311"/>
      <c r="Y210" s="143"/>
      <c r="Z210" s="143"/>
      <c r="AA210" s="143"/>
      <c r="AB210" s="17"/>
      <c r="AC210" s="17"/>
      <c r="AD210" s="17"/>
      <c r="AE210" s="17"/>
    </row>
    <row r="211">
      <c r="A211" s="88"/>
      <c r="B211" s="121"/>
      <c r="C211" s="311"/>
      <c r="D211" s="88"/>
      <c r="E211" s="121"/>
      <c r="F211" s="311"/>
      <c r="G211" s="88"/>
      <c r="H211" s="121"/>
      <c r="I211" s="311"/>
      <c r="J211" s="88"/>
      <c r="K211" s="121"/>
      <c r="L211" s="311"/>
      <c r="M211" s="316"/>
      <c r="N211" s="317"/>
      <c r="O211" s="318"/>
      <c r="P211" s="316"/>
      <c r="Q211" s="317"/>
      <c r="R211" s="318"/>
      <c r="S211" s="316"/>
      <c r="T211" s="317"/>
      <c r="U211" s="318"/>
      <c r="V211" s="88"/>
      <c r="W211" s="317"/>
      <c r="X211" s="311"/>
      <c r="Y211" s="143"/>
      <c r="Z211" s="143"/>
      <c r="AA211" s="143"/>
      <c r="AB211" s="17"/>
      <c r="AC211" s="17"/>
      <c r="AD211" s="17"/>
      <c r="AE211" s="17"/>
    </row>
    <row r="212">
      <c r="A212" s="88"/>
      <c r="B212" s="121"/>
      <c r="C212" s="311"/>
      <c r="D212" s="88"/>
      <c r="E212" s="121"/>
      <c r="F212" s="311"/>
      <c r="G212" s="88"/>
      <c r="H212" s="121"/>
      <c r="I212" s="311"/>
      <c r="J212" s="88"/>
      <c r="K212" s="121"/>
      <c r="L212" s="311"/>
      <c r="M212" s="316"/>
      <c r="N212" s="317"/>
      <c r="O212" s="318"/>
      <c r="P212" s="316"/>
      <c r="Q212" s="317"/>
      <c r="R212" s="318"/>
      <c r="S212" s="316"/>
      <c r="T212" s="317"/>
      <c r="U212" s="318"/>
      <c r="V212" s="88"/>
      <c r="W212" s="317"/>
      <c r="X212" s="311"/>
      <c r="Y212" s="143"/>
      <c r="Z212" s="143"/>
      <c r="AA212" s="143"/>
      <c r="AB212" s="17"/>
      <c r="AC212" s="17"/>
      <c r="AD212" s="17"/>
      <c r="AE212" s="17"/>
    </row>
    <row r="213">
      <c r="A213" s="88"/>
      <c r="B213" s="121"/>
      <c r="C213" s="311"/>
      <c r="D213" s="88"/>
      <c r="E213" s="121"/>
      <c r="F213" s="311"/>
      <c r="G213" s="88"/>
      <c r="H213" s="121"/>
      <c r="I213" s="311"/>
      <c r="J213" s="88"/>
      <c r="K213" s="121"/>
      <c r="L213" s="311"/>
      <c r="M213" s="316"/>
      <c r="N213" s="317"/>
      <c r="O213" s="318"/>
      <c r="P213" s="316"/>
      <c r="Q213" s="317"/>
      <c r="R213" s="318"/>
      <c r="S213" s="316"/>
      <c r="T213" s="317"/>
      <c r="U213" s="318"/>
      <c r="V213" s="88"/>
      <c r="W213" s="317"/>
      <c r="X213" s="311"/>
      <c r="Y213" s="143"/>
      <c r="Z213" s="143"/>
      <c r="AA213" s="143"/>
      <c r="AB213" s="17"/>
      <c r="AC213" s="17"/>
      <c r="AD213" s="17"/>
      <c r="AE213" s="17"/>
    </row>
    <row r="214">
      <c r="A214" s="88"/>
      <c r="B214" s="121"/>
      <c r="C214" s="311"/>
      <c r="D214" s="88"/>
      <c r="E214" s="121"/>
      <c r="F214" s="311"/>
      <c r="G214" s="88"/>
      <c r="H214" s="121"/>
      <c r="I214" s="311"/>
      <c r="J214" s="88"/>
      <c r="K214" s="121"/>
      <c r="L214" s="311"/>
      <c r="M214" s="316"/>
      <c r="N214" s="317"/>
      <c r="O214" s="318"/>
      <c r="P214" s="316"/>
      <c r="Q214" s="317"/>
      <c r="R214" s="318"/>
      <c r="S214" s="316"/>
      <c r="T214" s="317"/>
      <c r="U214" s="318"/>
      <c r="V214" s="88"/>
      <c r="W214" s="317"/>
      <c r="X214" s="311"/>
      <c r="Y214" s="143"/>
      <c r="Z214" s="143"/>
      <c r="AA214" s="143"/>
      <c r="AB214" s="17"/>
      <c r="AC214" s="17"/>
      <c r="AD214" s="17"/>
      <c r="AE214" s="17"/>
    </row>
    <row r="215">
      <c r="A215" s="88"/>
      <c r="B215" s="121"/>
      <c r="C215" s="311"/>
      <c r="D215" s="88"/>
      <c r="E215" s="121"/>
      <c r="F215" s="311"/>
      <c r="G215" s="88"/>
      <c r="H215" s="121"/>
      <c r="I215" s="311"/>
      <c r="J215" s="88"/>
      <c r="K215" s="121"/>
      <c r="L215" s="311"/>
      <c r="M215" s="316"/>
      <c r="N215" s="317"/>
      <c r="O215" s="318"/>
      <c r="P215" s="316"/>
      <c r="Q215" s="317"/>
      <c r="R215" s="318"/>
      <c r="S215" s="316"/>
      <c r="T215" s="317"/>
      <c r="U215" s="318"/>
      <c r="V215" s="88"/>
      <c r="W215" s="317"/>
      <c r="X215" s="311"/>
      <c r="Y215" s="143"/>
      <c r="Z215" s="143"/>
      <c r="AA215" s="143"/>
      <c r="AB215" s="17"/>
      <c r="AC215" s="17"/>
      <c r="AD215" s="17"/>
      <c r="AE215" s="17"/>
    </row>
    <row r="216">
      <c r="A216" s="88"/>
      <c r="B216" s="121"/>
      <c r="C216" s="311"/>
      <c r="D216" s="88"/>
      <c r="E216" s="121"/>
      <c r="F216" s="311"/>
      <c r="G216" s="88"/>
      <c r="H216" s="121"/>
      <c r="I216" s="311"/>
      <c r="J216" s="88"/>
      <c r="K216" s="121"/>
      <c r="L216" s="311"/>
      <c r="M216" s="316"/>
      <c r="N216" s="317"/>
      <c r="O216" s="318"/>
      <c r="P216" s="316"/>
      <c r="Q216" s="317"/>
      <c r="R216" s="318"/>
      <c r="S216" s="316"/>
      <c r="T216" s="317"/>
      <c r="U216" s="318"/>
      <c r="V216" s="88"/>
      <c r="W216" s="317"/>
      <c r="X216" s="311"/>
      <c r="Y216" s="143"/>
      <c r="Z216" s="143"/>
      <c r="AA216" s="143"/>
      <c r="AB216" s="17"/>
      <c r="AC216" s="17"/>
      <c r="AD216" s="17"/>
      <c r="AE216" s="17"/>
    </row>
    <row r="217">
      <c r="A217" s="88"/>
      <c r="B217" s="121"/>
      <c r="C217" s="311"/>
      <c r="D217" s="88"/>
      <c r="E217" s="121"/>
      <c r="F217" s="311"/>
      <c r="G217" s="88"/>
      <c r="H217" s="121"/>
      <c r="I217" s="311"/>
      <c r="J217" s="88"/>
      <c r="K217" s="121"/>
      <c r="L217" s="311"/>
      <c r="M217" s="316"/>
      <c r="N217" s="317"/>
      <c r="O217" s="318"/>
      <c r="P217" s="316"/>
      <c r="Q217" s="317"/>
      <c r="R217" s="318"/>
      <c r="S217" s="316"/>
      <c r="T217" s="317"/>
      <c r="U217" s="318"/>
      <c r="V217" s="88"/>
      <c r="W217" s="317"/>
      <c r="X217" s="311"/>
      <c r="Y217" s="143"/>
      <c r="Z217" s="143"/>
      <c r="AA217" s="143"/>
      <c r="AB217" s="17"/>
      <c r="AC217" s="17"/>
      <c r="AD217" s="17"/>
      <c r="AE217" s="17"/>
    </row>
    <row r="218">
      <c r="A218" s="88"/>
      <c r="B218" s="121"/>
      <c r="C218" s="311"/>
      <c r="D218" s="88"/>
      <c r="E218" s="121"/>
      <c r="F218" s="311"/>
      <c r="G218" s="88"/>
      <c r="H218" s="121"/>
      <c r="I218" s="311"/>
      <c r="J218" s="88"/>
      <c r="K218" s="121"/>
      <c r="L218" s="311"/>
      <c r="M218" s="316"/>
      <c r="N218" s="317"/>
      <c r="O218" s="318"/>
      <c r="P218" s="316"/>
      <c r="Q218" s="317"/>
      <c r="R218" s="318"/>
      <c r="S218" s="316"/>
      <c r="T218" s="317"/>
      <c r="U218" s="318"/>
      <c r="V218" s="88"/>
      <c r="W218" s="317"/>
      <c r="X218" s="311"/>
      <c r="Y218" s="143"/>
      <c r="Z218" s="143"/>
      <c r="AA218" s="143"/>
      <c r="AB218" s="17"/>
      <c r="AC218" s="17"/>
      <c r="AD218" s="17"/>
      <c r="AE218" s="17"/>
    </row>
    <row r="219">
      <c r="A219" s="88"/>
      <c r="B219" s="121"/>
      <c r="C219" s="311"/>
      <c r="D219" s="88"/>
      <c r="E219" s="121"/>
      <c r="F219" s="311"/>
      <c r="G219" s="88"/>
      <c r="H219" s="121"/>
      <c r="I219" s="311"/>
      <c r="J219" s="88"/>
      <c r="K219" s="121"/>
      <c r="L219" s="311"/>
      <c r="M219" s="316"/>
      <c r="N219" s="317"/>
      <c r="O219" s="318"/>
      <c r="P219" s="316"/>
      <c r="Q219" s="317"/>
      <c r="R219" s="318"/>
      <c r="S219" s="316"/>
      <c r="T219" s="317"/>
      <c r="U219" s="318"/>
      <c r="V219" s="88"/>
      <c r="W219" s="317"/>
      <c r="X219" s="311"/>
      <c r="Y219" s="143"/>
      <c r="Z219" s="143"/>
      <c r="AA219" s="143"/>
      <c r="AB219" s="17"/>
      <c r="AC219" s="17"/>
      <c r="AD219" s="17"/>
      <c r="AE219" s="17"/>
    </row>
    <row r="220">
      <c r="A220" s="88"/>
      <c r="B220" s="121"/>
      <c r="C220" s="311"/>
      <c r="D220" s="88"/>
      <c r="E220" s="121"/>
      <c r="F220" s="311"/>
      <c r="G220" s="88"/>
      <c r="H220" s="121"/>
      <c r="I220" s="311"/>
      <c r="J220" s="88"/>
      <c r="K220" s="121"/>
      <c r="L220" s="311"/>
      <c r="M220" s="316"/>
      <c r="N220" s="317"/>
      <c r="O220" s="318"/>
      <c r="P220" s="316"/>
      <c r="Q220" s="317"/>
      <c r="R220" s="318"/>
      <c r="S220" s="316"/>
      <c r="T220" s="317"/>
      <c r="U220" s="318"/>
      <c r="V220" s="88"/>
      <c r="W220" s="317"/>
      <c r="X220" s="311"/>
      <c r="Y220" s="143"/>
      <c r="Z220" s="143"/>
      <c r="AA220" s="143"/>
      <c r="AB220" s="17"/>
      <c r="AC220" s="17"/>
      <c r="AD220" s="17"/>
      <c r="AE220" s="17"/>
    </row>
    <row r="221">
      <c r="A221" s="88"/>
      <c r="B221" s="121"/>
      <c r="C221" s="311"/>
      <c r="D221" s="88"/>
      <c r="E221" s="121"/>
      <c r="F221" s="311"/>
      <c r="G221" s="88"/>
      <c r="H221" s="121"/>
      <c r="I221" s="311"/>
      <c r="J221" s="88"/>
      <c r="K221" s="121"/>
      <c r="L221" s="311"/>
      <c r="M221" s="316"/>
      <c r="N221" s="317"/>
      <c r="O221" s="318"/>
      <c r="P221" s="316"/>
      <c r="Q221" s="317"/>
      <c r="R221" s="318"/>
      <c r="S221" s="316"/>
      <c r="T221" s="317"/>
      <c r="U221" s="318"/>
      <c r="V221" s="88"/>
      <c r="W221" s="317"/>
      <c r="X221" s="311"/>
      <c r="Y221" s="143"/>
      <c r="Z221" s="143"/>
      <c r="AA221" s="143"/>
      <c r="AB221" s="17"/>
      <c r="AC221" s="17"/>
      <c r="AD221" s="17"/>
      <c r="AE221" s="17"/>
    </row>
    <row r="222">
      <c r="A222" s="88"/>
      <c r="B222" s="121"/>
      <c r="C222" s="311"/>
      <c r="D222" s="88"/>
      <c r="E222" s="121"/>
      <c r="F222" s="311"/>
      <c r="G222" s="88"/>
      <c r="H222" s="121"/>
      <c r="I222" s="311"/>
      <c r="J222" s="88"/>
      <c r="K222" s="121"/>
      <c r="L222" s="311"/>
      <c r="M222" s="316"/>
      <c r="N222" s="317"/>
      <c r="O222" s="318"/>
      <c r="P222" s="316"/>
      <c r="Q222" s="317"/>
      <c r="R222" s="318"/>
      <c r="S222" s="316"/>
      <c r="T222" s="317"/>
      <c r="U222" s="318"/>
      <c r="V222" s="88"/>
      <c r="W222" s="317"/>
      <c r="X222" s="311"/>
      <c r="Y222" s="143"/>
      <c r="Z222" s="143"/>
      <c r="AA222" s="143"/>
      <c r="AB222" s="17"/>
      <c r="AC222" s="17"/>
      <c r="AD222" s="17"/>
      <c r="AE222" s="17"/>
    </row>
    <row r="223">
      <c r="A223" s="88"/>
      <c r="B223" s="121"/>
      <c r="C223" s="311"/>
      <c r="D223" s="88"/>
      <c r="E223" s="121"/>
      <c r="F223" s="311"/>
      <c r="G223" s="88"/>
      <c r="H223" s="121"/>
      <c r="I223" s="311"/>
      <c r="J223" s="88"/>
      <c r="K223" s="121"/>
      <c r="L223" s="311"/>
      <c r="M223" s="316"/>
      <c r="N223" s="317"/>
      <c r="O223" s="318"/>
      <c r="P223" s="316"/>
      <c r="Q223" s="317"/>
      <c r="R223" s="318"/>
      <c r="S223" s="316"/>
      <c r="T223" s="317"/>
      <c r="U223" s="318"/>
      <c r="V223" s="88"/>
      <c r="W223" s="317"/>
      <c r="X223" s="311"/>
      <c r="Y223" s="143"/>
      <c r="Z223" s="143"/>
      <c r="AA223" s="143"/>
      <c r="AB223" s="17"/>
      <c r="AC223" s="17"/>
      <c r="AD223" s="17"/>
      <c r="AE223" s="17"/>
    </row>
    <row r="224">
      <c r="A224" s="88"/>
      <c r="B224" s="121"/>
      <c r="C224" s="311"/>
      <c r="D224" s="88"/>
      <c r="E224" s="121"/>
      <c r="F224" s="311"/>
      <c r="G224" s="88"/>
      <c r="H224" s="121"/>
      <c r="I224" s="311"/>
      <c r="J224" s="88"/>
      <c r="K224" s="121"/>
      <c r="L224" s="311"/>
      <c r="M224" s="316"/>
      <c r="N224" s="317"/>
      <c r="O224" s="318"/>
      <c r="P224" s="316"/>
      <c r="Q224" s="317"/>
      <c r="R224" s="318"/>
      <c r="S224" s="316"/>
      <c r="T224" s="317"/>
      <c r="U224" s="318"/>
      <c r="V224" s="88"/>
      <c r="W224" s="317"/>
      <c r="X224" s="311"/>
      <c r="Y224" s="143"/>
      <c r="Z224" s="143"/>
      <c r="AA224" s="143"/>
      <c r="AB224" s="17"/>
      <c r="AC224" s="17"/>
      <c r="AD224" s="17"/>
      <c r="AE224" s="17"/>
    </row>
    <row r="225">
      <c r="A225" s="88"/>
      <c r="B225" s="121"/>
      <c r="C225" s="311"/>
      <c r="D225" s="88"/>
      <c r="E225" s="121"/>
      <c r="F225" s="311"/>
      <c r="G225" s="88"/>
      <c r="H225" s="121"/>
      <c r="I225" s="311"/>
      <c r="J225" s="88"/>
      <c r="K225" s="121"/>
      <c r="L225" s="311"/>
      <c r="M225" s="316"/>
      <c r="N225" s="317"/>
      <c r="O225" s="318"/>
      <c r="P225" s="316"/>
      <c r="Q225" s="317"/>
      <c r="R225" s="318"/>
      <c r="S225" s="316"/>
      <c r="T225" s="317"/>
      <c r="U225" s="318"/>
      <c r="V225" s="88"/>
      <c r="W225" s="317"/>
      <c r="X225" s="311"/>
      <c r="Y225" s="143"/>
      <c r="Z225" s="143"/>
      <c r="AA225" s="143"/>
      <c r="AB225" s="17"/>
      <c r="AC225" s="17"/>
      <c r="AD225" s="17"/>
      <c r="AE225" s="17"/>
    </row>
    <row r="226">
      <c r="A226" s="88"/>
      <c r="B226" s="121"/>
      <c r="C226" s="311"/>
      <c r="D226" s="88"/>
      <c r="E226" s="121"/>
      <c r="F226" s="311"/>
      <c r="G226" s="88"/>
      <c r="H226" s="121"/>
      <c r="I226" s="311"/>
      <c r="J226" s="88"/>
      <c r="K226" s="121"/>
      <c r="L226" s="311"/>
      <c r="M226" s="316"/>
      <c r="N226" s="317"/>
      <c r="O226" s="318"/>
      <c r="P226" s="316"/>
      <c r="Q226" s="317"/>
      <c r="R226" s="318"/>
      <c r="S226" s="316"/>
      <c r="T226" s="317"/>
      <c r="U226" s="318"/>
      <c r="V226" s="88"/>
      <c r="W226" s="317"/>
      <c r="X226" s="311"/>
      <c r="Y226" s="143"/>
      <c r="Z226" s="143"/>
      <c r="AA226" s="143"/>
      <c r="AB226" s="17"/>
      <c r="AC226" s="17"/>
      <c r="AD226" s="17"/>
      <c r="AE226" s="17"/>
    </row>
    <row r="227">
      <c r="A227" s="88"/>
      <c r="B227" s="121"/>
      <c r="C227" s="311"/>
      <c r="D227" s="88"/>
      <c r="E227" s="121"/>
      <c r="F227" s="311"/>
      <c r="G227" s="88"/>
      <c r="H227" s="121"/>
      <c r="I227" s="311"/>
      <c r="J227" s="88"/>
      <c r="K227" s="121"/>
      <c r="L227" s="311"/>
      <c r="M227" s="316"/>
      <c r="N227" s="317"/>
      <c r="O227" s="318"/>
      <c r="P227" s="316"/>
      <c r="Q227" s="317"/>
      <c r="R227" s="318"/>
      <c r="S227" s="316"/>
      <c r="T227" s="317"/>
      <c r="U227" s="318"/>
      <c r="V227" s="88"/>
      <c r="W227" s="317"/>
      <c r="X227" s="311"/>
      <c r="Y227" s="143"/>
      <c r="Z227" s="143"/>
      <c r="AA227" s="143"/>
      <c r="AB227" s="17"/>
      <c r="AC227" s="17"/>
      <c r="AD227" s="17"/>
      <c r="AE227" s="17"/>
    </row>
    <row r="228">
      <c r="A228" s="88"/>
      <c r="B228" s="121"/>
      <c r="C228" s="311"/>
      <c r="D228" s="88"/>
      <c r="E228" s="121"/>
      <c r="F228" s="311"/>
      <c r="G228" s="88"/>
      <c r="H228" s="121"/>
      <c r="I228" s="311"/>
      <c r="J228" s="88"/>
      <c r="K228" s="121"/>
      <c r="L228" s="311"/>
      <c r="M228" s="316"/>
      <c r="N228" s="317"/>
      <c r="O228" s="318"/>
      <c r="P228" s="316"/>
      <c r="Q228" s="317"/>
      <c r="R228" s="318"/>
      <c r="S228" s="316"/>
      <c r="T228" s="317"/>
      <c r="U228" s="318"/>
      <c r="V228" s="88"/>
      <c r="W228" s="317"/>
      <c r="X228" s="311"/>
      <c r="Y228" s="143"/>
      <c r="Z228" s="143"/>
      <c r="AA228" s="143"/>
      <c r="AB228" s="17"/>
      <c r="AC228" s="17"/>
      <c r="AD228" s="17"/>
      <c r="AE228" s="17"/>
    </row>
    <row r="229">
      <c r="A229" s="88"/>
      <c r="B229" s="121"/>
      <c r="C229" s="311"/>
      <c r="D229" s="88"/>
      <c r="E229" s="121"/>
      <c r="F229" s="311"/>
      <c r="G229" s="88"/>
      <c r="H229" s="121"/>
      <c r="I229" s="311"/>
      <c r="J229" s="88"/>
      <c r="K229" s="121"/>
      <c r="L229" s="311"/>
      <c r="M229" s="316"/>
      <c r="N229" s="317"/>
      <c r="O229" s="318"/>
      <c r="P229" s="316"/>
      <c r="Q229" s="317"/>
      <c r="R229" s="318"/>
      <c r="S229" s="316"/>
      <c r="T229" s="317"/>
      <c r="U229" s="318"/>
      <c r="V229" s="88"/>
      <c r="W229" s="317"/>
      <c r="X229" s="311"/>
      <c r="Y229" s="143"/>
      <c r="Z229" s="143"/>
      <c r="AA229" s="143"/>
      <c r="AB229" s="17"/>
      <c r="AC229" s="17"/>
      <c r="AD229" s="17"/>
      <c r="AE229" s="17"/>
    </row>
    <row r="230">
      <c r="A230" s="88"/>
      <c r="B230" s="121"/>
      <c r="C230" s="311"/>
      <c r="D230" s="88"/>
      <c r="E230" s="121"/>
      <c r="F230" s="311"/>
      <c r="G230" s="88"/>
      <c r="H230" s="121"/>
      <c r="I230" s="311"/>
      <c r="J230" s="88"/>
      <c r="K230" s="121"/>
      <c r="L230" s="311"/>
      <c r="M230" s="316"/>
      <c r="N230" s="317"/>
      <c r="O230" s="318"/>
      <c r="P230" s="316"/>
      <c r="Q230" s="317"/>
      <c r="R230" s="318"/>
      <c r="S230" s="316"/>
      <c r="T230" s="317"/>
      <c r="U230" s="318"/>
      <c r="V230" s="88"/>
      <c r="W230" s="317"/>
      <c r="X230" s="311"/>
      <c r="Y230" s="143"/>
      <c r="Z230" s="143"/>
      <c r="AA230" s="143"/>
      <c r="AB230" s="17"/>
      <c r="AC230" s="17"/>
      <c r="AD230" s="17"/>
      <c r="AE230" s="17"/>
    </row>
    <row r="231">
      <c r="A231" s="88"/>
      <c r="B231" s="121"/>
      <c r="C231" s="311"/>
      <c r="D231" s="88"/>
      <c r="E231" s="121"/>
      <c r="F231" s="311"/>
      <c r="G231" s="88"/>
      <c r="H231" s="121"/>
      <c r="I231" s="311"/>
      <c r="J231" s="88"/>
      <c r="K231" s="121"/>
      <c r="L231" s="311"/>
      <c r="M231" s="316"/>
      <c r="N231" s="317"/>
      <c r="O231" s="318"/>
      <c r="P231" s="316"/>
      <c r="Q231" s="317"/>
      <c r="R231" s="318"/>
      <c r="S231" s="316"/>
      <c r="T231" s="317"/>
      <c r="U231" s="318"/>
      <c r="V231" s="88"/>
      <c r="W231" s="317"/>
      <c r="X231" s="311"/>
      <c r="Y231" s="143"/>
      <c r="Z231" s="143"/>
      <c r="AA231" s="143"/>
      <c r="AB231" s="17"/>
      <c r="AC231" s="17"/>
      <c r="AD231" s="17"/>
      <c r="AE231" s="17"/>
    </row>
    <row r="232">
      <c r="A232" s="88"/>
      <c r="B232" s="121"/>
      <c r="C232" s="311"/>
      <c r="D232" s="88"/>
      <c r="E232" s="121"/>
      <c r="F232" s="311"/>
      <c r="G232" s="88"/>
      <c r="H232" s="121"/>
      <c r="I232" s="311"/>
      <c r="J232" s="88"/>
      <c r="K232" s="121"/>
      <c r="L232" s="311"/>
      <c r="M232" s="316"/>
      <c r="N232" s="317"/>
      <c r="O232" s="318"/>
      <c r="P232" s="316"/>
      <c r="Q232" s="317"/>
      <c r="R232" s="318"/>
      <c r="S232" s="316"/>
      <c r="T232" s="317"/>
      <c r="U232" s="318"/>
      <c r="V232" s="88"/>
      <c r="W232" s="317"/>
      <c r="X232" s="311"/>
      <c r="Y232" s="143"/>
      <c r="Z232" s="143"/>
      <c r="AA232" s="143"/>
      <c r="AB232" s="17"/>
      <c r="AC232" s="17"/>
      <c r="AD232" s="17"/>
      <c r="AE232" s="17"/>
    </row>
    <row r="233">
      <c r="A233" s="88"/>
      <c r="B233" s="121"/>
      <c r="C233" s="311"/>
      <c r="D233" s="88"/>
      <c r="E233" s="121"/>
      <c r="F233" s="311"/>
      <c r="G233" s="88"/>
      <c r="H233" s="121"/>
      <c r="I233" s="311"/>
      <c r="J233" s="88"/>
      <c r="K233" s="121"/>
      <c r="L233" s="311"/>
      <c r="M233" s="316"/>
      <c r="N233" s="317"/>
      <c r="O233" s="318"/>
      <c r="P233" s="316"/>
      <c r="Q233" s="317"/>
      <c r="R233" s="318"/>
      <c r="S233" s="316"/>
      <c r="T233" s="317"/>
      <c r="U233" s="318"/>
      <c r="V233" s="88"/>
      <c r="W233" s="317"/>
      <c r="X233" s="311"/>
      <c r="Y233" s="143"/>
      <c r="Z233" s="143"/>
      <c r="AA233" s="143"/>
      <c r="AB233" s="17"/>
      <c r="AC233" s="17"/>
      <c r="AD233" s="17"/>
      <c r="AE233" s="17"/>
    </row>
    <row r="234">
      <c r="A234" s="88"/>
      <c r="B234" s="121"/>
      <c r="C234" s="311"/>
      <c r="D234" s="88"/>
      <c r="E234" s="121"/>
      <c r="F234" s="311"/>
      <c r="G234" s="88"/>
      <c r="H234" s="121"/>
      <c r="I234" s="311"/>
      <c r="J234" s="88"/>
      <c r="K234" s="121"/>
      <c r="L234" s="311"/>
      <c r="M234" s="316"/>
      <c r="N234" s="317"/>
      <c r="O234" s="318"/>
      <c r="P234" s="316"/>
      <c r="Q234" s="317"/>
      <c r="R234" s="318"/>
      <c r="S234" s="316"/>
      <c r="T234" s="317"/>
      <c r="U234" s="318"/>
      <c r="V234" s="88"/>
      <c r="W234" s="317"/>
      <c r="X234" s="311"/>
      <c r="Y234" s="143"/>
      <c r="Z234" s="143"/>
      <c r="AA234" s="143"/>
      <c r="AB234" s="17"/>
      <c r="AC234" s="17"/>
      <c r="AD234" s="17"/>
      <c r="AE234" s="17"/>
    </row>
    <row r="235">
      <c r="A235" s="88"/>
      <c r="B235" s="121"/>
      <c r="C235" s="311"/>
      <c r="D235" s="88"/>
      <c r="E235" s="121"/>
      <c r="F235" s="311"/>
      <c r="G235" s="88"/>
      <c r="H235" s="121"/>
      <c r="I235" s="311"/>
      <c r="J235" s="88"/>
      <c r="K235" s="121"/>
      <c r="L235" s="311"/>
      <c r="M235" s="316"/>
      <c r="N235" s="317"/>
      <c r="O235" s="318"/>
      <c r="P235" s="316"/>
      <c r="Q235" s="317"/>
      <c r="R235" s="318"/>
      <c r="S235" s="316"/>
      <c r="T235" s="317"/>
      <c r="U235" s="318"/>
      <c r="V235" s="88"/>
      <c r="W235" s="317"/>
      <c r="X235" s="311"/>
      <c r="Y235" s="143"/>
      <c r="Z235" s="143"/>
      <c r="AA235" s="143"/>
      <c r="AB235" s="17"/>
      <c r="AC235" s="17"/>
      <c r="AD235" s="17"/>
      <c r="AE235" s="17"/>
    </row>
    <row r="236">
      <c r="A236" s="88"/>
      <c r="B236" s="121"/>
      <c r="C236" s="311"/>
      <c r="D236" s="88"/>
      <c r="E236" s="121"/>
      <c r="F236" s="311"/>
      <c r="G236" s="88"/>
      <c r="H236" s="121"/>
      <c r="I236" s="311"/>
      <c r="J236" s="88"/>
      <c r="K236" s="121"/>
      <c r="L236" s="311"/>
      <c r="M236" s="316"/>
      <c r="N236" s="317"/>
      <c r="O236" s="318"/>
      <c r="P236" s="316"/>
      <c r="Q236" s="317"/>
      <c r="R236" s="318"/>
      <c r="S236" s="316"/>
      <c r="T236" s="317"/>
      <c r="U236" s="318"/>
      <c r="V236" s="88"/>
      <c r="W236" s="317"/>
      <c r="X236" s="311"/>
      <c r="Y236" s="143"/>
      <c r="Z236" s="143"/>
      <c r="AA236" s="143"/>
      <c r="AB236" s="17"/>
      <c r="AC236" s="17"/>
      <c r="AD236" s="17"/>
      <c r="AE236" s="17"/>
    </row>
    <row r="237">
      <c r="A237" s="88"/>
      <c r="B237" s="121"/>
      <c r="C237" s="311"/>
      <c r="D237" s="88"/>
      <c r="E237" s="121"/>
      <c r="F237" s="311"/>
      <c r="G237" s="88"/>
      <c r="H237" s="121"/>
      <c r="I237" s="311"/>
      <c r="J237" s="88"/>
      <c r="K237" s="121"/>
      <c r="L237" s="311"/>
      <c r="M237" s="316"/>
      <c r="N237" s="317"/>
      <c r="O237" s="318"/>
      <c r="P237" s="316"/>
      <c r="Q237" s="317"/>
      <c r="R237" s="318"/>
      <c r="S237" s="316"/>
      <c r="T237" s="317"/>
      <c r="U237" s="318"/>
      <c r="V237" s="88"/>
      <c r="W237" s="317"/>
      <c r="X237" s="311"/>
      <c r="Y237" s="143"/>
      <c r="Z237" s="143"/>
      <c r="AA237" s="143"/>
      <c r="AB237" s="17"/>
      <c r="AC237" s="17"/>
      <c r="AD237" s="17"/>
      <c r="AE237" s="17"/>
    </row>
    <row r="238">
      <c r="A238" s="88"/>
      <c r="B238" s="121"/>
      <c r="C238" s="311"/>
      <c r="D238" s="88"/>
      <c r="E238" s="121"/>
      <c r="F238" s="311"/>
      <c r="G238" s="88"/>
      <c r="H238" s="121"/>
      <c r="I238" s="311"/>
      <c r="J238" s="88"/>
      <c r="K238" s="121"/>
      <c r="L238" s="311"/>
      <c r="M238" s="316"/>
      <c r="N238" s="317"/>
      <c r="O238" s="318"/>
      <c r="P238" s="316"/>
      <c r="Q238" s="317"/>
      <c r="R238" s="318"/>
      <c r="S238" s="316"/>
      <c r="T238" s="317"/>
      <c r="U238" s="318"/>
      <c r="V238" s="88"/>
      <c r="W238" s="317"/>
      <c r="X238" s="311"/>
      <c r="Y238" s="143"/>
      <c r="Z238" s="143"/>
      <c r="AA238" s="143"/>
      <c r="AB238" s="17"/>
      <c r="AC238" s="17"/>
      <c r="AD238" s="17"/>
      <c r="AE238" s="17"/>
    </row>
    <row r="239">
      <c r="A239" s="88"/>
      <c r="B239" s="121"/>
      <c r="C239" s="311"/>
      <c r="D239" s="88"/>
      <c r="E239" s="121"/>
      <c r="F239" s="311"/>
      <c r="G239" s="88"/>
      <c r="H239" s="121"/>
      <c r="I239" s="311"/>
      <c r="J239" s="88"/>
      <c r="K239" s="121"/>
      <c r="L239" s="311"/>
      <c r="M239" s="316"/>
      <c r="N239" s="317"/>
      <c r="O239" s="318"/>
      <c r="P239" s="316"/>
      <c r="Q239" s="317"/>
      <c r="R239" s="318"/>
      <c r="S239" s="316"/>
      <c r="T239" s="317"/>
      <c r="U239" s="318"/>
      <c r="V239" s="88"/>
      <c r="W239" s="317"/>
      <c r="X239" s="311"/>
      <c r="Y239" s="143"/>
      <c r="Z239" s="143"/>
      <c r="AA239" s="143"/>
      <c r="AB239" s="17"/>
      <c r="AC239" s="17"/>
      <c r="AD239" s="17"/>
      <c r="AE239" s="17"/>
    </row>
    <row r="240">
      <c r="A240" s="88"/>
      <c r="B240" s="121"/>
      <c r="C240" s="311"/>
      <c r="D240" s="88"/>
      <c r="E240" s="121"/>
      <c r="F240" s="311"/>
      <c r="G240" s="88"/>
      <c r="H240" s="121"/>
      <c r="I240" s="311"/>
      <c r="J240" s="88"/>
      <c r="K240" s="121"/>
      <c r="L240" s="311"/>
      <c r="M240" s="316"/>
      <c r="N240" s="317"/>
      <c r="O240" s="318"/>
      <c r="P240" s="316"/>
      <c r="Q240" s="317"/>
      <c r="R240" s="318"/>
      <c r="S240" s="316"/>
      <c r="T240" s="317"/>
      <c r="U240" s="318"/>
      <c r="V240" s="88"/>
      <c r="W240" s="317"/>
      <c r="X240" s="311"/>
      <c r="Y240" s="143"/>
      <c r="Z240" s="143"/>
      <c r="AA240" s="143"/>
      <c r="AB240" s="17"/>
      <c r="AC240" s="17"/>
      <c r="AD240" s="17"/>
      <c r="AE240" s="17"/>
    </row>
    <row r="241">
      <c r="A241" s="88"/>
      <c r="B241" s="121"/>
      <c r="C241" s="311"/>
      <c r="D241" s="88"/>
      <c r="E241" s="121"/>
      <c r="F241" s="311"/>
      <c r="G241" s="88"/>
      <c r="H241" s="121"/>
      <c r="I241" s="311"/>
      <c r="J241" s="88"/>
      <c r="K241" s="121"/>
      <c r="L241" s="311"/>
      <c r="M241" s="316"/>
      <c r="N241" s="317"/>
      <c r="O241" s="318"/>
      <c r="P241" s="316"/>
      <c r="Q241" s="317"/>
      <c r="R241" s="318"/>
      <c r="S241" s="316"/>
      <c r="T241" s="317"/>
      <c r="U241" s="318"/>
      <c r="V241" s="88"/>
      <c r="W241" s="317"/>
      <c r="X241" s="311"/>
      <c r="Y241" s="143"/>
      <c r="Z241" s="143"/>
      <c r="AA241" s="143"/>
      <c r="AB241" s="17"/>
      <c r="AC241" s="17"/>
      <c r="AD241" s="17"/>
      <c r="AE241" s="17"/>
    </row>
    <row r="242">
      <c r="A242" s="88"/>
      <c r="B242" s="121"/>
      <c r="C242" s="311"/>
      <c r="D242" s="88"/>
      <c r="E242" s="121"/>
      <c r="F242" s="311"/>
      <c r="G242" s="88"/>
      <c r="H242" s="121"/>
      <c r="I242" s="311"/>
      <c r="J242" s="88"/>
      <c r="K242" s="121"/>
      <c r="L242" s="311"/>
      <c r="M242" s="316"/>
      <c r="N242" s="317"/>
      <c r="O242" s="318"/>
      <c r="P242" s="316"/>
      <c r="Q242" s="317"/>
      <c r="R242" s="318"/>
      <c r="S242" s="316"/>
      <c r="T242" s="317"/>
      <c r="U242" s="318"/>
      <c r="V242" s="88"/>
      <c r="W242" s="317"/>
      <c r="X242" s="311"/>
      <c r="Y242" s="143"/>
      <c r="Z242" s="143"/>
      <c r="AA242" s="143"/>
      <c r="AB242" s="17"/>
      <c r="AC242" s="17"/>
      <c r="AD242" s="17"/>
      <c r="AE242" s="17"/>
    </row>
    <row r="243">
      <c r="A243" s="88"/>
      <c r="B243" s="121"/>
      <c r="C243" s="311"/>
      <c r="D243" s="88"/>
      <c r="E243" s="121"/>
      <c r="F243" s="311"/>
      <c r="G243" s="88"/>
      <c r="H243" s="121"/>
      <c r="I243" s="311"/>
      <c r="J243" s="88"/>
      <c r="K243" s="121"/>
      <c r="L243" s="311"/>
      <c r="M243" s="316"/>
      <c r="N243" s="317"/>
      <c r="O243" s="318"/>
      <c r="P243" s="316"/>
      <c r="Q243" s="317"/>
      <c r="R243" s="318"/>
      <c r="S243" s="316"/>
      <c r="T243" s="317"/>
      <c r="U243" s="318"/>
      <c r="V243" s="88"/>
      <c r="W243" s="317"/>
      <c r="X243" s="311"/>
      <c r="Y243" s="143"/>
      <c r="Z243" s="143"/>
      <c r="AA243" s="143"/>
      <c r="AB243" s="17"/>
      <c r="AC243" s="17"/>
      <c r="AD243" s="17"/>
      <c r="AE243" s="17"/>
    </row>
    <row r="244">
      <c r="A244" s="88"/>
      <c r="B244" s="121"/>
      <c r="C244" s="311"/>
      <c r="D244" s="88"/>
      <c r="E244" s="121"/>
      <c r="F244" s="311"/>
      <c r="G244" s="88"/>
      <c r="H244" s="121"/>
      <c r="I244" s="311"/>
      <c r="J244" s="88"/>
      <c r="K244" s="121"/>
      <c r="L244" s="311"/>
      <c r="M244" s="316"/>
      <c r="N244" s="317"/>
      <c r="O244" s="318"/>
      <c r="P244" s="316"/>
      <c r="Q244" s="317"/>
      <c r="R244" s="318"/>
      <c r="S244" s="316"/>
      <c r="T244" s="317"/>
      <c r="U244" s="318"/>
      <c r="V244" s="88"/>
      <c r="W244" s="317"/>
      <c r="X244" s="311"/>
      <c r="Y244" s="143"/>
      <c r="Z244" s="143"/>
      <c r="AA244" s="143"/>
      <c r="AB244" s="17"/>
      <c r="AC244" s="17"/>
      <c r="AD244" s="17"/>
      <c r="AE244" s="17"/>
    </row>
    <row r="245">
      <c r="A245" s="88"/>
      <c r="B245" s="121"/>
      <c r="C245" s="311"/>
      <c r="D245" s="88"/>
      <c r="E245" s="121"/>
      <c r="F245" s="311"/>
      <c r="G245" s="88"/>
      <c r="H245" s="121"/>
      <c r="I245" s="311"/>
      <c r="J245" s="88"/>
      <c r="K245" s="121"/>
      <c r="L245" s="311"/>
      <c r="M245" s="316"/>
      <c r="N245" s="317"/>
      <c r="O245" s="318"/>
      <c r="P245" s="316"/>
      <c r="Q245" s="317"/>
      <c r="R245" s="318"/>
      <c r="S245" s="316"/>
      <c r="T245" s="317"/>
      <c r="U245" s="318"/>
      <c r="V245" s="88"/>
      <c r="W245" s="317"/>
      <c r="X245" s="311"/>
      <c r="Y245" s="143"/>
      <c r="Z245" s="143"/>
      <c r="AA245" s="143"/>
      <c r="AB245" s="17"/>
      <c r="AC245" s="17"/>
      <c r="AD245" s="17"/>
      <c r="AE245" s="17"/>
    </row>
    <row r="246">
      <c r="A246" s="88"/>
      <c r="B246" s="121"/>
      <c r="C246" s="311"/>
      <c r="D246" s="88"/>
      <c r="E246" s="121"/>
      <c r="F246" s="311"/>
      <c r="G246" s="88"/>
      <c r="H246" s="121"/>
      <c r="I246" s="311"/>
      <c r="J246" s="88"/>
      <c r="K246" s="121"/>
      <c r="L246" s="311"/>
      <c r="M246" s="316"/>
      <c r="N246" s="317"/>
      <c r="O246" s="318"/>
      <c r="P246" s="316"/>
      <c r="Q246" s="317"/>
      <c r="R246" s="318"/>
      <c r="S246" s="316"/>
      <c r="T246" s="317"/>
      <c r="U246" s="318"/>
      <c r="V246" s="88"/>
      <c r="W246" s="317"/>
      <c r="X246" s="311"/>
      <c r="Y246" s="143"/>
      <c r="Z246" s="143"/>
      <c r="AA246" s="143"/>
      <c r="AB246" s="17"/>
      <c r="AC246" s="17"/>
      <c r="AD246" s="17"/>
      <c r="AE246" s="17"/>
    </row>
    <row r="247">
      <c r="A247" s="88"/>
      <c r="B247" s="121"/>
      <c r="C247" s="311"/>
      <c r="D247" s="88"/>
      <c r="E247" s="121"/>
      <c r="F247" s="311"/>
      <c r="G247" s="88"/>
      <c r="H247" s="121"/>
      <c r="I247" s="311"/>
      <c r="J247" s="88"/>
      <c r="K247" s="121"/>
      <c r="L247" s="311"/>
      <c r="M247" s="316"/>
      <c r="N247" s="317"/>
      <c r="O247" s="318"/>
      <c r="P247" s="316"/>
      <c r="Q247" s="317"/>
      <c r="R247" s="318"/>
      <c r="S247" s="316"/>
      <c r="T247" s="317"/>
      <c r="U247" s="318"/>
      <c r="V247" s="88"/>
      <c r="W247" s="317"/>
      <c r="X247" s="311"/>
      <c r="Y247" s="143"/>
      <c r="Z247" s="143"/>
      <c r="AA247" s="143"/>
      <c r="AB247" s="17"/>
      <c r="AC247" s="17"/>
      <c r="AD247" s="17"/>
      <c r="AE247" s="17"/>
    </row>
    <row r="248">
      <c r="A248" s="88"/>
      <c r="B248" s="121"/>
      <c r="C248" s="311"/>
      <c r="D248" s="88"/>
      <c r="E248" s="121"/>
      <c r="F248" s="311"/>
      <c r="G248" s="88"/>
      <c r="H248" s="121"/>
      <c r="I248" s="311"/>
      <c r="J248" s="88"/>
      <c r="K248" s="121"/>
      <c r="L248" s="311"/>
      <c r="M248" s="316"/>
      <c r="N248" s="317"/>
      <c r="O248" s="318"/>
      <c r="P248" s="316"/>
      <c r="Q248" s="317"/>
      <c r="R248" s="318"/>
      <c r="S248" s="316"/>
      <c r="T248" s="317"/>
      <c r="U248" s="318"/>
      <c r="V248" s="88"/>
      <c r="W248" s="317"/>
      <c r="X248" s="311"/>
      <c r="Y248" s="143"/>
      <c r="Z248" s="143"/>
      <c r="AA248" s="143"/>
      <c r="AB248" s="17"/>
      <c r="AC248" s="17"/>
      <c r="AD248" s="17"/>
      <c r="AE248" s="17"/>
    </row>
    <row r="249">
      <c r="A249" s="88"/>
      <c r="B249" s="121"/>
      <c r="C249" s="311"/>
      <c r="D249" s="88"/>
      <c r="E249" s="121"/>
      <c r="F249" s="311"/>
      <c r="G249" s="88"/>
      <c r="H249" s="121"/>
      <c r="I249" s="311"/>
      <c r="J249" s="88"/>
      <c r="K249" s="121"/>
      <c r="L249" s="311"/>
      <c r="M249" s="316"/>
      <c r="N249" s="317"/>
      <c r="O249" s="318"/>
      <c r="P249" s="316"/>
      <c r="Q249" s="317"/>
      <c r="R249" s="318"/>
      <c r="S249" s="316"/>
      <c r="T249" s="317"/>
      <c r="U249" s="318"/>
      <c r="V249" s="88"/>
      <c r="W249" s="317"/>
      <c r="X249" s="311"/>
      <c r="Y249" s="143"/>
      <c r="Z249" s="143"/>
      <c r="AA249" s="143"/>
      <c r="AB249" s="17"/>
      <c r="AC249" s="17"/>
      <c r="AD249" s="17"/>
      <c r="AE249" s="17"/>
    </row>
    <row r="250">
      <c r="A250" s="88"/>
      <c r="B250" s="121"/>
      <c r="C250" s="311"/>
      <c r="D250" s="88"/>
      <c r="E250" s="121"/>
      <c r="F250" s="311"/>
      <c r="G250" s="88"/>
      <c r="H250" s="121"/>
      <c r="I250" s="311"/>
      <c r="J250" s="88"/>
      <c r="K250" s="121"/>
      <c r="L250" s="311"/>
      <c r="M250" s="316"/>
      <c r="N250" s="317"/>
      <c r="O250" s="318"/>
      <c r="P250" s="316"/>
      <c r="Q250" s="317"/>
      <c r="R250" s="318"/>
      <c r="S250" s="316"/>
      <c r="T250" s="317"/>
      <c r="U250" s="318"/>
      <c r="V250" s="88"/>
      <c r="W250" s="317"/>
      <c r="X250" s="311"/>
      <c r="Y250" s="143"/>
      <c r="Z250" s="143"/>
      <c r="AA250" s="143"/>
      <c r="AB250" s="17"/>
      <c r="AC250" s="17"/>
      <c r="AD250" s="17"/>
      <c r="AE250" s="17"/>
    </row>
    <row r="251">
      <c r="A251" s="88"/>
      <c r="B251" s="121"/>
      <c r="C251" s="311"/>
      <c r="D251" s="88"/>
      <c r="E251" s="121"/>
      <c r="F251" s="311"/>
      <c r="G251" s="88"/>
      <c r="H251" s="121"/>
      <c r="I251" s="311"/>
      <c r="J251" s="88"/>
      <c r="K251" s="121"/>
      <c r="L251" s="311"/>
      <c r="M251" s="316"/>
      <c r="N251" s="317"/>
      <c r="O251" s="318"/>
      <c r="P251" s="316"/>
      <c r="Q251" s="317"/>
      <c r="R251" s="318"/>
      <c r="S251" s="316"/>
      <c r="T251" s="317"/>
      <c r="U251" s="318"/>
      <c r="V251" s="88"/>
      <c r="W251" s="317"/>
      <c r="X251" s="311"/>
      <c r="Y251" s="143"/>
      <c r="Z251" s="143"/>
      <c r="AA251" s="143"/>
      <c r="AB251" s="17"/>
      <c r="AC251" s="17"/>
      <c r="AD251" s="17"/>
      <c r="AE251" s="17"/>
    </row>
    <row r="252">
      <c r="A252" s="88"/>
      <c r="B252" s="121"/>
      <c r="C252" s="311"/>
      <c r="D252" s="88"/>
      <c r="E252" s="121"/>
      <c r="F252" s="311"/>
      <c r="G252" s="88"/>
      <c r="H252" s="121"/>
      <c r="I252" s="311"/>
      <c r="J252" s="88"/>
      <c r="K252" s="121"/>
      <c r="L252" s="311"/>
      <c r="M252" s="316"/>
      <c r="N252" s="317"/>
      <c r="O252" s="318"/>
      <c r="P252" s="316"/>
      <c r="Q252" s="317"/>
      <c r="R252" s="318"/>
      <c r="S252" s="316"/>
      <c r="T252" s="317"/>
      <c r="U252" s="318"/>
      <c r="V252" s="88"/>
      <c r="W252" s="317"/>
      <c r="X252" s="311"/>
      <c r="Y252" s="143"/>
      <c r="Z252" s="143"/>
      <c r="AA252" s="143"/>
      <c r="AB252" s="17"/>
      <c r="AC252" s="17"/>
      <c r="AD252" s="17"/>
      <c r="AE252" s="17"/>
    </row>
    <row r="253">
      <c r="A253" s="88"/>
      <c r="B253" s="121"/>
      <c r="C253" s="311"/>
      <c r="D253" s="88"/>
      <c r="E253" s="121"/>
      <c r="F253" s="311"/>
      <c r="G253" s="88"/>
      <c r="H253" s="121"/>
      <c r="I253" s="311"/>
      <c r="J253" s="88"/>
      <c r="K253" s="121"/>
      <c r="L253" s="311"/>
      <c r="M253" s="316"/>
      <c r="N253" s="317"/>
      <c r="O253" s="318"/>
      <c r="P253" s="316"/>
      <c r="Q253" s="317"/>
      <c r="R253" s="318"/>
      <c r="S253" s="316"/>
      <c r="T253" s="317"/>
      <c r="U253" s="318"/>
      <c r="V253" s="88"/>
      <c r="W253" s="317"/>
      <c r="X253" s="311"/>
      <c r="Y253" s="143"/>
      <c r="Z253" s="143"/>
      <c r="AA253" s="143"/>
      <c r="AB253" s="17"/>
      <c r="AC253" s="17"/>
      <c r="AD253" s="17"/>
      <c r="AE253" s="17"/>
    </row>
    <row r="254">
      <c r="A254" s="88"/>
      <c r="B254" s="121"/>
      <c r="C254" s="311"/>
      <c r="D254" s="88"/>
      <c r="E254" s="121"/>
      <c r="F254" s="311"/>
      <c r="G254" s="88"/>
      <c r="H254" s="121"/>
      <c r="I254" s="311"/>
      <c r="J254" s="88"/>
      <c r="K254" s="121"/>
      <c r="L254" s="311"/>
      <c r="M254" s="316"/>
      <c r="N254" s="317"/>
      <c r="O254" s="318"/>
      <c r="P254" s="316"/>
      <c r="Q254" s="317"/>
      <c r="R254" s="318"/>
      <c r="S254" s="316"/>
      <c r="T254" s="317"/>
      <c r="U254" s="318"/>
      <c r="V254" s="88"/>
      <c r="W254" s="317"/>
      <c r="X254" s="311"/>
      <c r="Y254" s="143"/>
      <c r="Z254" s="143"/>
      <c r="AA254" s="143"/>
      <c r="AB254" s="17"/>
      <c r="AC254" s="17"/>
      <c r="AD254" s="17"/>
      <c r="AE254" s="17"/>
    </row>
    <row r="255">
      <c r="A255" s="88"/>
      <c r="B255" s="121"/>
      <c r="C255" s="311"/>
      <c r="D255" s="88"/>
      <c r="E255" s="121"/>
      <c r="F255" s="311"/>
      <c r="G255" s="88"/>
      <c r="H255" s="121"/>
      <c r="I255" s="311"/>
      <c r="J255" s="88"/>
      <c r="K255" s="121"/>
      <c r="L255" s="311"/>
      <c r="M255" s="316"/>
      <c r="N255" s="317"/>
      <c r="O255" s="318"/>
      <c r="P255" s="316"/>
      <c r="Q255" s="317"/>
      <c r="R255" s="318"/>
      <c r="S255" s="316"/>
      <c r="T255" s="317"/>
      <c r="U255" s="318"/>
      <c r="V255" s="88"/>
      <c r="W255" s="317"/>
      <c r="X255" s="311"/>
      <c r="Y255" s="143"/>
      <c r="Z255" s="143"/>
      <c r="AA255" s="143"/>
      <c r="AB255" s="17"/>
      <c r="AC255" s="17"/>
      <c r="AD255" s="17"/>
      <c r="AE255" s="17"/>
    </row>
    <row r="256">
      <c r="A256" s="88"/>
      <c r="B256" s="121"/>
      <c r="C256" s="311"/>
      <c r="D256" s="88"/>
      <c r="E256" s="121"/>
      <c r="F256" s="311"/>
      <c r="G256" s="88"/>
      <c r="H256" s="121"/>
      <c r="I256" s="311"/>
      <c r="J256" s="88"/>
      <c r="K256" s="121"/>
      <c r="L256" s="311"/>
      <c r="M256" s="316"/>
      <c r="N256" s="317"/>
      <c r="O256" s="318"/>
      <c r="P256" s="316"/>
      <c r="Q256" s="317"/>
      <c r="R256" s="318"/>
      <c r="S256" s="316"/>
      <c r="T256" s="317"/>
      <c r="U256" s="318"/>
      <c r="V256" s="88"/>
      <c r="W256" s="317"/>
      <c r="X256" s="311"/>
      <c r="Y256" s="143"/>
      <c r="Z256" s="143"/>
      <c r="AA256" s="143"/>
      <c r="AB256" s="17"/>
      <c r="AC256" s="17"/>
      <c r="AD256" s="17"/>
      <c r="AE256" s="17"/>
    </row>
    <row r="257">
      <c r="A257" s="88"/>
      <c r="B257" s="121"/>
      <c r="C257" s="311"/>
      <c r="D257" s="88"/>
      <c r="E257" s="121"/>
      <c r="F257" s="311"/>
      <c r="G257" s="88"/>
      <c r="H257" s="121"/>
      <c r="I257" s="311"/>
      <c r="J257" s="88"/>
      <c r="K257" s="121"/>
      <c r="L257" s="311"/>
      <c r="M257" s="316"/>
      <c r="N257" s="317"/>
      <c r="O257" s="318"/>
      <c r="P257" s="316"/>
      <c r="Q257" s="317"/>
      <c r="R257" s="318"/>
      <c r="S257" s="316"/>
      <c r="T257" s="317"/>
      <c r="U257" s="318"/>
      <c r="V257" s="88"/>
      <c r="W257" s="317"/>
      <c r="X257" s="311"/>
      <c r="Y257" s="143"/>
      <c r="Z257" s="143"/>
      <c r="AA257" s="143"/>
      <c r="AB257" s="17"/>
      <c r="AC257" s="17"/>
      <c r="AD257" s="17"/>
      <c r="AE257" s="17"/>
    </row>
    <row r="258">
      <c r="A258" s="88"/>
      <c r="B258" s="121"/>
      <c r="C258" s="311"/>
      <c r="D258" s="88"/>
      <c r="E258" s="121"/>
      <c r="F258" s="311"/>
      <c r="G258" s="88"/>
      <c r="H258" s="121"/>
      <c r="I258" s="311"/>
      <c r="J258" s="88"/>
      <c r="K258" s="121"/>
      <c r="L258" s="311"/>
      <c r="M258" s="316"/>
      <c r="N258" s="317"/>
      <c r="O258" s="318"/>
      <c r="P258" s="316"/>
      <c r="Q258" s="317"/>
      <c r="R258" s="318"/>
      <c r="S258" s="316"/>
      <c r="T258" s="317"/>
      <c r="U258" s="318"/>
      <c r="V258" s="88"/>
      <c r="W258" s="317"/>
      <c r="X258" s="311"/>
      <c r="Y258" s="143"/>
      <c r="Z258" s="143"/>
      <c r="AA258" s="143"/>
      <c r="AB258" s="17"/>
      <c r="AC258" s="17"/>
      <c r="AD258" s="17"/>
      <c r="AE258" s="17"/>
    </row>
    <row r="259">
      <c r="A259" s="88"/>
      <c r="B259" s="121"/>
      <c r="C259" s="311"/>
      <c r="D259" s="88"/>
      <c r="E259" s="121"/>
      <c r="F259" s="311"/>
      <c r="G259" s="88"/>
      <c r="H259" s="121"/>
      <c r="I259" s="311"/>
      <c r="J259" s="88"/>
      <c r="K259" s="121"/>
      <c r="L259" s="311"/>
      <c r="M259" s="316"/>
      <c r="N259" s="317"/>
      <c r="O259" s="318"/>
      <c r="P259" s="316"/>
      <c r="Q259" s="317"/>
      <c r="R259" s="318"/>
      <c r="S259" s="316"/>
      <c r="T259" s="317"/>
      <c r="U259" s="318"/>
      <c r="V259" s="88"/>
      <c r="W259" s="317"/>
      <c r="X259" s="311"/>
      <c r="Y259" s="143"/>
      <c r="Z259" s="143"/>
      <c r="AA259" s="143"/>
      <c r="AB259" s="17"/>
      <c r="AC259" s="17"/>
      <c r="AD259" s="17"/>
      <c r="AE259" s="17"/>
    </row>
    <row r="260">
      <c r="A260" s="88"/>
      <c r="B260" s="121"/>
      <c r="C260" s="311"/>
      <c r="D260" s="88"/>
      <c r="E260" s="121"/>
      <c r="F260" s="311"/>
      <c r="G260" s="88"/>
      <c r="H260" s="121"/>
      <c r="I260" s="311"/>
      <c r="J260" s="88"/>
      <c r="K260" s="121"/>
      <c r="L260" s="311"/>
      <c r="M260" s="316"/>
      <c r="N260" s="317"/>
      <c r="O260" s="318"/>
      <c r="P260" s="316"/>
      <c r="Q260" s="317"/>
      <c r="R260" s="318"/>
      <c r="S260" s="316"/>
      <c r="T260" s="317"/>
      <c r="U260" s="318"/>
      <c r="V260" s="88"/>
      <c r="W260" s="317"/>
      <c r="X260" s="311"/>
      <c r="Y260" s="143"/>
      <c r="Z260" s="143"/>
      <c r="AA260" s="143"/>
      <c r="AB260" s="17"/>
      <c r="AC260" s="17"/>
      <c r="AD260" s="17"/>
      <c r="AE260" s="17"/>
    </row>
    <row r="261">
      <c r="A261" s="88"/>
      <c r="B261" s="121"/>
      <c r="C261" s="311"/>
      <c r="D261" s="88"/>
      <c r="E261" s="121"/>
      <c r="F261" s="311"/>
      <c r="G261" s="88"/>
      <c r="H261" s="121"/>
      <c r="I261" s="311"/>
      <c r="J261" s="88"/>
      <c r="K261" s="121"/>
      <c r="L261" s="311"/>
      <c r="M261" s="316"/>
      <c r="N261" s="317"/>
      <c r="O261" s="318"/>
      <c r="P261" s="316"/>
      <c r="Q261" s="317"/>
      <c r="R261" s="318"/>
      <c r="S261" s="316"/>
      <c r="T261" s="317"/>
      <c r="U261" s="318"/>
      <c r="V261" s="88"/>
      <c r="W261" s="317"/>
      <c r="X261" s="311"/>
      <c r="Y261" s="143"/>
      <c r="Z261" s="143"/>
      <c r="AA261" s="143"/>
      <c r="AB261" s="17"/>
      <c r="AC261" s="17"/>
      <c r="AD261" s="17"/>
      <c r="AE261" s="17"/>
    </row>
    <row r="262">
      <c r="A262" s="88"/>
      <c r="B262" s="121"/>
      <c r="C262" s="311"/>
      <c r="D262" s="88"/>
      <c r="E262" s="121"/>
      <c r="F262" s="311"/>
      <c r="G262" s="88"/>
      <c r="H262" s="121"/>
      <c r="I262" s="311"/>
      <c r="J262" s="88"/>
      <c r="K262" s="121"/>
      <c r="L262" s="311"/>
      <c r="M262" s="316"/>
      <c r="N262" s="317"/>
      <c r="O262" s="318"/>
      <c r="P262" s="316"/>
      <c r="Q262" s="317"/>
      <c r="R262" s="318"/>
      <c r="S262" s="316"/>
      <c r="T262" s="317"/>
      <c r="U262" s="318"/>
      <c r="V262" s="88"/>
      <c r="W262" s="317"/>
      <c r="X262" s="311"/>
      <c r="Y262" s="143"/>
      <c r="Z262" s="143"/>
      <c r="AA262" s="143"/>
      <c r="AB262" s="17"/>
      <c r="AC262" s="17"/>
      <c r="AD262" s="17"/>
      <c r="AE262" s="17"/>
    </row>
    <row r="263">
      <c r="A263" s="88"/>
      <c r="B263" s="121"/>
      <c r="C263" s="311"/>
      <c r="D263" s="88"/>
      <c r="E263" s="121"/>
      <c r="F263" s="311"/>
      <c r="G263" s="88"/>
      <c r="H263" s="121"/>
      <c r="I263" s="311"/>
      <c r="J263" s="88"/>
      <c r="K263" s="121"/>
      <c r="L263" s="311"/>
      <c r="M263" s="316"/>
      <c r="N263" s="317"/>
      <c r="O263" s="318"/>
      <c r="P263" s="316"/>
      <c r="Q263" s="317"/>
      <c r="R263" s="318"/>
      <c r="S263" s="316"/>
      <c r="T263" s="317"/>
      <c r="U263" s="318"/>
      <c r="V263" s="88"/>
      <c r="W263" s="317"/>
      <c r="X263" s="311"/>
      <c r="Y263" s="143"/>
      <c r="Z263" s="143"/>
      <c r="AA263" s="143"/>
      <c r="AB263" s="17"/>
      <c r="AC263" s="17"/>
      <c r="AD263" s="17"/>
      <c r="AE263" s="17"/>
    </row>
    <row r="264">
      <c r="A264" s="88"/>
      <c r="B264" s="121"/>
      <c r="C264" s="311"/>
      <c r="D264" s="88"/>
      <c r="E264" s="121"/>
      <c r="F264" s="311"/>
      <c r="G264" s="88"/>
      <c r="H264" s="121"/>
      <c r="I264" s="311"/>
      <c r="J264" s="88"/>
      <c r="K264" s="121"/>
      <c r="L264" s="311"/>
      <c r="M264" s="316"/>
      <c r="N264" s="317"/>
      <c r="O264" s="318"/>
      <c r="P264" s="316"/>
      <c r="Q264" s="317"/>
      <c r="R264" s="318"/>
      <c r="S264" s="316"/>
      <c r="T264" s="317"/>
      <c r="U264" s="318"/>
      <c r="V264" s="88"/>
      <c r="W264" s="317"/>
      <c r="X264" s="311"/>
      <c r="Y264" s="143"/>
      <c r="Z264" s="143"/>
      <c r="AA264" s="143"/>
      <c r="AB264" s="17"/>
      <c r="AC264" s="17"/>
      <c r="AD264" s="17"/>
      <c r="AE264" s="17"/>
    </row>
    <row r="265">
      <c r="A265" s="88"/>
      <c r="B265" s="121"/>
      <c r="C265" s="311"/>
      <c r="D265" s="88"/>
      <c r="E265" s="121"/>
      <c r="F265" s="311"/>
      <c r="G265" s="88"/>
      <c r="H265" s="121"/>
      <c r="I265" s="311"/>
      <c r="J265" s="88"/>
      <c r="K265" s="121"/>
      <c r="L265" s="311"/>
      <c r="M265" s="316"/>
      <c r="N265" s="317"/>
      <c r="O265" s="318"/>
      <c r="P265" s="316"/>
      <c r="Q265" s="317"/>
      <c r="R265" s="318"/>
      <c r="S265" s="316"/>
      <c r="T265" s="317"/>
      <c r="U265" s="318"/>
      <c r="V265" s="88"/>
      <c r="W265" s="317"/>
      <c r="X265" s="311"/>
      <c r="Y265" s="143"/>
      <c r="Z265" s="143"/>
      <c r="AA265" s="143"/>
      <c r="AB265" s="17"/>
      <c r="AC265" s="17"/>
      <c r="AD265" s="17"/>
      <c r="AE265" s="17"/>
    </row>
    <row r="266">
      <c r="A266" s="88"/>
      <c r="B266" s="121"/>
      <c r="C266" s="311"/>
      <c r="D266" s="88"/>
      <c r="E266" s="121"/>
      <c r="F266" s="311"/>
      <c r="G266" s="88"/>
      <c r="H266" s="121"/>
      <c r="I266" s="311"/>
      <c r="J266" s="88"/>
      <c r="K266" s="121"/>
      <c r="L266" s="311"/>
      <c r="M266" s="316"/>
      <c r="N266" s="317"/>
      <c r="O266" s="318"/>
      <c r="P266" s="316"/>
      <c r="Q266" s="317"/>
      <c r="R266" s="318"/>
      <c r="S266" s="316"/>
      <c r="T266" s="317"/>
      <c r="U266" s="318"/>
      <c r="V266" s="88"/>
      <c r="W266" s="317"/>
      <c r="X266" s="311"/>
      <c r="Y266" s="143"/>
      <c r="Z266" s="143"/>
      <c r="AA266" s="143"/>
      <c r="AB266" s="17"/>
      <c r="AC266" s="17"/>
      <c r="AD266" s="17"/>
      <c r="AE266" s="17"/>
    </row>
    <row r="267">
      <c r="A267" s="88"/>
      <c r="B267" s="121"/>
      <c r="C267" s="311"/>
      <c r="D267" s="88"/>
      <c r="E267" s="121"/>
      <c r="F267" s="311"/>
      <c r="G267" s="88"/>
      <c r="H267" s="121"/>
      <c r="I267" s="311"/>
      <c r="J267" s="88"/>
      <c r="K267" s="121"/>
      <c r="L267" s="311"/>
      <c r="M267" s="316"/>
      <c r="N267" s="317"/>
      <c r="O267" s="318"/>
      <c r="P267" s="316"/>
      <c r="Q267" s="317"/>
      <c r="R267" s="318"/>
      <c r="S267" s="316"/>
      <c r="T267" s="317"/>
      <c r="U267" s="318"/>
      <c r="V267" s="88"/>
      <c r="W267" s="317"/>
      <c r="X267" s="311"/>
      <c r="Y267" s="143"/>
      <c r="Z267" s="143"/>
      <c r="AA267" s="143"/>
      <c r="AB267" s="17"/>
      <c r="AC267" s="17"/>
      <c r="AD267" s="17"/>
      <c r="AE267" s="17"/>
    </row>
    <row r="268">
      <c r="A268" s="88"/>
      <c r="B268" s="121"/>
      <c r="C268" s="311"/>
      <c r="D268" s="88"/>
      <c r="E268" s="121"/>
      <c r="F268" s="311"/>
      <c r="G268" s="88"/>
      <c r="H268" s="121"/>
      <c r="I268" s="311"/>
      <c r="J268" s="88"/>
      <c r="K268" s="121"/>
      <c r="L268" s="311"/>
      <c r="M268" s="316"/>
      <c r="N268" s="317"/>
      <c r="O268" s="318"/>
      <c r="P268" s="316"/>
      <c r="Q268" s="317"/>
      <c r="R268" s="318"/>
      <c r="S268" s="316"/>
      <c r="T268" s="317"/>
      <c r="U268" s="318"/>
      <c r="V268" s="88"/>
      <c r="W268" s="317"/>
      <c r="X268" s="311"/>
      <c r="Y268" s="143"/>
      <c r="Z268" s="143"/>
      <c r="AA268" s="143"/>
      <c r="AB268" s="17"/>
      <c r="AC268" s="17"/>
      <c r="AD268" s="17"/>
      <c r="AE268" s="17"/>
    </row>
    <row r="269">
      <c r="A269" s="88"/>
      <c r="B269" s="121"/>
      <c r="C269" s="311"/>
      <c r="D269" s="88"/>
      <c r="E269" s="121"/>
      <c r="F269" s="311"/>
      <c r="G269" s="88"/>
      <c r="H269" s="121"/>
      <c r="I269" s="311"/>
      <c r="J269" s="88"/>
      <c r="K269" s="121"/>
      <c r="L269" s="311"/>
      <c r="M269" s="316"/>
      <c r="N269" s="317"/>
      <c r="O269" s="318"/>
      <c r="P269" s="316"/>
      <c r="Q269" s="317"/>
      <c r="R269" s="318"/>
      <c r="S269" s="316"/>
      <c r="T269" s="317"/>
      <c r="U269" s="318"/>
      <c r="V269" s="88"/>
      <c r="W269" s="317"/>
      <c r="X269" s="311"/>
      <c r="Y269" s="143"/>
      <c r="Z269" s="143"/>
      <c r="AA269" s="143"/>
      <c r="AB269" s="17"/>
      <c r="AC269" s="17"/>
      <c r="AD269" s="17"/>
      <c r="AE269" s="17"/>
    </row>
    <row r="270">
      <c r="A270" s="88"/>
      <c r="B270" s="121"/>
      <c r="C270" s="311"/>
      <c r="D270" s="88"/>
      <c r="E270" s="121"/>
      <c r="F270" s="311"/>
      <c r="G270" s="88"/>
      <c r="H270" s="121"/>
      <c r="I270" s="311"/>
      <c r="J270" s="88"/>
      <c r="K270" s="121"/>
      <c r="L270" s="311"/>
      <c r="M270" s="316"/>
      <c r="N270" s="317"/>
      <c r="O270" s="318"/>
      <c r="P270" s="316"/>
      <c r="Q270" s="317"/>
      <c r="R270" s="318"/>
      <c r="S270" s="316"/>
      <c r="T270" s="317"/>
      <c r="U270" s="318"/>
      <c r="V270" s="88"/>
      <c r="W270" s="317"/>
      <c r="X270" s="311"/>
      <c r="Y270" s="143"/>
      <c r="Z270" s="143"/>
      <c r="AA270" s="143"/>
      <c r="AB270" s="17"/>
      <c r="AC270" s="17"/>
      <c r="AD270" s="17"/>
      <c r="AE270" s="17"/>
    </row>
    <row r="271">
      <c r="A271" s="88"/>
      <c r="B271" s="121"/>
      <c r="C271" s="311"/>
      <c r="D271" s="88"/>
      <c r="E271" s="121"/>
      <c r="F271" s="311"/>
      <c r="G271" s="88"/>
      <c r="H271" s="121"/>
      <c r="I271" s="311"/>
      <c r="J271" s="88"/>
      <c r="K271" s="121"/>
      <c r="L271" s="311"/>
      <c r="M271" s="316"/>
      <c r="N271" s="317"/>
      <c r="O271" s="318"/>
      <c r="P271" s="316"/>
      <c r="Q271" s="317"/>
      <c r="R271" s="318"/>
      <c r="S271" s="316"/>
      <c r="T271" s="317"/>
      <c r="U271" s="318"/>
      <c r="V271" s="88"/>
      <c r="W271" s="317"/>
      <c r="X271" s="311"/>
      <c r="Y271" s="143"/>
      <c r="Z271" s="143"/>
      <c r="AA271" s="143"/>
      <c r="AB271" s="17"/>
      <c r="AC271" s="17"/>
      <c r="AD271" s="17"/>
      <c r="AE271" s="17"/>
    </row>
    <row r="272">
      <c r="A272" s="88"/>
      <c r="B272" s="121"/>
      <c r="C272" s="311"/>
      <c r="D272" s="88"/>
      <c r="E272" s="121"/>
      <c r="F272" s="311"/>
      <c r="G272" s="88"/>
      <c r="H272" s="121"/>
      <c r="I272" s="311"/>
      <c r="J272" s="88"/>
      <c r="K272" s="121"/>
      <c r="L272" s="311"/>
      <c r="M272" s="316"/>
      <c r="N272" s="317"/>
      <c r="O272" s="318"/>
      <c r="P272" s="316"/>
      <c r="Q272" s="317"/>
      <c r="R272" s="318"/>
      <c r="S272" s="316"/>
      <c r="T272" s="317"/>
      <c r="U272" s="318"/>
      <c r="V272" s="88"/>
      <c r="W272" s="317"/>
      <c r="X272" s="311"/>
      <c r="Y272" s="143"/>
      <c r="Z272" s="143"/>
      <c r="AA272" s="143"/>
      <c r="AB272" s="17"/>
      <c r="AC272" s="17"/>
      <c r="AD272" s="17"/>
      <c r="AE272" s="17"/>
    </row>
    <row r="273">
      <c r="A273" s="88"/>
      <c r="B273" s="121"/>
      <c r="C273" s="311"/>
      <c r="D273" s="88"/>
      <c r="E273" s="121"/>
      <c r="F273" s="311"/>
      <c r="G273" s="88"/>
      <c r="H273" s="121"/>
      <c r="I273" s="311"/>
      <c r="J273" s="88"/>
      <c r="K273" s="121"/>
      <c r="L273" s="311"/>
      <c r="M273" s="316"/>
      <c r="N273" s="317"/>
      <c r="O273" s="318"/>
      <c r="P273" s="316"/>
      <c r="Q273" s="317"/>
      <c r="R273" s="318"/>
      <c r="S273" s="316"/>
      <c r="T273" s="317"/>
      <c r="U273" s="318"/>
      <c r="V273" s="88"/>
      <c r="W273" s="317"/>
      <c r="X273" s="311"/>
      <c r="Y273" s="143"/>
      <c r="Z273" s="143"/>
      <c r="AA273" s="143"/>
      <c r="AB273" s="17"/>
      <c r="AC273" s="17"/>
      <c r="AD273" s="17"/>
      <c r="AE273" s="17"/>
    </row>
    <row r="274">
      <c r="A274" s="88"/>
      <c r="B274" s="121"/>
      <c r="C274" s="311"/>
      <c r="D274" s="88"/>
      <c r="E274" s="121"/>
      <c r="F274" s="311"/>
      <c r="G274" s="88"/>
      <c r="H274" s="121"/>
      <c r="I274" s="311"/>
      <c r="J274" s="88"/>
      <c r="K274" s="121"/>
      <c r="L274" s="311"/>
      <c r="M274" s="316"/>
      <c r="N274" s="317"/>
      <c r="O274" s="318"/>
      <c r="P274" s="316"/>
      <c r="Q274" s="317"/>
      <c r="R274" s="318"/>
      <c r="S274" s="316"/>
      <c r="T274" s="317"/>
      <c r="U274" s="318"/>
      <c r="V274" s="88"/>
      <c r="W274" s="317"/>
      <c r="X274" s="311"/>
      <c r="Y274" s="143"/>
      <c r="Z274" s="143"/>
      <c r="AA274" s="143"/>
      <c r="AB274" s="17"/>
      <c r="AC274" s="17"/>
      <c r="AD274" s="17"/>
      <c r="AE274" s="17"/>
    </row>
    <row r="275">
      <c r="A275" s="88"/>
      <c r="B275" s="121"/>
      <c r="C275" s="311"/>
      <c r="D275" s="88"/>
      <c r="E275" s="121"/>
      <c r="F275" s="311"/>
      <c r="G275" s="88"/>
      <c r="H275" s="121"/>
      <c r="I275" s="311"/>
      <c r="J275" s="88"/>
      <c r="K275" s="121"/>
      <c r="L275" s="311"/>
      <c r="M275" s="316"/>
      <c r="N275" s="317"/>
      <c r="O275" s="318"/>
      <c r="P275" s="316"/>
      <c r="Q275" s="317"/>
      <c r="R275" s="318"/>
      <c r="S275" s="316"/>
      <c r="T275" s="317"/>
      <c r="U275" s="318"/>
      <c r="V275" s="88"/>
      <c r="W275" s="317"/>
      <c r="X275" s="311"/>
      <c r="Y275" s="143"/>
      <c r="Z275" s="143"/>
      <c r="AA275" s="143"/>
      <c r="AB275" s="17"/>
      <c r="AC275" s="17"/>
      <c r="AD275" s="17"/>
      <c r="AE275" s="17"/>
    </row>
    <row r="276">
      <c r="A276" s="88"/>
      <c r="B276" s="121"/>
      <c r="C276" s="311"/>
      <c r="D276" s="88"/>
      <c r="E276" s="121"/>
      <c r="F276" s="311"/>
      <c r="G276" s="88"/>
      <c r="H276" s="121"/>
      <c r="I276" s="311"/>
      <c r="J276" s="88"/>
      <c r="K276" s="121"/>
      <c r="L276" s="311"/>
      <c r="M276" s="316"/>
      <c r="N276" s="317"/>
      <c r="O276" s="318"/>
      <c r="P276" s="316"/>
      <c r="Q276" s="317"/>
      <c r="R276" s="318"/>
      <c r="S276" s="316"/>
      <c r="T276" s="317"/>
      <c r="U276" s="318"/>
      <c r="V276" s="88"/>
      <c r="W276" s="317"/>
      <c r="X276" s="311"/>
      <c r="Y276" s="143"/>
      <c r="Z276" s="143"/>
      <c r="AA276" s="143"/>
      <c r="AB276" s="17"/>
      <c r="AC276" s="17"/>
      <c r="AD276" s="17"/>
      <c r="AE276" s="17"/>
    </row>
    <row r="277">
      <c r="A277" s="88"/>
      <c r="B277" s="121"/>
      <c r="C277" s="311"/>
      <c r="D277" s="88"/>
      <c r="E277" s="121"/>
      <c r="F277" s="311"/>
      <c r="G277" s="88"/>
      <c r="H277" s="121"/>
      <c r="I277" s="311"/>
      <c r="J277" s="88"/>
      <c r="K277" s="121"/>
      <c r="L277" s="311"/>
      <c r="M277" s="316"/>
      <c r="N277" s="317"/>
      <c r="O277" s="318"/>
      <c r="P277" s="316"/>
      <c r="Q277" s="317"/>
      <c r="R277" s="318"/>
      <c r="S277" s="316"/>
      <c r="T277" s="317"/>
      <c r="U277" s="318"/>
      <c r="V277" s="88"/>
      <c r="W277" s="317"/>
      <c r="X277" s="311"/>
      <c r="Y277" s="143"/>
      <c r="Z277" s="143"/>
      <c r="AA277" s="143"/>
      <c r="AB277" s="17"/>
      <c r="AC277" s="17"/>
      <c r="AD277" s="17"/>
      <c r="AE277" s="17"/>
    </row>
    <row r="278">
      <c r="A278" s="88"/>
      <c r="B278" s="121"/>
      <c r="C278" s="311"/>
      <c r="D278" s="88"/>
      <c r="E278" s="121"/>
      <c r="F278" s="311"/>
      <c r="G278" s="88"/>
      <c r="H278" s="121"/>
      <c r="I278" s="311"/>
      <c r="J278" s="88"/>
      <c r="K278" s="121"/>
      <c r="L278" s="311"/>
      <c r="M278" s="316"/>
      <c r="N278" s="317"/>
      <c r="O278" s="318"/>
      <c r="P278" s="316"/>
      <c r="Q278" s="317"/>
      <c r="R278" s="318"/>
      <c r="S278" s="316"/>
      <c r="T278" s="317"/>
      <c r="U278" s="318"/>
      <c r="V278" s="88"/>
      <c r="W278" s="317"/>
      <c r="X278" s="311"/>
      <c r="Y278" s="143"/>
      <c r="Z278" s="143"/>
      <c r="AA278" s="143"/>
      <c r="AB278" s="17"/>
      <c r="AC278" s="17"/>
      <c r="AD278" s="17"/>
      <c r="AE278" s="17"/>
    </row>
    <row r="279">
      <c r="A279" s="88"/>
      <c r="B279" s="121"/>
      <c r="C279" s="311"/>
      <c r="D279" s="88"/>
      <c r="E279" s="121"/>
      <c r="F279" s="311"/>
      <c r="G279" s="88"/>
      <c r="H279" s="121"/>
      <c r="I279" s="311"/>
      <c r="J279" s="88"/>
      <c r="K279" s="121"/>
      <c r="L279" s="311"/>
      <c r="M279" s="316"/>
      <c r="N279" s="317"/>
      <c r="O279" s="318"/>
      <c r="P279" s="316"/>
      <c r="Q279" s="317"/>
      <c r="R279" s="318"/>
      <c r="S279" s="316"/>
      <c r="T279" s="317"/>
      <c r="U279" s="318"/>
      <c r="V279" s="88"/>
      <c r="W279" s="317"/>
      <c r="X279" s="311"/>
      <c r="Y279" s="143"/>
      <c r="Z279" s="143"/>
      <c r="AA279" s="143"/>
      <c r="AB279" s="17"/>
      <c r="AC279" s="17"/>
      <c r="AD279" s="17"/>
      <c r="AE279" s="17"/>
    </row>
    <row r="280">
      <c r="A280" s="88"/>
      <c r="B280" s="121"/>
      <c r="C280" s="311"/>
      <c r="D280" s="88"/>
      <c r="E280" s="121"/>
      <c r="F280" s="311"/>
      <c r="G280" s="88"/>
      <c r="H280" s="121"/>
      <c r="I280" s="311"/>
      <c r="J280" s="88"/>
      <c r="K280" s="121"/>
      <c r="L280" s="311"/>
      <c r="M280" s="316"/>
      <c r="N280" s="317"/>
      <c r="O280" s="318"/>
      <c r="P280" s="316"/>
      <c r="Q280" s="317"/>
      <c r="R280" s="318"/>
      <c r="S280" s="316"/>
      <c r="T280" s="317"/>
      <c r="U280" s="318"/>
      <c r="V280" s="88"/>
      <c r="W280" s="317"/>
      <c r="X280" s="311"/>
      <c r="Y280" s="143"/>
      <c r="Z280" s="143"/>
      <c r="AA280" s="143"/>
      <c r="AB280" s="17"/>
      <c r="AC280" s="17"/>
      <c r="AD280" s="17"/>
      <c r="AE280" s="17"/>
    </row>
    <row r="281">
      <c r="A281" s="88"/>
      <c r="B281" s="121"/>
      <c r="C281" s="311"/>
      <c r="D281" s="88"/>
      <c r="E281" s="121"/>
      <c r="F281" s="311"/>
      <c r="G281" s="88"/>
      <c r="H281" s="121"/>
      <c r="I281" s="311"/>
      <c r="J281" s="88"/>
      <c r="K281" s="121"/>
      <c r="L281" s="311"/>
      <c r="M281" s="316"/>
      <c r="N281" s="317"/>
      <c r="O281" s="318"/>
      <c r="P281" s="316"/>
      <c r="Q281" s="317"/>
      <c r="R281" s="318"/>
      <c r="S281" s="316"/>
      <c r="T281" s="317"/>
      <c r="U281" s="318"/>
      <c r="V281" s="88"/>
      <c r="W281" s="317"/>
      <c r="X281" s="311"/>
      <c r="Y281" s="143"/>
      <c r="Z281" s="143"/>
      <c r="AA281" s="143"/>
      <c r="AB281" s="17"/>
      <c r="AC281" s="17"/>
      <c r="AD281" s="17"/>
      <c r="AE281" s="17"/>
    </row>
    <row r="282">
      <c r="A282" s="88"/>
      <c r="B282" s="121"/>
      <c r="C282" s="311"/>
      <c r="D282" s="88"/>
      <c r="E282" s="121"/>
      <c r="F282" s="311"/>
      <c r="G282" s="88"/>
      <c r="H282" s="121"/>
      <c r="I282" s="311"/>
      <c r="J282" s="88"/>
      <c r="K282" s="121"/>
      <c r="L282" s="311"/>
      <c r="M282" s="316"/>
      <c r="N282" s="317"/>
      <c r="O282" s="318"/>
      <c r="P282" s="316"/>
      <c r="Q282" s="317"/>
      <c r="R282" s="318"/>
      <c r="S282" s="316"/>
      <c r="T282" s="317"/>
      <c r="U282" s="318"/>
      <c r="V282" s="88"/>
      <c r="W282" s="317"/>
      <c r="X282" s="311"/>
      <c r="Y282" s="143"/>
      <c r="Z282" s="143"/>
      <c r="AA282" s="143"/>
      <c r="AB282" s="17"/>
      <c r="AC282" s="17"/>
      <c r="AD282" s="17"/>
      <c r="AE282" s="17"/>
    </row>
    <row r="283">
      <c r="A283" s="88"/>
      <c r="B283" s="121"/>
      <c r="C283" s="311"/>
      <c r="D283" s="88"/>
      <c r="E283" s="121"/>
      <c r="F283" s="311"/>
      <c r="G283" s="88"/>
      <c r="H283" s="121"/>
      <c r="I283" s="311"/>
      <c r="J283" s="88"/>
      <c r="K283" s="121"/>
      <c r="L283" s="311"/>
      <c r="M283" s="316"/>
      <c r="N283" s="317"/>
      <c r="O283" s="318"/>
      <c r="P283" s="316"/>
      <c r="Q283" s="317"/>
      <c r="R283" s="318"/>
      <c r="S283" s="316"/>
      <c r="T283" s="317"/>
      <c r="U283" s="318"/>
      <c r="V283" s="88"/>
      <c r="W283" s="317"/>
      <c r="X283" s="311"/>
      <c r="Y283" s="143"/>
      <c r="Z283" s="143"/>
      <c r="AA283" s="143"/>
      <c r="AB283" s="17"/>
      <c r="AC283" s="17"/>
      <c r="AD283" s="17"/>
      <c r="AE283" s="17"/>
    </row>
    <row r="284">
      <c r="A284" s="88"/>
      <c r="B284" s="121"/>
      <c r="C284" s="311"/>
      <c r="D284" s="88"/>
      <c r="E284" s="121"/>
      <c r="F284" s="311"/>
      <c r="G284" s="88"/>
      <c r="H284" s="121"/>
      <c r="I284" s="311"/>
      <c r="J284" s="88"/>
      <c r="K284" s="121"/>
      <c r="L284" s="311"/>
      <c r="M284" s="316"/>
      <c r="N284" s="317"/>
      <c r="O284" s="318"/>
      <c r="P284" s="316"/>
      <c r="Q284" s="317"/>
      <c r="R284" s="318"/>
      <c r="S284" s="316"/>
      <c r="T284" s="317"/>
      <c r="U284" s="318"/>
      <c r="V284" s="88"/>
      <c r="W284" s="317"/>
      <c r="X284" s="311"/>
      <c r="Y284" s="143"/>
      <c r="Z284" s="143"/>
      <c r="AA284" s="143"/>
      <c r="AB284" s="17"/>
      <c r="AC284" s="17"/>
      <c r="AD284" s="17"/>
      <c r="AE284" s="17"/>
    </row>
    <row r="285">
      <c r="A285" s="88"/>
      <c r="B285" s="121"/>
      <c r="C285" s="311"/>
      <c r="D285" s="88"/>
      <c r="E285" s="121"/>
      <c r="F285" s="311"/>
      <c r="G285" s="88"/>
      <c r="H285" s="121"/>
      <c r="I285" s="311"/>
      <c r="J285" s="88"/>
      <c r="K285" s="121"/>
      <c r="L285" s="311"/>
      <c r="M285" s="316"/>
      <c r="N285" s="317"/>
      <c r="O285" s="318"/>
      <c r="P285" s="316"/>
      <c r="Q285" s="317"/>
      <c r="R285" s="318"/>
      <c r="S285" s="316"/>
      <c r="T285" s="317"/>
      <c r="U285" s="318"/>
      <c r="V285" s="88"/>
      <c r="W285" s="317"/>
      <c r="X285" s="311"/>
      <c r="Y285" s="143"/>
      <c r="Z285" s="143"/>
      <c r="AA285" s="143"/>
      <c r="AB285" s="17"/>
      <c r="AC285" s="17"/>
      <c r="AD285" s="17"/>
      <c r="AE285" s="17"/>
    </row>
    <row r="286">
      <c r="A286" s="88"/>
      <c r="B286" s="121"/>
      <c r="C286" s="311"/>
      <c r="D286" s="88"/>
      <c r="E286" s="121"/>
      <c r="F286" s="311"/>
      <c r="G286" s="88"/>
      <c r="H286" s="121"/>
      <c r="I286" s="311"/>
      <c r="J286" s="88"/>
      <c r="K286" s="121"/>
      <c r="L286" s="311"/>
      <c r="M286" s="316"/>
      <c r="N286" s="317"/>
      <c r="O286" s="318"/>
      <c r="P286" s="316"/>
      <c r="Q286" s="317"/>
      <c r="R286" s="318"/>
      <c r="S286" s="316"/>
      <c r="T286" s="317"/>
      <c r="U286" s="318"/>
      <c r="V286" s="88"/>
      <c r="W286" s="317"/>
      <c r="X286" s="311"/>
      <c r="Y286" s="143"/>
      <c r="Z286" s="143"/>
      <c r="AA286" s="143"/>
      <c r="AB286" s="17"/>
      <c r="AC286" s="17"/>
      <c r="AD286" s="17"/>
      <c r="AE286" s="17"/>
    </row>
    <row r="287">
      <c r="A287" s="88"/>
      <c r="B287" s="121"/>
      <c r="C287" s="311"/>
      <c r="D287" s="88"/>
      <c r="E287" s="121"/>
      <c r="F287" s="311"/>
      <c r="G287" s="88"/>
      <c r="H287" s="121"/>
      <c r="I287" s="311"/>
      <c r="J287" s="88"/>
      <c r="K287" s="121"/>
      <c r="L287" s="311"/>
      <c r="M287" s="316"/>
      <c r="N287" s="317"/>
      <c r="O287" s="318"/>
      <c r="P287" s="316"/>
      <c r="Q287" s="317"/>
      <c r="R287" s="318"/>
      <c r="S287" s="316"/>
      <c r="T287" s="317"/>
      <c r="U287" s="318"/>
      <c r="V287" s="88"/>
      <c r="W287" s="317"/>
      <c r="X287" s="311"/>
      <c r="Y287" s="143"/>
      <c r="Z287" s="143"/>
      <c r="AA287" s="143"/>
      <c r="AB287" s="17"/>
      <c r="AC287" s="17"/>
      <c r="AD287" s="17"/>
      <c r="AE287" s="17"/>
    </row>
    <row r="288">
      <c r="A288" s="88"/>
      <c r="B288" s="121"/>
      <c r="C288" s="311"/>
      <c r="D288" s="88"/>
      <c r="E288" s="121"/>
      <c r="F288" s="311"/>
      <c r="G288" s="88"/>
      <c r="H288" s="121"/>
      <c r="I288" s="311"/>
      <c r="J288" s="88"/>
      <c r="K288" s="121"/>
      <c r="L288" s="311"/>
      <c r="M288" s="316"/>
      <c r="N288" s="317"/>
      <c r="O288" s="318"/>
      <c r="P288" s="316"/>
      <c r="Q288" s="317"/>
      <c r="R288" s="318"/>
      <c r="S288" s="316"/>
      <c r="T288" s="317"/>
      <c r="U288" s="318"/>
      <c r="V288" s="88"/>
      <c r="W288" s="317"/>
      <c r="X288" s="311"/>
      <c r="Y288" s="143"/>
      <c r="Z288" s="143"/>
      <c r="AA288" s="143"/>
      <c r="AB288" s="17"/>
      <c r="AC288" s="17"/>
      <c r="AD288" s="17"/>
      <c r="AE288" s="17"/>
    </row>
    <row r="289">
      <c r="A289" s="88"/>
      <c r="B289" s="121"/>
      <c r="C289" s="311"/>
      <c r="D289" s="88"/>
      <c r="E289" s="121"/>
      <c r="F289" s="311"/>
      <c r="G289" s="88"/>
      <c r="H289" s="121"/>
      <c r="I289" s="311"/>
      <c r="J289" s="88"/>
      <c r="K289" s="121"/>
      <c r="L289" s="311"/>
      <c r="M289" s="316"/>
      <c r="N289" s="317"/>
      <c r="O289" s="318"/>
      <c r="P289" s="316"/>
      <c r="Q289" s="317"/>
      <c r="R289" s="318"/>
      <c r="S289" s="316"/>
      <c r="T289" s="317"/>
      <c r="U289" s="318"/>
      <c r="V289" s="88"/>
      <c r="W289" s="317"/>
      <c r="X289" s="311"/>
      <c r="Y289" s="143"/>
      <c r="Z289" s="143"/>
      <c r="AA289" s="143"/>
      <c r="AB289" s="17"/>
      <c r="AC289" s="17"/>
      <c r="AD289" s="17"/>
      <c r="AE289" s="17"/>
    </row>
    <row r="290">
      <c r="A290" s="88"/>
      <c r="B290" s="121"/>
      <c r="C290" s="311"/>
      <c r="D290" s="88"/>
      <c r="E290" s="121"/>
      <c r="F290" s="311"/>
      <c r="G290" s="88"/>
      <c r="H290" s="121"/>
      <c r="I290" s="311"/>
      <c r="J290" s="88"/>
      <c r="K290" s="121"/>
      <c r="L290" s="311"/>
      <c r="M290" s="316"/>
      <c r="N290" s="317"/>
      <c r="O290" s="318"/>
      <c r="P290" s="316"/>
      <c r="Q290" s="317"/>
      <c r="R290" s="318"/>
      <c r="S290" s="316"/>
      <c r="T290" s="317"/>
      <c r="U290" s="318"/>
      <c r="V290" s="88"/>
      <c r="W290" s="317"/>
      <c r="X290" s="311"/>
      <c r="Y290" s="143"/>
      <c r="Z290" s="143"/>
      <c r="AA290" s="143"/>
      <c r="AB290" s="17"/>
      <c r="AC290" s="17"/>
      <c r="AD290" s="17"/>
      <c r="AE290" s="17"/>
    </row>
    <row r="291">
      <c r="A291" s="88"/>
      <c r="B291" s="121"/>
      <c r="C291" s="311"/>
      <c r="D291" s="88"/>
      <c r="E291" s="121"/>
      <c r="F291" s="311"/>
      <c r="G291" s="88"/>
      <c r="H291" s="121"/>
      <c r="I291" s="311"/>
      <c r="J291" s="88"/>
      <c r="K291" s="121"/>
      <c r="L291" s="311"/>
      <c r="M291" s="316"/>
      <c r="N291" s="317"/>
      <c r="O291" s="318"/>
      <c r="P291" s="316"/>
      <c r="Q291" s="317"/>
      <c r="R291" s="318"/>
      <c r="S291" s="316"/>
      <c r="T291" s="317"/>
      <c r="U291" s="318"/>
      <c r="V291" s="88"/>
      <c r="W291" s="317"/>
      <c r="X291" s="311"/>
      <c r="Y291" s="143"/>
      <c r="Z291" s="143"/>
      <c r="AA291" s="143"/>
      <c r="AB291" s="17"/>
      <c r="AC291" s="17"/>
      <c r="AD291" s="17"/>
      <c r="AE291" s="17"/>
    </row>
    <row r="292">
      <c r="A292" s="88"/>
      <c r="B292" s="121"/>
      <c r="C292" s="311"/>
      <c r="D292" s="88"/>
      <c r="E292" s="121"/>
      <c r="F292" s="311"/>
      <c r="G292" s="88"/>
      <c r="H292" s="121"/>
      <c r="I292" s="311"/>
      <c r="J292" s="88"/>
      <c r="K292" s="121"/>
      <c r="L292" s="311"/>
      <c r="M292" s="316"/>
      <c r="N292" s="317"/>
      <c r="O292" s="318"/>
      <c r="P292" s="316"/>
      <c r="Q292" s="317"/>
      <c r="R292" s="318"/>
      <c r="S292" s="316"/>
      <c r="T292" s="317"/>
      <c r="U292" s="318"/>
      <c r="V292" s="88"/>
      <c r="W292" s="317"/>
      <c r="X292" s="311"/>
      <c r="Y292" s="143"/>
      <c r="Z292" s="143"/>
      <c r="AA292" s="143"/>
      <c r="AB292" s="17"/>
      <c r="AC292" s="17"/>
      <c r="AD292" s="17"/>
      <c r="AE292" s="17"/>
    </row>
    <row r="293">
      <c r="A293" s="88"/>
      <c r="B293" s="121"/>
      <c r="C293" s="311"/>
      <c r="D293" s="88"/>
      <c r="E293" s="121"/>
      <c r="F293" s="311"/>
      <c r="G293" s="88"/>
      <c r="H293" s="121"/>
      <c r="I293" s="311"/>
      <c r="J293" s="88"/>
      <c r="K293" s="121"/>
      <c r="L293" s="311"/>
      <c r="M293" s="316"/>
      <c r="N293" s="317"/>
      <c r="O293" s="318"/>
      <c r="P293" s="316"/>
      <c r="Q293" s="317"/>
      <c r="R293" s="318"/>
      <c r="S293" s="316"/>
      <c r="T293" s="317"/>
      <c r="U293" s="318"/>
      <c r="V293" s="88"/>
      <c r="W293" s="317"/>
      <c r="X293" s="311"/>
      <c r="Y293" s="143"/>
      <c r="Z293" s="143"/>
      <c r="AA293" s="143"/>
      <c r="AB293" s="17"/>
      <c r="AC293" s="17"/>
      <c r="AD293" s="17"/>
      <c r="AE293" s="17"/>
    </row>
    <row r="294">
      <c r="A294" s="88"/>
      <c r="B294" s="121"/>
      <c r="C294" s="311"/>
      <c r="D294" s="88"/>
      <c r="E294" s="121"/>
      <c r="F294" s="311"/>
      <c r="G294" s="88"/>
      <c r="H294" s="121"/>
      <c r="I294" s="311"/>
      <c r="J294" s="88"/>
      <c r="K294" s="121"/>
      <c r="L294" s="311"/>
      <c r="M294" s="316"/>
      <c r="N294" s="317"/>
      <c r="O294" s="318"/>
      <c r="P294" s="316"/>
      <c r="Q294" s="317"/>
      <c r="R294" s="318"/>
      <c r="S294" s="316"/>
      <c r="T294" s="317"/>
      <c r="U294" s="318"/>
      <c r="V294" s="88"/>
      <c r="W294" s="317"/>
      <c r="X294" s="311"/>
      <c r="Y294" s="143"/>
      <c r="Z294" s="143"/>
      <c r="AA294" s="143"/>
      <c r="AB294" s="17"/>
      <c r="AC294" s="17"/>
      <c r="AD294" s="17"/>
      <c r="AE294" s="17"/>
    </row>
    <row r="295">
      <c r="A295" s="88"/>
      <c r="B295" s="121"/>
      <c r="C295" s="311"/>
      <c r="D295" s="88"/>
      <c r="E295" s="121"/>
      <c r="F295" s="311"/>
      <c r="G295" s="88"/>
      <c r="H295" s="121"/>
      <c r="I295" s="311"/>
      <c r="J295" s="88"/>
      <c r="K295" s="121"/>
      <c r="L295" s="311"/>
      <c r="M295" s="316"/>
      <c r="N295" s="317"/>
      <c r="O295" s="318"/>
      <c r="P295" s="316"/>
      <c r="Q295" s="317"/>
      <c r="R295" s="318"/>
      <c r="S295" s="316"/>
      <c r="T295" s="317"/>
      <c r="U295" s="318"/>
      <c r="V295" s="88"/>
      <c r="W295" s="317"/>
      <c r="X295" s="311"/>
      <c r="Y295" s="143"/>
      <c r="Z295" s="143"/>
      <c r="AA295" s="143"/>
      <c r="AB295" s="17"/>
      <c r="AC295" s="17"/>
      <c r="AD295" s="17"/>
      <c r="AE295" s="17"/>
    </row>
    <row r="296">
      <c r="A296" s="88"/>
      <c r="B296" s="121"/>
      <c r="C296" s="311"/>
      <c r="D296" s="88"/>
      <c r="E296" s="121"/>
      <c r="F296" s="311"/>
      <c r="G296" s="88"/>
      <c r="H296" s="121"/>
      <c r="I296" s="311"/>
      <c r="J296" s="88"/>
      <c r="K296" s="121"/>
      <c r="L296" s="311"/>
      <c r="M296" s="316"/>
      <c r="N296" s="317"/>
      <c r="O296" s="318"/>
      <c r="P296" s="316"/>
      <c r="Q296" s="317"/>
      <c r="R296" s="318"/>
      <c r="S296" s="316"/>
      <c r="T296" s="317"/>
      <c r="U296" s="318"/>
      <c r="V296" s="88"/>
      <c r="W296" s="317"/>
      <c r="X296" s="311"/>
      <c r="Y296" s="143"/>
      <c r="Z296" s="143"/>
      <c r="AA296" s="143"/>
      <c r="AB296" s="17"/>
      <c r="AC296" s="17"/>
      <c r="AD296" s="17"/>
      <c r="AE296" s="17"/>
    </row>
    <row r="297">
      <c r="A297" s="88"/>
      <c r="B297" s="121"/>
      <c r="C297" s="311"/>
      <c r="D297" s="88"/>
      <c r="E297" s="121"/>
      <c r="F297" s="311"/>
      <c r="G297" s="88"/>
      <c r="H297" s="121"/>
      <c r="I297" s="311"/>
      <c r="J297" s="88"/>
      <c r="K297" s="121"/>
      <c r="L297" s="311"/>
      <c r="M297" s="316"/>
      <c r="N297" s="317"/>
      <c r="O297" s="318"/>
      <c r="P297" s="316"/>
      <c r="Q297" s="317"/>
      <c r="R297" s="318"/>
      <c r="S297" s="316"/>
      <c r="T297" s="317"/>
      <c r="U297" s="318"/>
      <c r="V297" s="88"/>
      <c r="W297" s="317"/>
      <c r="X297" s="311"/>
      <c r="Y297" s="143"/>
      <c r="Z297" s="143"/>
      <c r="AA297" s="143"/>
      <c r="AB297" s="17"/>
      <c r="AC297" s="17"/>
      <c r="AD297" s="17"/>
      <c r="AE297" s="17"/>
    </row>
    <row r="298">
      <c r="A298" s="88"/>
      <c r="B298" s="121"/>
      <c r="C298" s="311"/>
      <c r="D298" s="88"/>
      <c r="E298" s="121"/>
      <c r="F298" s="311"/>
      <c r="G298" s="88"/>
      <c r="H298" s="121"/>
      <c r="I298" s="311"/>
      <c r="J298" s="88"/>
      <c r="K298" s="121"/>
      <c r="L298" s="311"/>
      <c r="M298" s="316"/>
      <c r="N298" s="317"/>
      <c r="O298" s="318"/>
      <c r="P298" s="316"/>
      <c r="Q298" s="317"/>
      <c r="R298" s="318"/>
      <c r="S298" s="316"/>
      <c r="T298" s="317"/>
      <c r="U298" s="318"/>
      <c r="V298" s="88"/>
      <c r="W298" s="317"/>
      <c r="X298" s="311"/>
      <c r="Y298" s="143"/>
      <c r="Z298" s="143"/>
      <c r="AA298" s="143"/>
      <c r="AB298" s="17"/>
      <c r="AC298" s="17"/>
      <c r="AD298" s="17"/>
      <c r="AE298" s="17"/>
    </row>
    <row r="299">
      <c r="A299" s="88"/>
      <c r="B299" s="121"/>
      <c r="C299" s="311"/>
      <c r="D299" s="88"/>
      <c r="E299" s="121"/>
      <c r="F299" s="311"/>
      <c r="G299" s="88"/>
      <c r="H299" s="121"/>
      <c r="I299" s="311"/>
      <c r="J299" s="88"/>
      <c r="K299" s="121"/>
      <c r="L299" s="311"/>
      <c r="M299" s="316"/>
      <c r="N299" s="317"/>
      <c r="O299" s="318"/>
      <c r="P299" s="316"/>
      <c r="Q299" s="317"/>
      <c r="R299" s="318"/>
      <c r="S299" s="316"/>
      <c r="T299" s="317"/>
      <c r="U299" s="318"/>
      <c r="V299" s="88"/>
      <c r="W299" s="317"/>
      <c r="X299" s="311"/>
      <c r="Y299" s="143"/>
      <c r="Z299" s="143"/>
      <c r="AA299" s="143"/>
      <c r="AB299" s="17"/>
      <c r="AC299" s="17"/>
      <c r="AD299" s="17"/>
      <c r="AE299" s="17"/>
    </row>
    <row r="300">
      <c r="A300" s="88"/>
      <c r="B300" s="121"/>
      <c r="C300" s="311"/>
      <c r="D300" s="88"/>
      <c r="E300" s="121"/>
      <c r="F300" s="311"/>
      <c r="G300" s="88"/>
      <c r="H300" s="121"/>
      <c r="I300" s="311"/>
      <c r="J300" s="88"/>
      <c r="K300" s="121"/>
      <c r="L300" s="311"/>
      <c r="M300" s="316"/>
      <c r="N300" s="317"/>
      <c r="O300" s="318"/>
      <c r="P300" s="316"/>
      <c r="Q300" s="317"/>
      <c r="R300" s="318"/>
      <c r="S300" s="316"/>
      <c r="T300" s="317"/>
      <c r="U300" s="318"/>
      <c r="V300" s="88"/>
      <c r="W300" s="317"/>
      <c r="X300" s="311"/>
      <c r="Y300" s="143"/>
      <c r="Z300" s="143"/>
      <c r="AA300" s="143"/>
      <c r="AB300" s="17"/>
      <c r="AC300" s="17"/>
      <c r="AD300" s="17"/>
      <c r="AE300" s="17"/>
    </row>
    <row r="301">
      <c r="A301" s="88"/>
      <c r="B301" s="121"/>
      <c r="C301" s="311"/>
      <c r="D301" s="88"/>
      <c r="E301" s="121"/>
      <c r="F301" s="311"/>
      <c r="G301" s="88"/>
      <c r="H301" s="121"/>
      <c r="I301" s="311"/>
      <c r="J301" s="88"/>
      <c r="K301" s="121"/>
      <c r="L301" s="311"/>
      <c r="M301" s="316"/>
      <c r="N301" s="317"/>
      <c r="O301" s="318"/>
      <c r="P301" s="316"/>
      <c r="Q301" s="317"/>
      <c r="R301" s="318"/>
      <c r="S301" s="316"/>
      <c r="T301" s="317"/>
      <c r="U301" s="318"/>
      <c r="V301" s="88"/>
      <c r="W301" s="317"/>
      <c r="X301" s="311"/>
      <c r="Y301" s="143"/>
      <c r="Z301" s="143"/>
      <c r="AA301" s="143"/>
      <c r="AB301" s="17"/>
      <c r="AC301" s="17"/>
      <c r="AD301" s="17"/>
      <c r="AE301" s="17"/>
    </row>
    <row r="302">
      <c r="A302" s="88"/>
      <c r="B302" s="121"/>
      <c r="C302" s="311"/>
      <c r="D302" s="88"/>
      <c r="E302" s="121"/>
      <c r="F302" s="311"/>
      <c r="G302" s="88"/>
      <c r="H302" s="121"/>
      <c r="I302" s="311"/>
      <c r="J302" s="88"/>
      <c r="K302" s="121"/>
      <c r="L302" s="311"/>
      <c r="M302" s="316"/>
      <c r="N302" s="317"/>
      <c r="O302" s="318"/>
      <c r="P302" s="316"/>
      <c r="Q302" s="317"/>
      <c r="R302" s="318"/>
      <c r="S302" s="316"/>
      <c r="T302" s="317"/>
      <c r="U302" s="318"/>
      <c r="V302" s="88"/>
      <c r="W302" s="317"/>
      <c r="X302" s="311"/>
      <c r="Y302" s="143"/>
      <c r="Z302" s="143"/>
      <c r="AA302" s="143"/>
      <c r="AB302" s="17"/>
      <c r="AC302" s="17"/>
      <c r="AD302" s="17"/>
      <c r="AE302" s="17"/>
    </row>
    <row r="303">
      <c r="A303" s="88"/>
      <c r="B303" s="121"/>
      <c r="C303" s="311"/>
      <c r="D303" s="88"/>
      <c r="E303" s="121"/>
      <c r="F303" s="311"/>
      <c r="G303" s="88"/>
      <c r="H303" s="121"/>
      <c r="I303" s="311"/>
      <c r="J303" s="88"/>
      <c r="K303" s="121"/>
      <c r="L303" s="311"/>
      <c r="M303" s="316"/>
      <c r="N303" s="317"/>
      <c r="O303" s="318"/>
      <c r="P303" s="316"/>
      <c r="Q303" s="317"/>
      <c r="R303" s="318"/>
      <c r="S303" s="316"/>
      <c r="T303" s="317"/>
      <c r="U303" s="318"/>
      <c r="V303" s="88"/>
      <c r="W303" s="317"/>
      <c r="X303" s="311"/>
      <c r="Y303" s="143"/>
      <c r="Z303" s="143"/>
      <c r="AA303" s="143"/>
      <c r="AB303" s="17"/>
      <c r="AC303" s="17"/>
      <c r="AD303" s="17"/>
      <c r="AE303" s="17"/>
    </row>
    <row r="304">
      <c r="A304" s="88"/>
      <c r="B304" s="121"/>
      <c r="C304" s="311"/>
      <c r="D304" s="88"/>
      <c r="E304" s="121"/>
      <c r="F304" s="311"/>
      <c r="G304" s="88"/>
      <c r="H304" s="121"/>
      <c r="I304" s="311"/>
      <c r="J304" s="88"/>
      <c r="K304" s="121"/>
      <c r="L304" s="311"/>
      <c r="M304" s="316"/>
      <c r="N304" s="317"/>
      <c r="O304" s="318"/>
      <c r="P304" s="316"/>
      <c r="Q304" s="317"/>
      <c r="R304" s="318"/>
      <c r="S304" s="316"/>
      <c r="T304" s="317"/>
      <c r="U304" s="318"/>
      <c r="V304" s="88"/>
      <c r="W304" s="317"/>
      <c r="X304" s="311"/>
      <c r="Y304" s="143"/>
      <c r="Z304" s="143"/>
      <c r="AA304" s="143"/>
      <c r="AB304" s="17"/>
      <c r="AC304" s="17"/>
      <c r="AD304" s="17"/>
      <c r="AE304" s="17"/>
    </row>
    <row r="305">
      <c r="A305" s="88"/>
      <c r="B305" s="121"/>
      <c r="C305" s="311"/>
      <c r="D305" s="88"/>
      <c r="E305" s="121"/>
      <c r="F305" s="311"/>
      <c r="G305" s="88"/>
      <c r="H305" s="121"/>
      <c r="I305" s="311"/>
      <c r="J305" s="88"/>
      <c r="K305" s="121"/>
      <c r="L305" s="311"/>
      <c r="M305" s="316"/>
      <c r="N305" s="317"/>
      <c r="O305" s="318"/>
      <c r="P305" s="316"/>
      <c r="Q305" s="317"/>
      <c r="R305" s="318"/>
      <c r="S305" s="316"/>
      <c r="T305" s="317"/>
      <c r="U305" s="318"/>
      <c r="V305" s="88"/>
      <c r="W305" s="317"/>
      <c r="X305" s="311"/>
      <c r="Y305" s="143"/>
      <c r="Z305" s="143"/>
      <c r="AA305" s="143"/>
      <c r="AB305" s="17"/>
      <c r="AC305" s="17"/>
      <c r="AD305" s="17"/>
      <c r="AE305" s="17"/>
    </row>
    <row r="306">
      <c r="A306" s="88"/>
      <c r="B306" s="121"/>
      <c r="C306" s="311"/>
      <c r="D306" s="88"/>
      <c r="E306" s="121"/>
      <c r="F306" s="311"/>
      <c r="G306" s="88"/>
      <c r="H306" s="121"/>
      <c r="I306" s="311"/>
      <c r="J306" s="88"/>
      <c r="K306" s="121"/>
      <c r="L306" s="311"/>
      <c r="M306" s="316"/>
      <c r="N306" s="317"/>
      <c r="O306" s="318"/>
      <c r="P306" s="316"/>
      <c r="Q306" s="317"/>
      <c r="R306" s="318"/>
      <c r="S306" s="316"/>
      <c r="T306" s="317"/>
      <c r="U306" s="318"/>
      <c r="V306" s="88"/>
      <c r="W306" s="317"/>
      <c r="X306" s="311"/>
      <c r="Y306" s="143"/>
      <c r="Z306" s="143"/>
      <c r="AA306" s="143"/>
      <c r="AB306" s="17"/>
      <c r="AC306" s="17"/>
      <c r="AD306" s="17"/>
      <c r="AE306" s="17"/>
    </row>
    <row r="307">
      <c r="A307" s="88"/>
      <c r="B307" s="121"/>
      <c r="C307" s="311"/>
      <c r="D307" s="88"/>
      <c r="E307" s="121"/>
      <c r="F307" s="311"/>
      <c r="G307" s="88"/>
      <c r="H307" s="121"/>
      <c r="I307" s="311"/>
      <c r="J307" s="88"/>
      <c r="K307" s="121"/>
      <c r="L307" s="311"/>
      <c r="M307" s="316"/>
      <c r="N307" s="317"/>
      <c r="O307" s="318"/>
      <c r="P307" s="316"/>
      <c r="Q307" s="317"/>
      <c r="R307" s="318"/>
      <c r="S307" s="316"/>
      <c r="T307" s="317"/>
      <c r="U307" s="318"/>
      <c r="V307" s="88"/>
      <c r="W307" s="317"/>
      <c r="X307" s="311"/>
      <c r="Y307" s="143"/>
      <c r="Z307" s="143"/>
      <c r="AA307" s="143"/>
      <c r="AB307" s="17"/>
      <c r="AC307" s="17"/>
      <c r="AD307" s="17"/>
      <c r="AE307" s="17"/>
    </row>
    <row r="308">
      <c r="A308" s="88"/>
      <c r="B308" s="121"/>
      <c r="C308" s="311"/>
      <c r="D308" s="88"/>
      <c r="E308" s="121"/>
      <c r="F308" s="311"/>
      <c r="G308" s="88"/>
      <c r="H308" s="121"/>
      <c r="I308" s="311"/>
      <c r="J308" s="88"/>
      <c r="K308" s="121"/>
      <c r="L308" s="311"/>
      <c r="M308" s="316"/>
      <c r="N308" s="317"/>
      <c r="O308" s="318"/>
      <c r="P308" s="316"/>
      <c r="Q308" s="317"/>
      <c r="R308" s="318"/>
      <c r="S308" s="316"/>
      <c r="T308" s="317"/>
      <c r="U308" s="318"/>
      <c r="V308" s="88"/>
      <c r="W308" s="317"/>
      <c r="X308" s="311"/>
      <c r="Y308" s="143"/>
      <c r="Z308" s="143"/>
      <c r="AA308" s="143"/>
      <c r="AB308" s="17"/>
      <c r="AC308" s="17"/>
      <c r="AD308" s="17"/>
      <c r="AE308" s="17"/>
    </row>
    <row r="309">
      <c r="A309" s="88"/>
      <c r="B309" s="121"/>
      <c r="C309" s="311"/>
      <c r="D309" s="88"/>
      <c r="E309" s="121"/>
      <c r="F309" s="311"/>
      <c r="G309" s="88"/>
      <c r="H309" s="121"/>
      <c r="I309" s="311"/>
      <c r="J309" s="88"/>
      <c r="K309" s="121"/>
      <c r="L309" s="311"/>
      <c r="M309" s="316"/>
      <c r="N309" s="317"/>
      <c r="O309" s="318"/>
      <c r="P309" s="316"/>
      <c r="Q309" s="317"/>
      <c r="R309" s="318"/>
      <c r="S309" s="316"/>
      <c r="T309" s="317"/>
      <c r="U309" s="318"/>
      <c r="V309" s="88"/>
      <c r="W309" s="317"/>
      <c r="X309" s="311"/>
      <c r="Y309" s="143"/>
      <c r="Z309" s="143"/>
      <c r="AA309" s="143"/>
      <c r="AB309" s="17"/>
      <c r="AC309" s="17"/>
      <c r="AD309" s="17"/>
      <c r="AE309" s="17"/>
    </row>
    <row r="310">
      <c r="A310" s="88"/>
      <c r="B310" s="121"/>
      <c r="C310" s="311"/>
      <c r="D310" s="88"/>
      <c r="E310" s="121"/>
      <c r="F310" s="311"/>
      <c r="G310" s="88"/>
      <c r="H310" s="121"/>
      <c r="I310" s="311"/>
      <c r="J310" s="88"/>
      <c r="K310" s="121"/>
      <c r="L310" s="311"/>
      <c r="M310" s="316"/>
      <c r="N310" s="317"/>
      <c r="O310" s="318"/>
      <c r="P310" s="316"/>
      <c r="Q310" s="317"/>
      <c r="R310" s="318"/>
      <c r="S310" s="316"/>
      <c r="T310" s="317"/>
      <c r="U310" s="318"/>
      <c r="V310" s="88"/>
      <c r="W310" s="317"/>
      <c r="X310" s="311"/>
      <c r="Y310" s="143"/>
      <c r="Z310" s="143"/>
      <c r="AA310" s="143"/>
      <c r="AB310" s="17"/>
      <c r="AC310" s="17"/>
      <c r="AD310" s="17"/>
      <c r="AE310" s="17"/>
    </row>
    <row r="311">
      <c r="A311" s="88"/>
      <c r="B311" s="121"/>
      <c r="C311" s="311"/>
      <c r="D311" s="88"/>
      <c r="E311" s="121"/>
      <c r="F311" s="311"/>
      <c r="G311" s="88"/>
      <c r="H311" s="121"/>
      <c r="I311" s="311"/>
      <c r="J311" s="88"/>
      <c r="K311" s="121"/>
      <c r="L311" s="311"/>
      <c r="M311" s="316"/>
      <c r="N311" s="317"/>
      <c r="O311" s="318"/>
      <c r="P311" s="316"/>
      <c r="Q311" s="317"/>
      <c r="R311" s="318"/>
      <c r="S311" s="316"/>
      <c r="T311" s="317"/>
      <c r="U311" s="318"/>
      <c r="V311" s="88"/>
      <c r="W311" s="317"/>
      <c r="X311" s="311"/>
      <c r="Y311" s="143"/>
      <c r="Z311" s="143"/>
      <c r="AA311" s="143"/>
      <c r="AB311" s="17"/>
      <c r="AC311" s="17"/>
      <c r="AD311" s="17"/>
      <c r="AE311" s="17"/>
    </row>
    <row r="312">
      <c r="A312" s="88"/>
      <c r="B312" s="121"/>
      <c r="C312" s="311"/>
      <c r="D312" s="88"/>
      <c r="E312" s="121"/>
      <c r="F312" s="311"/>
      <c r="G312" s="88"/>
      <c r="H312" s="121"/>
      <c r="I312" s="311"/>
      <c r="J312" s="88"/>
      <c r="K312" s="121"/>
      <c r="L312" s="311"/>
      <c r="M312" s="316"/>
      <c r="N312" s="317"/>
      <c r="O312" s="318"/>
      <c r="P312" s="316"/>
      <c r="Q312" s="317"/>
      <c r="R312" s="318"/>
      <c r="S312" s="316"/>
      <c r="T312" s="317"/>
      <c r="U312" s="318"/>
      <c r="V312" s="88"/>
      <c r="W312" s="317"/>
      <c r="X312" s="311"/>
      <c r="Y312" s="143"/>
      <c r="Z312" s="143"/>
      <c r="AA312" s="143"/>
      <c r="AB312" s="17"/>
      <c r="AC312" s="17"/>
      <c r="AD312" s="17"/>
      <c r="AE312" s="17"/>
    </row>
    <row r="313">
      <c r="A313" s="88"/>
      <c r="B313" s="121"/>
      <c r="C313" s="311"/>
      <c r="D313" s="88"/>
      <c r="E313" s="121"/>
      <c r="F313" s="311"/>
      <c r="G313" s="88"/>
      <c r="H313" s="121"/>
      <c r="I313" s="311"/>
      <c r="J313" s="88"/>
      <c r="K313" s="121"/>
      <c r="L313" s="311"/>
      <c r="M313" s="316"/>
      <c r="N313" s="317"/>
      <c r="O313" s="318"/>
      <c r="P313" s="316"/>
      <c r="Q313" s="317"/>
      <c r="R313" s="318"/>
      <c r="S313" s="316"/>
      <c r="T313" s="317"/>
      <c r="U313" s="318"/>
      <c r="V313" s="88"/>
      <c r="W313" s="317"/>
      <c r="X313" s="311"/>
      <c r="Y313" s="143"/>
      <c r="Z313" s="143"/>
      <c r="AA313" s="143"/>
      <c r="AB313" s="17"/>
      <c r="AC313" s="17"/>
      <c r="AD313" s="17"/>
      <c r="AE313" s="17"/>
    </row>
    <row r="314">
      <c r="A314" s="88"/>
      <c r="B314" s="121"/>
      <c r="C314" s="311"/>
      <c r="D314" s="88"/>
      <c r="E314" s="121"/>
      <c r="F314" s="311"/>
      <c r="G314" s="88"/>
      <c r="H314" s="121"/>
      <c r="I314" s="311"/>
      <c r="J314" s="88"/>
      <c r="K314" s="121"/>
      <c r="L314" s="311"/>
      <c r="M314" s="316"/>
      <c r="N314" s="317"/>
      <c r="O314" s="318"/>
      <c r="P314" s="316"/>
      <c r="Q314" s="317"/>
      <c r="R314" s="318"/>
      <c r="S314" s="316"/>
      <c r="T314" s="317"/>
      <c r="U314" s="318"/>
      <c r="V314" s="88"/>
      <c r="W314" s="317"/>
      <c r="X314" s="311"/>
      <c r="Y314" s="143"/>
      <c r="Z314" s="143"/>
      <c r="AA314" s="143"/>
      <c r="AB314" s="17"/>
      <c r="AC314" s="17"/>
      <c r="AD314" s="17"/>
      <c r="AE314" s="17"/>
    </row>
    <row r="315">
      <c r="A315" s="88"/>
      <c r="B315" s="121"/>
      <c r="C315" s="311"/>
      <c r="D315" s="88"/>
      <c r="E315" s="121"/>
      <c r="F315" s="311"/>
      <c r="G315" s="88"/>
      <c r="H315" s="121"/>
      <c r="I315" s="311"/>
      <c r="J315" s="88"/>
      <c r="K315" s="121"/>
      <c r="L315" s="311"/>
      <c r="M315" s="316"/>
      <c r="N315" s="317"/>
      <c r="O315" s="318"/>
      <c r="P315" s="316"/>
      <c r="Q315" s="317"/>
      <c r="R315" s="318"/>
      <c r="S315" s="316"/>
      <c r="T315" s="317"/>
      <c r="U315" s="318"/>
      <c r="V315" s="88"/>
      <c r="W315" s="317"/>
      <c r="X315" s="311"/>
      <c r="Y315" s="143"/>
      <c r="Z315" s="143"/>
      <c r="AA315" s="143"/>
      <c r="AB315" s="17"/>
      <c r="AC315" s="17"/>
      <c r="AD315" s="17"/>
      <c r="AE315" s="17"/>
    </row>
    <row r="316">
      <c r="A316" s="88"/>
      <c r="B316" s="121"/>
      <c r="C316" s="311"/>
      <c r="D316" s="88"/>
      <c r="E316" s="121"/>
      <c r="F316" s="311"/>
      <c r="G316" s="88"/>
      <c r="H316" s="121"/>
      <c r="I316" s="311"/>
      <c r="J316" s="88"/>
      <c r="K316" s="121"/>
      <c r="L316" s="311"/>
      <c r="M316" s="316"/>
      <c r="N316" s="317"/>
      <c r="O316" s="318"/>
      <c r="P316" s="316"/>
      <c r="Q316" s="317"/>
      <c r="R316" s="318"/>
      <c r="S316" s="316"/>
      <c r="T316" s="317"/>
      <c r="U316" s="318"/>
      <c r="V316" s="88"/>
      <c r="W316" s="317"/>
      <c r="X316" s="311"/>
      <c r="Y316" s="143"/>
      <c r="Z316" s="143"/>
      <c r="AA316" s="143"/>
      <c r="AB316" s="17"/>
      <c r="AC316" s="17"/>
      <c r="AD316" s="17"/>
      <c r="AE316" s="17"/>
    </row>
    <row r="317">
      <c r="A317" s="88"/>
      <c r="B317" s="121"/>
      <c r="C317" s="311"/>
      <c r="D317" s="88"/>
      <c r="E317" s="121"/>
      <c r="F317" s="311"/>
      <c r="G317" s="88"/>
      <c r="H317" s="121"/>
      <c r="I317" s="311"/>
      <c r="J317" s="88"/>
      <c r="K317" s="121"/>
      <c r="L317" s="311"/>
      <c r="M317" s="316"/>
      <c r="N317" s="317"/>
      <c r="O317" s="318"/>
      <c r="P317" s="316"/>
      <c r="Q317" s="317"/>
      <c r="R317" s="318"/>
      <c r="S317" s="316"/>
      <c r="T317" s="317"/>
      <c r="U317" s="318"/>
      <c r="V317" s="88"/>
      <c r="W317" s="317"/>
      <c r="X317" s="311"/>
      <c r="Y317" s="143"/>
      <c r="Z317" s="143"/>
      <c r="AA317" s="143"/>
      <c r="AB317" s="17"/>
      <c r="AC317" s="17"/>
      <c r="AD317" s="17"/>
      <c r="AE317" s="17"/>
    </row>
    <row r="318">
      <c r="A318" s="88"/>
      <c r="B318" s="121"/>
      <c r="C318" s="311"/>
      <c r="D318" s="88"/>
      <c r="E318" s="121"/>
      <c r="F318" s="311"/>
      <c r="G318" s="88"/>
      <c r="H318" s="121"/>
      <c r="I318" s="311"/>
      <c r="J318" s="88"/>
      <c r="K318" s="121"/>
      <c r="L318" s="311"/>
      <c r="M318" s="316"/>
      <c r="N318" s="317"/>
      <c r="O318" s="318"/>
      <c r="P318" s="316"/>
      <c r="Q318" s="317"/>
      <c r="R318" s="318"/>
      <c r="S318" s="316"/>
      <c r="T318" s="317"/>
      <c r="U318" s="318"/>
      <c r="V318" s="88"/>
      <c r="W318" s="317"/>
      <c r="X318" s="311"/>
      <c r="Y318" s="143"/>
      <c r="Z318" s="143"/>
      <c r="AA318" s="143"/>
      <c r="AB318" s="17"/>
      <c r="AC318" s="17"/>
      <c r="AD318" s="17"/>
      <c r="AE318" s="17"/>
    </row>
    <row r="319">
      <c r="A319" s="88"/>
      <c r="B319" s="121"/>
      <c r="C319" s="311"/>
      <c r="D319" s="88"/>
      <c r="E319" s="121"/>
      <c r="F319" s="311"/>
      <c r="G319" s="88"/>
      <c r="H319" s="121"/>
      <c r="I319" s="311"/>
      <c r="J319" s="88"/>
      <c r="K319" s="121"/>
      <c r="L319" s="311"/>
      <c r="M319" s="316"/>
      <c r="N319" s="317"/>
      <c r="O319" s="318"/>
      <c r="P319" s="316"/>
      <c r="Q319" s="317"/>
      <c r="R319" s="318"/>
      <c r="S319" s="316"/>
      <c r="T319" s="317"/>
      <c r="U319" s="318"/>
      <c r="V319" s="88"/>
      <c r="W319" s="317"/>
      <c r="X319" s="311"/>
      <c r="Y319" s="143"/>
      <c r="Z319" s="143"/>
      <c r="AA319" s="143"/>
      <c r="AB319" s="17"/>
      <c r="AC319" s="17"/>
      <c r="AD319" s="17"/>
      <c r="AE319" s="17"/>
    </row>
    <row r="320">
      <c r="A320" s="88"/>
      <c r="B320" s="121"/>
      <c r="C320" s="311"/>
      <c r="D320" s="88"/>
      <c r="E320" s="121"/>
      <c r="F320" s="311"/>
      <c r="G320" s="88"/>
      <c r="H320" s="121"/>
      <c r="I320" s="311"/>
      <c r="J320" s="88"/>
      <c r="K320" s="121"/>
      <c r="L320" s="311"/>
      <c r="M320" s="316"/>
      <c r="N320" s="317"/>
      <c r="O320" s="318"/>
      <c r="P320" s="316"/>
      <c r="Q320" s="317"/>
      <c r="R320" s="318"/>
      <c r="S320" s="316"/>
      <c r="T320" s="317"/>
      <c r="U320" s="318"/>
      <c r="V320" s="88"/>
      <c r="W320" s="317"/>
      <c r="X320" s="311"/>
      <c r="Y320" s="143"/>
      <c r="Z320" s="143"/>
      <c r="AA320" s="143"/>
      <c r="AB320" s="17"/>
      <c r="AC320" s="17"/>
      <c r="AD320" s="17"/>
      <c r="AE320" s="17"/>
    </row>
    <row r="321">
      <c r="A321" s="88"/>
      <c r="B321" s="121"/>
      <c r="C321" s="311"/>
      <c r="D321" s="88"/>
      <c r="E321" s="121"/>
      <c r="F321" s="311"/>
      <c r="G321" s="88"/>
      <c r="H321" s="121"/>
      <c r="I321" s="311"/>
      <c r="J321" s="88"/>
      <c r="K321" s="121"/>
      <c r="L321" s="311"/>
      <c r="M321" s="316"/>
      <c r="N321" s="317"/>
      <c r="O321" s="318"/>
      <c r="P321" s="316"/>
      <c r="Q321" s="317"/>
      <c r="R321" s="318"/>
      <c r="S321" s="316"/>
      <c r="T321" s="317"/>
      <c r="U321" s="318"/>
      <c r="V321" s="88"/>
      <c r="W321" s="317"/>
      <c r="X321" s="311"/>
      <c r="Y321" s="143"/>
      <c r="Z321" s="143"/>
      <c r="AA321" s="143"/>
      <c r="AB321" s="17"/>
      <c r="AC321" s="17"/>
      <c r="AD321" s="17"/>
      <c r="AE321" s="17"/>
    </row>
    <row r="322">
      <c r="A322" s="88"/>
      <c r="B322" s="121"/>
      <c r="C322" s="311"/>
      <c r="D322" s="88"/>
      <c r="E322" s="121"/>
      <c r="F322" s="311"/>
      <c r="G322" s="88"/>
      <c r="H322" s="121"/>
      <c r="I322" s="311"/>
      <c r="J322" s="88"/>
      <c r="K322" s="121"/>
      <c r="L322" s="311"/>
      <c r="M322" s="316"/>
      <c r="N322" s="317"/>
      <c r="O322" s="318"/>
      <c r="P322" s="316"/>
      <c r="Q322" s="317"/>
      <c r="R322" s="318"/>
      <c r="S322" s="316"/>
      <c r="T322" s="317"/>
      <c r="U322" s="318"/>
      <c r="V322" s="88"/>
      <c r="W322" s="317"/>
      <c r="X322" s="311"/>
      <c r="Y322" s="143"/>
      <c r="Z322" s="143"/>
      <c r="AA322" s="143"/>
      <c r="AB322" s="17"/>
      <c r="AC322" s="17"/>
      <c r="AD322" s="17"/>
      <c r="AE322" s="17"/>
    </row>
    <row r="323">
      <c r="A323" s="88"/>
      <c r="B323" s="121"/>
      <c r="C323" s="311"/>
      <c r="D323" s="88"/>
      <c r="E323" s="121"/>
      <c r="F323" s="311"/>
      <c r="G323" s="88"/>
      <c r="H323" s="121"/>
      <c r="I323" s="311"/>
      <c r="J323" s="88"/>
      <c r="K323" s="121"/>
      <c r="L323" s="311"/>
      <c r="M323" s="316"/>
      <c r="N323" s="317"/>
      <c r="O323" s="318"/>
      <c r="P323" s="316"/>
      <c r="Q323" s="317"/>
      <c r="R323" s="318"/>
      <c r="S323" s="316"/>
      <c r="T323" s="317"/>
      <c r="U323" s="318"/>
      <c r="V323" s="88"/>
      <c r="W323" s="317"/>
      <c r="X323" s="311"/>
      <c r="Y323" s="143"/>
      <c r="Z323" s="143"/>
      <c r="AA323" s="143"/>
      <c r="AB323" s="17"/>
      <c r="AC323" s="17"/>
      <c r="AD323" s="17"/>
      <c r="AE323" s="17"/>
    </row>
    <row r="324">
      <c r="A324" s="88"/>
      <c r="B324" s="121"/>
      <c r="C324" s="311"/>
      <c r="D324" s="88"/>
      <c r="E324" s="121"/>
      <c r="F324" s="311"/>
      <c r="G324" s="88"/>
      <c r="H324" s="121"/>
      <c r="I324" s="311"/>
      <c r="J324" s="88"/>
      <c r="K324" s="121"/>
      <c r="L324" s="311"/>
      <c r="M324" s="316"/>
      <c r="N324" s="317"/>
      <c r="O324" s="318"/>
      <c r="P324" s="316"/>
      <c r="Q324" s="317"/>
      <c r="R324" s="318"/>
      <c r="S324" s="316"/>
      <c r="T324" s="317"/>
      <c r="U324" s="318"/>
      <c r="V324" s="88"/>
      <c r="W324" s="317"/>
      <c r="X324" s="311"/>
      <c r="Y324" s="143"/>
      <c r="Z324" s="143"/>
      <c r="AA324" s="143"/>
      <c r="AB324" s="17"/>
      <c r="AC324" s="17"/>
      <c r="AD324" s="17"/>
      <c r="AE324" s="17"/>
    </row>
    <row r="325">
      <c r="A325" s="88"/>
      <c r="B325" s="121"/>
      <c r="C325" s="311"/>
      <c r="D325" s="88"/>
      <c r="E325" s="121"/>
      <c r="F325" s="311"/>
      <c r="G325" s="88"/>
      <c r="H325" s="121"/>
      <c r="I325" s="311"/>
      <c r="J325" s="88"/>
      <c r="K325" s="121"/>
      <c r="L325" s="311"/>
      <c r="M325" s="316"/>
      <c r="N325" s="317"/>
      <c r="O325" s="318"/>
      <c r="P325" s="316"/>
      <c r="Q325" s="317"/>
      <c r="R325" s="318"/>
      <c r="S325" s="316"/>
      <c r="T325" s="317"/>
      <c r="U325" s="318"/>
      <c r="V325" s="88"/>
      <c r="W325" s="317"/>
      <c r="X325" s="311"/>
      <c r="Y325" s="143"/>
      <c r="Z325" s="143"/>
      <c r="AA325" s="143"/>
      <c r="AB325" s="17"/>
      <c r="AC325" s="17"/>
      <c r="AD325" s="17"/>
      <c r="AE325" s="17"/>
    </row>
    <row r="326">
      <c r="A326" s="88"/>
      <c r="B326" s="121"/>
      <c r="C326" s="311"/>
      <c r="D326" s="88"/>
      <c r="E326" s="121"/>
      <c r="F326" s="311"/>
      <c r="G326" s="88"/>
      <c r="H326" s="121"/>
      <c r="I326" s="311"/>
      <c r="J326" s="88"/>
      <c r="K326" s="121"/>
      <c r="L326" s="311"/>
      <c r="M326" s="316"/>
      <c r="N326" s="317"/>
      <c r="O326" s="318"/>
      <c r="P326" s="316"/>
      <c r="Q326" s="317"/>
      <c r="R326" s="318"/>
      <c r="S326" s="316"/>
      <c r="T326" s="317"/>
      <c r="U326" s="318"/>
      <c r="V326" s="88"/>
      <c r="W326" s="317"/>
      <c r="X326" s="311"/>
      <c r="Y326" s="143"/>
      <c r="Z326" s="143"/>
      <c r="AA326" s="143"/>
      <c r="AB326" s="17"/>
      <c r="AC326" s="17"/>
      <c r="AD326" s="17"/>
      <c r="AE326" s="17"/>
    </row>
    <row r="327">
      <c r="A327" s="88"/>
      <c r="B327" s="121"/>
      <c r="C327" s="311"/>
      <c r="D327" s="88"/>
      <c r="E327" s="121"/>
      <c r="F327" s="311"/>
      <c r="G327" s="88"/>
      <c r="H327" s="121"/>
      <c r="I327" s="311"/>
      <c r="J327" s="88"/>
      <c r="K327" s="121"/>
      <c r="L327" s="311"/>
      <c r="M327" s="316"/>
      <c r="N327" s="317"/>
      <c r="O327" s="318"/>
      <c r="P327" s="316"/>
      <c r="Q327" s="317"/>
      <c r="R327" s="318"/>
      <c r="S327" s="316"/>
      <c r="T327" s="317"/>
      <c r="U327" s="318"/>
      <c r="V327" s="88"/>
      <c r="W327" s="317"/>
      <c r="X327" s="311"/>
      <c r="Y327" s="143"/>
      <c r="Z327" s="143"/>
      <c r="AA327" s="143"/>
      <c r="AB327" s="17"/>
      <c r="AC327" s="17"/>
      <c r="AD327" s="17"/>
      <c r="AE327" s="17"/>
    </row>
    <row r="328">
      <c r="A328" s="88"/>
      <c r="B328" s="121"/>
      <c r="C328" s="311"/>
      <c r="D328" s="88"/>
      <c r="E328" s="121"/>
      <c r="F328" s="311"/>
      <c r="G328" s="88"/>
      <c r="H328" s="121"/>
      <c r="I328" s="311"/>
      <c r="J328" s="88"/>
      <c r="K328" s="121"/>
      <c r="L328" s="311"/>
      <c r="M328" s="316"/>
      <c r="N328" s="317"/>
      <c r="O328" s="318"/>
      <c r="P328" s="316"/>
      <c r="Q328" s="317"/>
      <c r="R328" s="318"/>
      <c r="S328" s="316"/>
      <c r="T328" s="317"/>
      <c r="U328" s="318"/>
      <c r="V328" s="88"/>
      <c r="W328" s="317"/>
      <c r="X328" s="311"/>
      <c r="Y328" s="143"/>
      <c r="Z328" s="143"/>
      <c r="AA328" s="143"/>
      <c r="AB328" s="17"/>
      <c r="AC328" s="17"/>
      <c r="AD328" s="17"/>
      <c r="AE328" s="17"/>
    </row>
    <row r="329">
      <c r="A329" s="88"/>
      <c r="B329" s="121"/>
      <c r="C329" s="311"/>
      <c r="D329" s="88"/>
      <c r="E329" s="121"/>
      <c r="F329" s="311"/>
      <c r="G329" s="88"/>
      <c r="H329" s="121"/>
      <c r="I329" s="311"/>
      <c r="J329" s="88"/>
      <c r="K329" s="121"/>
      <c r="L329" s="311"/>
      <c r="M329" s="316"/>
      <c r="N329" s="317"/>
      <c r="O329" s="318"/>
      <c r="P329" s="316"/>
      <c r="Q329" s="317"/>
      <c r="R329" s="318"/>
      <c r="S329" s="316"/>
      <c r="T329" s="317"/>
      <c r="U329" s="318"/>
      <c r="V329" s="88"/>
      <c r="W329" s="317"/>
      <c r="X329" s="311"/>
      <c r="Y329" s="143"/>
      <c r="Z329" s="143"/>
      <c r="AA329" s="143"/>
      <c r="AB329" s="17"/>
      <c r="AC329" s="17"/>
      <c r="AD329" s="17"/>
      <c r="AE329" s="17"/>
    </row>
    <row r="330">
      <c r="A330" s="88"/>
      <c r="B330" s="121"/>
      <c r="C330" s="311"/>
      <c r="D330" s="88"/>
      <c r="E330" s="121"/>
      <c r="F330" s="311"/>
      <c r="G330" s="88"/>
      <c r="H330" s="121"/>
      <c r="I330" s="311"/>
      <c r="J330" s="88"/>
      <c r="K330" s="121"/>
      <c r="L330" s="311"/>
      <c r="M330" s="316"/>
      <c r="N330" s="317"/>
      <c r="O330" s="318"/>
      <c r="P330" s="316"/>
      <c r="Q330" s="317"/>
      <c r="R330" s="318"/>
      <c r="S330" s="316"/>
      <c r="T330" s="317"/>
      <c r="U330" s="318"/>
      <c r="V330" s="88"/>
      <c r="W330" s="317"/>
      <c r="X330" s="311"/>
      <c r="Y330" s="143"/>
      <c r="Z330" s="143"/>
      <c r="AA330" s="143"/>
      <c r="AB330" s="17"/>
      <c r="AC330" s="17"/>
      <c r="AD330" s="17"/>
      <c r="AE330" s="17"/>
    </row>
    <row r="331">
      <c r="A331" s="88"/>
      <c r="B331" s="121"/>
      <c r="C331" s="311"/>
      <c r="D331" s="88"/>
      <c r="E331" s="121"/>
      <c r="F331" s="311"/>
      <c r="G331" s="88"/>
      <c r="H331" s="121"/>
      <c r="I331" s="311"/>
      <c r="J331" s="88"/>
      <c r="K331" s="121"/>
      <c r="L331" s="311"/>
      <c r="M331" s="316"/>
      <c r="N331" s="317"/>
      <c r="O331" s="318"/>
      <c r="P331" s="316"/>
      <c r="Q331" s="317"/>
      <c r="R331" s="318"/>
      <c r="S331" s="316"/>
      <c r="T331" s="317"/>
      <c r="U331" s="318"/>
      <c r="V331" s="88"/>
      <c r="W331" s="317"/>
      <c r="X331" s="311"/>
      <c r="Y331" s="143"/>
      <c r="Z331" s="143"/>
      <c r="AA331" s="143"/>
      <c r="AB331" s="17"/>
      <c r="AC331" s="17"/>
      <c r="AD331" s="17"/>
      <c r="AE331" s="17"/>
    </row>
    <row r="332">
      <c r="A332" s="88"/>
      <c r="B332" s="121"/>
      <c r="C332" s="311"/>
      <c r="D332" s="88"/>
      <c r="E332" s="121"/>
      <c r="F332" s="311"/>
      <c r="G332" s="88"/>
      <c r="H332" s="121"/>
      <c r="I332" s="311"/>
      <c r="J332" s="88"/>
      <c r="K332" s="121"/>
      <c r="L332" s="311"/>
      <c r="M332" s="316"/>
      <c r="N332" s="317"/>
      <c r="O332" s="318"/>
      <c r="P332" s="316"/>
      <c r="Q332" s="317"/>
      <c r="R332" s="318"/>
      <c r="S332" s="316"/>
      <c r="T332" s="317"/>
      <c r="U332" s="318"/>
      <c r="V332" s="88"/>
      <c r="W332" s="317"/>
      <c r="X332" s="311"/>
      <c r="Y332" s="143"/>
      <c r="Z332" s="143"/>
      <c r="AA332" s="143"/>
      <c r="AB332" s="17"/>
      <c r="AC332" s="17"/>
      <c r="AD332" s="17"/>
      <c r="AE332" s="17"/>
    </row>
    <row r="333">
      <c r="A333" s="88"/>
      <c r="B333" s="121"/>
      <c r="C333" s="311"/>
      <c r="D333" s="88"/>
      <c r="E333" s="121"/>
      <c r="F333" s="311"/>
      <c r="G333" s="88"/>
      <c r="H333" s="121"/>
      <c r="I333" s="311"/>
      <c r="J333" s="88"/>
      <c r="K333" s="121"/>
      <c r="L333" s="311"/>
      <c r="M333" s="316"/>
      <c r="N333" s="317"/>
      <c r="O333" s="318"/>
      <c r="P333" s="316"/>
      <c r="Q333" s="317"/>
      <c r="R333" s="318"/>
      <c r="S333" s="316"/>
      <c r="T333" s="317"/>
      <c r="U333" s="318"/>
      <c r="V333" s="88"/>
      <c r="W333" s="317"/>
      <c r="X333" s="311"/>
      <c r="Y333" s="143"/>
      <c r="Z333" s="143"/>
      <c r="AA333" s="143"/>
      <c r="AB333" s="17"/>
      <c r="AC333" s="17"/>
      <c r="AD333" s="17"/>
      <c r="AE333" s="17"/>
    </row>
    <row r="334">
      <c r="A334" s="88"/>
      <c r="B334" s="121"/>
      <c r="C334" s="311"/>
      <c r="D334" s="88"/>
      <c r="E334" s="121"/>
      <c r="F334" s="311"/>
      <c r="G334" s="88"/>
      <c r="H334" s="121"/>
      <c r="I334" s="311"/>
      <c r="J334" s="88"/>
      <c r="K334" s="121"/>
      <c r="L334" s="311"/>
      <c r="M334" s="316"/>
      <c r="N334" s="317"/>
      <c r="O334" s="318"/>
      <c r="P334" s="316"/>
      <c r="Q334" s="317"/>
      <c r="R334" s="318"/>
      <c r="S334" s="316"/>
      <c r="T334" s="317"/>
      <c r="U334" s="318"/>
      <c r="V334" s="88"/>
      <c r="W334" s="317"/>
      <c r="X334" s="311"/>
      <c r="Y334" s="143"/>
      <c r="Z334" s="143"/>
      <c r="AA334" s="143"/>
      <c r="AB334" s="17"/>
      <c r="AC334" s="17"/>
      <c r="AD334" s="17"/>
      <c r="AE334" s="17"/>
    </row>
    <row r="335">
      <c r="A335" s="88"/>
      <c r="B335" s="121"/>
      <c r="C335" s="311"/>
      <c r="D335" s="88"/>
      <c r="E335" s="121"/>
      <c r="F335" s="311"/>
      <c r="G335" s="88"/>
      <c r="H335" s="121"/>
      <c r="I335" s="311"/>
      <c r="J335" s="88"/>
      <c r="K335" s="121"/>
      <c r="L335" s="311"/>
      <c r="M335" s="316"/>
      <c r="N335" s="317"/>
      <c r="O335" s="318"/>
      <c r="P335" s="316"/>
      <c r="Q335" s="317"/>
      <c r="R335" s="318"/>
      <c r="S335" s="316"/>
      <c r="T335" s="317"/>
      <c r="U335" s="318"/>
      <c r="V335" s="88"/>
      <c r="W335" s="317"/>
      <c r="X335" s="311"/>
      <c r="Y335" s="143"/>
      <c r="Z335" s="143"/>
      <c r="AA335" s="143"/>
      <c r="AB335" s="17"/>
      <c r="AC335" s="17"/>
      <c r="AD335" s="17"/>
      <c r="AE335" s="17"/>
    </row>
    <row r="336">
      <c r="A336" s="88"/>
      <c r="B336" s="121"/>
      <c r="C336" s="311"/>
      <c r="D336" s="88"/>
      <c r="E336" s="121"/>
      <c r="F336" s="311"/>
      <c r="G336" s="88"/>
      <c r="H336" s="121"/>
      <c r="I336" s="311"/>
      <c r="J336" s="88"/>
      <c r="K336" s="121"/>
      <c r="L336" s="311"/>
      <c r="M336" s="316"/>
      <c r="N336" s="317"/>
      <c r="O336" s="318"/>
      <c r="P336" s="316"/>
      <c r="Q336" s="317"/>
      <c r="R336" s="318"/>
      <c r="S336" s="316"/>
      <c r="T336" s="317"/>
      <c r="U336" s="318"/>
      <c r="V336" s="88"/>
      <c r="W336" s="317"/>
      <c r="X336" s="311"/>
      <c r="Y336" s="143"/>
      <c r="Z336" s="143"/>
      <c r="AA336" s="143"/>
      <c r="AB336" s="17"/>
      <c r="AC336" s="17"/>
      <c r="AD336" s="17"/>
      <c r="AE336" s="17"/>
    </row>
    <row r="337">
      <c r="A337" s="88"/>
      <c r="B337" s="121"/>
      <c r="C337" s="311"/>
      <c r="D337" s="88"/>
      <c r="E337" s="121"/>
      <c r="F337" s="311"/>
      <c r="G337" s="88"/>
      <c r="H337" s="121"/>
      <c r="I337" s="311"/>
      <c r="J337" s="88"/>
      <c r="K337" s="121"/>
      <c r="L337" s="311"/>
      <c r="M337" s="316"/>
      <c r="N337" s="317"/>
      <c r="O337" s="318"/>
      <c r="P337" s="316"/>
      <c r="Q337" s="317"/>
      <c r="R337" s="318"/>
      <c r="S337" s="316"/>
      <c r="T337" s="317"/>
      <c r="U337" s="318"/>
      <c r="V337" s="88"/>
      <c r="W337" s="317"/>
      <c r="X337" s="311"/>
      <c r="Y337" s="143"/>
      <c r="Z337" s="143"/>
      <c r="AA337" s="143"/>
      <c r="AB337" s="17"/>
      <c r="AC337" s="17"/>
      <c r="AD337" s="17"/>
      <c r="AE337" s="17"/>
    </row>
    <row r="338">
      <c r="A338" s="88"/>
      <c r="B338" s="121"/>
      <c r="C338" s="311"/>
      <c r="D338" s="88"/>
      <c r="E338" s="121"/>
      <c r="F338" s="311"/>
      <c r="G338" s="88"/>
      <c r="H338" s="121"/>
      <c r="I338" s="311"/>
      <c r="J338" s="88"/>
      <c r="K338" s="121"/>
      <c r="L338" s="311"/>
      <c r="M338" s="316"/>
      <c r="N338" s="317"/>
      <c r="O338" s="318"/>
      <c r="P338" s="316"/>
      <c r="Q338" s="317"/>
      <c r="R338" s="318"/>
      <c r="S338" s="316"/>
      <c r="T338" s="317"/>
      <c r="U338" s="318"/>
      <c r="V338" s="88"/>
      <c r="W338" s="317"/>
      <c r="X338" s="311"/>
      <c r="Y338" s="143"/>
      <c r="Z338" s="143"/>
      <c r="AA338" s="143"/>
      <c r="AB338" s="17"/>
      <c r="AC338" s="17"/>
      <c r="AD338" s="17"/>
      <c r="AE338" s="17"/>
    </row>
    <row r="339">
      <c r="A339" s="88"/>
      <c r="B339" s="121"/>
      <c r="C339" s="311"/>
      <c r="D339" s="88"/>
      <c r="E339" s="121"/>
      <c r="F339" s="311"/>
      <c r="G339" s="88"/>
      <c r="H339" s="121"/>
      <c r="I339" s="311"/>
      <c r="J339" s="88"/>
      <c r="K339" s="121"/>
      <c r="L339" s="311"/>
      <c r="M339" s="316"/>
      <c r="N339" s="317"/>
      <c r="O339" s="318"/>
      <c r="P339" s="316"/>
      <c r="Q339" s="317"/>
      <c r="R339" s="318"/>
      <c r="S339" s="316"/>
      <c r="T339" s="317"/>
      <c r="U339" s="318"/>
      <c r="V339" s="88"/>
      <c r="W339" s="317"/>
      <c r="X339" s="311"/>
      <c r="Y339" s="143"/>
      <c r="Z339" s="143"/>
      <c r="AA339" s="143"/>
      <c r="AB339" s="17"/>
      <c r="AC339" s="17"/>
      <c r="AD339" s="17"/>
      <c r="AE339" s="17"/>
    </row>
    <row r="340">
      <c r="A340" s="88"/>
      <c r="B340" s="121"/>
      <c r="C340" s="311"/>
      <c r="D340" s="88"/>
      <c r="E340" s="121"/>
      <c r="F340" s="311"/>
      <c r="G340" s="88"/>
      <c r="H340" s="121"/>
      <c r="I340" s="311"/>
      <c r="J340" s="88"/>
      <c r="K340" s="121"/>
      <c r="L340" s="311"/>
      <c r="M340" s="316"/>
      <c r="N340" s="317"/>
      <c r="O340" s="318"/>
      <c r="P340" s="316"/>
      <c r="Q340" s="317"/>
      <c r="R340" s="318"/>
      <c r="S340" s="316"/>
      <c r="T340" s="317"/>
      <c r="U340" s="318"/>
      <c r="V340" s="88"/>
      <c r="W340" s="317"/>
      <c r="X340" s="311"/>
      <c r="Y340" s="143"/>
      <c r="Z340" s="143"/>
      <c r="AA340" s="143"/>
      <c r="AB340" s="17"/>
      <c r="AC340" s="17"/>
      <c r="AD340" s="17"/>
      <c r="AE340" s="17"/>
    </row>
    <row r="341">
      <c r="A341" s="88"/>
      <c r="B341" s="121"/>
      <c r="C341" s="311"/>
      <c r="D341" s="88"/>
      <c r="E341" s="121"/>
      <c r="F341" s="311"/>
      <c r="G341" s="88"/>
      <c r="H341" s="121"/>
      <c r="I341" s="311"/>
      <c r="J341" s="88"/>
      <c r="K341" s="121"/>
      <c r="L341" s="311"/>
      <c r="M341" s="316"/>
      <c r="N341" s="317"/>
      <c r="O341" s="318"/>
      <c r="P341" s="316"/>
      <c r="Q341" s="317"/>
      <c r="R341" s="318"/>
      <c r="S341" s="316"/>
      <c r="T341" s="317"/>
      <c r="U341" s="318"/>
      <c r="V341" s="88"/>
      <c r="W341" s="317"/>
      <c r="X341" s="311"/>
      <c r="Y341" s="143"/>
      <c r="Z341" s="143"/>
      <c r="AA341" s="143"/>
      <c r="AB341" s="17"/>
      <c r="AC341" s="17"/>
      <c r="AD341" s="17"/>
      <c r="AE341" s="17"/>
    </row>
    <row r="342">
      <c r="A342" s="88"/>
      <c r="B342" s="121"/>
      <c r="C342" s="311"/>
      <c r="D342" s="88"/>
      <c r="E342" s="121"/>
      <c r="F342" s="311"/>
      <c r="G342" s="88"/>
      <c r="H342" s="121"/>
      <c r="I342" s="311"/>
      <c r="J342" s="88"/>
      <c r="K342" s="121"/>
      <c r="L342" s="311"/>
      <c r="M342" s="316"/>
      <c r="N342" s="317"/>
      <c r="O342" s="318"/>
      <c r="P342" s="316"/>
      <c r="Q342" s="317"/>
      <c r="R342" s="318"/>
      <c r="S342" s="316"/>
      <c r="T342" s="317"/>
      <c r="U342" s="318"/>
      <c r="V342" s="88"/>
      <c r="W342" s="317"/>
      <c r="X342" s="311"/>
      <c r="Y342" s="143"/>
      <c r="Z342" s="143"/>
      <c r="AA342" s="143"/>
      <c r="AB342" s="17"/>
      <c r="AC342" s="17"/>
      <c r="AD342" s="17"/>
      <c r="AE342" s="17"/>
    </row>
    <row r="343">
      <c r="A343" s="88"/>
      <c r="B343" s="121"/>
      <c r="C343" s="311"/>
      <c r="D343" s="88"/>
      <c r="E343" s="121"/>
      <c r="F343" s="311"/>
      <c r="G343" s="88"/>
      <c r="H343" s="121"/>
      <c r="I343" s="311"/>
      <c r="J343" s="88"/>
      <c r="K343" s="121"/>
      <c r="L343" s="311"/>
      <c r="M343" s="316"/>
      <c r="N343" s="317"/>
      <c r="O343" s="318"/>
      <c r="P343" s="316"/>
      <c r="Q343" s="317"/>
      <c r="R343" s="318"/>
      <c r="S343" s="316"/>
      <c r="T343" s="317"/>
      <c r="U343" s="318"/>
      <c r="V343" s="88"/>
      <c r="W343" s="317"/>
      <c r="X343" s="311"/>
      <c r="Y343" s="143"/>
      <c r="Z343" s="143"/>
      <c r="AA343" s="143"/>
      <c r="AB343" s="17"/>
      <c r="AC343" s="17"/>
      <c r="AD343" s="17"/>
      <c r="AE343" s="17"/>
    </row>
    <row r="344">
      <c r="A344" s="88"/>
      <c r="B344" s="121"/>
      <c r="C344" s="311"/>
      <c r="D344" s="88"/>
      <c r="E344" s="121"/>
      <c r="F344" s="311"/>
      <c r="G344" s="88"/>
      <c r="H344" s="121"/>
      <c r="I344" s="311"/>
      <c r="J344" s="88"/>
      <c r="K344" s="121"/>
      <c r="L344" s="311"/>
      <c r="M344" s="316"/>
      <c r="N344" s="317"/>
      <c r="O344" s="318"/>
      <c r="P344" s="316"/>
      <c r="Q344" s="317"/>
      <c r="R344" s="318"/>
      <c r="S344" s="316"/>
      <c r="T344" s="317"/>
      <c r="U344" s="318"/>
      <c r="V344" s="88"/>
      <c r="W344" s="317"/>
      <c r="X344" s="311"/>
      <c r="Y344" s="143"/>
      <c r="Z344" s="143"/>
      <c r="AA344" s="143"/>
      <c r="AB344" s="17"/>
      <c r="AC344" s="17"/>
      <c r="AD344" s="17"/>
      <c r="AE344" s="17"/>
    </row>
    <row r="345">
      <c r="A345" s="88"/>
      <c r="B345" s="121"/>
      <c r="C345" s="311"/>
      <c r="D345" s="88"/>
      <c r="E345" s="121"/>
      <c r="F345" s="311"/>
      <c r="G345" s="88"/>
      <c r="H345" s="121"/>
      <c r="I345" s="311"/>
      <c r="J345" s="88"/>
      <c r="K345" s="121"/>
      <c r="L345" s="311"/>
      <c r="M345" s="316"/>
      <c r="N345" s="317"/>
      <c r="O345" s="318"/>
      <c r="P345" s="316"/>
      <c r="Q345" s="317"/>
      <c r="R345" s="318"/>
      <c r="S345" s="316"/>
      <c r="T345" s="317"/>
      <c r="U345" s="318"/>
      <c r="V345" s="88"/>
      <c r="W345" s="317"/>
      <c r="X345" s="311"/>
      <c r="Y345" s="143"/>
      <c r="Z345" s="143"/>
      <c r="AA345" s="143"/>
      <c r="AB345" s="17"/>
      <c r="AC345" s="17"/>
      <c r="AD345" s="17"/>
      <c r="AE345" s="17"/>
    </row>
    <row r="346">
      <c r="A346" s="88"/>
      <c r="B346" s="121"/>
      <c r="C346" s="311"/>
      <c r="D346" s="88"/>
      <c r="E346" s="121"/>
      <c r="F346" s="311"/>
      <c r="G346" s="88"/>
      <c r="H346" s="121"/>
      <c r="I346" s="311"/>
      <c r="J346" s="88"/>
      <c r="K346" s="121"/>
      <c r="L346" s="311"/>
      <c r="M346" s="316"/>
      <c r="N346" s="317"/>
      <c r="O346" s="318"/>
      <c r="P346" s="316"/>
      <c r="Q346" s="317"/>
      <c r="R346" s="318"/>
      <c r="S346" s="316"/>
      <c r="T346" s="317"/>
      <c r="U346" s="318"/>
      <c r="V346" s="88"/>
      <c r="W346" s="317"/>
      <c r="X346" s="311"/>
      <c r="Y346" s="143"/>
      <c r="Z346" s="143"/>
      <c r="AA346" s="143"/>
      <c r="AB346" s="17"/>
      <c r="AC346" s="17"/>
      <c r="AD346" s="17"/>
      <c r="AE346" s="17"/>
    </row>
    <row r="347">
      <c r="A347" s="88"/>
      <c r="B347" s="121"/>
      <c r="C347" s="311"/>
      <c r="D347" s="88"/>
      <c r="E347" s="121"/>
      <c r="F347" s="311"/>
      <c r="G347" s="88"/>
      <c r="H347" s="121"/>
      <c r="I347" s="311"/>
      <c r="J347" s="88"/>
      <c r="K347" s="121"/>
      <c r="L347" s="311"/>
      <c r="M347" s="316"/>
      <c r="N347" s="317"/>
      <c r="O347" s="318"/>
      <c r="P347" s="316"/>
      <c r="Q347" s="317"/>
      <c r="R347" s="318"/>
      <c r="S347" s="316"/>
      <c r="T347" s="317"/>
      <c r="U347" s="318"/>
      <c r="V347" s="88"/>
      <c r="W347" s="317"/>
      <c r="X347" s="311"/>
      <c r="Y347" s="143"/>
      <c r="Z347" s="143"/>
      <c r="AA347" s="143"/>
      <c r="AB347" s="17"/>
      <c r="AC347" s="17"/>
      <c r="AD347" s="17"/>
      <c r="AE347" s="17"/>
    </row>
    <row r="348">
      <c r="A348" s="88"/>
      <c r="B348" s="121"/>
      <c r="C348" s="311"/>
      <c r="D348" s="88"/>
      <c r="E348" s="121"/>
      <c r="F348" s="311"/>
      <c r="G348" s="88"/>
      <c r="H348" s="121"/>
      <c r="I348" s="311"/>
      <c r="J348" s="88"/>
      <c r="K348" s="121"/>
      <c r="L348" s="311"/>
      <c r="M348" s="316"/>
      <c r="N348" s="317"/>
      <c r="O348" s="318"/>
      <c r="P348" s="316"/>
      <c r="Q348" s="317"/>
      <c r="R348" s="318"/>
      <c r="S348" s="316"/>
      <c r="T348" s="317"/>
      <c r="U348" s="318"/>
      <c r="V348" s="88"/>
      <c r="W348" s="317"/>
      <c r="X348" s="311"/>
      <c r="Y348" s="143"/>
      <c r="Z348" s="143"/>
      <c r="AA348" s="143"/>
      <c r="AB348" s="17"/>
      <c r="AC348" s="17"/>
      <c r="AD348" s="17"/>
      <c r="AE348" s="17"/>
    </row>
    <row r="349">
      <c r="A349" s="88"/>
      <c r="B349" s="121"/>
      <c r="C349" s="311"/>
      <c r="D349" s="88"/>
      <c r="E349" s="121"/>
      <c r="F349" s="311"/>
      <c r="G349" s="88"/>
      <c r="H349" s="121"/>
      <c r="I349" s="311"/>
      <c r="J349" s="88"/>
      <c r="K349" s="121"/>
      <c r="L349" s="311"/>
      <c r="M349" s="316"/>
      <c r="N349" s="317"/>
      <c r="O349" s="318"/>
      <c r="P349" s="316"/>
      <c r="Q349" s="317"/>
      <c r="R349" s="318"/>
      <c r="S349" s="316"/>
      <c r="T349" s="317"/>
      <c r="U349" s="318"/>
      <c r="V349" s="88"/>
      <c r="W349" s="317"/>
      <c r="X349" s="311"/>
      <c r="Y349" s="143"/>
      <c r="Z349" s="143"/>
      <c r="AA349" s="143"/>
      <c r="AB349" s="17"/>
      <c r="AC349" s="17"/>
      <c r="AD349" s="17"/>
      <c r="AE349" s="17"/>
    </row>
    <row r="350">
      <c r="A350" s="88"/>
      <c r="B350" s="121"/>
      <c r="C350" s="311"/>
      <c r="D350" s="88"/>
      <c r="E350" s="121"/>
      <c r="F350" s="311"/>
      <c r="G350" s="88"/>
      <c r="H350" s="121"/>
      <c r="I350" s="311"/>
      <c r="J350" s="88"/>
      <c r="K350" s="121"/>
      <c r="L350" s="311"/>
      <c r="M350" s="316"/>
      <c r="N350" s="317"/>
      <c r="O350" s="318"/>
      <c r="P350" s="316"/>
      <c r="Q350" s="317"/>
      <c r="R350" s="318"/>
      <c r="S350" s="316"/>
      <c r="T350" s="317"/>
      <c r="U350" s="318"/>
      <c r="V350" s="88"/>
      <c r="W350" s="317"/>
      <c r="X350" s="311"/>
      <c r="Y350" s="143"/>
      <c r="Z350" s="143"/>
      <c r="AA350" s="143"/>
      <c r="AB350" s="17"/>
      <c r="AC350" s="17"/>
      <c r="AD350" s="17"/>
      <c r="AE350" s="17"/>
    </row>
    <row r="351">
      <c r="A351" s="88"/>
      <c r="B351" s="121"/>
      <c r="C351" s="311"/>
      <c r="D351" s="88"/>
      <c r="E351" s="121"/>
      <c r="F351" s="311"/>
      <c r="G351" s="88"/>
      <c r="H351" s="121"/>
      <c r="I351" s="311"/>
      <c r="J351" s="88"/>
      <c r="K351" s="121"/>
      <c r="L351" s="311"/>
      <c r="M351" s="316"/>
      <c r="N351" s="317"/>
      <c r="O351" s="318"/>
      <c r="P351" s="316"/>
      <c r="Q351" s="317"/>
      <c r="R351" s="318"/>
      <c r="S351" s="316"/>
      <c r="T351" s="317"/>
      <c r="U351" s="318"/>
      <c r="V351" s="88"/>
      <c r="W351" s="317"/>
      <c r="X351" s="311"/>
      <c r="Y351" s="143"/>
      <c r="Z351" s="143"/>
      <c r="AA351" s="143"/>
      <c r="AB351" s="17"/>
      <c r="AC351" s="17"/>
      <c r="AD351" s="17"/>
      <c r="AE351" s="17"/>
    </row>
    <row r="352">
      <c r="A352" s="88"/>
      <c r="B352" s="121"/>
      <c r="C352" s="311"/>
      <c r="D352" s="88"/>
      <c r="E352" s="121"/>
      <c r="F352" s="311"/>
      <c r="G352" s="88"/>
      <c r="H352" s="121"/>
      <c r="I352" s="311"/>
      <c r="J352" s="88"/>
      <c r="K352" s="121"/>
      <c r="L352" s="311"/>
      <c r="M352" s="316"/>
      <c r="N352" s="317"/>
      <c r="O352" s="318"/>
      <c r="P352" s="316"/>
      <c r="Q352" s="317"/>
      <c r="R352" s="318"/>
      <c r="S352" s="316"/>
      <c r="T352" s="317"/>
      <c r="U352" s="318"/>
      <c r="V352" s="88"/>
      <c r="W352" s="317"/>
      <c r="X352" s="311"/>
      <c r="Y352" s="143"/>
      <c r="Z352" s="143"/>
      <c r="AA352" s="143"/>
      <c r="AB352" s="17"/>
      <c r="AC352" s="17"/>
      <c r="AD352" s="17"/>
      <c r="AE352" s="17"/>
    </row>
    <row r="353">
      <c r="A353" s="88"/>
      <c r="B353" s="121"/>
      <c r="C353" s="311"/>
      <c r="D353" s="88"/>
      <c r="E353" s="121"/>
      <c r="F353" s="311"/>
      <c r="G353" s="88"/>
      <c r="H353" s="121"/>
      <c r="I353" s="311"/>
      <c r="J353" s="88"/>
      <c r="K353" s="121"/>
      <c r="L353" s="311"/>
      <c r="M353" s="316"/>
      <c r="N353" s="317"/>
      <c r="O353" s="318"/>
      <c r="P353" s="316"/>
      <c r="Q353" s="317"/>
      <c r="R353" s="318"/>
      <c r="S353" s="316"/>
      <c r="T353" s="317"/>
      <c r="U353" s="318"/>
      <c r="V353" s="88"/>
      <c r="W353" s="317"/>
      <c r="X353" s="311"/>
      <c r="Y353" s="143"/>
      <c r="Z353" s="143"/>
      <c r="AA353" s="143"/>
      <c r="AB353" s="17"/>
      <c r="AC353" s="17"/>
      <c r="AD353" s="17"/>
      <c r="AE353" s="17"/>
    </row>
    <row r="354">
      <c r="A354" s="88"/>
      <c r="B354" s="121"/>
      <c r="C354" s="311"/>
      <c r="D354" s="88"/>
      <c r="E354" s="121"/>
      <c r="F354" s="311"/>
      <c r="G354" s="88"/>
      <c r="H354" s="121"/>
      <c r="I354" s="311"/>
      <c r="J354" s="88"/>
      <c r="K354" s="121"/>
      <c r="L354" s="311"/>
      <c r="M354" s="316"/>
      <c r="N354" s="317"/>
      <c r="O354" s="318"/>
      <c r="P354" s="316"/>
      <c r="Q354" s="317"/>
      <c r="R354" s="318"/>
      <c r="S354" s="316"/>
      <c r="T354" s="317"/>
      <c r="U354" s="318"/>
      <c r="V354" s="88"/>
      <c r="W354" s="317"/>
      <c r="X354" s="311"/>
      <c r="Y354" s="143"/>
      <c r="Z354" s="143"/>
      <c r="AA354" s="143"/>
      <c r="AB354" s="17"/>
      <c r="AC354" s="17"/>
      <c r="AD354" s="17"/>
      <c r="AE354" s="17"/>
    </row>
    <row r="355">
      <c r="A355" s="88"/>
      <c r="B355" s="121"/>
      <c r="C355" s="311"/>
      <c r="D355" s="88"/>
      <c r="E355" s="121"/>
      <c r="F355" s="311"/>
      <c r="G355" s="88"/>
      <c r="H355" s="121"/>
      <c r="I355" s="311"/>
      <c r="J355" s="88"/>
      <c r="K355" s="121"/>
      <c r="L355" s="311"/>
      <c r="M355" s="316"/>
      <c r="N355" s="317"/>
      <c r="O355" s="318"/>
      <c r="P355" s="316"/>
      <c r="Q355" s="317"/>
      <c r="R355" s="318"/>
      <c r="S355" s="316"/>
      <c r="T355" s="317"/>
      <c r="U355" s="318"/>
      <c r="V355" s="88"/>
      <c r="W355" s="317"/>
      <c r="X355" s="311"/>
      <c r="Y355" s="143"/>
      <c r="Z355" s="143"/>
      <c r="AA355" s="143"/>
      <c r="AB355" s="17"/>
      <c r="AC355" s="17"/>
      <c r="AD355" s="17"/>
      <c r="AE355" s="17"/>
    </row>
    <row r="356">
      <c r="A356" s="88"/>
      <c r="B356" s="121"/>
      <c r="C356" s="311"/>
      <c r="D356" s="88"/>
      <c r="E356" s="121"/>
      <c r="F356" s="311"/>
      <c r="G356" s="88"/>
      <c r="H356" s="121"/>
      <c r="I356" s="311"/>
      <c r="J356" s="88"/>
      <c r="K356" s="121"/>
      <c r="L356" s="311"/>
      <c r="M356" s="316"/>
      <c r="N356" s="317"/>
      <c r="O356" s="318"/>
      <c r="P356" s="316"/>
      <c r="Q356" s="317"/>
      <c r="R356" s="318"/>
      <c r="S356" s="316"/>
      <c r="T356" s="317"/>
      <c r="U356" s="318"/>
      <c r="V356" s="88"/>
      <c r="W356" s="317"/>
      <c r="X356" s="311"/>
      <c r="Y356" s="143"/>
      <c r="Z356" s="143"/>
      <c r="AA356" s="143"/>
      <c r="AB356" s="17"/>
      <c r="AC356" s="17"/>
      <c r="AD356" s="17"/>
      <c r="AE356" s="17"/>
    </row>
    <row r="357">
      <c r="A357" s="88"/>
      <c r="B357" s="121"/>
      <c r="C357" s="311"/>
      <c r="D357" s="88"/>
      <c r="E357" s="121"/>
      <c r="F357" s="311"/>
      <c r="G357" s="88"/>
      <c r="H357" s="121"/>
      <c r="I357" s="311"/>
      <c r="J357" s="88"/>
      <c r="K357" s="121"/>
      <c r="L357" s="311"/>
      <c r="M357" s="316"/>
      <c r="N357" s="317"/>
      <c r="O357" s="318"/>
      <c r="P357" s="316"/>
      <c r="Q357" s="317"/>
      <c r="R357" s="318"/>
      <c r="S357" s="316"/>
      <c r="T357" s="317"/>
      <c r="U357" s="318"/>
      <c r="V357" s="88"/>
      <c r="W357" s="317"/>
      <c r="X357" s="311"/>
      <c r="Y357" s="143"/>
      <c r="Z357" s="143"/>
      <c r="AA357" s="143"/>
      <c r="AB357" s="17"/>
      <c r="AC357" s="17"/>
      <c r="AD357" s="17"/>
      <c r="AE357" s="17"/>
    </row>
    <row r="358">
      <c r="A358" s="88"/>
      <c r="B358" s="121"/>
      <c r="C358" s="311"/>
      <c r="D358" s="88"/>
      <c r="E358" s="121"/>
      <c r="F358" s="311"/>
      <c r="G358" s="88"/>
      <c r="H358" s="121"/>
      <c r="I358" s="311"/>
      <c r="J358" s="88"/>
      <c r="K358" s="121"/>
      <c r="L358" s="311"/>
      <c r="M358" s="316"/>
      <c r="N358" s="317"/>
      <c r="O358" s="318"/>
      <c r="P358" s="316"/>
      <c r="Q358" s="317"/>
      <c r="R358" s="318"/>
      <c r="S358" s="316"/>
      <c r="T358" s="317"/>
      <c r="U358" s="318"/>
      <c r="V358" s="88"/>
      <c r="W358" s="317"/>
      <c r="X358" s="311"/>
      <c r="Y358" s="143"/>
      <c r="Z358" s="143"/>
      <c r="AA358" s="143"/>
      <c r="AB358" s="17"/>
      <c r="AC358" s="17"/>
      <c r="AD358" s="17"/>
      <c r="AE358" s="17"/>
    </row>
    <row r="359">
      <c r="A359" s="88"/>
      <c r="B359" s="121"/>
      <c r="C359" s="311"/>
      <c r="D359" s="88"/>
      <c r="E359" s="121"/>
      <c r="F359" s="311"/>
      <c r="G359" s="88"/>
      <c r="H359" s="121"/>
      <c r="I359" s="311"/>
      <c r="J359" s="88"/>
      <c r="K359" s="121"/>
      <c r="L359" s="311"/>
      <c r="M359" s="316"/>
      <c r="N359" s="317"/>
      <c r="O359" s="318"/>
      <c r="P359" s="316"/>
      <c r="Q359" s="317"/>
      <c r="R359" s="318"/>
      <c r="S359" s="316"/>
      <c r="T359" s="317"/>
      <c r="U359" s="318"/>
      <c r="V359" s="88"/>
      <c r="W359" s="317"/>
      <c r="X359" s="311"/>
      <c r="Y359" s="143"/>
      <c r="Z359" s="143"/>
      <c r="AA359" s="143"/>
      <c r="AB359" s="17"/>
      <c r="AC359" s="17"/>
      <c r="AD359" s="17"/>
      <c r="AE359" s="17"/>
    </row>
    <row r="360">
      <c r="A360" s="88"/>
      <c r="B360" s="121"/>
      <c r="C360" s="311"/>
      <c r="D360" s="88"/>
      <c r="E360" s="121"/>
      <c r="F360" s="311"/>
      <c r="G360" s="88"/>
      <c r="H360" s="121"/>
      <c r="I360" s="311"/>
      <c r="J360" s="88"/>
      <c r="K360" s="121"/>
      <c r="L360" s="311"/>
      <c r="M360" s="316"/>
      <c r="N360" s="317"/>
      <c r="O360" s="318"/>
      <c r="P360" s="316"/>
      <c r="Q360" s="317"/>
      <c r="R360" s="318"/>
      <c r="S360" s="316"/>
      <c r="T360" s="317"/>
      <c r="U360" s="318"/>
      <c r="V360" s="88"/>
      <c r="W360" s="317"/>
      <c r="X360" s="311"/>
      <c r="Y360" s="143"/>
      <c r="Z360" s="143"/>
      <c r="AA360" s="143"/>
      <c r="AB360" s="17"/>
      <c r="AC360" s="17"/>
      <c r="AD360" s="17"/>
      <c r="AE360" s="17"/>
    </row>
    <row r="361">
      <c r="A361" s="88"/>
      <c r="B361" s="121"/>
      <c r="C361" s="311"/>
      <c r="D361" s="88"/>
      <c r="E361" s="121"/>
      <c r="F361" s="311"/>
      <c r="G361" s="88"/>
      <c r="H361" s="121"/>
      <c r="I361" s="311"/>
      <c r="J361" s="88"/>
      <c r="K361" s="121"/>
      <c r="L361" s="311"/>
      <c r="M361" s="316"/>
      <c r="N361" s="317"/>
      <c r="O361" s="318"/>
      <c r="P361" s="316"/>
      <c r="Q361" s="317"/>
      <c r="R361" s="318"/>
      <c r="S361" s="316"/>
      <c r="T361" s="317"/>
      <c r="U361" s="318"/>
      <c r="V361" s="88"/>
      <c r="W361" s="317"/>
      <c r="X361" s="311"/>
      <c r="Y361" s="143"/>
      <c r="Z361" s="143"/>
      <c r="AA361" s="143"/>
      <c r="AB361" s="17"/>
      <c r="AC361" s="17"/>
      <c r="AD361" s="17"/>
      <c r="AE361" s="17"/>
    </row>
    <row r="362">
      <c r="A362" s="88"/>
      <c r="B362" s="121"/>
      <c r="C362" s="311"/>
      <c r="D362" s="88"/>
      <c r="E362" s="121"/>
      <c r="F362" s="311"/>
      <c r="G362" s="88"/>
      <c r="H362" s="121"/>
      <c r="I362" s="311"/>
      <c r="J362" s="88"/>
      <c r="K362" s="121"/>
      <c r="L362" s="311"/>
      <c r="M362" s="316"/>
      <c r="N362" s="317"/>
      <c r="O362" s="318"/>
      <c r="P362" s="316"/>
      <c r="Q362" s="317"/>
      <c r="R362" s="318"/>
      <c r="S362" s="316"/>
      <c r="T362" s="317"/>
      <c r="U362" s="318"/>
      <c r="V362" s="88"/>
      <c r="W362" s="317"/>
      <c r="X362" s="311"/>
      <c r="Y362" s="143"/>
      <c r="Z362" s="143"/>
      <c r="AA362" s="143"/>
      <c r="AB362" s="17"/>
      <c r="AC362" s="17"/>
      <c r="AD362" s="17"/>
      <c r="AE362" s="17"/>
    </row>
    <row r="363">
      <c r="A363" s="88"/>
      <c r="B363" s="121"/>
      <c r="C363" s="311"/>
      <c r="D363" s="88"/>
      <c r="E363" s="121"/>
      <c r="F363" s="311"/>
      <c r="G363" s="88"/>
      <c r="H363" s="121"/>
      <c r="I363" s="311"/>
      <c r="J363" s="88"/>
      <c r="K363" s="121"/>
      <c r="L363" s="311"/>
      <c r="M363" s="316"/>
      <c r="N363" s="317"/>
      <c r="O363" s="318"/>
      <c r="P363" s="316"/>
      <c r="Q363" s="317"/>
      <c r="R363" s="318"/>
      <c r="S363" s="316"/>
      <c r="T363" s="317"/>
      <c r="U363" s="318"/>
      <c r="V363" s="88"/>
      <c r="W363" s="317"/>
      <c r="X363" s="311"/>
      <c r="Y363" s="143"/>
      <c r="Z363" s="143"/>
      <c r="AA363" s="143"/>
      <c r="AB363" s="17"/>
      <c r="AC363" s="17"/>
      <c r="AD363" s="17"/>
      <c r="AE363" s="17"/>
    </row>
    <row r="364">
      <c r="A364" s="88"/>
      <c r="B364" s="121"/>
      <c r="C364" s="311"/>
      <c r="D364" s="88"/>
      <c r="E364" s="121"/>
      <c r="F364" s="311"/>
      <c r="G364" s="88"/>
      <c r="H364" s="121"/>
      <c r="I364" s="311"/>
      <c r="J364" s="88"/>
      <c r="K364" s="121"/>
      <c r="L364" s="311"/>
      <c r="M364" s="316"/>
      <c r="N364" s="317"/>
      <c r="O364" s="318"/>
      <c r="P364" s="316"/>
      <c r="Q364" s="317"/>
      <c r="R364" s="318"/>
      <c r="S364" s="316"/>
      <c r="T364" s="317"/>
      <c r="U364" s="318"/>
      <c r="V364" s="88"/>
      <c r="W364" s="317"/>
      <c r="X364" s="311"/>
      <c r="Y364" s="143"/>
      <c r="Z364" s="143"/>
      <c r="AA364" s="143"/>
      <c r="AB364" s="17"/>
      <c r="AC364" s="17"/>
      <c r="AD364" s="17"/>
      <c r="AE364" s="17"/>
    </row>
    <row r="365">
      <c r="A365" s="88"/>
      <c r="B365" s="121"/>
      <c r="C365" s="311"/>
      <c r="D365" s="88"/>
      <c r="E365" s="121"/>
      <c r="F365" s="311"/>
      <c r="G365" s="88"/>
      <c r="H365" s="121"/>
      <c r="I365" s="311"/>
      <c r="J365" s="88"/>
      <c r="K365" s="121"/>
      <c r="L365" s="311"/>
      <c r="M365" s="316"/>
      <c r="N365" s="317"/>
      <c r="O365" s="318"/>
      <c r="P365" s="316"/>
      <c r="Q365" s="317"/>
      <c r="R365" s="318"/>
      <c r="S365" s="316"/>
      <c r="T365" s="317"/>
      <c r="U365" s="318"/>
      <c r="V365" s="88"/>
      <c r="W365" s="317"/>
      <c r="X365" s="311"/>
      <c r="Y365" s="143"/>
      <c r="Z365" s="143"/>
      <c r="AA365" s="143"/>
      <c r="AB365" s="17"/>
      <c r="AC365" s="17"/>
      <c r="AD365" s="17"/>
      <c r="AE365" s="17"/>
    </row>
    <row r="366">
      <c r="A366" s="88"/>
      <c r="B366" s="121"/>
      <c r="C366" s="311"/>
      <c r="D366" s="88"/>
      <c r="E366" s="121"/>
      <c r="F366" s="311"/>
      <c r="G366" s="88"/>
      <c r="H366" s="121"/>
      <c r="I366" s="311"/>
      <c r="J366" s="88"/>
      <c r="K366" s="121"/>
      <c r="L366" s="311"/>
      <c r="M366" s="316"/>
      <c r="N366" s="317"/>
      <c r="O366" s="318"/>
      <c r="P366" s="316"/>
      <c r="Q366" s="317"/>
      <c r="R366" s="318"/>
      <c r="S366" s="316"/>
      <c r="T366" s="317"/>
      <c r="U366" s="318"/>
      <c r="V366" s="88"/>
      <c r="W366" s="317"/>
      <c r="X366" s="311"/>
      <c r="Y366" s="143"/>
      <c r="Z366" s="143"/>
      <c r="AA366" s="143"/>
      <c r="AB366" s="17"/>
      <c r="AC366" s="17"/>
      <c r="AD366" s="17"/>
      <c r="AE366" s="17"/>
    </row>
    <row r="367">
      <c r="A367" s="88"/>
      <c r="B367" s="121"/>
      <c r="C367" s="311"/>
      <c r="D367" s="88"/>
      <c r="E367" s="121"/>
      <c r="F367" s="311"/>
      <c r="G367" s="88"/>
      <c r="H367" s="121"/>
      <c r="I367" s="311"/>
      <c r="J367" s="88"/>
      <c r="K367" s="121"/>
      <c r="L367" s="311"/>
      <c r="M367" s="316"/>
      <c r="N367" s="317"/>
      <c r="O367" s="318"/>
      <c r="P367" s="316"/>
      <c r="Q367" s="317"/>
      <c r="R367" s="318"/>
      <c r="S367" s="316"/>
      <c r="T367" s="317"/>
      <c r="U367" s="318"/>
      <c r="V367" s="88"/>
      <c r="W367" s="317"/>
      <c r="X367" s="311"/>
      <c r="Y367" s="143"/>
      <c r="Z367" s="143"/>
      <c r="AA367" s="143"/>
      <c r="AB367" s="17"/>
      <c r="AC367" s="17"/>
      <c r="AD367" s="17"/>
      <c r="AE367" s="17"/>
    </row>
    <row r="368">
      <c r="A368" s="88"/>
      <c r="B368" s="121"/>
      <c r="C368" s="311"/>
      <c r="D368" s="88"/>
      <c r="E368" s="121"/>
      <c r="F368" s="311"/>
      <c r="G368" s="88"/>
      <c r="H368" s="121"/>
      <c r="I368" s="311"/>
      <c r="J368" s="88"/>
      <c r="K368" s="121"/>
      <c r="L368" s="311"/>
      <c r="M368" s="316"/>
      <c r="N368" s="317"/>
      <c r="O368" s="318"/>
      <c r="P368" s="316"/>
      <c r="Q368" s="317"/>
      <c r="R368" s="318"/>
      <c r="S368" s="316"/>
      <c r="T368" s="317"/>
      <c r="U368" s="318"/>
      <c r="V368" s="88"/>
      <c r="W368" s="317"/>
      <c r="X368" s="311"/>
      <c r="Y368" s="143"/>
      <c r="Z368" s="143"/>
      <c r="AA368" s="143"/>
      <c r="AB368" s="17"/>
      <c r="AC368" s="17"/>
      <c r="AD368" s="17"/>
      <c r="AE368" s="17"/>
    </row>
    <row r="369">
      <c r="A369" s="88"/>
      <c r="B369" s="121"/>
      <c r="C369" s="311"/>
      <c r="D369" s="88"/>
      <c r="E369" s="121"/>
      <c r="F369" s="311"/>
      <c r="G369" s="88"/>
      <c r="H369" s="121"/>
      <c r="I369" s="311"/>
      <c r="J369" s="88"/>
      <c r="K369" s="121"/>
      <c r="L369" s="311"/>
      <c r="M369" s="316"/>
      <c r="N369" s="317"/>
      <c r="O369" s="318"/>
      <c r="P369" s="316"/>
      <c r="Q369" s="317"/>
      <c r="R369" s="318"/>
      <c r="S369" s="316"/>
      <c r="T369" s="317"/>
      <c r="U369" s="318"/>
      <c r="V369" s="88"/>
      <c r="W369" s="317"/>
      <c r="X369" s="311"/>
      <c r="Y369" s="143"/>
      <c r="Z369" s="143"/>
      <c r="AA369" s="143"/>
      <c r="AB369" s="17"/>
      <c r="AC369" s="17"/>
      <c r="AD369" s="17"/>
      <c r="AE369" s="17"/>
    </row>
    <row r="370">
      <c r="A370" s="88"/>
      <c r="B370" s="121"/>
      <c r="C370" s="311"/>
      <c r="D370" s="88"/>
      <c r="E370" s="121"/>
      <c r="F370" s="311"/>
      <c r="G370" s="88"/>
      <c r="H370" s="121"/>
      <c r="I370" s="311"/>
      <c r="J370" s="88"/>
      <c r="K370" s="121"/>
      <c r="L370" s="311"/>
      <c r="M370" s="316"/>
      <c r="N370" s="317"/>
      <c r="O370" s="318"/>
      <c r="P370" s="316"/>
      <c r="Q370" s="317"/>
      <c r="R370" s="318"/>
      <c r="S370" s="316"/>
      <c r="T370" s="317"/>
      <c r="U370" s="318"/>
      <c r="V370" s="88"/>
      <c r="W370" s="317"/>
      <c r="X370" s="311"/>
      <c r="Y370" s="143"/>
      <c r="Z370" s="143"/>
      <c r="AA370" s="143"/>
      <c r="AB370" s="17"/>
      <c r="AC370" s="17"/>
      <c r="AD370" s="17"/>
      <c r="AE370" s="17"/>
    </row>
    <row r="371">
      <c r="A371" s="88"/>
      <c r="B371" s="121"/>
      <c r="C371" s="311"/>
      <c r="D371" s="88"/>
      <c r="E371" s="121"/>
      <c r="F371" s="311"/>
      <c r="G371" s="88"/>
      <c r="H371" s="121"/>
      <c r="I371" s="311"/>
      <c r="J371" s="88"/>
      <c r="K371" s="121"/>
      <c r="L371" s="311"/>
      <c r="M371" s="316"/>
      <c r="N371" s="317"/>
      <c r="O371" s="318"/>
      <c r="P371" s="316"/>
      <c r="Q371" s="317"/>
      <c r="R371" s="318"/>
      <c r="S371" s="316"/>
      <c r="T371" s="317"/>
      <c r="U371" s="318"/>
      <c r="V371" s="88"/>
      <c r="W371" s="317"/>
      <c r="X371" s="311"/>
      <c r="Y371" s="143"/>
      <c r="Z371" s="143"/>
      <c r="AA371" s="143"/>
      <c r="AB371" s="17"/>
      <c r="AC371" s="17"/>
      <c r="AD371" s="17"/>
      <c r="AE371" s="17"/>
    </row>
    <row r="372">
      <c r="A372" s="88"/>
      <c r="B372" s="121"/>
      <c r="C372" s="311"/>
      <c r="D372" s="88"/>
      <c r="E372" s="121"/>
      <c r="F372" s="311"/>
      <c r="G372" s="88"/>
      <c r="H372" s="121"/>
      <c r="I372" s="311"/>
      <c r="J372" s="88"/>
      <c r="K372" s="121"/>
      <c r="L372" s="311"/>
      <c r="M372" s="316"/>
      <c r="N372" s="317"/>
      <c r="O372" s="318"/>
      <c r="P372" s="316"/>
      <c r="Q372" s="317"/>
      <c r="R372" s="318"/>
      <c r="S372" s="316"/>
      <c r="T372" s="317"/>
      <c r="U372" s="318"/>
      <c r="V372" s="88"/>
      <c r="W372" s="317"/>
      <c r="X372" s="311"/>
      <c r="Y372" s="143"/>
      <c r="Z372" s="143"/>
      <c r="AA372" s="143"/>
      <c r="AB372" s="17"/>
      <c r="AC372" s="17"/>
      <c r="AD372" s="17"/>
      <c r="AE372" s="17"/>
    </row>
    <row r="373">
      <c r="A373" s="88"/>
      <c r="B373" s="121"/>
      <c r="C373" s="311"/>
      <c r="D373" s="88"/>
      <c r="E373" s="121"/>
      <c r="F373" s="311"/>
      <c r="G373" s="88"/>
      <c r="H373" s="121"/>
      <c r="I373" s="311"/>
      <c r="J373" s="88"/>
      <c r="K373" s="121"/>
      <c r="L373" s="311"/>
      <c r="M373" s="316"/>
      <c r="N373" s="317"/>
      <c r="O373" s="318"/>
      <c r="P373" s="316"/>
      <c r="Q373" s="317"/>
      <c r="R373" s="318"/>
      <c r="S373" s="316"/>
      <c r="T373" s="317"/>
      <c r="U373" s="318"/>
      <c r="V373" s="88"/>
      <c r="W373" s="317"/>
      <c r="X373" s="311"/>
      <c r="Y373" s="143"/>
      <c r="Z373" s="143"/>
      <c r="AA373" s="143"/>
      <c r="AB373" s="17"/>
      <c r="AC373" s="17"/>
      <c r="AD373" s="17"/>
      <c r="AE373" s="17"/>
    </row>
    <row r="374">
      <c r="A374" s="88"/>
      <c r="B374" s="121"/>
      <c r="C374" s="311"/>
      <c r="D374" s="88"/>
      <c r="E374" s="121"/>
      <c r="F374" s="311"/>
      <c r="G374" s="88"/>
      <c r="H374" s="121"/>
      <c r="I374" s="311"/>
      <c r="J374" s="88"/>
      <c r="K374" s="121"/>
      <c r="L374" s="311"/>
      <c r="M374" s="316"/>
      <c r="N374" s="317"/>
      <c r="O374" s="318"/>
      <c r="P374" s="316"/>
      <c r="Q374" s="317"/>
      <c r="R374" s="318"/>
      <c r="S374" s="316"/>
      <c r="T374" s="317"/>
      <c r="U374" s="318"/>
      <c r="V374" s="88"/>
      <c r="W374" s="317"/>
      <c r="X374" s="311"/>
      <c r="Y374" s="143"/>
      <c r="Z374" s="143"/>
      <c r="AA374" s="143"/>
      <c r="AB374" s="17"/>
      <c r="AC374" s="17"/>
      <c r="AD374" s="17"/>
      <c r="AE374" s="17"/>
    </row>
    <row r="375">
      <c r="A375" s="88"/>
      <c r="B375" s="121"/>
      <c r="C375" s="311"/>
      <c r="D375" s="88"/>
      <c r="E375" s="121"/>
      <c r="F375" s="311"/>
      <c r="G375" s="88"/>
      <c r="H375" s="121"/>
      <c r="I375" s="311"/>
      <c r="J375" s="88"/>
      <c r="K375" s="121"/>
      <c r="L375" s="311"/>
      <c r="M375" s="316"/>
      <c r="N375" s="317"/>
      <c r="O375" s="318"/>
      <c r="P375" s="316"/>
      <c r="Q375" s="317"/>
      <c r="R375" s="318"/>
      <c r="S375" s="316"/>
      <c r="T375" s="317"/>
      <c r="U375" s="318"/>
      <c r="V375" s="88"/>
      <c r="W375" s="317"/>
      <c r="X375" s="311"/>
      <c r="Y375" s="143"/>
      <c r="Z375" s="143"/>
      <c r="AA375" s="143"/>
      <c r="AB375" s="17"/>
      <c r="AC375" s="17"/>
      <c r="AD375" s="17"/>
      <c r="AE375" s="17"/>
    </row>
    <row r="376">
      <c r="A376" s="88"/>
      <c r="B376" s="121"/>
      <c r="C376" s="311"/>
      <c r="D376" s="88"/>
      <c r="E376" s="121"/>
      <c r="F376" s="311"/>
      <c r="G376" s="88"/>
      <c r="H376" s="121"/>
      <c r="I376" s="311"/>
      <c r="J376" s="88"/>
      <c r="K376" s="121"/>
      <c r="L376" s="311"/>
      <c r="M376" s="316"/>
      <c r="N376" s="317"/>
      <c r="O376" s="318"/>
      <c r="P376" s="316"/>
      <c r="Q376" s="317"/>
      <c r="R376" s="318"/>
      <c r="S376" s="316"/>
      <c r="T376" s="317"/>
      <c r="U376" s="318"/>
      <c r="V376" s="88"/>
      <c r="W376" s="317"/>
      <c r="X376" s="311"/>
      <c r="Y376" s="143"/>
      <c r="Z376" s="143"/>
      <c r="AA376" s="143"/>
      <c r="AB376" s="17"/>
      <c r="AC376" s="17"/>
      <c r="AD376" s="17"/>
      <c r="AE376" s="17"/>
    </row>
    <row r="377">
      <c r="A377" s="88"/>
      <c r="B377" s="121"/>
      <c r="C377" s="311"/>
      <c r="D377" s="88"/>
      <c r="E377" s="121"/>
      <c r="F377" s="311"/>
      <c r="G377" s="88"/>
      <c r="H377" s="121"/>
      <c r="I377" s="311"/>
      <c r="J377" s="88"/>
      <c r="K377" s="121"/>
      <c r="L377" s="311"/>
      <c r="M377" s="316"/>
      <c r="N377" s="317"/>
      <c r="O377" s="318"/>
      <c r="P377" s="316"/>
      <c r="Q377" s="317"/>
      <c r="R377" s="318"/>
      <c r="S377" s="316"/>
      <c r="T377" s="317"/>
      <c r="U377" s="318"/>
      <c r="V377" s="88"/>
      <c r="W377" s="317"/>
      <c r="X377" s="311"/>
      <c r="Y377" s="143"/>
      <c r="Z377" s="143"/>
      <c r="AA377" s="143"/>
      <c r="AB377" s="17"/>
      <c r="AC377" s="17"/>
      <c r="AD377" s="17"/>
      <c r="AE377" s="17"/>
    </row>
    <row r="378">
      <c r="A378" s="88"/>
      <c r="B378" s="121"/>
      <c r="C378" s="311"/>
      <c r="D378" s="88"/>
      <c r="E378" s="121"/>
      <c r="F378" s="311"/>
      <c r="G378" s="88"/>
      <c r="H378" s="121"/>
      <c r="I378" s="311"/>
      <c r="J378" s="88"/>
      <c r="K378" s="121"/>
      <c r="L378" s="311"/>
      <c r="M378" s="316"/>
      <c r="N378" s="317"/>
      <c r="O378" s="318"/>
      <c r="P378" s="316"/>
      <c r="Q378" s="317"/>
      <c r="R378" s="318"/>
      <c r="S378" s="316"/>
      <c r="T378" s="317"/>
      <c r="U378" s="318"/>
      <c r="V378" s="88"/>
      <c r="W378" s="317"/>
      <c r="X378" s="311"/>
      <c r="Y378" s="143"/>
      <c r="Z378" s="143"/>
      <c r="AA378" s="143"/>
      <c r="AB378" s="17"/>
      <c r="AC378" s="17"/>
      <c r="AD378" s="17"/>
      <c r="AE378" s="17"/>
    </row>
    <row r="379">
      <c r="A379" s="88"/>
      <c r="B379" s="121"/>
      <c r="C379" s="311"/>
      <c r="D379" s="88"/>
      <c r="E379" s="121"/>
      <c r="F379" s="311"/>
      <c r="G379" s="88"/>
      <c r="H379" s="121"/>
      <c r="I379" s="311"/>
      <c r="J379" s="88"/>
      <c r="K379" s="121"/>
      <c r="L379" s="311"/>
      <c r="M379" s="316"/>
      <c r="N379" s="317"/>
      <c r="O379" s="318"/>
      <c r="P379" s="316"/>
      <c r="Q379" s="317"/>
      <c r="R379" s="318"/>
      <c r="S379" s="316"/>
      <c r="T379" s="317"/>
      <c r="U379" s="318"/>
      <c r="V379" s="88"/>
      <c r="W379" s="317"/>
      <c r="X379" s="311"/>
      <c r="Y379" s="143"/>
      <c r="Z379" s="143"/>
      <c r="AA379" s="143"/>
      <c r="AB379" s="17"/>
      <c r="AC379" s="17"/>
      <c r="AD379" s="17"/>
      <c r="AE379" s="17"/>
    </row>
    <row r="380">
      <c r="A380" s="88"/>
      <c r="B380" s="121"/>
      <c r="C380" s="311"/>
      <c r="D380" s="88"/>
      <c r="E380" s="121"/>
      <c r="F380" s="311"/>
      <c r="G380" s="88"/>
      <c r="H380" s="121"/>
      <c r="I380" s="311"/>
      <c r="J380" s="88"/>
      <c r="K380" s="121"/>
      <c r="L380" s="311"/>
      <c r="M380" s="316"/>
      <c r="N380" s="317"/>
      <c r="O380" s="318"/>
      <c r="P380" s="316"/>
      <c r="Q380" s="317"/>
      <c r="R380" s="318"/>
      <c r="S380" s="316"/>
      <c r="T380" s="317"/>
      <c r="U380" s="318"/>
      <c r="V380" s="88"/>
      <c r="W380" s="317"/>
      <c r="X380" s="311"/>
      <c r="Y380" s="143"/>
      <c r="Z380" s="143"/>
      <c r="AA380" s="143"/>
      <c r="AB380" s="17"/>
      <c r="AC380" s="17"/>
      <c r="AD380" s="17"/>
      <c r="AE380" s="17"/>
    </row>
    <row r="381">
      <c r="A381" s="88"/>
      <c r="B381" s="121"/>
      <c r="C381" s="311"/>
      <c r="D381" s="88"/>
      <c r="E381" s="121"/>
      <c r="F381" s="311"/>
      <c r="G381" s="88"/>
      <c r="H381" s="121"/>
      <c r="I381" s="311"/>
      <c r="J381" s="88"/>
      <c r="K381" s="121"/>
      <c r="L381" s="311"/>
      <c r="M381" s="316"/>
      <c r="N381" s="317"/>
      <c r="O381" s="318"/>
      <c r="P381" s="316"/>
      <c r="Q381" s="317"/>
      <c r="R381" s="318"/>
      <c r="S381" s="316"/>
      <c r="T381" s="317"/>
      <c r="U381" s="318"/>
      <c r="V381" s="88"/>
      <c r="W381" s="317"/>
      <c r="X381" s="311"/>
      <c r="Y381" s="143"/>
      <c r="Z381" s="143"/>
      <c r="AA381" s="143"/>
      <c r="AB381" s="17"/>
      <c r="AC381" s="17"/>
      <c r="AD381" s="17"/>
      <c r="AE381" s="17"/>
    </row>
    <row r="382">
      <c r="A382" s="88"/>
      <c r="B382" s="121"/>
      <c r="C382" s="311"/>
      <c r="D382" s="88"/>
      <c r="E382" s="121"/>
      <c r="F382" s="311"/>
      <c r="G382" s="88"/>
      <c r="H382" s="121"/>
      <c r="I382" s="311"/>
      <c r="J382" s="88"/>
      <c r="K382" s="121"/>
      <c r="L382" s="311"/>
      <c r="M382" s="316"/>
      <c r="N382" s="317"/>
      <c r="O382" s="318"/>
      <c r="P382" s="316"/>
      <c r="Q382" s="317"/>
      <c r="R382" s="318"/>
      <c r="S382" s="316"/>
      <c r="T382" s="317"/>
      <c r="U382" s="318"/>
      <c r="V382" s="88"/>
      <c r="W382" s="317"/>
      <c r="X382" s="311"/>
      <c r="Y382" s="143"/>
      <c r="Z382" s="143"/>
      <c r="AA382" s="143"/>
      <c r="AB382" s="17"/>
      <c r="AC382" s="17"/>
      <c r="AD382" s="17"/>
      <c r="AE382" s="17"/>
    </row>
    <row r="383">
      <c r="A383" s="88"/>
      <c r="B383" s="121"/>
      <c r="C383" s="311"/>
      <c r="D383" s="88"/>
      <c r="E383" s="121"/>
      <c r="F383" s="311"/>
      <c r="G383" s="88"/>
      <c r="H383" s="121"/>
      <c r="I383" s="311"/>
      <c r="J383" s="88"/>
      <c r="K383" s="121"/>
      <c r="L383" s="311"/>
      <c r="M383" s="316"/>
      <c r="N383" s="317"/>
      <c r="O383" s="318"/>
      <c r="P383" s="316"/>
      <c r="Q383" s="317"/>
      <c r="R383" s="318"/>
      <c r="S383" s="316"/>
      <c r="T383" s="317"/>
      <c r="U383" s="318"/>
      <c r="V383" s="88"/>
      <c r="W383" s="317"/>
      <c r="X383" s="311"/>
      <c r="Y383" s="143"/>
      <c r="Z383" s="143"/>
      <c r="AA383" s="143"/>
      <c r="AB383" s="17"/>
      <c r="AC383" s="17"/>
      <c r="AD383" s="17"/>
      <c r="AE383" s="17"/>
    </row>
    <row r="384">
      <c r="A384" s="88"/>
      <c r="B384" s="121"/>
      <c r="C384" s="311"/>
      <c r="D384" s="88"/>
      <c r="E384" s="121"/>
      <c r="F384" s="311"/>
      <c r="G384" s="88"/>
      <c r="H384" s="121"/>
      <c r="I384" s="311"/>
      <c r="J384" s="88"/>
      <c r="K384" s="121"/>
      <c r="L384" s="311"/>
      <c r="M384" s="316"/>
      <c r="N384" s="317"/>
      <c r="O384" s="318"/>
      <c r="P384" s="316"/>
      <c r="Q384" s="317"/>
      <c r="R384" s="318"/>
      <c r="S384" s="316"/>
      <c r="T384" s="317"/>
      <c r="U384" s="318"/>
      <c r="V384" s="88"/>
      <c r="W384" s="317"/>
      <c r="X384" s="311"/>
      <c r="Y384" s="143"/>
      <c r="Z384" s="143"/>
      <c r="AA384" s="143"/>
      <c r="AB384" s="17"/>
      <c r="AC384" s="17"/>
      <c r="AD384" s="17"/>
      <c r="AE384" s="17"/>
    </row>
    <row r="385">
      <c r="A385" s="88"/>
      <c r="B385" s="121"/>
      <c r="C385" s="311"/>
      <c r="D385" s="88"/>
      <c r="E385" s="121"/>
      <c r="F385" s="311"/>
      <c r="G385" s="88"/>
      <c r="H385" s="121"/>
      <c r="I385" s="311"/>
      <c r="J385" s="88"/>
      <c r="K385" s="121"/>
      <c r="L385" s="311"/>
      <c r="M385" s="316"/>
      <c r="N385" s="317"/>
      <c r="O385" s="318"/>
      <c r="P385" s="316"/>
      <c r="Q385" s="317"/>
      <c r="R385" s="318"/>
      <c r="S385" s="316"/>
      <c r="T385" s="317"/>
      <c r="U385" s="318"/>
      <c r="V385" s="88"/>
      <c r="W385" s="317"/>
      <c r="X385" s="311"/>
      <c r="Y385" s="143"/>
      <c r="Z385" s="143"/>
      <c r="AA385" s="143"/>
      <c r="AB385" s="17"/>
      <c r="AC385" s="17"/>
      <c r="AD385" s="17"/>
      <c r="AE385" s="17"/>
    </row>
    <row r="386">
      <c r="A386" s="88"/>
      <c r="B386" s="121"/>
      <c r="C386" s="311"/>
      <c r="D386" s="88"/>
      <c r="E386" s="121"/>
      <c r="F386" s="311"/>
      <c r="G386" s="88"/>
      <c r="H386" s="121"/>
      <c r="I386" s="311"/>
      <c r="J386" s="88"/>
      <c r="K386" s="121"/>
      <c r="L386" s="311"/>
      <c r="M386" s="316"/>
      <c r="N386" s="317"/>
      <c r="O386" s="318"/>
      <c r="P386" s="316"/>
      <c r="Q386" s="317"/>
      <c r="R386" s="318"/>
      <c r="S386" s="316"/>
      <c r="T386" s="317"/>
      <c r="U386" s="318"/>
      <c r="V386" s="88"/>
      <c r="W386" s="317"/>
      <c r="X386" s="311"/>
      <c r="Y386" s="143"/>
      <c r="Z386" s="143"/>
      <c r="AA386" s="143"/>
      <c r="AB386" s="17"/>
      <c r="AC386" s="17"/>
      <c r="AD386" s="17"/>
      <c r="AE386" s="17"/>
    </row>
    <row r="387">
      <c r="A387" s="88"/>
      <c r="B387" s="121"/>
      <c r="C387" s="311"/>
      <c r="D387" s="88"/>
      <c r="E387" s="121"/>
      <c r="F387" s="311"/>
      <c r="G387" s="88"/>
      <c r="H387" s="121"/>
      <c r="I387" s="311"/>
      <c r="J387" s="88"/>
      <c r="K387" s="121"/>
      <c r="L387" s="311"/>
      <c r="M387" s="316"/>
      <c r="N387" s="317"/>
      <c r="O387" s="318"/>
      <c r="P387" s="316"/>
      <c r="Q387" s="317"/>
      <c r="R387" s="318"/>
      <c r="S387" s="316"/>
      <c r="T387" s="317"/>
      <c r="U387" s="318"/>
      <c r="V387" s="88"/>
      <c r="W387" s="317"/>
      <c r="X387" s="311"/>
      <c r="Y387" s="143"/>
      <c r="Z387" s="143"/>
      <c r="AA387" s="143"/>
      <c r="AB387" s="17"/>
      <c r="AC387" s="17"/>
      <c r="AD387" s="17"/>
      <c r="AE387" s="17"/>
    </row>
    <row r="388">
      <c r="A388" s="88"/>
      <c r="B388" s="121"/>
      <c r="C388" s="311"/>
      <c r="D388" s="88"/>
      <c r="E388" s="121"/>
      <c r="F388" s="311"/>
      <c r="G388" s="88"/>
      <c r="H388" s="121"/>
      <c r="I388" s="311"/>
      <c r="J388" s="88"/>
      <c r="K388" s="121"/>
      <c r="L388" s="311"/>
      <c r="M388" s="316"/>
      <c r="N388" s="317"/>
      <c r="O388" s="318"/>
      <c r="P388" s="316"/>
      <c r="Q388" s="317"/>
      <c r="R388" s="318"/>
      <c r="S388" s="316"/>
      <c r="T388" s="317"/>
      <c r="U388" s="318"/>
      <c r="V388" s="88"/>
      <c r="W388" s="317"/>
      <c r="X388" s="311"/>
      <c r="Y388" s="143"/>
      <c r="Z388" s="143"/>
      <c r="AA388" s="143"/>
      <c r="AB388" s="17"/>
      <c r="AC388" s="17"/>
      <c r="AD388" s="17"/>
      <c r="AE388" s="17"/>
    </row>
    <row r="389">
      <c r="A389" s="88"/>
      <c r="B389" s="121"/>
      <c r="C389" s="311"/>
      <c r="D389" s="88"/>
      <c r="E389" s="121"/>
      <c r="F389" s="311"/>
      <c r="G389" s="88"/>
      <c r="H389" s="121"/>
      <c r="I389" s="311"/>
      <c r="J389" s="88"/>
      <c r="K389" s="121"/>
      <c r="L389" s="311"/>
      <c r="M389" s="316"/>
      <c r="N389" s="317"/>
      <c r="O389" s="318"/>
      <c r="P389" s="316"/>
      <c r="Q389" s="317"/>
      <c r="R389" s="318"/>
      <c r="S389" s="316"/>
      <c r="T389" s="317"/>
      <c r="U389" s="318"/>
      <c r="V389" s="88"/>
      <c r="W389" s="317"/>
      <c r="X389" s="311"/>
      <c r="Y389" s="143"/>
      <c r="Z389" s="143"/>
      <c r="AA389" s="143"/>
      <c r="AB389" s="17"/>
      <c r="AC389" s="17"/>
      <c r="AD389" s="17"/>
      <c r="AE389" s="17"/>
    </row>
    <row r="390">
      <c r="A390" s="88"/>
      <c r="B390" s="121"/>
      <c r="C390" s="311"/>
      <c r="D390" s="88"/>
      <c r="E390" s="121"/>
      <c r="F390" s="311"/>
      <c r="G390" s="88"/>
      <c r="H390" s="121"/>
      <c r="I390" s="311"/>
      <c r="J390" s="88"/>
      <c r="K390" s="121"/>
      <c r="L390" s="311"/>
      <c r="M390" s="316"/>
      <c r="N390" s="317"/>
      <c r="O390" s="318"/>
      <c r="P390" s="316"/>
      <c r="Q390" s="317"/>
      <c r="R390" s="318"/>
      <c r="S390" s="316"/>
      <c r="T390" s="317"/>
      <c r="U390" s="318"/>
      <c r="V390" s="88"/>
      <c r="W390" s="317"/>
      <c r="X390" s="311"/>
      <c r="Y390" s="143"/>
      <c r="Z390" s="143"/>
      <c r="AA390" s="143"/>
      <c r="AB390" s="17"/>
      <c r="AC390" s="17"/>
      <c r="AD390" s="17"/>
      <c r="AE390" s="17"/>
    </row>
    <row r="391">
      <c r="A391" s="88"/>
      <c r="B391" s="121"/>
      <c r="C391" s="311"/>
      <c r="D391" s="88"/>
      <c r="E391" s="121"/>
      <c r="F391" s="311"/>
      <c r="G391" s="88"/>
      <c r="H391" s="121"/>
      <c r="I391" s="311"/>
      <c r="J391" s="88"/>
      <c r="K391" s="121"/>
      <c r="L391" s="311"/>
      <c r="M391" s="316"/>
      <c r="N391" s="317"/>
      <c r="O391" s="318"/>
      <c r="P391" s="316"/>
      <c r="Q391" s="317"/>
      <c r="R391" s="318"/>
      <c r="S391" s="316"/>
      <c r="T391" s="317"/>
      <c r="U391" s="318"/>
      <c r="V391" s="88"/>
      <c r="W391" s="317"/>
      <c r="X391" s="311"/>
      <c r="Y391" s="143"/>
      <c r="Z391" s="143"/>
      <c r="AA391" s="143"/>
      <c r="AB391" s="17"/>
      <c r="AC391" s="17"/>
      <c r="AD391" s="17"/>
      <c r="AE391" s="17"/>
    </row>
    <row r="392">
      <c r="A392" s="88"/>
      <c r="B392" s="121"/>
      <c r="C392" s="311"/>
      <c r="D392" s="88"/>
      <c r="E392" s="121"/>
      <c r="F392" s="311"/>
      <c r="G392" s="88"/>
      <c r="H392" s="121"/>
      <c r="I392" s="311"/>
      <c r="J392" s="88"/>
      <c r="K392" s="121"/>
      <c r="L392" s="311"/>
      <c r="M392" s="316"/>
      <c r="N392" s="317"/>
      <c r="O392" s="318"/>
      <c r="P392" s="316"/>
      <c r="Q392" s="317"/>
      <c r="R392" s="318"/>
      <c r="S392" s="316"/>
      <c r="T392" s="317"/>
      <c r="U392" s="318"/>
      <c r="V392" s="88"/>
      <c r="W392" s="317"/>
      <c r="X392" s="311"/>
      <c r="Y392" s="143"/>
      <c r="Z392" s="143"/>
      <c r="AA392" s="143"/>
      <c r="AB392" s="17"/>
      <c r="AC392" s="17"/>
      <c r="AD392" s="17"/>
      <c r="AE392" s="17"/>
    </row>
    <row r="393">
      <c r="A393" s="88"/>
      <c r="B393" s="121"/>
      <c r="C393" s="311"/>
      <c r="D393" s="88"/>
      <c r="E393" s="121"/>
      <c r="F393" s="311"/>
      <c r="G393" s="88"/>
      <c r="H393" s="121"/>
      <c r="I393" s="311"/>
      <c r="J393" s="88"/>
      <c r="K393" s="121"/>
      <c r="L393" s="311"/>
      <c r="M393" s="316"/>
      <c r="N393" s="317"/>
      <c r="O393" s="318"/>
      <c r="P393" s="316"/>
      <c r="Q393" s="317"/>
      <c r="R393" s="318"/>
      <c r="S393" s="316"/>
      <c r="T393" s="317"/>
      <c r="U393" s="318"/>
      <c r="V393" s="88"/>
      <c r="W393" s="317"/>
      <c r="X393" s="311"/>
      <c r="Y393" s="143"/>
      <c r="Z393" s="143"/>
      <c r="AA393" s="143"/>
      <c r="AB393" s="17"/>
      <c r="AC393" s="17"/>
      <c r="AD393" s="17"/>
      <c r="AE393" s="17"/>
    </row>
    <row r="394">
      <c r="A394" s="88"/>
      <c r="B394" s="121"/>
      <c r="C394" s="311"/>
      <c r="D394" s="88"/>
      <c r="E394" s="121"/>
      <c r="F394" s="311"/>
      <c r="G394" s="88"/>
      <c r="H394" s="121"/>
      <c r="I394" s="311"/>
      <c r="J394" s="88"/>
      <c r="K394" s="121"/>
      <c r="L394" s="311"/>
      <c r="M394" s="316"/>
      <c r="N394" s="317"/>
      <c r="O394" s="318"/>
      <c r="P394" s="316"/>
      <c r="Q394" s="317"/>
      <c r="R394" s="318"/>
      <c r="S394" s="316"/>
      <c r="T394" s="317"/>
      <c r="U394" s="318"/>
      <c r="V394" s="88"/>
      <c r="W394" s="317"/>
      <c r="X394" s="311"/>
      <c r="Y394" s="143"/>
      <c r="Z394" s="143"/>
      <c r="AA394" s="143"/>
      <c r="AB394" s="17"/>
      <c r="AC394" s="17"/>
      <c r="AD394" s="17"/>
      <c r="AE394" s="17"/>
    </row>
    <row r="395">
      <c r="A395" s="88"/>
      <c r="B395" s="121"/>
      <c r="C395" s="311"/>
      <c r="D395" s="88"/>
      <c r="E395" s="121"/>
      <c r="F395" s="311"/>
      <c r="G395" s="88"/>
      <c r="H395" s="121"/>
      <c r="I395" s="311"/>
      <c r="J395" s="88"/>
      <c r="K395" s="121"/>
      <c r="L395" s="311"/>
      <c r="M395" s="316"/>
      <c r="N395" s="317"/>
      <c r="O395" s="318"/>
      <c r="P395" s="316"/>
      <c r="Q395" s="317"/>
      <c r="R395" s="318"/>
      <c r="S395" s="316"/>
      <c r="T395" s="317"/>
      <c r="U395" s="318"/>
      <c r="V395" s="88"/>
      <c r="W395" s="317"/>
      <c r="X395" s="311"/>
      <c r="Y395" s="143"/>
      <c r="Z395" s="143"/>
      <c r="AA395" s="143"/>
      <c r="AB395" s="17"/>
      <c r="AC395" s="17"/>
      <c r="AD395" s="17"/>
      <c r="AE395" s="17"/>
    </row>
    <row r="396">
      <c r="A396" s="88"/>
      <c r="B396" s="121"/>
      <c r="C396" s="311"/>
      <c r="D396" s="88"/>
      <c r="E396" s="121"/>
      <c r="F396" s="311"/>
      <c r="G396" s="88"/>
      <c r="H396" s="121"/>
      <c r="I396" s="311"/>
      <c r="J396" s="88"/>
      <c r="K396" s="121"/>
      <c r="L396" s="311"/>
      <c r="M396" s="316"/>
      <c r="N396" s="317"/>
      <c r="O396" s="318"/>
      <c r="P396" s="316"/>
      <c r="Q396" s="317"/>
      <c r="R396" s="318"/>
      <c r="S396" s="316"/>
      <c r="T396" s="317"/>
      <c r="U396" s="318"/>
      <c r="V396" s="88"/>
      <c r="W396" s="317"/>
      <c r="X396" s="311"/>
      <c r="Y396" s="143"/>
      <c r="Z396" s="143"/>
      <c r="AA396" s="143"/>
      <c r="AB396" s="17"/>
      <c r="AC396" s="17"/>
      <c r="AD396" s="17"/>
      <c r="AE396" s="17"/>
    </row>
    <row r="397">
      <c r="A397" s="88"/>
      <c r="B397" s="121"/>
      <c r="C397" s="311"/>
      <c r="D397" s="88"/>
      <c r="E397" s="121"/>
      <c r="F397" s="311"/>
      <c r="G397" s="88"/>
      <c r="H397" s="121"/>
      <c r="I397" s="311"/>
      <c r="J397" s="88"/>
      <c r="K397" s="121"/>
      <c r="L397" s="311"/>
      <c r="M397" s="316"/>
      <c r="N397" s="317"/>
      <c r="O397" s="318"/>
      <c r="P397" s="316"/>
      <c r="Q397" s="317"/>
      <c r="R397" s="318"/>
      <c r="S397" s="316"/>
      <c r="T397" s="317"/>
      <c r="U397" s="318"/>
      <c r="V397" s="88"/>
      <c r="W397" s="317"/>
      <c r="X397" s="311"/>
      <c r="Y397" s="143"/>
      <c r="Z397" s="143"/>
      <c r="AA397" s="143"/>
      <c r="AB397" s="17"/>
      <c r="AC397" s="17"/>
      <c r="AD397" s="17"/>
      <c r="AE397" s="17"/>
    </row>
    <row r="398">
      <c r="A398" s="88"/>
      <c r="B398" s="121"/>
      <c r="C398" s="311"/>
      <c r="D398" s="88"/>
      <c r="E398" s="121"/>
      <c r="F398" s="311"/>
      <c r="G398" s="88"/>
      <c r="H398" s="121"/>
      <c r="I398" s="311"/>
      <c r="J398" s="88"/>
      <c r="K398" s="121"/>
      <c r="L398" s="311"/>
      <c r="M398" s="316"/>
      <c r="N398" s="317"/>
      <c r="O398" s="318"/>
      <c r="P398" s="316"/>
      <c r="Q398" s="317"/>
      <c r="R398" s="318"/>
      <c r="S398" s="316"/>
      <c r="T398" s="317"/>
      <c r="U398" s="318"/>
      <c r="V398" s="88"/>
      <c r="W398" s="317"/>
      <c r="X398" s="311"/>
      <c r="Y398" s="143"/>
      <c r="Z398" s="143"/>
      <c r="AA398" s="143"/>
      <c r="AB398" s="17"/>
      <c r="AC398" s="17"/>
      <c r="AD398" s="17"/>
      <c r="AE398" s="17"/>
    </row>
    <row r="399">
      <c r="A399" s="88"/>
      <c r="B399" s="121"/>
      <c r="C399" s="311"/>
      <c r="D399" s="88"/>
      <c r="E399" s="121"/>
      <c r="F399" s="311"/>
      <c r="G399" s="88"/>
      <c r="H399" s="121"/>
      <c r="I399" s="311"/>
      <c r="J399" s="88"/>
      <c r="K399" s="121"/>
      <c r="L399" s="311"/>
      <c r="M399" s="316"/>
      <c r="N399" s="317"/>
      <c r="O399" s="318"/>
      <c r="P399" s="316"/>
      <c r="Q399" s="317"/>
      <c r="R399" s="318"/>
      <c r="S399" s="316"/>
      <c r="T399" s="317"/>
      <c r="U399" s="318"/>
      <c r="V399" s="88"/>
      <c r="W399" s="317"/>
      <c r="X399" s="311"/>
      <c r="Y399" s="143"/>
      <c r="Z399" s="143"/>
      <c r="AA399" s="143"/>
      <c r="AB399" s="17"/>
      <c r="AC399" s="17"/>
      <c r="AD399" s="17"/>
      <c r="AE399" s="17"/>
    </row>
    <row r="400">
      <c r="A400" s="88"/>
      <c r="B400" s="121"/>
      <c r="C400" s="311"/>
      <c r="D400" s="88"/>
      <c r="E400" s="121"/>
      <c r="F400" s="311"/>
      <c r="G400" s="88"/>
      <c r="H400" s="121"/>
      <c r="I400" s="311"/>
      <c r="J400" s="88"/>
      <c r="K400" s="121"/>
      <c r="L400" s="311"/>
      <c r="M400" s="316"/>
      <c r="N400" s="317"/>
      <c r="O400" s="318"/>
      <c r="P400" s="316"/>
      <c r="Q400" s="317"/>
      <c r="R400" s="318"/>
      <c r="S400" s="316"/>
      <c r="T400" s="317"/>
      <c r="U400" s="318"/>
      <c r="V400" s="88"/>
      <c r="W400" s="317"/>
      <c r="X400" s="311"/>
      <c r="Y400" s="143"/>
      <c r="Z400" s="143"/>
      <c r="AA400" s="143"/>
      <c r="AB400" s="17"/>
      <c r="AC400" s="17"/>
      <c r="AD400" s="17"/>
      <c r="AE400" s="17"/>
    </row>
    <row r="401">
      <c r="A401" s="88"/>
      <c r="B401" s="121"/>
      <c r="C401" s="311"/>
      <c r="D401" s="88"/>
      <c r="E401" s="121"/>
      <c r="F401" s="311"/>
      <c r="G401" s="88"/>
      <c r="H401" s="121"/>
      <c r="I401" s="311"/>
      <c r="J401" s="88"/>
      <c r="K401" s="121"/>
      <c r="L401" s="311"/>
      <c r="M401" s="316"/>
      <c r="N401" s="317"/>
      <c r="O401" s="318"/>
      <c r="P401" s="316"/>
      <c r="Q401" s="317"/>
      <c r="R401" s="318"/>
      <c r="S401" s="316"/>
      <c r="T401" s="317"/>
      <c r="U401" s="318"/>
      <c r="V401" s="88"/>
      <c r="W401" s="317"/>
      <c r="X401" s="311"/>
      <c r="Y401" s="143"/>
      <c r="Z401" s="143"/>
      <c r="AA401" s="143"/>
      <c r="AB401" s="17"/>
      <c r="AC401" s="17"/>
      <c r="AD401" s="17"/>
      <c r="AE401" s="17"/>
    </row>
    <row r="402">
      <c r="A402" s="88"/>
      <c r="B402" s="121"/>
      <c r="C402" s="311"/>
      <c r="D402" s="88"/>
      <c r="E402" s="121"/>
      <c r="F402" s="311"/>
      <c r="G402" s="88"/>
      <c r="H402" s="121"/>
      <c r="I402" s="311"/>
      <c r="J402" s="88"/>
      <c r="K402" s="121"/>
      <c r="L402" s="311"/>
      <c r="M402" s="316"/>
      <c r="N402" s="317"/>
      <c r="O402" s="318"/>
      <c r="P402" s="316"/>
      <c r="Q402" s="317"/>
      <c r="R402" s="318"/>
      <c r="S402" s="316"/>
      <c r="T402" s="317"/>
      <c r="U402" s="318"/>
      <c r="V402" s="88"/>
      <c r="W402" s="317"/>
      <c r="X402" s="311"/>
      <c r="Y402" s="143"/>
      <c r="Z402" s="143"/>
      <c r="AA402" s="143"/>
      <c r="AB402" s="17"/>
      <c r="AC402" s="17"/>
      <c r="AD402" s="17"/>
      <c r="AE402" s="17"/>
    </row>
    <row r="403">
      <c r="A403" s="88"/>
      <c r="B403" s="121"/>
      <c r="C403" s="311"/>
      <c r="D403" s="88"/>
      <c r="E403" s="121"/>
      <c r="F403" s="311"/>
      <c r="G403" s="88"/>
      <c r="H403" s="121"/>
      <c r="I403" s="311"/>
      <c r="J403" s="88"/>
      <c r="K403" s="121"/>
      <c r="L403" s="311"/>
      <c r="M403" s="316"/>
      <c r="N403" s="317"/>
      <c r="O403" s="318"/>
      <c r="P403" s="316"/>
      <c r="Q403" s="317"/>
      <c r="R403" s="318"/>
      <c r="S403" s="316"/>
      <c r="T403" s="317"/>
      <c r="U403" s="318"/>
      <c r="V403" s="88"/>
      <c r="W403" s="317"/>
      <c r="X403" s="311"/>
      <c r="Y403" s="143"/>
      <c r="Z403" s="143"/>
      <c r="AA403" s="143"/>
      <c r="AB403" s="17"/>
      <c r="AC403" s="17"/>
      <c r="AD403" s="17"/>
      <c r="AE403" s="17"/>
    </row>
    <row r="404">
      <c r="A404" s="88"/>
      <c r="B404" s="121"/>
      <c r="C404" s="311"/>
      <c r="D404" s="88"/>
      <c r="E404" s="121"/>
      <c r="F404" s="311"/>
      <c r="G404" s="88"/>
      <c r="H404" s="121"/>
      <c r="I404" s="311"/>
      <c r="J404" s="88"/>
      <c r="K404" s="121"/>
      <c r="L404" s="311"/>
      <c r="M404" s="316"/>
      <c r="N404" s="317"/>
      <c r="O404" s="318"/>
      <c r="P404" s="316"/>
      <c r="Q404" s="317"/>
      <c r="R404" s="318"/>
      <c r="S404" s="316"/>
      <c r="T404" s="317"/>
      <c r="U404" s="318"/>
      <c r="V404" s="88"/>
      <c r="W404" s="317"/>
      <c r="X404" s="311"/>
      <c r="Y404" s="143"/>
      <c r="Z404" s="143"/>
      <c r="AA404" s="143"/>
      <c r="AB404" s="17"/>
      <c r="AC404" s="17"/>
      <c r="AD404" s="17"/>
      <c r="AE404" s="17"/>
    </row>
    <row r="405">
      <c r="A405" s="88"/>
      <c r="B405" s="121"/>
      <c r="C405" s="311"/>
      <c r="D405" s="88"/>
      <c r="E405" s="121"/>
      <c r="F405" s="311"/>
      <c r="G405" s="88"/>
      <c r="H405" s="121"/>
      <c r="I405" s="311"/>
      <c r="J405" s="88"/>
      <c r="K405" s="121"/>
      <c r="L405" s="311"/>
      <c r="M405" s="316"/>
      <c r="N405" s="317"/>
      <c r="O405" s="318"/>
      <c r="P405" s="316"/>
      <c r="Q405" s="317"/>
      <c r="R405" s="318"/>
      <c r="S405" s="316"/>
      <c r="T405" s="317"/>
      <c r="U405" s="318"/>
      <c r="V405" s="88"/>
      <c r="W405" s="317"/>
      <c r="X405" s="311"/>
      <c r="Y405" s="143"/>
      <c r="Z405" s="143"/>
      <c r="AA405" s="143"/>
      <c r="AB405" s="17"/>
      <c r="AC405" s="17"/>
      <c r="AD405" s="17"/>
      <c r="AE405" s="17"/>
    </row>
    <row r="406">
      <c r="A406" s="88"/>
      <c r="B406" s="121"/>
      <c r="C406" s="311"/>
      <c r="D406" s="88"/>
      <c r="E406" s="121"/>
      <c r="F406" s="311"/>
      <c r="G406" s="88"/>
      <c r="H406" s="121"/>
      <c r="I406" s="311"/>
      <c r="J406" s="88"/>
      <c r="K406" s="121"/>
      <c r="L406" s="311"/>
      <c r="M406" s="316"/>
      <c r="N406" s="317"/>
      <c r="O406" s="318"/>
      <c r="P406" s="316"/>
      <c r="Q406" s="317"/>
      <c r="R406" s="318"/>
      <c r="S406" s="316"/>
      <c r="T406" s="317"/>
      <c r="U406" s="318"/>
      <c r="V406" s="88"/>
      <c r="W406" s="317"/>
      <c r="X406" s="311"/>
      <c r="Y406" s="143"/>
      <c r="Z406" s="143"/>
      <c r="AA406" s="143"/>
      <c r="AB406" s="17"/>
      <c r="AC406" s="17"/>
      <c r="AD406" s="17"/>
      <c r="AE406" s="17"/>
    </row>
    <row r="407">
      <c r="A407" s="88"/>
      <c r="B407" s="121"/>
      <c r="C407" s="311"/>
      <c r="D407" s="88"/>
      <c r="E407" s="121"/>
      <c r="F407" s="311"/>
      <c r="G407" s="88"/>
      <c r="H407" s="121"/>
      <c r="I407" s="311"/>
      <c r="J407" s="88"/>
      <c r="K407" s="121"/>
      <c r="L407" s="311"/>
      <c r="M407" s="316"/>
      <c r="N407" s="317"/>
      <c r="O407" s="318"/>
      <c r="P407" s="316"/>
      <c r="Q407" s="317"/>
      <c r="R407" s="318"/>
      <c r="S407" s="316"/>
      <c r="T407" s="317"/>
      <c r="U407" s="318"/>
      <c r="V407" s="88"/>
      <c r="W407" s="317"/>
      <c r="X407" s="311"/>
      <c r="Y407" s="143"/>
      <c r="Z407" s="143"/>
      <c r="AA407" s="143"/>
      <c r="AB407" s="17"/>
      <c r="AC407" s="17"/>
      <c r="AD407" s="17"/>
      <c r="AE407" s="17"/>
    </row>
    <row r="408">
      <c r="A408" s="88"/>
      <c r="B408" s="121"/>
      <c r="C408" s="311"/>
      <c r="D408" s="88"/>
      <c r="E408" s="121"/>
      <c r="F408" s="311"/>
      <c r="G408" s="88"/>
      <c r="H408" s="121"/>
      <c r="I408" s="311"/>
      <c r="J408" s="88"/>
      <c r="K408" s="121"/>
      <c r="L408" s="311"/>
      <c r="M408" s="316"/>
      <c r="N408" s="317"/>
      <c r="O408" s="318"/>
      <c r="P408" s="316"/>
      <c r="Q408" s="317"/>
      <c r="R408" s="318"/>
      <c r="S408" s="316"/>
      <c r="T408" s="317"/>
      <c r="U408" s="318"/>
      <c r="V408" s="88"/>
      <c r="W408" s="317"/>
      <c r="X408" s="311"/>
      <c r="Y408" s="143"/>
      <c r="Z408" s="143"/>
      <c r="AA408" s="143"/>
      <c r="AB408" s="17"/>
      <c r="AC408" s="17"/>
      <c r="AD408" s="17"/>
      <c r="AE408" s="17"/>
    </row>
    <row r="409">
      <c r="A409" s="88"/>
      <c r="B409" s="121"/>
      <c r="C409" s="311"/>
      <c r="D409" s="88"/>
      <c r="E409" s="121"/>
      <c r="F409" s="311"/>
      <c r="G409" s="88"/>
      <c r="H409" s="121"/>
      <c r="I409" s="311"/>
      <c r="J409" s="88"/>
      <c r="K409" s="121"/>
      <c r="L409" s="311"/>
      <c r="M409" s="316"/>
      <c r="N409" s="317"/>
      <c r="O409" s="318"/>
      <c r="P409" s="316"/>
      <c r="Q409" s="317"/>
      <c r="R409" s="318"/>
      <c r="S409" s="316"/>
      <c r="T409" s="317"/>
      <c r="U409" s="318"/>
      <c r="V409" s="88"/>
      <c r="W409" s="317"/>
      <c r="X409" s="311"/>
      <c r="Y409" s="143"/>
      <c r="Z409" s="143"/>
      <c r="AA409" s="143"/>
      <c r="AB409" s="17"/>
      <c r="AC409" s="17"/>
      <c r="AD409" s="17"/>
      <c r="AE409" s="17"/>
    </row>
    <row r="410">
      <c r="A410" s="88"/>
      <c r="B410" s="121"/>
      <c r="C410" s="311"/>
      <c r="D410" s="88"/>
      <c r="E410" s="121"/>
      <c r="F410" s="311"/>
      <c r="G410" s="88"/>
      <c r="H410" s="121"/>
      <c r="I410" s="311"/>
      <c r="J410" s="88"/>
      <c r="K410" s="121"/>
      <c r="L410" s="311"/>
      <c r="M410" s="316"/>
      <c r="N410" s="317"/>
      <c r="O410" s="318"/>
      <c r="P410" s="316"/>
      <c r="Q410" s="317"/>
      <c r="R410" s="318"/>
      <c r="S410" s="316"/>
      <c r="T410" s="317"/>
      <c r="U410" s="318"/>
      <c r="V410" s="88"/>
      <c r="W410" s="317"/>
      <c r="X410" s="311"/>
      <c r="Y410" s="143"/>
      <c r="Z410" s="143"/>
      <c r="AA410" s="143"/>
      <c r="AB410" s="17"/>
      <c r="AC410" s="17"/>
      <c r="AD410" s="17"/>
      <c r="AE410" s="17"/>
    </row>
    <row r="411">
      <c r="A411" s="88"/>
      <c r="B411" s="121"/>
      <c r="C411" s="311"/>
      <c r="D411" s="88"/>
      <c r="E411" s="121"/>
      <c r="F411" s="311"/>
      <c r="G411" s="88"/>
      <c r="H411" s="121"/>
      <c r="I411" s="311"/>
      <c r="J411" s="88"/>
      <c r="K411" s="121"/>
      <c r="L411" s="311"/>
      <c r="M411" s="316"/>
      <c r="N411" s="317"/>
      <c r="O411" s="318"/>
      <c r="P411" s="316"/>
      <c r="Q411" s="317"/>
      <c r="R411" s="318"/>
      <c r="S411" s="316"/>
      <c r="T411" s="317"/>
      <c r="U411" s="318"/>
      <c r="V411" s="88"/>
      <c r="W411" s="317"/>
      <c r="X411" s="311"/>
      <c r="Y411" s="143"/>
      <c r="Z411" s="143"/>
      <c r="AA411" s="143"/>
      <c r="AB411" s="17"/>
      <c r="AC411" s="17"/>
      <c r="AD411" s="17"/>
      <c r="AE411" s="17"/>
    </row>
    <row r="412">
      <c r="A412" s="88"/>
      <c r="B412" s="121"/>
      <c r="C412" s="311"/>
      <c r="D412" s="88"/>
      <c r="E412" s="121"/>
      <c r="F412" s="311"/>
      <c r="G412" s="88"/>
      <c r="H412" s="121"/>
      <c r="I412" s="311"/>
      <c r="J412" s="88"/>
      <c r="K412" s="121"/>
      <c r="L412" s="311"/>
      <c r="M412" s="316"/>
      <c r="N412" s="317"/>
      <c r="O412" s="318"/>
      <c r="P412" s="316"/>
      <c r="Q412" s="317"/>
      <c r="R412" s="318"/>
      <c r="S412" s="316"/>
      <c r="T412" s="317"/>
      <c r="U412" s="318"/>
      <c r="V412" s="88"/>
      <c r="W412" s="317"/>
      <c r="X412" s="311"/>
      <c r="Y412" s="143"/>
      <c r="Z412" s="143"/>
      <c r="AA412" s="143"/>
      <c r="AB412" s="17"/>
      <c r="AC412" s="17"/>
      <c r="AD412" s="17"/>
      <c r="AE412" s="17"/>
    </row>
    <row r="413">
      <c r="A413" s="88"/>
      <c r="B413" s="121"/>
      <c r="C413" s="311"/>
      <c r="D413" s="88"/>
      <c r="E413" s="121"/>
      <c r="F413" s="311"/>
      <c r="G413" s="88"/>
      <c r="H413" s="121"/>
      <c r="I413" s="311"/>
      <c r="J413" s="88"/>
      <c r="K413" s="121"/>
      <c r="L413" s="311"/>
      <c r="M413" s="316"/>
      <c r="N413" s="317"/>
      <c r="O413" s="318"/>
      <c r="P413" s="316"/>
      <c r="Q413" s="317"/>
      <c r="R413" s="318"/>
      <c r="S413" s="316"/>
      <c r="T413" s="317"/>
      <c r="U413" s="318"/>
      <c r="V413" s="88"/>
      <c r="W413" s="317"/>
      <c r="X413" s="311"/>
      <c r="Y413" s="143"/>
      <c r="Z413" s="143"/>
      <c r="AA413" s="143"/>
      <c r="AB413" s="17"/>
      <c r="AC413" s="17"/>
      <c r="AD413" s="17"/>
      <c r="AE413" s="17"/>
    </row>
    <row r="414">
      <c r="A414" s="88"/>
      <c r="B414" s="121"/>
      <c r="C414" s="311"/>
      <c r="D414" s="88"/>
      <c r="E414" s="121"/>
      <c r="F414" s="311"/>
      <c r="G414" s="88"/>
      <c r="H414" s="121"/>
      <c r="I414" s="311"/>
      <c r="J414" s="88"/>
      <c r="K414" s="121"/>
      <c r="L414" s="311"/>
      <c r="M414" s="316"/>
      <c r="N414" s="317"/>
      <c r="O414" s="318"/>
      <c r="P414" s="316"/>
      <c r="Q414" s="317"/>
      <c r="R414" s="318"/>
      <c r="S414" s="316"/>
      <c r="T414" s="317"/>
      <c r="U414" s="318"/>
      <c r="V414" s="88"/>
      <c r="W414" s="317"/>
      <c r="X414" s="311"/>
      <c r="Y414" s="143"/>
      <c r="Z414" s="143"/>
      <c r="AA414" s="143"/>
      <c r="AB414" s="17"/>
      <c r="AC414" s="17"/>
      <c r="AD414" s="17"/>
      <c r="AE414" s="17"/>
    </row>
    <row r="415">
      <c r="A415" s="88"/>
      <c r="B415" s="121"/>
      <c r="C415" s="311"/>
      <c r="D415" s="88"/>
      <c r="E415" s="121"/>
      <c r="F415" s="311"/>
      <c r="G415" s="88"/>
      <c r="H415" s="121"/>
      <c r="I415" s="311"/>
      <c r="J415" s="88"/>
      <c r="K415" s="121"/>
      <c r="L415" s="311"/>
      <c r="M415" s="316"/>
      <c r="N415" s="317"/>
      <c r="O415" s="318"/>
      <c r="P415" s="316"/>
      <c r="Q415" s="317"/>
      <c r="R415" s="318"/>
      <c r="S415" s="316"/>
      <c r="T415" s="317"/>
      <c r="U415" s="318"/>
      <c r="V415" s="88"/>
      <c r="W415" s="317"/>
      <c r="X415" s="311"/>
      <c r="Y415" s="143"/>
      <c r="Z415" s="143"/>
      <c r="AA415" s="143"/>
      <c r="AB415" s="17"/>
      <c r="AC415" s="17"/>
      <c r="AD415" s="17"/>
      <c r="AE415" s="17"/>
    </row>
    <row r="416">
      <c r="A416" s="88"/>
      <c r="B416" s="121"/>
      <c r="C416" s="311"/>
      <c r="D416" s="88"/>
      <c r="E416" s="121"/>
      <c r="F416" s="311"/>
      <c r="G416" s="88"/>
      <c r="H416" s="121"/>
      <c r="I416" s="311"/>
      <c r="J416" s="88"/>
      <c r="K416" s="121"/>
      <c r="L416" s="311"/>
      <c r="M416" s="316"/>
      <c r="N416" s="317"/>
      <c r="O416" s="318"/>
      <c r="P416" s="316"/>
      <c r="Q416" s="317"/>
      <c r="R416" s="318"/>
      <c r="S416" s="316"/>
      <c r="T416" s="317"/>
      <c r="U416" s="318"/>
      <c r="V416" s="88"/>
      <c r="W416" s="317"/>
      <c r="X416" s="311"/>
      <c r="Y416" s="143"/>
      <c r="Z416" s="143"/>
      <c r="AA416" s="143"/>
      <c r="AB416" s="17"/>
      <c r="AC416" s="17"/>
      <c r="AD416" s="17"/>
      <c r="AE416" s="17"/>
    </row>
    <row r="417">
      <c r="A417" s="88"/>
      <c r="B417" s="121"/>
      <c r="C417" s="311"/>
      <c r="D417" s="88"/>
      <c r="E417" s="121"/>
      <c r="F417" s="311"/>
      <c r="G417" s="88"/>
      <c r="H417" s="121"/>
      <c r="I417" s="311"/>
      <c r="J417" s="88"/>
      <c r="K417" s="121"/>
      <c r="L417" s="311"/>
      <c r="M417" s="316"/>
      <c r="N417" s="317"/>
      <c r="O417" s="318"/>
      <c r="P417" s="316"/>
      <c r="Q417" s="317"/>
      <c r="R417" s="318"/>
      <c r="S417" s="316"/>
      <c r="T417" s="317"/>
      <c r="U417" s="318"/>
      <c r="V417" s="88"/>
      <c r="W417" s="317"/>
      <c r="X417" s="311"/>
      <c r="Y417" s="143"/>
      <c r="Z417" s="143"/>
      <c r="AA417" s="143"/>
      <c r="AB417" s="17"/>
      <c r="AC417" s="17"/>
      <c r="AD417" s="17"/>
      <c r="AE417" s="17"/>
    </row>
    <row r="418">
      <c r="A418" s="88"/>
      <c r="B418" s="121"/>
      <c r="C418" s="311"/>
      <c r="D418" s="88"/>
      <c r="E418" s="121"/>
      <c r="F418" s="311"/>
      <c r="G418" s="88"/>
      <c r="H418" s="121"/>
      <c r="I418" s="311"/>
      <c r="J418" s="88"/>
      <c r="K418" s="121"/>
      <c r="L418" s="311"/>
      <c r="M418" s="316"/>
      <c r="N418" s="317"/>
      <c r="O418" s="318"/>
      <c r="P418" s="316"/>
      <c r="Q418" s="317"/>
      <c r="R418" s="318"/>
      <c r="S418" s="316"/>
      <c r="T418" s="317"/>
      <c r="U418" s="318"/>
      <c r="V418" s="88"/>
      <c r="W418" s="317"/>
      <c r="X418" s="311"/>
      <c r="Y418" s="143"/>
      <c r="Z418" s="143"/>
      <c r="AA418" s="143"/>
      <c r="AB418" s="17"/>
      <c r="AC418" s="17"/>
      <c r="AD418" s="17"/>
      <c r="AE418" s="17"/>
    </row>
    <row r="419">
      <c r="A419" s="88"/>
      <c r="B419" s="121"/>
      <c r="C419" s="311"/>
      <c r="D419" s="88"/>
      <c r="E419" s="121"/>
      <c r="F419" s="311"/>
      <c r="G419" s="88"/>
      <c r="H419" s="121"/>
      <c r="I419" s="311"/>
      <c r="J419" s="88"/>
      <c r="K419" s="121"/>
      <c r="L419" s="311"/>
      <c r="M419" s="316"/>
      <c r="N419" s="317"/>
      <c r="O419" s="318"/>
      <c r="P419" s="316"/>
      <c r="Q419" s="317"/>
      <c r="R419" s="318"/>
      <c r="S419" s="316"/>
      <c r="T419" s="317"/>
      <c r="U419" s="318"/>
      <c r="V419" s="88"/>
      <c r="W419" s="317"/>
      <c r="X419" s="311"/>
      <c r="Y419" s="143"/>
      <c r="Z419" s="143"/>
      <c r="AA419" s="143"/>
      <c r="AB419" s="17"/>
      <c r="AC419" s="17"/>
      <c r="AD419" s="17"/>
      <c r="AE419" s="17"/>
    </row>
    <row r="420">
      <c r="A420" s="88"/>
      <c r="B420" s="121"/>
      <c r="C420" s="311"/>
      <c r="D420" s="88"/>
      <c r="E420" s="121"/>
      <c r="F420" s="311"/>
      <c r="G420" s="88"/>
      <c r="H420" s="121"/>
      <c r="I420" s="311"/>
      <c r="J420" s="88"/>
      <c r="K420" s="121"/>
      <c r="L420" s="311"/>
      <c r="M420" s="316"/>
      <c r="N420" s="317"/>
      <c r="O420" s="318"/>
      <c r="P420" s="316"/>
      <c r="Q420" s="317"/>
      <c r="R420" s="318"/>
      <c r="S420" s="316"/>
      <c r="T420" s="317"/>
      <c r="U420" s="318"/>
      <c r="V420" s="88"/>
      <c r="W420" s="317"/>
      <c r="X420" s="311"/>
      <c r="Y420" s="143"/>
      <c r="Z420" s="143"/>
      <c r="AA420" s="143"/>
      <c r="AB420" s="17"/>
      <c r="AC420" s="17"/>
      <c r="AD420" s="17"/>
      <c r="AE420" s="17"/>
    </row>
    <row r="421">
      <c r="A421" s="88"/>
      <c r="B421" s="121"/>
      <c r="C421" s="311"/>
      <c r="D421" s="88"/>
      <c r="E421" s="121"/>
      <c r="F421" s="311"/>
      <c r="G421" s="88"/>
      <c r="H421" s="121"/>
      <c r="I421" s="311"/>
      <c r="J421" s="88"/>
      <c r="K421" s="121"/>
      <c r="L421" s="311"/>
      <c r="M421" s="316"/>
      <c r="N421" s="317"/>
      <c r="O421" s="318"/>
      <c r="P421" s="316"/>
      <c r="Q421" s="317"/>
      <c r="R421" s="318"/>
      <c r="S421" s="316"/>
      <c r="T421" s="317"/>
      <c r="U421" s="318"/>
      <c r="V421" s="88"/>
      <c r="W421" s="317"/>
      <c r="X421" s="311"/>
      <c r="Y421" s="143"/>
      <c r="Z421" s="143"/>
      <c r="AA421" s="143"/>
      <c r="AB421" s="17"/>
      <c r="AC421" s="17"/>
      <c r="AD421" s="17"/>
      <c r="AE421" s="17"/>
    </row>
    <row r="422">
      <c r="A422" s="88"/>
      <c r="B422" s="121"/>
      <c r="C422" s="311"/>
      <c r="D422" s="88"/>
      <c r="E422" s="121"/>
      <c r="F422" s="311"/>
      <c r="G422" s="88"/>
      <c r="H422" s="121"/>
      <c r="I422" s="311"/>
      <c r="J422" s="88"/>
      <c r="K422" s="121"/>
      <c r="L422" s="311"/>
      <c r="M422" s="316"/>
      <c r="N422" s="317"/>
      <c r="O422" s="318"/>
      <c r="P422" s="316"/>
      <c r="Q422" s="317"/>
      <c r="R422" s="318"/>
      <c r="S422" s="316"/>
      <c r="T422" s="317"/>
      <c r="U422" s="318"/>
      <c r="V422" s="88"/>
      <c r="W422" s="317"/>
      <c r="X422" s="311"/>
      <c r="Y422" s="143"/>
      <c r="Z422" s="143"/>
      <c r="AA422" s="143"/>
      <c r="AB422" s="17"/>
      <c r="AC422" s="17"/>
      <c r="AD422" s="17"/>
      <c r="AE422" s="17"/>
    </row>
    <row r="423">
      <c r="A423" s="88"/>
      <c r="B423" s="121"/>
      <c r="C423" s="311"/>
      <c r="D423" s="88"/>
      <c r="E423" s="121"/>
      <c r="F423" s="311"/>
      <c r="G423" s="88"/>
      <c r="H423" s="121"/>
      <c r="I423" s="311"/>
      <c r="J423" s="88"/>
      <c r="K423" s="121"/>
      <c r="L423" s="311"/>
      <c r="M423" s="316"/>
      <c r="N423" s="317"/>
      <c r="O423" s="318"/>
      <c r="P423" s="316"/>
      <c r="Q423" s="317"/>
      <c r="R423" s="318"/>
      <c r="S423" s="316"/>
      <c r="T423" s="317"/>
      <c r="U423" s="318"/>
      <c r="V423" s="88"/>
      <c r="W423" s="317"/>
      <c r="X423" s="311"/>
      <c r="Y423" s="143"/>
      <c r="Z423" s="143"/>
      <c r="AA423" s="143"/>
      <c r="AB423" s="17"/>
      <c r="AC423" s="17"/>
      <c r="AD423" s="17"/>
      <c r="AE423" s="17"/>
    </row>
    <row r="424">
      <c r="A424" s="88"/>
      <c r="B424" s="121"/>
      <c r="C424" s="311"/>
      <c r="D424" s="88"/>
      <c r="E424" s="121"/>
      <c r="F424" s="311"/>
      <c r="G424" s="88"/>
      <c r="H424" s="121"/>
      <c r="I424" s="311"/>
      <c r="J424" s="88"/>
      <c r="K424" s="121"/>
      <c r="L424" s="311"/>
      <c r="M424" s="316"/>
      <c r="N424" s="317"/>
      <c r="O424" s="318"/>
      <c r="P424" s="316"/>
      <c r="Q424" s="317"/>
      <c r="R424" s="318"/>
      <c r="S424" s="316"/>
      <c r="T424" s="317"/>
      <c r="U424" s="318"/>
      <c r="V424" s="88"/>
      <c r="W424" s="317"/>
      <c r="X424" s="311"/>
      <c r="Y424" s="143"/>
      <c r="Z424" s="143"/>
      <c r="AA424" s="143"/>
      <c r="AB424" s="17"/>
      <c r="AC424" s="17"/>
      <c r="AD424" s="17"/>
      <c r="AE424" s="17"/>
    </row>
    <row r="425">
      <c r="A425" s="88"/>
      <c r="B425" s="121"/>
      <c r="C425" s="311"/>
      <c r="D425" s="88"/>
      <c r="E425" s="121"/>
      <c r="F425" s="311"/>
      <c r="G425" s="88"/>
      <c r="H425" s="121"/>
      <c r="I425" s="311"/>
      <c r="J425" s="88"/>
      <c r="K425" s="121"/>
      <c r="L425" s="311"/>
      <c r="M425" s="316"/>
      <c r="N425" s="317"/>
      <c r="O425" s="318"/>
      <c r="P425" s="316"/>
      <c r="Q425" s="317"/>
      <c r="R425" s="318"/>
      <c r="S425" s="316"/>
      <c r="T425" s="317"/>
      <c r="U425" s="318"/>
      <c r="V425" s="88"/>
      <c r="W425" s="317"/>
      <c r="X425" s="311"/>
      <c r="Y425" s="143"/>
      <c r="Z425" s="143"/>
      <c r="AA425" s="143"/>
      <c r="AB425" s="17"/>
      <c r="AC425" s="17"/>
      <c r="AD425" s="17"/>
      <c r="AE425" s="17"/>
    </row>
    <row r="426">
      <c r="A426" s="88"/>
      <c r="B426" s="121"/>
      <c r="C426" s="311"/>
      <c r="D426" s="88"/>
      <c r="E426" s="121"/>
      <c r="F426" s="311"/>
      <c r="G426" s="88"/>
      <c r="H426" s="121"/>
      <c r="I426" s="311"/>
      <c r="J426" s="88"/>
      <c r="K426" s="121"/>
      <c r="L426" s="311"/>
      <c r="M426" s="316"/>
      <c r="N426" s="317"/>
      <c r="O426" s="318"/>
      <c r="P426" s="316"/>
      <c r="Q426" s="317"/>
      <c r="R426" s="318"/>
      <c r="S426" s="316"/>
      <c r="T426" s="317"/>
      <c r="U426" s="318"/>
      <c r="V426" s="88"/>
      <c r="W426" s="317"/>
      <c r="X426" s="311"/>
      <c r="Y426" s="143"/>
      <c r="Z426" s="143"/>
      <c r="AA426" s="143"/>
      <c r="AB426" s="17"/>
      <c r="AC426" s="17"/>
      <c r="AD426" s="17"/>
      <c r="AE426" s="17"/>
    </row>
    <row r="427">
      <c r="A427" s="88"/>
      <c r="B427" s="121"/>
      <c r="C427" s="311"/>
      <c r="D427" s="88"/>
      <c r="E427" s="121"/>
      <c r="F427" s="311"/>
      <c r="G427" s="88"/>
      <c r="H427" s="121"/>
      <c r="I427" s="311"/>
      <c r="J427" s="88"/>
      <c r="K427" s="121"/>
      <c r="L427" s="311"/>
      <c r="M427" s="316"/>
      <c r="N427" s="317"/>
      <c r="O427" s="318"/>
      <c r="P427" s="316"/>
      <c r="Q427" s="317"/>
      <c r="R427" s="318"/>
      <c r="S427" s="316"/>
      <c r="T427" s="317"/>
      <c r="U427" s="318"/>
      <c r="V427" s="88"/>
      <c r="W427" s="317"/>
      <c r="X427" s="311"/>
      <c r="Y427" s="143"/>
      <c r="Z427" s="143"/>
      <c r="AA427" s="143"/>
      <c r="AB427" s="17"/>
      <c r="AC427" s="17"/>
      <c r="AD427" s="17"/>
      <c r="AE427" s="17"/>
    </row>
    <row r="428">
      <c r="A428" s="88"/>
      <c r="B428" s="121"/>
      <c r="C428" s="311"/>
      <c r="D428" s="88"/>
      <c r="E428" s="121"/>
      <c r="F428" s="311"/>
      <c r="G428" s="88"/>
      <c r="H428" s="121"/>
      <c r="I428" s="311"/>
      <c r="J428" s="88"/>
      <c r="K428" s="121"/>
      <c r="L428" s="311"/>
      <c r="M428" s="316"/>
      <c r="N428" s="317"/>
      <c r="O428" s="318"/>
      <c r="P428" s="316"/>
      <c r="Q428" s="317"/>
      <c r="R428" s="318"/>
      <c r="S428" s="316"/>
      <c r="T428" s="317"/>
      <c r="U428" s="318"/>
      <c r="V428" s="88"/>
      <c r="W428" s="317"/>
      <c r="X428" s="311"/>
      <c r="Y428" s="143"/>
      <c r="Z428" s="143"/>
      <c r="AA428" s="143"/>
      <c r="AB428" s="17"/>
      <c r="AC428" s="17"/>
      <c r="AD428" s="17"/>
      <c r="AE428" s="17"/>
    </row>
    <row r="429">
      <c r="A429" s="88"/>
      <c r="B429" s="121"/>
      <c r="C429" s="311"/>
      <c r="D429" s="88"/>
      <c r="E429" s="121"/>
      <c r="F429" s="311"/>
      <c r="G429" s="88"/>
      <c r="H429" s="121"/>
      <c r="I429" s="311"/>
      <c r="J429" s="88"/>
      <c r="K429" s="121"/>
      <c r="L429" s="311"/>
      <c r="M429" s="316"/>
      <c r="N429" s="317"/>
      <c r="O429" s="318"/>
      <c r="P429" s="316"/>
      <c r="Q429" s="317"/>
      <c r="R429" s="318"/>
      <c r="S429" s="316"/>
      <c r="T429" s="317"/>
      <c r="U429" s="318"/>
      <c r="V429" s="88"/>
      <c r="W429" s="317"/>
      <c r="X429" s="311"/>
      <c r="Y429" s="143"/>
      <c r="Z429" s="143"/>
      <c r="AA429" s="143"/>
      <c r="AB429" s="17"/>
      <c r="AC429" s="17"/>
      <c r="AD429" s="17"/>
      <c r="AE429" s="17"/>
    </row>
    <row r="430">
      <c r="A430" s="88"/>
      <c r="B430" s="121"/>
      <c r="C430" s="311"/>
      <c r="D430" s="88"/>
      <c r="E430" s="121"/>
      <c r="F430" s="311"/>
      <c r="G430" s="88"/>
      <c r="H430" s="121"/>
      <c r="I430" s="311"/>
      <c r="J430" s="88"/>
      <c r="K430" s="121"/>
      <c r="L430" s="311"/>
      <c r="M430" s="316"/>
      <c r="N430" s="317"/>
      <c r="O430" s="318"/>
      <c r="P430" s="316"/>
      <c r="Q430" s="317"/>
      <c r="R430" s="318"/>
      <c r="S430" s="316"/>
      <c r="T430" s="317"/>
      <c r="U430" s="318"/>
      <c r="V430" s="88"/>
      <c r="W430" s="317"/>
      <c r="X430" s="311"/>
      <c r="Y430" s="143"/>
      <c r="Z430" s="143"/>
      <c r="AA430" s="143"/>
      <c r="AB430" s="17"/>
      <c r="AC430" s="17"/>
      <c r="AD430" s="17"/>
      <c r="AE430" s="17"/>
    </row>
    <row r="431">
      <c r="A431" s="88"/>
      <c r="B431" s="121"/>
      <c r="C431" s="311"/>
      <c r="D431" s="88"/>
      <c r="E431" s="121"/>
      <c r="F431" s="311"/>
      <c r="G431" s="88"/>
      <c r="H431" s="121"/>
      <c r="I431" s="311"/>
      <c r="J431" s="88"/>
      <c r="K431" s="121"/>
      <c r="L431" s="311"/>
      <c r="M431" s="316"/>
      <c r="N431" s="317"/>
      <c r="O431" s="318"/>
      <c r="P431" s="316"/>
      <c r="Q431" s="317"/>
      <c r="R431" s="318"/>
      <c r="S431" s="316"/>
      <c r="T431" s="317"/>
      <c r="U431" s="318"/>
      <c r="V431" s="88"/>
      <c r="W431" s="317"/>
      <c r="X431" s="311"/>
      <c r="Y431" s="143"/>
      <c r="Z431" s="143"/>
      <c r="AA431" s="143"/>
      <c r="AB431" s="17"/>
      <c r="AC431" s="17"/>
      <c r="AD431" s="17"/>
      <c r="AE431" s="17"/>
    </row>
    <row r="432">
      <c r="A432" s="88"/>
      <c r="B432" s="121"/>
      <c r="C432" s="311"/>
      <c r="D432" s="88"/>
      <c r="E432" s="121"/>
      <c r="F432" s="311"/>
      <c r="G432" s="88"/>
      <c r="H432" s="121"/>
      <c r="I432" s="311"/>
      <c r="J432" s="88"/>
      <c r="K432" s="121"/>
      <c r="L432" s="311"/>
      <c r="M432" s="316"/>
      <c r="N432" s="317"/>
      <c r="O432" s="318"/>
      <c r="P432" s="316"/>
      <c r="Q432" s="317"/>
      <c r="R432" s="318"/>
      <c r="S432" s="316"/>
      <c r="T432" s="317"/>
      <c r="U432" s="318"/>
      <c r="V432" s="88"/>
      <c r="W432" s="317"/>
      <c r="X432" s="311"/>
      <c r="Y432" s="143"/>
      <c r="Z432" s="143"/>
      <c r="AA432" s="143"/>
      <c r="AB432" s="17"/>
      <c r="AC432" s="17"/>
      <c r="AD432" s="17"/>
      <c r="AE432" s="17"/>
    </row>
    <row r="433">
      <c r="A433" s="88"/>
      <c r="B433" s="121"/>
      <c r="C433" s="311"/>
      <c r="D433" s="88"/>
      <c r="E433" s="121"/>
      <c r="F433" s="311"/>
      <c r="G433" s="88"/>
      <c r="H433" s="121"/>
      <c r="I433" s="311"/>
      <c r="J433" s="88"/>
      <c r="K433" s="121"/>
      <c r="L433" s="311"/>
      <c r="M433" s="316"/>
      <c r="N433" s="317"/>
      <c r="O433" s="318"/>
      <c r="P433" s="316"/>
      <c r="Q433" s="317"/>
      <c r="R433" s="318"/>
      <c r="S433" s="316"/>
      <c r="T433" s="317"/>
      <c r="U433" s="318"/>
      <c r="V433" s="88"/>
      <c r="W433" s="317"/>
      <c r="X433" s="311"/>
      <c r="Y433" s="143"/>
      <c r="Z433" s="143"/>
      <c r="AA433" s="143"/>
      <c r="AB433" s="17"/>
      <c r="AC433" s="17"/>
      <c r="AD433" s="17"/>
      <c r="AE433" s="17"/>
    </row>
    <row r="434">
      <c r="A434" s="88"/>
      <c r="B434" s="121"/>
      <c r="C434" s="311"/>
      <c r="D434" s="88"/>
      <c r="E434" s="121"/>
      <c r="F434" s="311"/>
      <c r="G434" s="88"/>
      <c r="H434" s="121"/>
      <c r="I434" s="311"/>
      <c r="J434" s="88"/>
      <c r="K434" s="121"/>
      <c r="L434" s="311"/>
      <c r="M434" s="316"/>
      <c r="N434" s="317"/>
      <c r="O434" s="318"/>
      <c r="P434" s="316"/>
      <c r="Q434" s="317"/>
      <c r="R434" s="318"/>
      <c r="S434" s="316"/>
      <c r="T434" s="317"/>
      <c r="U434" s="318"/>
      <c r="V434" s="88"/>
      <c r="W434" s="317"/>
      <c r="X434" s="311"/>
      <c r="Y434" s="143"/>
      <c r="Z434" s="143"/>
      <c r="AA434" s="143"/>
      <c r="AB434" s="17"/>
      <c r="AC434" s="17"/>
      <c r="AD434" s="17"/>
      <c r="AE434" s="17"/>
    </row>
    <row r="435">
      <c r="A435" s="88"/>
      <c r="B435" s="121"/>
      <c r="C435" s="311"/>
      <c r="D435" s="88"/>
      <c r="E435" s="121"/>
      <c r="F435" s="311"/>
      <c r="G435" s="88"/>
      <c r="H435" s="121"/>
      <c r="I435" s="311"/>
      <c r="J435" s="88"/>
      <c r="K435" s="121"/>
      <c r="L435" s="311"/>
      <c r="M435" s="316"/>
      <c r="N435" s="317"/>
      <c r="O435" s="318"/>
      <c r="P435" s="316"/>
      <c r="Q435" s="317"/>
      <c r="R435" s="318"/>
      <c r="S435" s="316"/>
      <c r="T435" s="317"/>
      <c r="U435" s="318"/>
      <c r="V435" s="88"/>
      <c r="W435" s="317"/>
      <c r="X435" s="311"/>
      <c r="Y435" s="143"/>
      <c r="Z435" s="143"/>
      <c r="AA435" s="143"/>
      <c r="AB435" s="17"/>
      <c r="AC435" s="17"/>
      <c r="AD435" s="17"/>
      <c r="AE435" s="17"/>
    </row>
    <row r="436">
      <c r="A436" s="88"/>
      <c r="B436" s="121"/>
      <c r="C436" s="311"/>
      <c r="D436" s="88"/>
      <c r="E436" s="121"/>
      <c r="F436" s="311"/>
      <c r="G436" s="88"/>
      <c r="H436" s="121"/>
      <c r="I436" s="311"/>
      <c r="J436" s="88"/>
      <c r="K436" s="121"/>
      <c r="L436" s="311"/>
      <c r="M436" s="316"/>
      <c r="N436" s="317"/>
      <c r="O436" s="318"/>
      <c r="P436" s="316"/>
      <c r="Q436" s="317"/>
      <c r="R436" s="318"/>
      <c r="S436" s="316"/>
      <c r="T436" s="317"/>
      <c r="U436" s="318"/>
      <c r="V436" s="88"/>
      <c r="W436" s="317"/>
      <c r="X436" s="311"/>
      <c r="Y436" s="143"/>
      <c r="Z436" s="143"/>
      <c r="AA436" s="143"/>
      <c r="AB436" s="17"/>
      <c r="AC436" s="17"/>
      <c r="AD436" s="17"/>
      <c r="AE436" s="17"/>
    </row>
    <row r="437">
      <c r="A437" s="88"/>
      <c r="B437" s="121"/>
      <c r="C437" s="311"/>
      <c r="D437" s="88"/>
      <c r="E437" s="121"/>
      <c r="F437" s="311"/>
      <c r="G437" s="88"/>
      <c r="H437" s="121"/>
      <c r="I437" s="311"/>
      <c r="J437" s="88"/>
      <c r="K437" s="121"/>
      <c r="L437" s="311"/>
      <c r="M437" s="316"/>
      <c r="N437" s="317"/>
      <c r="O437" s="318"/>
      <c r="P437" s="316"/>
      <c r="Q437" s="317"/>
      <c r="R437" s="318"/>
      <c r="S437" s="316"/>
      <c r="T437" s="317"/>
      <c r="U437" s="318"/>
      <c r="V437" s="88"/>
      <c r="W437" s="317"/>
      <c r="X437" s="311"/>
      <c r="Y437" s="143"/>
      <c r="Z437" s="143"/>
      <c r="AA437" s="143"/>
      <c r="AB437" s="17"/>
      <c r="AC437" s="17"/>
      <c r="AD437" s="17"/>
      <c r="AE437" s="17"/>
    </row>
    <row r="438">
      <c r="A438" s="88"/>
      <c r="B438" s="121"/>
      <c r="C438" s="311"/>
      <c r="D438" s="88"/>
      <c r="E438" s="121"/>
      <c r="F438" s="311"/>
      <c r="G438" s="88"/>
      <c r="H438" s="121"/>
      <c r="I438" s="311"/>
      <c r="J438" s="88"/>
      <c r="K438" s="121"/>
      <c r="L438" s="311"/>
      <c r="M438" s="316"/>
      <c r="N438" s="317"/>
      <c r="O438" s="318"/>
      <c r="P438" s="316"/>
      <c r="Q438" s="317"/>
      <c r="R438" s="318"/>
      <c r="S438" s="316"/>
      <c r="T438" s="317"/>
      <c r="U438" s="318"/>
      <c r="V438" s="88"/>
      <c r="W438" s="317"/>
      <c r="X438" s="311"/>
      <c r="Y438" s="143"/>
      <c r="Z438" s="143"/>
      <c r="AA438" s="143"/>
      <c r="AB438" s="17"/>
      <c r="AC438" s="17"/>
      <c r="AD438" s="17"/>
      <c r="AE438" s="17"/>
    </row>
    <row r="439">
      <c r="A439" s="88"/>
      <c r="B439" s="121"/>
      <c r="C439" s="311"/>
      <c r="D439" s="88"/>
      <c r="E439" s="121"/>
      <c r="F439" s="311"/>
      <c r="G439" s="88"/>
      <c r="H439" s="121"/>
      <c r="I439" s="311"/>
      <c r="J439" s="88"/>
      <c r="K439" s="121"/>
      <c r="L439" s="311"/>
      <c r="M439" s="316"/>
      <c r="N439" s="317"/>
      <c r="O439" s="318"/>
      <c r="P439" s="316"/>
      <c r="Q439" s="317"/>
      <c r="R439" s="318"/>
      <c r="S439" s="316"/>
      <c r="T439" s="317"/>
      <c r="U439" s="318"/>
      <c r="V439" s="88"/>
      <c r="W439" s="317"/>
      <c r="X439" s="311"/>
      <c r="Y439" s="143"/>
      <c r="Z439" s="143"/>
      <c r="AA439" s="143"/>
      <c r="AB439" s="17"/>
      <c r="AC439" s="17"/>
      <c r="AD439" s="17"/>
      <c r="AE439" s="17"/>
    </row>
    <row r="440">
      <c r="A440" s="88"/>
      <c r="B440" s="121"/>
      <c r="C440" s="311"/>
      <c r="D440" s="88"/>
      <c r="E440" s="121"/>
      <c r="F440" s="311"/>
      <c r="G440" s="88"/>
      <c r="H440" s="121"/>
      <c r="I440" s="311"/>
      <c r="J440" s="88"/>
      <c r="K440" s="121"/>
      <c r="L440" s="311"/>
      <c r="M440" s="316"/>
      <c r="N440" s="317"/>
      <c r="O440" s="318"/>
      <c r="P440" s="316"/>
      <c r="Q440" s="317"/>
      <c r="R440" s="318"/>
      <c r="S440" s="316"/>
      <c r="T440" s="317"/>
      <c r="U440" s="318"/>
      <c r="V440" s="88"/>
      <c r="W440" s="317"/>
      <c r="X440" s="311"/>
      <c r="Y440" s="143"/>
      <c r="Z440" s="143"/>
      <c r="AA440" s="143"/>
      <c r="AB440" s="17"/>
      <c r="AC440" s="17"/>
      <c r="AD440" s="17"/>
      <c r="AE440" s="17"/>
    </row>
    <row r="441">
      <c r="A441" s="88"/>
      <c r="B441" s="121"/>
      <c r="C441" s="311"/>
      <c r="D441" s="88"/>
      <c r="E441" s="121"/>
      <c r="F441" s="311"/>
      <c r="G441" s="88"/>
      <c r="H441" s="121"/>
      <c r="I441" s="311"/>
      <c r="J441" s="88"/>
      <c r="K441" s="121"/>
      <c r="L441" s="311"/>
      <c r="M441" s="316"/>
      <c r="N441" s="317"/>
      <c r="O441" s="318"/>
      <c r="P441" s="316"/>
      <c r="Q441" s="317"/>
      <c r="R441" s="318"/>
      <c r="S441" s="316"/>
      <c r="T441" s="317"/>
      <c r="U441" s="318"/>
      <c r="V441" s="88"/>
      <c r="W441" s="317"/>
      <c r="X441" s="311"/>
      <c r="Y441" s="143"/>
      <c r="Z441" s="143"/>
      <c r="AA441" s="143"/>
      <c r="AB441" s="17"/>
      <c r="AC441" s="17"/>
      <c r="AD441" s="17"/>
      <c r="AE441" s="17"/>
    </row>
    <row r="442">
      <c r="A442" s="88"/>
      <c r="B442" s="121"/>
      <c r="C442" s="311"/>
      <c r="D442" s="88"/>
      <c r="E442" s="121"/>
      <c r="F442" s="311"/>
      <c r="G442" s="88"/>
      <c r="H442" s="121"/>
      <c r="I442" s="311"/>
      <c r="J442" s="88"/>
      <c r="K442" s="121"/>
      <c r="L442" s="311"/>
      <c r="M442" s="316"/>
      <c r="N442" s="317"/>
      <c r="O442" s="318"/>
      <c r="P442" s="316"/>
      <c r="Q442" s="317"/>
      <c r="R442" s="318"/>
      <c r="S442" s="316"/>
      <c r="T442" s="317"/>
      <c r="U442" s="318"/>
      <c r="V442" s="88"/>
      <c r="W442" s="317"/>
      <c r="X442" s="311"/>
      <c r="Y442" s="143"/>
      <c r="Z442" s="143"/>
      <c r="AA442" s="143"/>
      <c r="AB442" s="17"/>
      <c r="AC442" s="17"/>
      <c r="AD442" s="17"/>
      <c r="AE442" s="17"/>
    </row>
    <row r="443">
      <c r="A443" s="88"/>
      <c r="B443" s="121"/>
      <c r="C443" s="311"/>
      <c r="D443" s="88"/>
      <c r="E443" s="121"/>
      <c r="F443" s="311"/>
      <c r="G443" s="88"/>
      <c r="H443" s="121"/>
      <c r="I443" s="311"/>
      <c r="J443" s="88"/>
      <c r="K443" s="121"/>
      <c r="L443" s="311"/>
      <c r="M443" s="316"/>
      <c r="N443" s="317"/>
      <c r="O443" s="318"/>
      <c r="P443" s="316"/>
      <c r="Q443" s="317"/>
      <c r="R443" s="318"/>
      <c r="S443" s="316"/>
      <c r="T443" s="317"/>
      <c r="U443" s="318"/>
      <c r="V443" s="88"/>
      <c r="W443" s="317"/>
      <c r="X443" s="311"/>
      <c r="Y443" s="143"/>
      <c r="Z443" s="143"/>
      <c r="AA443" s="143"/>
      <c r="AB443" s="17"/>
      <c r="AC443" s="17"/>
      <c r="AD443" s="17"/>
      <c r="AE443" s="17"/>
    </row>
    <row r="444">
      <c r="A444" s="88"/>
      <c r="B444" s="121"/>
      <c r="C444" s="311"/>
      <c r="D444" s="88"/>
      <c r="E444" s="121"/>
      <c r="F444" s="311"/>
      <c r="G444" s="88"/>
      <c r="H444" s="121"/>
      <c r="I444" s="311"/>
      <c r="J444" s="88"/>
      <c r="K444" s="121"/>
      <c r="L444" s="311"/>
      <c r="M444" s="316"/>
      <c r="N444" s="317"/>
      <c r="O444" s="318"/>
      <c r="P444" s="316"/>
      <c r="Q444" s="317"/>
      <c r="R444" s="318"/>
      <c r="S444" s="316"/>
      <c r="T444" s="317"/>
      <c r="U444" s="318"/>
      <c r="V444" s="88"/>
      <c r="W444" s="317"/>
      <c r="X444" s="311"/>
      <c r="Y444" s="143"/>
      <c r="Z444" s="143"/>
      <c r="AA444" s="143"/>
      <c r="AB444" s="17"/>
      <c r="AC444" s="17"/>
      <c r="AD444" s="17"/>
      <c r="AE444" s="17"/>
    </row>
    <row r="445">
      <c r="A445" s="88"/>
      <c r="B445" s="121"/>
      <c r="C445" s="311"/>
      <c r="D445" s="88"/>
      <c r="E445" s="121"/>
      <c r="F445" s="311"/>
      <c r="G445" s="88"/>
      <c r="H445" s="121"/>
      <c r="I445" s="311"/>
      <c r="J445" s="88"/>
      <c r="K445" s="121"/>
      <c r="L445" s="311"/>
      <c r="M445" s="316"/>
      <c r="N445" s="317"/>
      <c r="O445" s="318"/>
      <c r="P445" s="316"/>
      <c r="Q445" s="317"/>
      <c r="R445" s="318"/>
      <c r="S445" s="316"/>
      <c r="T445" s="317"/>
      <c r="U445" s="318"/>
      <c r="V445" s="88"/>
      <c r="W445" s="317"/>
      <c r="X445" s="311"/>
      <c r="Y445" s="143"/>
      <c r="Z445" s="143"/>
      <c r="AA445" s="143"/>
      <c r="AB445" s="17"/>
      <c r="AC445" s="17"/>
      <c r="AD445" s="17"/>
      <c r="AE445" s="17"/>
    </row>
    <row r="446">
      <c r="A446" s="88"/>
      <c r="B446" s="121"/>
      <c r="C446" s="311"/>
      <c r="D446" s="88"/>
      <c r="E446" s="121"/>
      <c r="F446" s="311"/>
      <c r="G446" s="88"/>
      <c r="H446" s="121"/>
      <c r="I446" s="311"/>
      <c r="J446" s="88"/>
      <c r="K446" s="121"/>
      <c r="L446" s="311"/>
      <c r="M446" s="316"/>
      <c r="N446" s="317"/>
      <c r="O446" s="318"/>
      <c r="P446" s="316"/>
      <c r="Q446" s="317"/>
      <c r="R446" s="318"/>
      <c r="S446" s="316"/>
      <c r="T446" s="317"/>
      <c r="U446" s="318"/>
      <c r="V446" s="88"/>
      <c r="W446" s="317"/>
      <c r="X446" s="311"/>
      <c r="Y446" s="143"/>
      <c r="Z446" s="143"/>
      <c r="AA446" s="143"/>
      <c r="AB446" s="17"/>
      <c r="AC446" s="17"/>
      <c r="AD446" s="17"/>
      <c r="AE446" s="17"/>
    </row>
    <row r="447">
      <c r="A447" s="88"/>
      <c r="B447" s="121"/>
      <c r="C447" s="311"/>
      <c r="D447" s="88"/>
      <c r="E447" s="121"/>
      <c r="F447" s="311"/>
      <c r="G447" s="88"/>
      <c r="H447" s="121"/>
      <c r="I447" s="311"/>
      <c r="J447" s="88"/>
      <c r="K447" s="121"/>
      <c r="L447" s="311"/>
      <c r="M447" s="316"/>
      <c r="N447" s="317"/>
      <c r="O447" s="318"/>
      <c r="P447" s="316"/>
      <c r="Q447" s="317"/>
      <c r="R447" s="318"/>
      <c r="S447" s="316"/>
      <c r="T447" s="317"/>
      <c r="U447" s="318"/>
      <c r="V447" s="88"/>
      <c r="W447" s="317"/>
      <c r="X447" s="311"/>
      <c r="Y447" s="143"/>
      <c r="Z447" s="143"/>
      <c r="AA447" s="143"/>
      <c r="AB447" s="17"/>
      <c r="AC447" s="17"/>
      <c r="AD447" s="17"/>
      <c r="AE447" s="17"/>
    </row>
    <row r="448">
      <c r="A448" s="88"/>
      <c r="B448" s="121"/>
      <c r="C448" s="311"/>
      <c r="D448" s="88"/>
      <c r="E448" s="121"/>
      <c r="F448" s="311"/>
      <c r="G448" s="88"/>
      <c r="H448" s="121"/>
      <c r="I448" s="311"/>
      <c r="J448" s="88"/>
      <c r="K448" s="121"/>
      <c r="L448" s="311"/>
      <c r="M448" s="316"/>
      <c r="N448" s="317"/>
      <c r="O448" s="318"/>
      <c r="P448" s="316"/>
      <c r="Q448" s="317"/>
      <c r="R448" s="318"/>
      <c r="S448" s="316"/>
      <c r="T448" s="317"/>
      <c r="U448" s="318"/>
      <c r="V448" s="88"/>
      <c r="W448" s="317"/>
      <c r="X448" s="311"/>
      <c r="Y448" s="143"/>
      <c r="Z448" s="143"/>
      <c r="AA448" s="143"/>
      <c r="AB448" s="17"/>
      <c r="AC448" s="17"/>
      <c r="AD448" s="17"/>
      <c r="AE448" s="17"/>
    </row>
    <row r="449">
      <c r="A449" s="88"/>
      <c r="B449" s="121"/>
      <c r="C449" s="311"/>
      <c r="D449" s="88"/>
      <c r="E449" s="121"/>
      <c r="F449" s="311"/>
      <c r="G449" s="88"/>
      <c r="H449" s="121"/>
      <c r="I449" s="311"/>
      <c r="J449" s="88"/>
      <c r="K449" s="121"/>
      <c r="L449" s="311"/>
      <c r="M449" s="316"/>
      <c r="N449" s="317"/>
      <c r="O449" s="318"/>
      <c r="P449" s="316"/>
      <c r="Q449" s="317"/>
      <c r="R449" s="318"/>
      <c r="S449" s="316"/>
      <c r="T449" s="317"/>
      <c r="U449" s="318"/>
      <c r="V449" s="88"/>
      <c r="W449" s="317"/>
      <c r="X449" s="311"/>
      <c r="Y449" s="143"/>
      <c r="Z449" s="143"/>
      <c r="AA449" s="143"/>
      <c r="AB449" s="17"/>
      <c r="AC449" s="17"/>
      <c r="AD449" s="17"/>
      <c r="AE449" s="17"/>
    </row>
    <row r="450">
      <c r="A450" s="88"/>
      <c r="B450" s="121"/>
      <c r="C450" s="311"/>
      <c r="D450" s="88"/>
      <c r="E450" s="121"/>
      <c r="F450" s="311"/>
      <c r="G450" s="88"/>
      <c r="H450" s="121"/>
      <c r="I450" s="311"/>
      <c r="J450" s="88"/>
      <c r="K450" s="121"/>
      <c r="L450" s="311"/>
      <c r="M450" s="316"/>
      <c r="N450" s="317"/>
      <c r="O450" s="318"/>
      <c r="P450" s="316"/>
      <c r="Q450" s="317"/>
      <c r="R450" s="318"/>
      <c r="S450" s="316"/>
      <c r="T450" s="317"/>
      <c r="U450" s="318"/>
      <c r="V450" s="88"/>
      <c r="W450" s="317"/>
      <c r="X450" s="311"/>
      <c r="Y450" s="143"/>
      <c r="Z450" s="143"/>
      <c r="AA450" s="143"/>
      <c r="AB450" s="17"/>
      <c r="AC450" s="17"/>
      <c r="AD450" s="17"/>
      <c r="AE450" s="17"/>
    </row>
    <row r="451">
      <c r="A451" s="88"/>
      <c r="B451" s="121"/>
      <c r="C451" s="311"/>
      <c r="D451" s="88"/>
      <c r="E451" s="121"/>
      <c r="F451" s="311"/>
      <c r="G451" s="88"/>
      <c r="H451" s="121"/>
      <c r="I451" s="311"/>
      <c r="J451" s="88"/>
      <c r="K451" s="121"/>
      <c r="L451" s="311"/>
      <c r="M451" s="316"/>
      <c r="N451" s="317"/>
      <c r="O451" s="318"/>
      <c r="P451" s="316"/>
      <c r="Q451" s="317"/>
      <c r="R451" s="318"/>
      <c r="S451" s="316"/>
      <c r="T451" s="317"/>
      <c r="U451" s="318"/>
      <c r="V451" s="88"/>
      <c r="W451" s="317"/>
      <c r="X451" s="311"/>
      <c r="Y451" s="143"/>
      <c r="Z451" s="143"/>
      <c r="AA451" s="143"/>
      <c r="AB451" s="17"/>
      <c r="AC451" s="17"/>
      <c r="AD451" s="17"/>
      <c r="AE451" s="17"/>
    </row>
    <row r="452">
      <c r="A452" s="88"/>
      <c r="B452" s="121"/>
      <c r="C452" s="311"/>
      <c r="D452" s="88"/>
      <c r="E452" s="121"/>
      <c r="F452" s="311"/>
      <c r="G452" s="88"/>
      <c r="H452" s="121"/>
      <c r="I452" s="311"/>
      <c r="J452" s="88"/>
      <c r="K452" s="121"/>
      <c r="L452" s="311"/>
      <c r="M452" s="316"/>
      <c r="N452" s="317"/>
      <c r="O452" s="318"/>
      <c r="P452" s="316"/>
      <c r="Q452" s="317"/>
      <c r="R452" s="318"/>
      <c r="S452" s="316"/>
      <c r="T452" s="317"/>
      <c r="U452" s="318"/>
      <c r="V452" s="88"/>
      <c r="W452" s="317"/>
      <c r="X452" s="311"/>
      <c r="Y452" s="143"/>
      <c r="Z452" s="143"/>
      <c r="AA452" s="143"/>
      <c r="AB452" s="17"/>
      <c r="AC452" s="17"/>
      <c r="AD452" s="17"/>
      <c r="AE452" s="17"/>
    </row>
    <row r="453">
      <c r="A453" s="88"/>
      <c r="B453" s="121"/>
      <c r="C453" s="311"/>
      <c r="D453" s="88"/>
      <c r="E453" s="121"/>
      <c r="F453" s="311"/>
      <c r="G453" s="88"/>
      <c r="H453" s="121"/>
      <c r="I453" s="311"/>
      <c r="J453" s="88"/>
      <c r="K453" s="121"/>
      <c r="L453" s="311"/>
      <c r="M453" s="316"/>
      <c r="N453" s="317"/>
      <c r="O453" s="318"/>
      <c r="P453" s="316"/>
      <c r="Q453" s="317"/>
      <c r="R453" s="318"/>
      <c r="S453" s="316"/>
      <c r="T453" s="317"/>
      <c r="U453" s="318"/>
      <c r="V453" s="88"/>
      <c r="W453" s="317"/>
      <c r="X453" s="311"/>
      <c r="Y453" s="143"/>
      <c r="Z453" s="143"/>
      <c r="AA453" s="143"/>
      <c r="AB453" s="17"/>
      <c r="AC453" s="17"/>
      <c r="AD453" s="17"/>
      <c r="AE453" s="17"/>
    </row>
    <row r="454">
      <c r="A454" s="88"/>
      <c r="B454" s="121"/>
      <c r="C454" s="311"/>
      <c r="D454" s="88"/>
      <c r="E454" s="121"/>
      <c r="F454" s="311"/>
      <c r="G454" s="88"/>
      <c r="H454" s="121"/>
      <c r="I454" s="311"/>
      <c r="J454" s="88"/>
      <c r="K454" s="121"/>
      <c r="L454" s="311"/>
      <c r="M454" s="316"/>
      <c r="N454" s="317"/>
      <c r="O454" s="318"/>
      <c r="P454" s="316"/>
      <c r="Q454" s="317"/>
      <c r="R454" s="318"/>
      <c r="S454" s="316"/>
      <c r="T454" s="317"/>
      <c r="U454" s="318"/>
      <c r="V454" s="88"/>
      <c r="W454" s="317"/>
      <c r="X454" s="311"/>
      <c r="Y454" s="143"/>
      <c r="Z454" s="143"/>
      <c r="AA454" s="143"/>
      <c r="AB454" s="17"/>
      <c r="AC454" s="17"/>
      <c r="AD454" s="17"/>
      <c r="AE454" s="17"/>
    </row>
    <row r="455">
      <c r="A455" s="88"/>
      <c r="B455" s="121"/>
      <c r="C455" s="311"/>
      <c r="D455" s="88"/>
      <c r="E455" s="121"/>
      <c r="F455" s="311"/>
      <c r="G455" s="88"/>
      <c r="H455" s="121"/>
      <c r="I455" s="311"/>
      <c r="J455" s="88"/>
      <c r="K455" s="121"/>
      <c r="L455" s="311"/>
      <c r="M455" s="316"/>
      <c r="N455" s="317"/>
      <c r="O455" s="318"/>
      <c r="P455" s="316"/>
      <c r="Q455" s="317"/>
      <c r="R455" s="318"/>
      <c r="S455" s="316"/>
      <c r="T455" s="317"/>
      <c r="U455" s="318"/>
      <c r="V455" s="88"/>
      <c r="W455" s="317"/>
      <c r="X455" s="311"/>
      <c r="Y455" s="143"/>
      <c r="Z455" s="143"/>
      <c r="AA455" s="143"/>
      <c r="AB455" s="17"/>
      <c r="AC455" s="17"/>
      <c r="AD455" s="17"/>
      <c r="AE455" s="17"/>
    </row>
    <row r="456">
      <c r="A456" s="88"/>
      <c r="B456" s="121"/>
      <c r="C456" s="311"/>
      <c r="D456" s="88"/>
      <c r="E456" s="121"/>
      <c r="F456" s="311"/>
      <c r="G456" s="88"/>
      <c r="H456" s="121"/>
      <c r="I456" s="311"/>
      <c r="J456" s="88"/>
      <c r="K456" s="121"/>
      <c r="L456" s="311"/>
      <c r="M456" s="316"/>
      <c r="N456" s="317"/>
      <c r="O456" s="318"/>
      <c r="P456" s="316"/>
      <c r="Q456" s="317"/>
      <c r="R456" s="318"/>
      <c r="S456" s="316"/>
      <c r="T456" s="317"/>
      <c r="U456" s="318"/>
      <c r="V456" s="88"/>
      <c r="W456" s="317"/>
      <c r="X456" s="311"/>
      <c r="Y456" s="143"/>
      <c r="Z456" s="143"/>
      <c r="AA456" s="143"/>
      <c r="AB456" s="17"/>
      <c r="AC456" s="17"/>
      <c r="AD456" s="17"/>
      <c r="AE456" s="17"/>
    </row>
    <row r="457">
      <c r="A457" s="88"/>
      <c r="B457" s="121"/>
      <c r="C457" s="311"/>
      <c r="D457" s="88"/>
      <c r="E457" s="121"/>
      <c r="F457" s="311"/>
      <c r="G457" s="88"/>
      <c r="H457" s="121"/>
      <c r="I457" s="311"/>
      <c r="J457" s="88"/>
      <c r="K457" s="121"/>
      <c r="L457" s="311"/>
      <c r="M457" s="316"/>
      <c r="N457" s="317"/>
      <c r="O457" s="318"/>
      <c r="P457" s="316"/>
      <c r="Q457" s="317"/>
      <c r="R457" s="318"/>
      <c r="S457" s="316"/>
      <c r="T457" s="317"/>
      <c r="U457" s="318"/>
      <c r="V457" s="88"/>
      <c r="W457" s="317"/>
      <c r="X457" s="311"/>
      <c r="Y457" s="143"/>
      <c r="Z457" s="143"/>
      <c r="AA457" s="143"/>
      <c r="AB457" s="17"/>
      <c r="AC457" s="17"/>
      <c r="AD457" s="17"/>
      <c r="AE457" s="17"/>
    </row>
    <row r="458">
      <c r="A458" s="88"/>
      <c r="B458" s="121"/>
      <c r="C458" s="311"/>
      <c r="D458" s="88"/>
      <c r="E458" s="121"/>
      <c r="F458" s="311"/>
      <c r="G458" s="88"/>
      <c r="H458" s="121"/>
      <c r="I458" s="311"/>
      <c r="J458" s="88"/>
      <c r="K458" s="121"/>
      <c r="L458" s="311"/>
      <c r="M458" s="316"/>
      <c r="N458" s="317"/>
      <c r="O458" s="318"/>
      <c r="P458" s="316"/>
      <c r="Q458" s="317"/>
      <c r="R458" s="318"/>
      <c r="S458" s="316"/>
      <c r="T458" s="317"/>
      <c r="U458" s="318"/>
      <c r="V458" s="88"/>
      <c r="W458" s="317"/>
      <c r="X458" s="311"/>
      <c r="Y458" s="143"/>
      <c r="Z458" s="143"/>
      <c r="AA458" s="143"/>
      <c r="AB458" s="17"/>
      <c r="AC458" s="17"/>
      <c r="AD458" s="17"/>
      <c r="AE458" s="17"/>
    </row>
    <row r="459">
      <c r="A459" s="88"/>
      <c r="B459" s="121"/>
      <c r="C459" s="311"/>
      <c r="D459" s="88"/>
      <c r="E459" s="121"/>
      <c r="F459" s="311"/>
      <c r="G459" s="88"/>
      <c r="H459" s="121"/>
      <c r="I459" s="311"/>
      <c r="J459" s="88"/>
      <c r="K459" s="121"/>
      <c r="L459" s="311"/>
      <c r="M459" s="316"/>
      <c r="N459" s="317"/>
      <c r="O459" s="318"/>
      <c r="P459" s="316"/>
      <c r="Q459" s="317"/>
      <c r="R459" s="318"/>
      <c r="S459" s="316"/>
      <c r="T459" s="317"/>
      <c r="U459" s="318"/>
      <c r="V459" s="88"/>
      <c r="W459" s="317"/>
      <c r="X459" s="311"/>
      <c r="Y459" s="143"/>
      <c r="Z459" s="143"/>
      <c r="AA459" s="143"/>
      <c r="AB459" s="17"/>
      <c r="AC459" s="17"/>
      <c r="AD459" s="17"/>
      <c r="AE459" s="17"/>
    </row>
    <row r="460">
      <c r="A460" s="88"/>
      <c r="B460" s="121"/>
      <c r="C460" s="311"/>
      <c r="D460" s="88"/>
      <c r="E460" s="121"/>
      <c r="F460" s="311"/>
      <c r="G460" s="88"/>
      <c r="H460" s="121"/>
      <c r="I460" s="311"/>
      <c r="J460" s="88"/>
      <c r="K460" s="121"/>
      <c r="L460" s="311"/>
      <c r="M460" s="316"/>
      <c r="N460" s="317"/>
      <c r="O460" s="318"/>
      <c r="P460" s="316"/>
      <c r="Q460" s="317"/>
      <c r="R460" s="318"/>
      <c r="S460" s="316"/>
      <c r="T460" s="317"/>
      <c r="U460" s="318"/>
      <c r="V460" s="88"/>
      <c r="W460" s="317"/>
      <c r="X460" s="311"/>
      <c r="Y460" s="143"/>
      <c r="Z460" s="143"/>
      <c r="AA460" s="143"/>
      <c r="AB460" s="17"/>
      <c r="AC460" s="17"/>
      <c r="AD460" s="17"/>
      <c r="AE460" s="17"/>
    </row>
    <row r="461">
      <c r="A461" s="88"/>
      <c r="B461" s="121"/>
      <c r="C461" s="311"/>
      <c r="D461" s="88"/>
      <c r="E461" s="121"/>
      <c r="F461" s="311"/>
      <c r="G461" s="88"/>
      <c r="H461" s="121"/>
      <c r="I461" s="311"/>
      <c r="J461" s="88"/>
      <c r="K461" s="121"/>
      <c r="L461" s="311"/>
      <c r="M461" s="316"/>
      <c r="N461" s="317"/>
      <c r="O461" s="318"/>
      <c r="P461" s="316"/>
      <c r="Q461" s="317"/>
      <c r="R461" s="318"/>
      <c r="S461" s="316"/>
      <c r="T461" s="317"/>
      <c r="U461" s="318"/>
      <c r="V461" s="88"/>
      <c r="W461" s="317"/>
      <c r="X461" s="311"/>
      <c r="Y461" s="143"/>
      <c r="Z461" s="143"/>
      <c r="AA461" s="143"/>
      <c r="AB461" s="17"/>
      <c r="AC461" s="17"/>
      <c r="AD461" s="17"/>
      <c r="AE461" s="17"/>
    </row>
    <row r="462">
      <c r="A462" s="88"/>
      <c r="B462" s="121"/>
      <c r="C462" s="311"/>
      <c r="D462" s="88"/>
      <c r="E462" s="121"/>
      <c r="F462" s="311"/>
      <c r="G462" s="88"/>
      <c r="H462" s="121"/>
      <c r="I462" s="311"/>
      <c r="J462" s="88"/>
      <c r="K462" s="121"/>
      <c r="L462" s="311"/>
      <c r="M462" s="316"/>
      <c r="N462" s="317"/>
      <c r="O462" s="318"/>
      <c r="P462" s="316"/>
      <c r="Q462" s="317"/>
      <c r="R462" s="318"/>
      <c r="S462" s="316"/>
      <c r="T462" s="317"/>
      <c r="U462" s="318"/>
      <c r="V462" s="88"/>
      <c r="W462" s="317"/>
      <c r="X462" s="311"/>
      <c r="Y462" s="143"/>
      <c r="Z462" s="143"/>
      <c r="AA462" s="143"/>
      <c r="AB462" s="17"/>
      <c r="AC462" s="17"/>
      <c r="AD462" s="17"/>
      <c r="AE462" s="17"/>
    </row>
    <row r="463">
      <c r="A463" s="88"/>
      <c r="B463" s="121"/>
      <c r="C463" s="311"/>
      <c r="D463" s="88"/>
      <c r="E463" s="121"/>
      <c r="F463" s="311"/>
      <c r="G463" s="88"/>
      <c r="H463" s="121"/>
      <c r="I463" s="311"/>
      <c r="J463" s="88"/>
      <c r="K463" s="121"/>
      <c r="L463" s="311"/>
      <c r="M463" s="316"/>
      <c r="N463" s="317"/>
      <c r="O463" s="318"/>
      <c r="P463" s="316"/>
      <c r="Q463" s="317"/>
      <c r="R463" s="318"/>
      <c r="S463" s="316"/>
      <c r="T463" s="317"/>
      <c r="U463" s="318"/>
      <c r="V463" s="88"/>
      <c r="W463" s="317"/>
      <c r="X463" s="311"/>
      <c r="Y463" s="143"/>
      <c r="Z463" s="143"/>
      <c r="AA463" s="143"/>
      <c r="AB463" s="17"/>
      <c r="AC463" s="17"/>
      <c r="AD463" s="17"/>
      <c r="AE463" s="17"/>
    </row>
    <row r="464">
      <c r="A464" s="88"/>
      <c r="B464" s="121"/>
      <c r="C464" s="311"/>
      <c r="D464" s="88"/>
      <c r="E464" s="121"/>
      <c r="F464" s="311"/>
      <c r="G464" s="88"/>
      <c r="H464" s="121"/>
      <c r="I464" s="311"/>
      <c r="J464" s="88"/>
      <c r="K464" s="121"/>
      <c r="L464" s="311"/>
      <c r="M464" s="316"/>
      <c r="N464" s="317"/>
      <c r="O464" s="318"/>
      <c r="P464" s="316"/>
      <c r="Q464" s="317"/>
      <c r="R464" s="318"/>
      <c r="S464" s="316"/>
      <c r="T464" s="317"/>
      <c r="U464" s="318"/>
      <c r="V464" s="88"/>
      <c r="W464" s="317"/>
      <c r="X464" s="311"/>
      <c r="Y464" s="143"/>
      <c r="Z464" s="143"/>
      <c r="AA464" s="143"/>
      <c r="AB464" s="17"/>
      <c r="AC464" s="17"/>
      <c r="AD464" s="17"/>
      <c r="AE464" s="17"/>
    </row>
    <row r="465">
      <c r="A465" s="88"/>
      <c r="B465" s="121"/>
      <c r="C465" s="311"/>
      <c r="D465" s="88"/>
      <c r="E465" s="121"/>
      <c r="F465" s="311"/>
      <c r="G465" s="88"/>
      <c r="H465" s="121"/>
      <c r="I465" s="311"/>
      <c r="J465" s="88"/>
      <c r="K465" s="121"/>
      <c r="L465" s="311"/>
      <c r="M465" s="316"/>
      <c r="N465" s="317"/>
      <c r="O465" s="318"/>
      <c r="P465" s="316"/>
      <c r="Q465" s="317"/>
      <c r="R465" s="318"/>
      <c r="S465" s="316"/>
      <c r="T465" s="317"/>
      <c r="U465" s="318"/>
      <c r="V465" s="88"/>
      <c r="W465" s="317"/>
      <c r="X465" s="311"/>
      <c r="Y465" s="143"/>
      <c r="Z465" s="143"/>
      <c r="AA465" s="143"/>
      <c r="AB465" s="17"/>
      <c r="AC465" s="17"/>
      <c r="AD465" s="17"/>
      <c r="AE465" s="17"/>
    </row>
    <row r="466">
      <c r="A466" s="88"/>
      <c r="B466" s="121"/>
      <c r="C466" s="311"/>
      <c r="D466" s="88"/>
      <c r="E466" s="121"/>
      <c r="F466" s="311"/>
      <c r="G466" s="88"/>
      <c r="H466" s="121"/>
      <c r="I466" s="311"/>
      <c r="J466" s="88"/>
      <c r="K466" s="121"/>
      <c r="L466" s="311"/>
      <c r="M466" s="316"/>
      <c r="N466" s="317"/>
      <c r="O466" s="318"/>
      <c r="P466" s="316"/>
      <c r="Q466" s="317"/>
      <c r="R466" s="318"/>
      <c r="S466" s="316"/>
      <c r="T466" s="317"/>
      <c r="U466" s="318"/>
      <c r="V466" s="88"/>
      <c r="W466" s="317"/>
      <c r="X466" s="311"/>
      <c r="Y466" s="143"/>
      <c r="Z466" s="143"/>
      <c r="AA466" s="143"/>
      <c r="AB466" s="17"/>
      <c r="AC466" s="17"/>
      <c r="AD466" s="17"/>
      <c r="AE466" s="17"/>
    </row>
    <row r="467">
      <c r="A467" s="88"/>
      <c r="B467" s="121"/>
      <c r="C467" s="311"/>
      <c r="D467" s="88"/>
      <c r="E467" s="121"/>
      <c r="F467" s="311"/>
      <c r="G467" s="88"/>
      <c r="H467" s="121"/>
      <c r="I467" s="311"/>
      <c r="J467" s="88"/>
      <c r="K467" s="121"/>
      <c r="L467" s="311"/>
      <c r="M467" s="316"/>
      <c r="N467" s="317"/>
      <c r="O467" s="318"/>
      <c r="P467" s="316"/>
      <c r="Q467" s="317"/>
      <c r="R467" s="318"/>
      <c r="S467" s="316"/>
      <c r="T467" s="317"/>
      <c r="U467" s="318"/>
      <c r="V467" s="88"/>
      <c r="W467" s="317"/>
      <c r="X467" s="311"/>
      <c r="Y467" s="143"/>
      <c r="Z467" s="143"/>
      <c r="AA467" s="143"/>
      <c r="AB467" s="17"/>
      <c r="AC467" s="17"/>
      <c r="AD467" s="17"/>
      <c r="AE467" s="17"/>
    </row>
    <row r="468">
      <c r="A468" s="88"/>
      <c r="B468" s="121"/>
      <c r="C468" s="311"/>
      <c r="D468" s="88"/>
      <c r="E468" s="121"/>
      <c r="F468" s="311"/>
      <c r="G468" s="88"/>
      <c r="H468" s="121"/>
      <c r="I468" s="311"/>
      <c r="J468" s="88"/>
      <c r="K468" s="121"/>
      <c r="L468" s="311"/>
      <c r="M468" s="316"/>
      <c r="N468" s="317"/>
      <c r="O468" s="318"/>
      <c r="P468" s="316"/>
      <c r="Q468" s="317"/>
      <c r="R468" s="318"/>
      <c r="S468" s="316"/>
      <c r="T468" s="317"/>
      <c r="U468" s="318"/>
      <c r="V468" s="88"/>
      <c r="W468" s="317"/>
      <c r="X468" s="311"/>
      <c r="Y468" s="143"/>
      <c r="Z468" s="143"/>
      <c r="AA468" s="143"/>
      <c r="AB468" s="17"/>
      <c r="AC468" s="17"/>
      <c r="AD468" s="17"/>
      <c r="AE468" s="17"/>
    </row>
    <row r="469">
      <c r="A469" s="88"/>
      <c r="B469" s="121"/>
      <c r="C469" s="311"/>
      <c r="D469" s="88"/>
      <c r="E469" s="121"/>
      <c r="F469" s="311"/>
      <c r="G469" s="88"/>
      <c r="H469" s="121"/>
      <c r="I469" s="311"/>
      <c r="J469" s="88"/>
      <c r="K469" s="121"/>
      <c r="L469" s="311"/>
      <c r="M469" s="316"/>
      <c r="N469" s="317"/>
      <c r="O469" s="318"/>
      <c r="P469" s="316"/>
      <c r="Q469" s="317"/>
      <c r="R469" s="318"/>
      <c r="S469" s="316"/>
      <c r="T469" s="317"/>
      <c r="U469" s="318"/>
      <c r="V469" s="88"/>
      <c r="W469" s="317"/>
      <c r="X469" s="311"/>
      <c r="Y469" s="143"/>
      <c r="Z469" s="143"/>
      <c r="AA469" s="143"/>
      <c r="AB469" s="17"/>
      <c r="AC469" s="17"/>
      <c r="AD469" s="17"/>
      <c r="AE469" s="17"/>
    </row>
    <row r="470">
      <c r="A470" s="88"/>
      <c r="B470" s="121"/>
      <c r="C470" s="311"/>
      <c r="D470" s="88"/>
      <c r="E470" s="121"/>
      <c r="F470" s="311"/>
      <c r="G470" s="88"/>
      <c r="H470" s="121"/>
      <c r="I470" s="311"/>
      <c r="J470" s="88"/>
      <c r="K470" s="121"/>
      <c r="L470" s="311"/>
      <c r="M470" s="316"/>
      <c r="N470" s="317"/>
      <c r="O470" s="318"/>
      <c r="P470" s="316"/>
      <c r="Q470" s="317"/>
      <c r="R470" s="318"/>
      <c r="S470" s="316"/>
      <c r="T470" s="317"/>
      <c r="U470" s="318"/>
      <c r="V470" s="88"/>
      <c r="W470" s="317"/>
      <c r="X470" s="311"/>
      <c r="Y470" s="143"/>
      <c r="Z470" s="143"/>
      <c r="AA470" s="143"/>
      <c r="AB470" s="17"/>
      <c r="AC470" s="17"/>
      <c r="AD470" s="17"/>
      <c r="AE470" s="17"/>
    </row>
    <row r="471">
      <c r="A471" s="88"/>
      <c r="B471" s="121"/>
      <c r="C471" s="311"/>
      <c r="D471" s="88"/>
      <c r="E471" s="121"/>
      <c r="F471" s="311"/>
      <c r="G471" s="88"/>
      <c r="H471" s="121"/>
      <c r="I471" s="311"/>
      <c r="J471" s="88"/>
      <c r="K471" s="121"/>
      <c r="L471" s="311"/>
      <c r="M471" s="316"/>
      <c r="N471" s="317"/>
      <c r="O471" s="318"/>
      <c r="P471" s="316"/>
      <c r="Q471" s="317"/>
      <c r="R471" s="318"/>
      <c r="S471" s="316"/>
      <c r="T471" s="317"/>
      <c r="U471" s="318"/>
      <c r="V471" s="88"/>
      <c r="W471" s="317"/>
      <c r="X471" s="311"/>
      <c r="Y471" s="143"/>
      <c r="Z471" s="143"/>
      <c r="AA471" s="143"/>
      <c r="AB471" s="17"/>
      <c r="AC471" s="17"/>
      <c r="AD471" s="17"/>
      <c r="AE471" s="17"/>
    </row>
    <row r="472">
      <c r="A472" s="88"/>
      <c r="B472" s="121"/>
      <c r="C472" s="311"/>
      <c r="D472" s="88"/>
      <c r="E472" s="121"/>
      <c r="F472" s="311"/>
      <c r="G472" s="88"/>
      <c r="H472" s="121"/>
      <c r="I472" s="311"/>
      <c r="J472" s="88"/>
      <c r="K472" s="121"/>
      <c r="L472" s="311"/>
      <c r="M472" s="316"/>
      <c r="N472" s="317"/>
      <c r="O472" s="318"/>
      <c r="P472" s="316"/>
      <c r="Q472" s="317"/>
      <c r="R472" s="318"/>
      <c r="S472" s="316"/>
      <c r="T472" s="317"/>
      <c r="U472" s="318"/>
      <c r="V472" s="88"/>
      <c r="W472" s="317"/>
      <c r="X472" s="311"/>
      <c r="Y472" s="143"/>
      <c r="Z472" s="143"/>
      <c r="AA472" s="143"/>
      <c r="AB472" s="17"/>
      <c r="AC472" s="17"/>
      <c r="AD472" s="17"/>
      <c r="AE472" s="17"/>
    </row>
    <row r="473">
      <c r="A473" s="88"/>
      <c r="B473" s="121"/>
      <c r="C473" s="311"/>
      <c r="D473" s="88"/>
      <c r="E473" s="121"/>
      <c r="F473" s="311"/>
      <c r="G473" s="88"/>
      <c r="H473" s="121"/>
      <c r="I473" s="311"/>
      <c r="J473" s="88"/>
      <c r="K473" s="121"/>
      <c r="L473" s="311"/>
      <c r="M473" s="316"/>
      <c r="N473" s="317"/>
      <c r="O473" s="318"/>
      <c r="P473" s="316"/>
      <c r="Q473" s="317"/>
      <c r="R473" s="318"/>
      <c r="S473" s="316"/>
      <c r="T473" s="317"/>
      <c r="U473" s="318"/>
      <c r="V473" s="88"/>
      <c r="W473" s="317"/>
      <c r="X473" s="311"/>
      <c r="Y473" s="143"/>
      <c r="Z473" s="143"/>
      <c r="AA473" s="143"/>
      <c r="AB473" s="17"/>
      <c r="AC473" s="17"/>
      <c r="AD473" s="17"/>
      <c r="AE473" s="17"/>
    </row>
    <row r="474">
      <c r="A474" s="88"/>
      <c r="B474" s="121"/>
      <c r="C474" s="311"/>
      <c r="D474" s="88"/>
      <c r="E474" s="121"/>
      <c r="F474" s="311"/>
      <c r="G474" s="88"/>
      <c r="H474" s="121"/>
      <c r="I474" s="311"/>
      <c r="J474" s="88"/>
      <c r="K474" s="121"/>
      <c r="L474" s="311"/>
      <c r="M474" s="316"/>
      <c r="N474" s="317"/>
      <c r="O474" s="318"/>
      <c r="P474" s="316"/>
      <c r="Q474" s="317"/>
      <c r="R474" s="318"/>
      <c r="S474" s="316"/>
      <c r="T474" s="317"/>
      <c r="U474" s="318"/>
      <c r="V474" s="88"/>
      <c r="W474" s="317"/>
      <c r="X474" s="311"/>
      <c r="Y474" s="143"/>
      <c r="Z474" s="143"/>
      <c r="AA474" s="143"/>
      <c r="AB474" s="17"/>
      <c r="AC474" s="17"/>
      <c r="AD474" s="17"/>
      <c r="AE474" s="17"/>
    </row>
    <row r="475">
      <c r="A475" s="88"/>
      <c r="B475" s="121"/>
      <c r="C475" s="311"/>
      <c r="D475" s="88"/>
      <c r="E475" s="121"/>
      <c r="F475" s="311"/>
      <c r="G475" s="88"/>
      <c r="H475" s="121"/>
      <c r="I475" s="311"/>
      <c r="J475" s="88"/>
      <c r="K475" s="121"/>
      <c r="L475" s="311"/>
      <c r="M475" s="316"/>
      <c r="N475" s="317"/>
      <c r="O475" s="318"/>
      <c r="P475" s="316"/>
      <c r="Q475" s="317"/>
      <c r="R475" s="318"/>
      <c r="S475" s="316"/>
      <c r="T475" s="317"/>
      <c r="U475" s="318"/>
      <c r="V475" s="88"/>
      <c r="W475" s="317"/>
      <c r="X475" s="311"/>
      <c r="Y475" s="143"/>
      <c r="Z475" s="143"/>
      <c r="AA475" s="143"/>
      <c r="AB475" s="17"/>
      <c r="AC475" s="17"/>
      <c r="AD475" s="17"/>
      <c r="AE475" s="17"/>
    </row>
    <row r="476">
      <c r="A476" s="88"/>
      <c r="B476" s="121"/>
      <c r="C476" s="311"/>
      <c r="D476" s="88"/>
      <c r="E476" s="121"/>
      <c r="F476" s="311"/>
      <c r="G476" s="88"/>
      <c r="H476" s="121"/>
      <c r="I476" s="311"/>
      <c r="J476" s="88"/>
      <c r="K476" s="121"/>
      <c r="L476" s="311"/>
      <c r="M476" s="316"/>
      <c r="N476" s="317"/>
      <c r="O476" s="318"/>
      <c r="P476" s="316"/>
      <c r="Q476" s="317"/>
      <c r="R476" s="318"/>
      <c r="S476" s="316"/>
      <c r="T476" s="317"/>
      <c r="U476" s="318"/>
      <c r="V476" s="88"/>
      <c r="W476" s="317"/>
      <c r="X476" s="311"/>
      <c r="Y476" s="143"/>
      <c r="Z476" s="143"/>
      <c r="AA476" s="143"/>
      <c r="AB476" s="17"/>
      <c r="AC476" s="17"/>
      <c r="AD476" s="17"/>
      <c r="AE476" s="17"/>
    </row>
    <row r="477">
      <c r="A477" s="88"/>
      <c r="B477" s="121"/>
      <c r="C477" s="311"/>
      <c r="D477" s="88"/>
      <c r="E477" s="121"/>
      <c r="F477" s="311"/>
      <c r="G477" s="88"/>
      <c r="H477" s="121"/>
      <c r="I477" s="311"/>
      <c r="J477" s="88"/>
      <c r="K477" s="121"/>
      <c r="L477" s="311"/>
      <c r="M477" s="316"/>
      <c r="N477" s="317"/>
      <c r="O477" s="318"/>
      <c r="P477" s="316"/>
      <c r="Q477" s="317"/>
      <c r="R477" s="318"/>
      <c r="S477" s="316"/>
      <c r="T477" s="317"/>
      <c r="U477" s="318"/>
      <c r="V477" s="88"/>
      <c r="W477" s="317"/>
      <c r="X477" s="311"/>
      <c r="Y477" s="143"/>
      <c r="Z477" s="143"/>
      <c r="AA477" s="143"/>
      <c r="AB477" s="17"/>
      <c r="AC477" s="17"/>
      <c r="AD477" s="17"/>
      <c r="AE477" s="17"/>
    </row>
    <row r="478">
      <c r="A478" s="88"/>
      <c r="B478" s="121"/>
      <c r="C478" s="311"/>
      <c r="D478" s="88"/>
      <c r="E478" s="121"/>
      <c r="F478" s="311"/>
      <c r="G478" s="88"/>
      <c r="H478" s="121"/>
      <c r="I478" s="311"/>
      <c r="J478" s="88"/>
      <c r="K478" s="121"/>
      <c r="L478" s="311"/>
      <c r="M478" s="316"/>
      <c r="N478" s="317"/>
      <c r="O478" s="318"/>
      <c r="P478" s="316"/>
      <c r="Q478" s="317"/>
      <c r="R478" s="318"/>
      <c r="S478" s="316"/>
      <c r="T478" s="317"/>
      <c r="U478" s="318"/>
      <c r="V478" s="88"/>
      <c r="W478" s="317"/>
      <c r="X478" s="311"/>
      <c r="Y478" s="143"/>
      <c r="Z478" s="143"/>
      <c r="AA478" s="143"/>
      <c r="AB478" s="17"/>
      <c r="AC478" s="17"/>
      <c r="AD478" s="17"/>
      <c r="AE478" s="17"/>
    </row>
    <row r="479">
      <c r="A479" s="88"/>
      <c r="B479" s="121"/>
      <c r="C479" s="311"/>
      <c r="D479" s="88"/>
      <c r="E479" s="121"/>
      <c r="F479" s="311"/>
      <c r="G479" s="88"/>
      <c r="H479" s="121"/>
      <c r="I479" s="311"/>
      <c r="J479" s="88"/>
      <c r="K479" s="121"/>
      <c r="L479" s="311"/>
      <c r="M479" s="316"/>
      <c r="N479" s="317"/>
      <c r="O479" s="318"/>
      <c r="P479" s="316"/>
      <c r="Q479" s="317"/>
      <c r="R479" s="318"/>
      <c r="S479" s="316"/>
      <c r="T479" s="317"/>
      <c r="U479" s="318"/>
      <c r="V479" s="88"/>
      <c r="W479" s="317"/>
      <c r="X479" s="311"/>
      <c r="Y479" s="143"/>
      <c r="Z479" s="143"/>
      <c r="AA479" s="143"/>
      <c r="AB479" s="17"/>
      <c r="AC479" s="17"/>
      <c r="AD479" s="17"/>
      <c r="AE479" s="17"/>
    </row>
    <row r="480">
      <c r="A480" s="88"/>
      <c r="B480" s="121"/>
      <c r="C480" s="311"/>
      <c r="D480" s="88"/>
      <c r="E480" s="121"/>
      <c r="F480" s="311"/>
      <c r="G480" s="88"/>
      <c r="H480" s="121"/>
      <c r="I480" s="311"/>
      <c r="J480" s="88"/>
      <c r="K480" s="121"/>
      <c r="L480" s="311"/>
      <c r="M480" s="316"/>
      <c r="N480" s="317"/>
      <c r="O480" s="318"/>
      <c r="P480" s="316"/>
      <c r="Q480" s="317"/>
      <c r="R480" s="318"/>
      <c r="S480" s="316"/>
      <c r="T480" s="317"/>
      <c r="U480" s="318"/>
      <c r="V480" s="88"/>
      <c r="W480" s="317"/>
      <c r="X480" s="311"/>
      <c r="Y480" s="143"/>
      <c r="Z480" s="143"/>
      <c r="AA480" s="143"/>
      <c r="AB480" s="17"/>
      <c r="AC480" s="17"/>
      <c r="AD480" s="17"/>
      <c r="AE480" s="17"/>
    </row>
    <row r="481">
      <c r="A481" s="88"/>
      <c r="B481" s="121"/>
      <c r="C481" s="311"/>
      <c r="D481" s="88"/>
      <c r="E481" s="121"/>
      <c r="F481" s="311"/>
      <c r="G481" s="88"/>
      <c r="H481" s="121"/>
      <c r="I481" s="311"/>
      <c r="J481" s="88"/>
      <c r="K481" s="121"/>
      <c r="L481" s="311"/>
      <c r="M481" s="316"/>
      <c r="N481" s="317"/>
      <c r="O481" s="318"/>
      <c r="P481" s="316"/>
      <c r="Q481" s="317"/>
      <c r="R481" s="318"/>
      <c r="S481" s="316"/>
      <c r="T481" s="317"/>
      <c r="U481" s="318"/>
      <c r="V481" s="88"/>
      <c r="W481" s="317"/>
      <c r="X481" s="311"/>
      <c r="Y481" s="143"/>
      <c r="Z481" s="143"/>
      <c r="AA481" s="143"/>
      <c r="AB481" s="17"/>
      <c r="AC481" s="17"/>
      <c r="AD481" s="17"/>
      <c r="AE481" s="17"/>
    </row>
    <row r="482">
      <c r="A482" s="88"/>
      <c r="B482" s="121"/>
      <c r="C482" s="311"/>
      <c r="D482" s="88"/>
      <c r="E482" s="121"/>
      <c r="F482" s="311"/>
      <c r="G482" s="88"/>
      <c r="H482" s="121"/>
      <c r="I482" s="311"/>
      <c r="J482" s="88"/>
      <c r="K482" s="121"/>
      <c r="L482" s="311"/>
      <c r="M482" s="316"/>
      <c r="N482" s="317"/>
      <c r="O482" s="318"/>
      <c r="P482" s="316"/>
      <c r="Q482" s="317"/>
      <c r="R482" s="318"/>
      <c r="S482" s="316"/>
      <c r="T482" s="317"/>
      <c r="U482" s="318"/>
      <c r="V482" s="88"/>
      <c r="W482" s="317"/>
      <c r="X482" s="311"/>
      <c r="Y482" s="143"/>
      <c r="Z482" s="143"/>
      <c r="AA482" s="143"/>
      <c r="AB482" s="17"/>
      <c r="AC482" s="17"/>
      <c r="AD482" s="17"/>
      <c r="AE482" s="17"/>
    </row>
    <row r="483">
      <c r="A483" s="88"/>
      <c r="B483" s="121"/>
      <c r="C483" s="311"/>
      <c r="D483" s="88"/>
      <c r="E483" s="121"/>
      <c r="F483" s="311"/>
      <c r="G483" s="88"/>
      <c r="H483" s="121"/>
      <c r="I483" s="311"/>
      <c r="J483" s="88"/>
      <c r="K483" s="121"/>
      <c r="L483" s="311"/>
      <c r="M483" s="316"/>
      <c r="N483" s="317"/>
      <c r="O483" s="318"/>
      <c r="P483" s="316"/>
      <c r="Q483" s="317"/>
      <c r="R483" s="318"/>
      <c r="S483" s="316"/>
      <c r="T483" s="317"/>
      <c r="U483" s="318"/>
      <c r="V483" s="88"/>
      <c r="W483" s="317"/>
      <c r="X483" s="311"/>
      <c r="Y483" s="143"/>
      <c r="Z483" s="143"/>
      <c r="AA483" s="143"/>
      <c r="AB483" s="17"/>
      <c r="AC483" s="17"/>
      <c r="AD483" s="17"/>
      <c r="AE483" s="17"/>
    </row>
    <row r="484">
      <c r="A484" s="88"/>
      <c r="B484" s="121"/>
      <c r="C484" s="311"/>
      <c r="D484" s="88"/>
      <c r="E484" s="121"/>
      <c r="F484" s="311"/>
      <c r="G484" s="88"/>
      <c r="H484" s="121"/>
      <c r="I484" s="311"/>
      <c r="J484" s="88"/>
      <c r="K484" s="121"/>
      <c r="L484" s="311"/>
      <c r="M484" s="316"/>
      <c r="N484" s="317"/>
      <c r="O484" s="318"/>
      <c r="P484" s="316"/>
      <c r="Q484" s="317"/>
      <c r="R484" s="318"/>
      <c r="S484" s="316"/>
      <c r="T484" s="317"/>
      <c r="U484" s="318"/>
      <c r="V484" s="88"/>
      <c r="W484" s="317"/>
      <c r="X484" s="311"/>
      <c r="Y484" s="143"/>
      <c r="Z484" s="143"/>
      <c r="AA484" s="143"/>
      <c r="AB484" s="17"/>
      <c r="AC484" s="17"/>
      <c r="AD484" s="17"/>
      <c r="AE484" s="17"/>
    </row>
    <row r="485">
      <c r="A485" s="88"/>
      <c r="B485" s="121"/>
      <c r="C485" s="311"/>
      <c r="D485" s="88"/>
      <c r="E485" s="121"/>
      <c r="F485" s="311"/>
      <c r="G485" s="88"/>
      <c r="H485" s="121"/>
      <c r="I485" s="311"/>
      <c r="J485" s="88"/>
      <c r="K485" s="121"/>
      <c r="L485" s="311"/>
      <c r="M485" s="316"/>
      <c r="N485" s="317"/>
      <c r="O485" s="318"/>
      <c r="P485" s="316"/>
      <c r="Q485" s="317"/>
      <c r="R485" s="318"/>
      <c r="S485" s="316"/>
      <c r="T485" s="317"/>
      <c r="U485" s="318"/>
      <c r="V485" s="88"/>
      <c r="W485" s="317"/>
      <c r="X485" s="311"/>
      <c r="Y485" s="143"/>
      <c r="Z485" s="143"/>
      <c r="AA485" s="143"/>
      <c r="AB485" s="17"/>
      <c r="AC485" s="17"/>
      <c r="AD485" s="17"/>
      <c r="AE485" s="17"/>
    </row>
    <row r="486">
      <c r="A486" s="88"/>
      <c r="B486" s="121"/>
      <c r="C486" s="311"/>
      <c r="D486" s="88"/>
      <c r="E486" s="121"/>
      <c r="F486" s="311"/>
      <c r="G486" s="88"/>
      <c r="H486" s="121"/>
      <c r="I486" s="311"/>
      <c r="J486" s="88"/>
      <c r="K486" s="121"/>
      <c r="L486" s="311"/>
      <c r="M486" s="316"/>
      <c r="N486" s="317"/>
      <c r="O486" s="318"/>
      <c r="P486" s="316"/>
      <c r="Q486" s="317"/>
      <c r="R486" s="318"/>
      <c r="S486" s="316"/>
      <c r="T486" s="317"/>
      <c r="U486" s="318"/>
      <c r="V486" s="88"/>
      <c r="W486" s="317"/>
      <c r="X486" s="311"/>
      <c r="Y486" s="143"/>
      <c r="Z486" s="143"/>
      <c r="AA486" s="143"/>
      <c r="AB486" s="17"/>
      <c r="AC486" s="17"/>
      <c r="AD486" s="17"/>
      <c r="AE486" s="17"/>
    </row>
    <row r="487">
      <c r="A487" s="88"/>
      <c r="B487" s="121"/>
      <c r="C487" s="311"/>
      <c r="D487" s="88"/>
      <c r="E487" s="121"/>
      <c r="F487" s="311"/>
      <c r="G487" s="88"/>
      <c r="H487" s="121"/>
      <c r="I487" s="311"/>
      <c r="J487" s="88"/>
      <c r="K487" s="121"/>
      <c r="L487" s="311"/>
      <c r="M487" s="316"/>
      <c r="N487" s="317"/>
      <c r="O487" s="318"/>
      <c r="P487" s="316"/>
      <c r="Q487" s="317"/>
      <c r="R487" s="318"/>
      <c r="S487" s="316"/>
      <c r="T487" s="317"/>
      <c r="U487" s="318"/>
      <c r="V487" s="88"/>
      <c r="W487" s="317"/>
      <c r="X487" s="311"/>
      <c r="Y487" s="143"/>
      <c r="Z487" s="143"/>
      <c r="AA487" s="143"/>
      <c r="AB487" s="17"/>
      <c r="AC487" s="17"/>
      <c r="AD487" s="17"/>
      <c r="AE487" s="17"/>
    </row>
    <row r="488">
      <c r="A488" s="88"/>
      <c r="B488" s="121"/>
      <c r="C488" s="311"/>
      <c r="D488" s="88"/>
      <c r="E488" s="121"/>
      <c r="F488" s="311"/>
      <c r="G488" s="88"/>
      <c r="H488" s="121"/>
      <c r="I488" s="311"/>
      <c r="J488" s="88"/>
      <c r="K488" s="121"/>
      <c r="L488" s="311"/>
      <c r="M488" s="316"/>
      <c r="N488" s="317"/>
      <c r="O488" s="318"/>
      <c r="P488" s="316"/>
      <c r="Q488" s="317"/>
      <c r="R488" s="318"/>
      <c r="S488" s="316"/>
      <c r="T488" s="317"/>
      <c r="U488" s="318"/>
      <c r="V488" s="88"/>
      <c r="W488" s="317"/>
      <c r="X488" s="311"/>
      <c r="Y488" s="143"/>
      <c r="Z488" s="143"/>
      <c r="AA488" s="143"/>
      <c r="AB488" s="17"/>
      <c r="AC488" s="17"/>
      <c r="AD488" s="17"/>
      <c r="AE488" s="17"/>
    </row>
    <row r="489">
      <c r="A489" s="88"/>
      <c r="B489" s="121"/>
      <c r="C489" s="311"/>
      <c r="D489" s="88"/>
      <c r="E489" s="121"/>
      <c r="F489" s="311"/>
      <c r="G489" s="88"/>
      <c r="H489" s="121"/>
      <c r="I489" s="311"/>
      <c r="J489" s="88"/>
      <c r="K489" s="121"/>
      <c r="L489" s="311"/>
      <c r="M489" s="316"/>
      <c r="N489" s="317"/>
      <c r="O489" s="318"/>
      <c r="P489" s="316"/>
      <c r="Q489" s="317"/>
      <c r="R489" s="318"/>
      <c r="S489" s="316"/>
      <c r="T489" s="317"/>
      <c r="U489" s="318"/>
      <c r="V489" s="88"/>
      <c r="W489" s="317"/>
      <c r="X489" s="311"/>
      <c r="Y489" s="143"/>
      <c r="Z489" s="143"/>
      <c r="AA489" s="143"/>
      <c r="AB489" s="17"/>
      <c r="AC489" s="17"/>
      <c r="AD489" s="17"/>
      <c r="AE489" s="17"/>
    </row>
    <row r="490">
      <c r="A490" s="88"/>
      <c r="B490" s="121"/>
      <c r="C490" s="311"/>
      <c r="D490" s="88"/>
      <c r="E490" s="121"/>
      <c r="F490" s="311"/>
      <c r="G490" s="88"/>
      <c r="H490" s="121"/>
      <c r="I490" s="311"/>
      <c r="J490" s="88"/>
      <c r="K490" s="121"/>
      <c r="L490" s="311"/>
      <c r="M490" s="316"/>
      <c r="N490" s="317"/>
      <c r="O490" s="318"/>
      <c r="P490" s="316"/>
      <c r="Q490" s="317"/>
      <c r="R490" s="318"/>
      <c r="S490" s="316"/>
      <c r="T490" s="317"/>
      <c r="U490" s="318"/>
      <c r="V490" s="88"/>
      <c r="W490" s="317"/>
      <c r="X490" s="311"/>
      <c r="Y490" s="143"/>
      <c r="Z490" s="143"/>
      <c r="AA490" s="143"/>
      <c r="AB490" s="17"/>
      <c r="AC490" s="17"/>
      <c r="AD490" s="17"/>
      <c r="AE490" s="17"/>
    </row>
    <row r="491">
      <c r="A491" s="88"/>
      <c r="B491" s="121"/>
      <c r="C491" s="311"/>
      <c r="D491" s="88"/>
      <c r="E491" s="121"/>
      <c r="F491" s="311"/>
      <c r="G491" s="88"/>
      <c r="H491" s="121"/>
      <c r="I491" s="311"/>
      <c r="J491" s="88"/>
      <c r="K491" s="121"/>
      <c r="L491" s="311"/>
      <c r="M491" s="316"/>
      <c r="N491" s="317"/>
      <c r="O491" s="318"/>
      <c r="P491" s="316"/>
      <c r="Q491" s="317"/>
      <c r="R491" s="318"/>
      <c r="S491" s="316"/>
      <c r="T491" s="317"/>
      <c r="U491" s="318"/>
      <c r="V491" s="88"/>
      <c r="W491" s="317"/>
      <c r="X491" s="311"/>
      <c r="Y491" s="143"/>
      <c r="Z491" s="143"/>
      <c r="AA491" s="143"/>
      <c r="AB491" s="17"/>
      <c r="AC491" s="17"/>
      <c r="AD491" s="17"/>
      <c r="AE491" s="17"/>
    </row>
    <row r="492">
      <c r="A492" s="88"/>
      <c r="B492" s="121"/>
      <c r="C492" s="311"/>
      <c r="D492" s="88"/>
      <c r="E492" s="121"/>
      <c r="F492" s="311"/>
      <c r="G492" s="88"/>
      <c r="H492" s="121"/>
      <c r="I492" s="311"/>
      <c r="J492" s="88"/>
      <c r="K492" s="121"/>
      <c r="L492" s="311"/>
      <c r="M492" s="316"/>
      <c r="N492" s="317"/>
      <c r="O492" s="318"/>
      <c r="P492" s="316"/>
      <c r="Q492" s="317"/>
      <c r="R492" s="318"/>
      <c r="S492" s="316"/>
      <c r="T492" s="317"/>
      <c r="U492" s="318"/>
      <c r="V492" s="88"/>
      <c r="W492" s="317"/>
      <c r="X492" s="311"/>
      <c r="Y492" s="143"/>
      <c r="Z492" s="143"/>
      <c r="AA492" s="143"/>
      <c r="AB492" s="17"/>
      <c r="AC492" s="17"/>
      <c r="AD492" s="17"/>
      <c r="AE492" s="17"/>
    </row>
    <row r="493">
      <c r="A493" s="88"/>
      <c r="B493" s="121"/>
      <c r="C493" s="311"/>
      <c r="D493" s="88"/>
      <c r="E493" s="121"/>
      <c r="F493" s="311"/>
      <c r="G493" s="88"/>
      <c r="H493" s="121"/>
      <c r="I493" s="311"/>
      <c r="J493" s="88"/>
      <c r="K493" s="121"/>
      <c r="L493" s="311"/>
      <c r="M493" s="316"/>
      <c r="N493" s="317"/>
      <c r="O493" s="318"/>
      <c r="P493" s="316"/>
      <c r="Q493" s="317"/>
      <c r="R493" s="318"/>
      <c r="S493" s="316"/>
      <c r="T493" s="317"/>
      <c r="U493" s="318"/>
      <c r="V493" s="88"/>
      <c r="W493" s="317"/>
      <c r="X493" s="311"/>
      <c r="Y493" s="143"/>
      <c r="Z493" s="143"/>
      <c r="AA493" s="143"/>
      <c r="AB493" s="17"/>
      <c r="AC493" s="17"/>
      <c r="AD493" s="17"/>
      <c r="AE493" s="17"/>
    </row>
    <row r="494">
      <c r="A494" s="88"/>
      <c r="B494" s="121"/>
      <c r="C494" s="311"/>
      <c r="D494" s="88"/>
      <c r="E494" s="121"/>
      <c r="F494" s="311"/>
      <c r="G494" s="88"/>
      <c r="H494" s="121"/>
      <c r="I494" s="311"/>
      <c r="J494" s="88"/>
      <c r="K494" s="121"/>
      <c r="L494" s="311"/>
      <c r="M494" s="316"/>
      <c r="N494" s="317"/>
      <c r="O494" s="318"/>
      <c r="P494" s="316"/>
      <c r="Q494" s="317"/>
      <c r="R494" s="318"/>
      <c r="S494" s="316"/>
      <c r="T494" s="317"/>
      <c r="U494" s="318"/>
      <c r="V494" s="88"/>
      <c r="W494" s="317"/>
      <c r="X494" s="311"/>
      <c r="Y494" s="143"/>
      <c r="Z494" s="143"/>
      <c r="AA494" s="143"/>
      <c r="AB494" s="17"/>
      <c r="AC494" s="17"/>
      <c r="AD494" s="17"/>
      <c r="AE494" s="17"/>
    </row>
    <row r="495">
      <c r="A495" s="88"/>
      <c r="B495" s="121"/>
      <c r="C495" s="311"/>
      <c r="D495" s="88"/>
      <c r="E495" s="121"/>
      <c r="F495" s="311"/>
      <c r="G495" s="88"/>
      <c r="H495" s="121"/>
      <c r="I495" s="311"/>
      <c r="J495" s="88"/>
      <c r="K495" s="121"/>
      <c r="L495" s="311"/>
      <c r="M495" s="316"/>
      <c r="N495" s="317"/>
      <c r="O495" s="318"/>
      <c r="P495" s="316"/>
      <c r="Q495" s="317"/>
      <c r="R495" s="318"/>
      <c r="S495" s="316"/>
      <c r="T495" s="317"/>
      <c r="U495" s="318"/>
      <c r="V495" s="88"/>
      <c r="W495" s="317"/>
      <c r="X495" s="311"/>
      <c r="Y495" s="143"/>
      <c r="Z495" s="143"/>
      <c r="AA495" s="143"/>
      <c r="AB495" s="17"/>
      <c r="AC495" s="17"/>
      <c r="AD495" s="17"/>
      <c r="AE495" s="17"/>
    </row>
    <row r="496">
      <c r="A496" s="88"/>
      <c r="B496" s="121"/>
      <c r="C496" s="311"/>
      <c r="D496" s="88"/>
      <c r="E496" s="121"/>
      <c r="F496" s="311"/>
      <c r="G496" s="88"/>
      <c r="H496" s="121"/>
      <c r="I496" s="311"/>
      <c r="J496" s="88"/>
      <c r="K496" s="121"/>
      <c r="L496" s="311"/>
      <c r="M496" s="316"/>
      <c r="N496" s="317"/>
      <c r="O496" s="318"/>
      <c r="P496" s="316"/>
      <c r="Q496" s="317"/>
      <c r="R496" s="318"/>
      <c r="S496" s="316"/>
      <c r="T496" s="317"/>
      <c r="U496" s="318"/>
      <c r="V496" s="88"/>
      <c r="W496" s="317"/>
      <c r="X496" s="311"/>
      <c r="Y496" s="143"/>
      <c r="Z496" s="143"/>
      <c r="AA496" s="143"/>
      <c r="AB496" s="17"/>
      <c r="AC496" s="17"/>
      <c r="AD496" s="17"/>
      <c r="AE496" s="17"/>
    </row>
    <row r="497">
      <c r="A497" s="88"/>
      <c r="B497" s="121"/>
      <c r="C497" s="311"/>
      <c r="D497" s="88"/>
      <c r="E497" s="121"/>
      <c r="F497" s="311"/>
      <c r="G497" s="88"/>
      <c r="H497" s="121"/>
      <c r="I497" s="311"/>
      <c r="J497" s="88"/>
      <c r="K497" s="121"/>
      <c r="L497" s="311"/>
      <c r="M497" s="316"/>
      <c r="N497" s="317"/>
      <c r="O497" s="318"/>
      <c r="P497" s="316"/>
      <c r="Q497" s="317"/>
      <c r="R497" s="318"/>
      <c r="S497" s="316"/>
      <c r="T497" s="317"/>
      <c r="U497" s="318"/>
      <c r="V497" s="88"/>
      <c r="W497" s="317"/>
      <c r="X497" s="311"/>
      <c r="Y497" s="143"/>
      <c r="Z497" s="143"/>
      <c r="AA497" s="143"/>
      <c r="AB497" s="17"/>
      <c r="AC497" s="17"/>
      <c r="AD497" s="17"/>
      <c r="AE497" s="17"/>
    </row>
    <row r="498">
      <c r="A498" s="88"/>
      <c r="B498" s="121"/>
      <c r="C498" s="311"/>
      <c r="D498" s="88"/>
      <c r="E498" s="121"/>
      <c r="F498" s="311"/>
      <c r="G498" s="88"/>
      <c r="H498" s="121"/>
      <c r="I498" s="311"/>
      <c r="J498" s="88"/>
      <c r="K498" s="121"/>
      <c r="L498" s="311"/>
      <c r="M498" s="316"/>
      <c r="N498" s="317"/>
      <c r="O498" s="318"/>
      <c r="P498" s="316"/>
      <c r="Q498" s="317"/>
      <c r="R498" s="318"/>
      <c r="S498" s="316"/>
      <c r="T498" s="317"/>
      <c r="U498" s="318"/>
      <c r="V498" s="88"/>
      <c r="W498" s="317"/>
      <c r="X498" s="311"/>
      <c r="Y498" s="143"/>
      <c r="Z498" s="143"/>
      <c r="AA498" s="143"/>
      <c r="AB498" s="17"/>
      <c r="AC498" s="17"/>
      <c r="AD498" s="17"/>
      <c r="AE498" s="17"/>
    </row>
    <row r="499">
      <c r="A499" s="88"/>
      <c r="B499" s="121"/>
      <c r="C499" s="311"/>
      <c r="D499" s="88"/>
      <c r="E499" s="121"/>
      <c r="F499" s="311"/>
      <c r="G499" s="88"/>
      <c r="H499" s="121"/>
      <c r="I499" s="311"/>
      <c r="J499" s="88"/>
      <c r="K499" s="121"/>
      <c r="L499" s="311"/>
      <c r="M499" s="316"/>
      <c r="N499" s="317"/>
      <c r="O499" s="318"/>
      <c r="P499" s="316"/>
      <c r="Q499" s="317"/>
      <c r="R499" s="318"/>
      <c r="S499" s="316"/>
      <c r="T499" s="317"/>
      <c r="U499" s="318"/>
      <c r="V499" s="88"/>
      <c r="W499" s="317"/>
      <c r="X499" s="311"/>
      <c r="Y499" s="143"/>
      <c r="Z499" s="143"/>
      <c r="AA499" s="143"/>
      <c r="AB499" s="17"/>
      <c r="AC499" s="17"/>
      <c r="AD499" s="17"/>
      <c r="AE499" s="17"/>
    </row>
    <row r="500">
      <c r="A500" s="88"/>
      <c r="B500" s="121"/>
      <c r="C500" s="311"/>
      <c r="D500" s="88"/>
      <c r="E500" s="121"/>
      <c r="F500" s="311"/>
      <c r="G500" s="88"/>
      <c r="H500" s="121"/>
      <c r="I500" s="311"/>
      <c r="J500" s="88"/>
      <c r="K500" s="121"/>
      <c r="L500" s="311"/>
      <c r="M500" s="316"/>
      <c r="N500" s="317"/>
      <c r="O500" s="318"/>
      <c r="P500" s="316"/>
      <c r="Q500" s="317"/>
      <c r="R500" s="318"/>
      <c r="S500" s="316"/>
      <c r="T500" s="317"/>
      <c r="U500" s="318"/>
      <c r="V500" s="88"/>
      <c r="W500" s="317"/>
      <c r="X500" s="311"/>
      <c r="Y500" s="143"/>
      <c r="Z500" s="143"/>
      <c r="AA500" s="143"/>
      <c r="AB500" s="17"/>
      <c r="AC500" s="17"/>
      <c r="AD500" s="17"/>
      <c r="AE500" s="17"/>
    </row>
    <row r="501">
      <c r="A501" s="88"/>
      <c r="B501" s="121"/>
      <c r="C501" s="311"/>
      <c r="D501" s="88"/>
      <c r="E501" s="121"/>
      <c r="F501" s="311"/>
      <c r="G501" s="88"/>
      <c r="H501" s="121"/>
      <c r="I501" s="311"/>
      <c r="J501" s="88"/>
      <c r="K501" s="121"/>
      <c r="L501" s="311"/>
      <c r="M501" s="316"/>
      <c r="N501" s="317"/>
      <c r="O501" s="318"/>
      <c r="P501" s="316"/>
      <c r="Q501" s="317"/>
      <c r="R501" s="318"/>
      <c r="S501" s="316"/>
      <c r="T501" s="317"/>
      <c r="U501" s="318"/>
      <c r="V501" s="88"/>
      <c r="W501" s="317"/>
      <c r="X501" s="311"/>
      <c r="Y501" s="143"/>
      <c r="Z501" s="143"/>
      <c r="AA501" s="143"/>
      <c r="AB501" s="17"/>
      <c r="AC501" s="17"/>
      <c r="AD501" s="17"/>
      <c r="AE501" s="17"/>
    </row>
    <row r="502">
      <c r="A502" s="88"/>
      <c r="B502" s="121"/>
      <c r="C502" s="311"/>
      <c r="D502" s="88"/>
      <c r="E502" s="121"/>
      <c r="F502" s="311"/>
      <c r="G502" s="88"/>
      <c r="H502" s="121"/>
      <c r="I502" s="311"/>
      <c r="J502" s="88"/>
      <c r="K502" s="121"/>
      <c r="L502" s="311"/>
      <c r="M502" s="316"/>
      <c r="N502" s="317"/>
      <c r="O502" s="318"/>
      <c r="P502" s="316"/>
      <c r="Q502" s="317"/>
      <c r="R502" s="318"/>
      <c r="S502" s="316"/>
      <c r="T502" s="317"/>
      <c r="U502" s="318"/>
      <c r="V502" s="88"/>
      <c r="W502" s="317"/>
      <c r="X502" s="311"/>
      <c r="Y502" s="143"/>
      <c r="Z502" s="143"/>
      <c r="AA502" s="143"/>
      <c r="AB502" s="17"/>
      <c r="AC502" s="17"/>
      <c r="AD502" s="17"/>
      <c r="AE502" s="17"/>
    </row>
    <row r="503">
      <c r="A503" s="88"/>
      <c r="B503" s="121"/>
      <c r="C503" s="311"/>
      <c r="D503" s="88"/>
      <c r="E503" s="121"/>
      <c r="F503" s="311"/>
      <c r="G503" s="88"/>
      <c r="H503" s="121"/>
      <c r="I503" s="311"/>
      <c r="J503" s="88"/>
      <c r="K503" s="121"/>
      <c r="L503" s="311"/>
      <c r="M503" s="316"/>
      <c r="N503" s="317"/>
      <c r="O503" s="318"/>
      <c r="P503" s="316"/>
      <c r="Q503" s="317"/>
      <c r="R503" s="318"/>
      <c r="S503" s="316"/>
      <c r="T503" s="317"/>
      <c r="U503" s="318"/>
      <c r="V503" s="88"/>
      <c r="W503" s="317"/>
      <c r="X503" s="311"/>
      <c r="Y503" s="143"/>
      <c r="Z503" s="143"/>
      <c r="AA503" s="143"/>
      <c r="AB503" s="17"/>
      <c r="AC503" s="17"/>
      <c r="AD503" s="17"/>
      <c r="AE503" s="17"/>
    </row>
    <row r="504">
      <c r="A504" s="88"/>
      <c r="B504" s="121"/>
      <c r="C504" s="311"/>
      <c r="D504" s="88"/>
      <c r="E504" s="121"/>
      <c r="F504" s="311"/>
      <c r="G504" s="88"/>
      <c r="H504" s="121"/>
      <c r="I504" s="311"/>
      <c r="J504" s="88"/>
      <c r="K504" s="121"/>
      <c r="L504" s="311"/>
      <c r="M504" s="316"/>
      <c r="N504" s="317"/>
      <c r="O504" s="318"/>
      <c r="P504" s="316"/>
      <c r="Q504" s="317"/>
      <c r="R504" s="318"/>
      <c r="S504" s="316"/>
      <c r="T504" s="317"/>
      <c r="U504" s="318"/>
      <c r="V504" s="88"/>
      <c r="W504" s="317"/>
      <c r="X504" s="311"/>
      <c r="Y504" s="143"/>
      <c r="Z504" s="143"/>
      <c r="AA504" s="143"/>
      <c r="AB504" s="17"/>
      <c r="AC504" s="17"/>
      <c r="AD504" s="17"/>
      <c r="AE504" s="17"/>
    </row>
    <row r="505">
      <c r="A505" s="88"/>
      <c r="B505" s="121"/>
      <c r="C505" s="311"/>
      <c r="D505" s="88"/>
      <c r="E505" s="121"/>
      <c r="F505" s="311"/>
      <c r="G505" s="88"/>
      <c r="H505" s="121"/>
      <c r="I505" s="311"/>
      <c r="J505" s="88"/>
      <c r="K505" s="121"/>
      <c r="L505" s="311"/>
      <c r="M505" s="316"/>
      <c r="N505" s="317"/>
      <c r="O505" s="318"/>
      <c r="P505" s="316"/>
      <c r="Q505" s="317"/>
      <c r="R505" s="318"/>
      <c r="S505" s="316"/>
      <c r="T505" s="317"/>
      <c r="U505" s="318"/>
      <c r="V505" s="88"/>
      <c r="W505" s="317"/>
      <c r="X505" s="311"/>
      <c r="Y505" s="143"/>
      <c r="Z505" s="143"/>
      <c r="AA505" s="143"/>
      <c r="AB505" s="17"/>
      <c r="AC505" s="17"/>
      <c r="AD505" s="17"/>
      <c r="AE505" s="17"/>
    </row>
    <row r="506">
      <c r="A506" s="88"/>
      <c r="B506" s="121"/>
      <c r="C506" s="311"/>
      <c r="D506" s="88"/>
      <c r="E506" s="121"/>
      <c r="F506" s="311"/>
      <c r="G506" s="88"/>
      <c r="H506" s="121"/>
      <c r="I506" s="311"/>
      <c r="J506" s="88"/>
      <c r="K506" s="121"/>
      <c r="L506" s="311"/>
      <c r="M506" s="316"/>
      <c r="N506" s="317"/>
      <c r="O506" s="318"/>
      <c r="P506" s="316"/>
      <c r="Q506" s="317"/>
      <c r="R506" s="318"/>
      <c r="S506" s="316"/>
      <c r="T506" s="317"/>
      <c r="U506" s="318"/>
      <c r="V506" s="88"/>
      <c r="W506" s="317"/>
      <c r="X506" s="311"/>
      <c r="Y506" s="143"/>
      <c r="Z506" s="143"/>
      <c r="AA506" s="143"/>
      <c r="AB506" s="17"/>
      <c r="AC506" s="17"/>
      <c r="AD506" s="17"/>
      <c r="AE506" s="17"/>
    </row>
    <row r="507">
      <c r="A507" s="88"/>
      <c r="B507" s="121"/>
      <c r="C507" s="311"/>
      <c r="D507" s="88"/>
      <c r="E507" s="121"/>
      <c r="F507" s="311"/>
      <c r="G507" s="88"/>
      <c r="H507" s="121"/>
      <c r="I507" s="311"/>
      <c r="J507" s="88"/>
      <c r="K507" s="121"/>
      <c r="L507" s="311"/>
      <c r="M507" s="316"/>
      <c r="N507" s="317"/>
      <c r="O507" s="318"/>
      <c r="P507" s="316"/>
      <c r="Q507" s="317"/>
      <c r="R507" s="318"/>
      <c r="S507" s="316"/>
      <c r="T507" s="317"/>
      <c r="U507" s="318"/>
      <c r="V507" s="88"/>
      <c r="W507" s="317"/>
      <c r="X507" s="311"/>
      <c r="Y507" s="143"/>
      <c r="Z507" s="143"/>
      <c r="AA507" s="143"/>
      <c r="AB507" s="17"/>
      <c r="AC507" s="17"/>
      <c r="AD507" s="17"/>
      <c r="AE507" s="17"/>
    </row>
    <row r="508">
      <c r="A508" s="88"/>
      <c r="B508" s="121"/>
      <c r="C508" s="311"/>
      <c r="D508" s="88"/>
      <c r="E508" s="121"/>
      <c r="F508" s="311"/>
      <c r="G508" s="88"/>
      <c r="H508" s="121"/>
      <c r="I508" s="311"/>
      <c r="J508" s="88"/>
      <c r="K508" s="121"/>
      <c r="L508" s="311"/>
      <c r="M508" s="316"/>
      <c r="N508" s="317"/>
      <c r="O508" s="318"/>
      <c r="P508" s="316"/>
      <c r="Q508" s="317"/>
      <c r="R508" s="318"/>
      <c r="S508" s="316"/>
      <c r="T508" s="317"/>
      <c r="U508" s="318"/>
      <c r="V508" s="88"/>
      <c r="W508" s="317"/>
      <c r="X508" s="311"/>
      <c r="Y508" s="143"/>
      <c r="Z508" s="143"/>
      <c r="AA508" s="143"/>
      <c r="AB508" s="17"/>
      <c r="AC508" s="17"/>
      <c r="AD508" s="17"/>
      <c r="AE508" s="17"/>
    </row>
    <row r="509">
      <c r="A509" s="88"/>
      <c r="B509" s="121"/>
      <c r="C509" s="311"/>
      <c r="D509" s="88"/>
      <c r="E509" s="121"/>
      <c r="F509" s="311"/>
      <c r="G509" s="88"/>
      <c r="H509" s="121"/>
      <c r="I509" s="311"/>
      <c r="J509" s="88"/>
      <c r="K509" s="121"/>
      <c r="L509" s="311"/>
      <c r="M509" s="316"/>
      <c r="N509" s="317"/>
      <c r="O509" s="318"/>
      <c r="P509" s="316"/>
      <c r="Q509" s="317"/>
      <c r="R509" s="318"/>
      <c r="S509" s="316"/>
      <c r="T509" s="317"/>
      <c r="U509" s="318"/>
      <c r="V509" s="88"/>
      <c r="W509" s="317"/>
      <c r="X509" s="311"/>
      <c r="Y509" s="143"/>
      <c r="Z509" s="143"/>
      <c r="AA509" s="143"/>
      <c r="AB509" s="17"/>
      <c r="AC509" s="17"/>
      <c r="AD509" s="17"/>
      <c r="AE509" s="17"/>
    </row>
    <row r="510">
      <c r="A510" s="88"/>
      <c r="B510" s="121"/>
      <c r="C510" s="311"/>
      <c r="D510" s="88"/>
      <c r="E510" s="121"/>
      <c r="F510" s="311"/>
      <c r="G510" s="88"/>
      <c r="H510" s="121"/>
      <c r="I510" s="311"/>
      <c r="J510" s="88"/>
      <c r="K510" s="121"/>
      <c r="L510" s="311"/>
      <c r="M510" s="316"/>
      <c r="N510" s="317"/>
      <c r="O510" s="318"/>
      <c r="P510" s="316"/>
      <c r="Q510" s="317"/>
      <c r="R510" s="318"/>
      <c r="S510" s="316"/>
      <c r="T510" s="317"/>
      <c r="U510" s="318"/>
      <c r="V510" s="88"/>
      <c r="W510" s="317"/>
      <c r="X510" s="311"/>
      <c r="Y510" s="143"/>
      <c r="Z510" s="143"/>
      <c r="AA510" s="143"/>
      <c r="AB510" s="17"/>
      <c r="AC510" s="17"/>
      <c r="AD510" s="17"/>
      <c r="AE510" s="17"/>
    </row>
    <row r="511">
      <c r="A511" s="88"/>
      <c r="B511" s="121"/>
      <c r="C511" s="311"/>
      <c r="D511" s="88"/>
      <c r="E511" s="121"/>
      <c r="F511" s="311"/>
      <c r="G511" s="88"/>
      <c r="H511" s="121"/>
      <c r="I511" s="311"/>
      <c r="J511" s="88"/>
      <c r="K511" s="121"/>
      <c r="L511" s="311"/>
      <c r="M511" s="316"/>
      <c r="N511" s="317"/>
      <c r="O511" s="318"/>
      <c r="P511" s="316"/>
      <c r="Q511" s="317"/>
      <c r="R511" s="318"/>
      <c r="S511" s="316"/>
      <c r="T511" s="317"/>
      <c r="U511" s="318"/>
      <c r="V511" s="88"/>
      <c r="W511" s="317"/>
      <c r="X511" s="311"/>
      <c r="Y511" s="143"/>
      <c r="Z511" s="143"/>
      <c r="AA511" s="143"/>
      <c r="AB511" s="17"/>
      <c r="AC511" s="17"/>
      <c r="AD511" s="17"/>
      <c r="AE511" s="17"/>
    </row>
    <row r="512">
      <c r="A512" s="88"/>
      <c r="B512" s="121"/>
      <c r="C512" s="311"/>
      <c r="D512" s="88"/>
      <c r="E512" s="121"/>
      <c r="F512" s="311"/>
      <c r="G512" s="88"/>
      <c r="H512" s="121"/>
      <c r="I512" s="311"/>
      <c r="J512" s="88"/>
      <c r="K512" s="121"/>
      <c r="L512" s="311"/>
      <c r="M512" s="316"/>
      <c r="N512" s="317"/>
      <c r="O512" s="318"/>
      <c r="P512" s="316"/>
      <c r="Q512" s="317"/>
      <c r="R512" s="318"/>
      <c r="S512" s="316"/>
      <c r="T512" s="317"/>
      <c r="U512" s="318"/>
      <c r="V512" s="88"/>
      <c r="W512" s="317"/>
      <c r="X512" s="311"/>
      <c r="Y512" s="143"/>
      <c r="Z512" s="143"/>
      <c r="AA512" s="143"/>
      <c r="AB512" s="17"/>
      <c r="AC512" s="17"/>
      <c r="AD512" s="17"/>
      <c r="AE512" s="17"/>
    </row>
    <row r="513">
      <c r="A513" s="88"/>
      <c r="B513" s="121"/>
      <c r="C513" s="311"/>
      <c r="D513" s="88"/>
      <c r="E513" s="121"/>
      <c r="F513" s="311"/>
      <c r="G513" s="88"/>
      <c r="H513" s="121"/>
      <c r="I513" s="311"/>
      <c r="J513" s="88"/>
      <c r="K513" s="121"/>
      <c r="L513" s="311"/>
      <c r="M513" s="316"/>
      <c r="N513" s="317"/>
      <c r="O513" s="318"/>
      <c r="P513" s="316"/>
      <c r="Q513" s="317"/>
      <c r="R513" s="318"/>
      <c r="S513" s="316"/>
      <c r="T513" s="317"/>
      <c r="U513" s="318"/>
      <c r="V513" s="88"/>
      <c r="W513" s="317"/>
      <c r="X513" s="311"/>
      <c r="Y513" s="143"/>
      <c r="Z513" s="143"/>
      <c r="AA513" s="143"/>
      <c r="AB513" s="17"/>
      <c r="AC513" s="17"/>
      <c r="AD513" s="17"/>
      <c r="AE513" s="17"/>
    </row>
    <row r="514">
      <c r="A514" s="88"/>
      <c r="B514" s="121"/>
      <c r="C514" s="311"/>
      <c r="D514" s="88"/>
      <c r="E514" s="121"/>
      <c r="F514" s="311"/>
      <c r="G514" s="88"/>
      <c r="H514" s="121"/>
      <c r="I514" s="311"/>
      <c r="J514" s="88"/>
      <c r="K514" s="121"/>
      <c r="L514" s="311"/>
      <c r="M514" s="316"/>
      <c r="N514" s="317"/>
      <c r="O514" s="318"/>
      <c r="P514" s="316"/>
      <c r="Q514" s="317"/>
      <c r="R514" s="318"/>
      <c r="S514" s="316"/>
      <c r="T514" s="317"/>
      <c r="U514" s="318"/>
      <c r="V514" s="88"/>
      <c r="W514" s="317"/>
      <c r="X514" s="311"/>
      <c r="Y514" s="143"/>
      <c r="Z514" s="143"/>
      <c r="AA514" s="143"/>
      <c r="AB514" s="17"/>
      <c r="AC514" s="17"/>
      <c r="AD514" s="17"/>
      <c r="AE514" s="17"/>
    </row>
    <row r="515">
      <c r="A515" s="88"/>
      <c r="B515" s="121"/>
      <c r="C515" s="311"/>
      <c r="D515" s="88"/>
      <c r="E515" s="121"/>
      <c r="F515" s="311"/>
      <c r="G515" s="88"/>
      <c r="H515" s="121"/>
      <c r="I515" s="311"/>
      <c r="J515" s="88"/>
      <c r="K515" s="121"/>
      <c r="L515" s="311"/>
      <c r="M515" s="316"/>
      <c r="N515" s="317"/>
      <c r="O515" s="318"/>
      <c r="P515" s="316"/>
      <c r="Q515" s="317"/>
      <c r="R515" s="318"/>
      <c r="S515" s="316"/>
      <c r="T515" s="317"/>
      <c r="U515" s="318"/>
      <c r="V515" s="88"/>
      <c r="W515" s="317"/>
      <c r="X515" s="311"/>
      <c r="Y515" s="143"/>
      <c r="Z515" s="143"/>
      <c r="AA515" s="143"/>
      <c r="AB515" s="17"/>
      <c r="AC515" s="17"/>
      <c r="AD515" s="17"/>
      <c r="AE515" s="17"/>
    </row>
    <row r="516">
      <c r="A516" s="88"/>
      <c r="B516" s="121"/>
      <c r="C516" s="311"/>
      <c r="D516" s="88"/>
      <c r="E516" s="121"/>
      <c r="F516" s="311"/>
      <c r="G516" s="88"/>
      <c r="H516" s="121"/>
      <c r="I516" s="311"/>
      <c r="J516" s="88"/>
      <c r="K516" s="121"/>
      <c r="L516" s="311"/>
      <c r="M516" s="316"/>
      <c r="N516" s="317"/>
      <c r="O516" s="318"/>
      <c r="P516" s="316"/>
      <c r="Q516" s="317"/>
      <c r="R516" s="318"/>
      <c r="S516" s="316"/>
      <c r="T516" s="317"/>
      <c r="U516" s="318"/>
      <c r="V516" s="88"/>
      <c r="W516" s="317"/>
      <c r="X516" s="311"/>
      <c r="Y516" s="143"/>
      <c r="Z516" s="143"/>
      <c r="AA516" s="143"/>
      <c r="AB516" s="17"/>
      <c r="AC516" s="17"/>
      <c r="AD516" s="17"/>
      <c r="AE516" s="17"/>
    </row>
    <row r="517">
      <c r="A517" s="88"/>
      <c r="B517" s="121"/>
      <c r="C517" s="311"/>
      <c r="D517" s="88"/>
      <c r="E517" s="121"/>
      <c r="F517" s="311"/>
      <c r="G517" s="88"/>
      <c r="H517" s="121"/>
      <c r="I517" s="311"/>
      <c r="J517" s="88"/>
      <c r="K517" s="121"/>
      <c r="L517" s="311"/>
      <c r="M517" s="316"/>
      <c r="N517" s="317"/>
      <c r="O517" s="318"/>
      <c r="P517" s="316"/>
      <c r="Q517" s="317"/>
      <c r="R517" s="318"/>
      <c r="S517" s="316"/>
      <c r="T517" s="317"/>
      <c r="U517" s="318"/>
      <c r="V517" s="88"/>
      <c r="W517" s="317"/>
      <c r="X517" s="311"/>
      <c r="Y517" s="143"/>
      <c r="Z517" s="143"/>
      <c r="AA517" s="143"/>
      <c r="AB517" s="17"/>
      <c r="AC517" s="17"/>
      <c r="AD517" s="17"/>
      <c r="AE517" s="17"/>
    </row>
    <row r="518">
      <c r="A518" s="88"/>
      <c r="B518" s="121"/>
      <c r="C518" s="311"/>
      <c r="D518" s="88"/>
      <c r="E518" s="121"/>
      <c r="F518" s="311"/>
      <c r="G518" s="88"/>
      <c r="H518" s="121"/>
      <c r="I518" s="311"/>
      <c r="J518" s="88"/>
      <c r="K518" s="121"/>
      <c r="L518" s="311"/>
      <c r="M518" s="316"/>
      <c r="N518" s="317"/>
      <c r="O518" s="318"/>
      <c r="P518" s="316"/>
      <c r="Q518" s="317"/>
      <c r="R518" s="318"/>
      <c r="S518" s="316"/>
      <c r="T518" s="317"/>
      <c r="U518" s="318"/>
      <c r="V518" s="88"/>
      <c r="W518" s="317"/>
      <c r="X518" s="311"/>
      <c r="Y518" s="143"/>
      <c r="Z518" s="143"/>
      <c r="AA518" s="143"/>
      <c r="AB518" s="17"/>
      <c r="AC518" s="17"/>
      <c r="AD518" s="17"/>
      <c r="AE518" s="17"/>
    </row>
    <row r="519">
      <c r="A519" s="88"/>
      <c r="B519" s="121"/>
      <c r="C519" s="311"/>
      <c r="D519" s="88"/>
      <c r="E519" s="121"/>
      <c r="F519" s="311"/>
      <c r="G519" s="88"/>
      <c r="H519" s="121"/>
      <c r="I519" s="311"/>
      <c r="J519" s="88"/>
      <c r="K519" s="121"/>
      <c r="L519" s="311"/>
      <c r="M519" s="316"/>
      <c r="N519" s="317"/>
      <c r="O519" s="318"/>
      <c r="P519" s="316"/>
      <c r="Q519" s="317"/>
      <c r="R519" s="318"/>
      <c r="S519" s="316"/>
      <c r="T519" s="317"/>
      <c r="U519" s="318"/>
      <c r="V519" s="88"/>
      <c r="W519" s="317"/>
      <c r="X519" s="311"/>
      <c r="Y519" s="143"/>
      <c r="Z519" s="143"/>
      <c r="AA519" s="143"/>
      <c r="AB519" s="17"/>
      <c r="AC519" s="17"/>
      <c r="AD519" s="17"/>
      <c r="AE519" s="17"/>
    </row>
    <row r="520">
      <c r="A520" s="88"/>
      <c r="B520" s="121"/>
      <c r="C520" s="311"/>
      <c r="D520" s="88"/>
      <c r="E520" s="121"/>
      <c r="F520" s="311"/>
      <c r="G520" s="88"/>
      <c r="H520" s="121"/>
      <c r="I520" s="311"/>
      <c r="J520" s="88"/>
      <c r="K520" s="121"/>
      <c r="L520" s="311"/>
      <c r="M520" s="316"/>
      <c r="N520" s="317"/>
      <c r="O520" s="318"/>
      <c r="P520" s="316"/>
      <c r="Q520" s="317"/>
      <c r="R520" s="318"/>
      <c r="S520" s="316"/>
      <c r="T520" s="317"/>
      <c r="U520" s="318"/>
      <c r="V520" s="88"/>
      <c r="W520" s="317"/>
      <c r="X520" s="311"/>
      <c r="Y520" s="143"/>
      <c r="Z520" s="143"/>
      <c r="AA520" s="143"/>
      <c r="AB520" s="17"/>
      <c r="AC520" s="17"/>
      <c r="AD520" s="17"/>
      <c r="AE520" s="17"/>
    </row>
    <row r="521">
      <c r="A521" s="88"/>
      <c r="B521" s="121"/>
      <c r="C521" s="311"/>
      <c r="D521" s="88"/>
      <c r="E521" s="121"/>
      <c r="F521" s="311"/>
      <c r="G521" s="88"/>
      <c r="H521" s="121"/>
      <c r="I521" s="311"/>
      <c r="J521" s="88"/>
      <c r="K521" s="121"/>
      <c r="L521" s="311"/>
      <c r="M521" s="316"/>
      <c r="N521" s="317"/>
      <c r="O521" s="318"/>
      <c r="P521" s="316"/>
      <c r="Q521" s="317"/>
      <c r="R521" s="318"/>
      <c r="S521" s="316"/>
      <c r="T521" s="317"/>
      <c r="U521" s="318"/>
      <c r="V521" s="88"/>
      <c r="W521" s="317"/>
      <c r="X521" s="311"/>
      <c r="Y521" s="143"/>
      <c r="Z521" s="143"/>
      <c r="AA521" s="143"/>
      <c r="AB521" s="17"/>
      <c r="AC521" s="17"/>
      <c r="AD521" s="17"/>
      <c r="AE521" s="17"/>
    </row>
    <row r="522">
      <c r="A522" s="88"/>
      <c r="B522" s="121"/>
      <c r="C522" s="311"/>
      <c r="D522" s="88"/>
      <c r="E522" s="121"/>
      <c r="F522" s="311"/>
      <c r="G522" s="88"/>
      <c r="H522" s="121"/>
      <c r="I522" s="311"/>
      <c r="J522" s="88"/>
      <c r="K522" s="121"/>
      <c r="L522" s="311"/>
      <c r="M522" s="316"/>
      <c r="N522" s="317"/>
      <c r="O522" s="318"/>
      <c r="P522" s="316"/>
      <c r="Q522" s="317"/>
      <c r="R522" s="318"/>
      <c r="S522" s="316"/>
      <c r="T522" s="317"/>
      <c r="U522" s="318"/>
      <c r="V522" s="88"/>
      <c r="W522" s="317"/>
      <c r="X522" s="311"/>
      <c r="Y522" s="143"/>
      <c r="Z522" s="143"/>
      <c r="AA522" s="143"/>
      <c r="AB522" s="17"/>
      <c r="AC522" s="17"/>
      <c r="AD522" s="17"/>
      <c r="AE522" s="17"/>
    </row>
    <row r="523">
      <c r="A523" s="88"/>
      <c r="B523" s="121"/>
      <c r="C523" s="311"/>
      <c r="D523" s="88"/>
      <c r="E523" s="121"/>
      <c r="F523" s="311"/>
      <c r="G523" s="88"/>
      <c r="H523" s="121"/>
      <c r="I523" s="311"/>
      <c r="J523" s="88"/>
      <c r="K523" s="121"/>
      <c r="L523" s="311"/>
      <c r="M523" s="316"/>
      <c r="N523" s="317"/>
      <c r="O523" s="318"/>
      <c r="P523" s="316"/>
      <c r="Q523" s="317"/>
      <c r="R523" s="318"/>
      <c r="S523" s="316"/>
      <c r="T523" s="317"/>
      <c r="U523" s="318"/>
      <c r="V523" s="88"/>
      <c r="W523" s="317"/>
      <c r="X523" s="311"/>
      <c r="Y523" s="143"/>
      <c r="Z523" s="143"/>
      <c r="AA523" s="143"/>
      <c r="AB523" s="17"/>
      <c r="AC523" s="17"/>
      <c r="AD523" s="17"/>
      <c r="AE523" s="17"/>
    </row>
    <row r="524">
      <c r="A524" s="88"/>
      <c r="B524" s="121"/>
      <c r="C524" s="311"/>
      <c r="D524" s="88"/>
      <c r="E524" s="121"/>
      <c r="F524" s="311"/>
      <c r="G524" s="88"/>
      <c r="H524" s="121"/>
      <c r="I524" s="311"/>
      <c r="J524" s="88"/>
      <c r="K524" s="121"/>
      <c r="L524" s="311"/>
      <c r="M524" s="316"/>
      <c r="N524" s="317"/>
      <c r="O524" s="318"/>
      <c r="P524" s="316"/>
      <c r="Q524" s="317"/>
      <c r="R524" s="318"/>
      <c r="S524" s="316"/>
      <c r="T524" s="317"/>
      <c r="U524" s="318"/>
      <c r="V524" s="88"/>
      <c r="W524" s="317"/>
      <c r="X524" s="311"/>
      <c r="Y524" s="143"/>
      <c r="Z524" s="143"/>
      <c r="AA524" s="143"/>
      <c r="AB524" s="17"/>
      <c r="AC524" s="17"/>
      <c r="AD524" s="17"/>
      <c r="AE524" s="17"/>
    </row>
    <row r="525">
      <c r="A525" s="88"/>
      <c r="B525" s="121"/>
      <c r="C525" s="311"/>
      <c r="D525" s="88"/>
      <c r="E525" s="121"/>
      <c r="F525" s="311"/>
      <c r="G525" s="88"/>
      <c r="H525" s="121"/>
      <c r="I525" s="311"/>
      <c r="J525" s="88"/>
      <c r="K525" s="121"/>
      <c r="L525" s="311"/>
      <c r="M525" s="316"/>
      <c r="N525" s="317"/>
      <c r="O525" s="318"/>
      <c r="P525" s="316"/>
      <c r="Q525" s="317"/>
      <c r="R525" s="318"/>
      <c r="S525" s="316"/>
      <c r="T525" s="317"/>
      <c r="U525" s="318"/>
      <c r="V525" s="88"/>
      <c r="W525" s="317"/>
      <c r="X525" s="311"/>
      <c r="Y525" s="143"/>
      <c r="Z525" s="143"/>
      <c r="AA525" s="143"/>
      <c r="AB525" s="17"/>
      <c r="AC525" s="17"/>
      <c r="AD525" s="17"/>
      <c r="AE525" s="17"/>
    </row>
    <row r="526">
      <c r="A526" s="88"/>
      <c r="B526" s="121"/>
      <c r="C526" s="311"/>
      <c r="D526" s="88"/>
      <c r="E526" s="121"/>
      <c r="F526" s="311"/>
      <c r="G526" s="88"/>
      <c r="H526" s="121"/>
      <c r="I526" s="311"/>
      <c r="J526" s="88"/>
      <c r="K526" s="121"/>
      <c r="L526" s="311"/>
      <c r="M526" s="316"/>
      <c r="N526" s="317"/>
      <c r="O526" s="318"/>
      <c r="P526" s="316"/>
      <c r="Q526" s="317"/>
      <c r="R526" s="318"/>
      <c r="S526" s="316"/>
      <c r="T526" s="317"/>
      <c r="U526" s="318"/>
      <c r="V526" s="88"/>
      <c r="W526" s="317"/>
      <c r="X526" s="311"/>
      <c r="Y526" s="143"/>
      <c r="Z526" s="143"/>
      <c r="AA526" s="143"/>
      <c r="AB526" s="17"/>
      <c r="AC526" s="17"/>
      <c r="AD526" s="17"/>
      <c r="AE526" s="17"/>
    </row>
    <row r="527">
      <c r="A527" s="88"/>
      <c r="B527" s="121"/>
      <c r="C527" s="311"/>
      <c r="D527" s="88"/>
      <c r="E527" s="121"/>
      <c r="F527" s="311"/>
      <c r="G527" s="88"/>
      <c r="H527" s="121"/>
      <c r="I527" s="311"/>
      <c r="J527" s="88"/>
      <c r="K527" s="121"/>
      <c r="L527" s="311"/>
      <c r="M527" s="316"/>
      <c r="N527" s="317"/>
      <c r="O527" s="318"/>
      <c r="P527" s="316"/>
      <c r="Q527" s="317"/>
      <c r="R527" s="318"/>
      <c r="S527" s="316"/>
      <c r="T527" s="317"/>
      <c r="U527" s="318"/>
      <c r="V527" s="88"/>
      <c r="W527" s="317"/>
      <c r="X527" s="311"/>
      <c r="Y527" s="143"/>
      <c r="Z527" s="143"/>
      <c r="AA527" s="143"/>
      <c r="AB527" s="17"/>
      <c r="AC527" s="17"/>
      <c r="AD527" s="17"/>
      <c r="AE527" s="17"/>
    </row>
    <row r="528">
      <c r="A528" s="88"/>
      <c r="B528" s="121"/>
      <c r="C528" s="311"/>
      <c r="D528" s="88"/>
      <c r="E528" s="121"/>
      <c r="F528" s="311"/>
      <c r="G528" s="88"/>
      <c r="H528" s="121"/>
      <c r="I528" s="311"/>
      <c r="J528" s="88"/>
      <c r="K528" s="121"/>
      <c r="L528" s="311"/>
      <c r="M528" s="316"/>
      <c r="N528" s="317"/>
      <c r="O528" s="318"/>
      <c r="P528" s="316"/>
      <c r="Q528" s="317"/>
      <c r="R528" s="318"/>
      <c r="S528" s="316"/>
      <c r="T528" s="317"/>
      <c r="U528" s="318"/>
      <c r="V528" s="88"/>
      <c r="W528" s="317"/>
      <c r="X528" s="311"/>
      <c r="Y528" s="143"/>
      <c r="Z528" s="143"/>
      <c r="AA528" s="143"/>
      <c r="AB528" s="17"/>
      <c r="AC528" s="17"/>
      <c r="AD528" s="17"/>
      <c r="AE528" s="17"/>
    </row>
    <row r="529">
      <c r="A529" s="88"/>
      <c r="B529" s="121"/>
      <c r="C529" s="311"/>
      <c r="D529" s="88"/>
      <c r="E529" s="121"/>
      <c r="F529" s="311"/>
      <c r="G529" s="88"/>
      <c r="H529" s="121"/>
      <c r="I529" s="311"/>
      <c r="J529" s="88"/>
      <c r="K529" s="121"/>
      <c r="L529" s="311"/>
      <c r="M529" s="316"/>
      <c r="N529" s="317"/>
      <c r="O529" s="318"/>
      <c r="P529" s="316"/>
      <c r="Q529" s="317"/>
      <c r="R529" s="318"/>
      <c r="S529" s="316"/>
      <c r="T529" s="317"/>
      <c r="U529" s="318"/>
      <c r="V529" s="88"/>
      <c r="W529" s="317"/>
      <c r="X529" s="311"/>
      <c r="Y529" s="143"/>
      <c r="Z529" s="143"/>
      <c r="AA529" s="143"/>
      <c r="AB529" s="17"/>
      <c r="AC529" s="17"/>
      <c r="AD529" s="17"/>
      <c r="AE529" s="17"/>
    </row>
    <row r="530">
      <c r="A530" s="88"/>
      <c r="B530" s="121"/>
      <c r="C530" s="311"/>
      <c r="D530" s="88"/>
      <c r="E530" s="121"/>
      <c r="F530" s="311"/>
      <c r="G530" s="88"/>
      <c r="H530" s="121"/>
      <c r="I530" s="311"/>
      <c r="J530" s="88"/>
      <c r="K530" s="121"/>
      <c r="L530" s="311"/>
      <c r="M530" s="316"/>
      <c r="N530" s="317"/>
      <c r="O530" s="318"/>
      <c r="P530" s="316"/>
      <c r="Q530" s="317"/>
      <c r="R530" s="318"/>
      <c r="S530" s="316"/>
      <c r="T530" s="317"/>
      <c r="U530" s="318"/>
      <c r="V530" s="88"/>
      <c r="W530" s="317"/>
      <c r="X530" s="311"/>
      <c r="Y530" s="143"/>
      <c r="Z530" s="143"/>
      <c r="AA530" s="143"/>
      <c r="AB530" s="17"/>
      <c r="AC530" s="17"/>
      <c r="AD530" s="17"/>
      <c r="AE530" s="17"/>
    </row>
    <row r="531">
      <c r="A531" s="88"/>
      <c r="B531" s="121"/>
      <c r="C531" s="311"/>
      <c r="D531" s="88"/>
      <c r="E531" s="121"/>
      <c r="F531" s="311"/>
      <c r="G531" s="88"/>
      <c r="H531" s="121"/>
      <c r="I531" s="311"/>
      <c r="J531" s="88"/>
      <c r="K531" s="121"/>
      <c r="L531" s="311"/>
      <c r="M531" s="316"/>
      <c r="N531" s="317"/>
      <c r="O531" s="318"/>
      <c r="P531" s="316"/>
      <c r="Q531" s="317"/>
      <c r="R531" s="318"/>
      <c r="S531" s="316"/>
      <c r="T531" s="317"/>
      <c r="U531" s="318"/>
      <c r="V531" s="88"/>
      <c r="W531" s="317"/>
      <c r="X531" s="311"/>
      <c r="Y531" s="143"/>
      <c r="Z531" s="143"/>
      <c r="AA531" s="143"/>
      <c r="AB531" s="17"/>
      <c r="AC531" s="17"/>
      <c r="AD531" s="17"/>
      <c r="AE531" s="17"/>
    </row>
    <row r="532">
      <c r="A532" s="88"/>
      <c r="B532" s="121"/>
      <c r="C532" s="311"/>
      <c r="D532" s="88"/>
      <c r="E532" s="121"/>
      <c r="F532" s="311"/>
      <c r="G532" s="88"/>
      <c r="H532" s="121"/>
      <c r="I532" s="311"/>
      <c r="J532" s="88"/>
      <c r="K532" s="121"/>
      <c r="L532" s="311"/>
      <c r="M532" s="316"/>
      <c r="N532" s="317"/>
      <c r="O532" s="318"/>
      <c r="P532" s="316"/>
      <c r="Q532" s="317"/>
      <c r="R532" s="318"/>
      <c r="S532" s="316"/>
      <c r="T532" s="317"/>
      <c r="U532" s="318"/>
      <c r="V532" s="88"/>
      <c r="W532" s="317"/>
      <c r="X532" s="311"/>
      <c r="Y532" s="143"/>
      <c r="Z532" s="143"/>
      <c r="AA532" s="143"/>
      <c r="AB532" s="17"/>
      <c r="AC532" s="17"/>
      <c r="AD532" s="17"/>
      <c r="AE532" s="17"/>
    </row>
    <row r="533">
      <c r="A533" s="88"/>
      <c r="B533" s="121"/>
      <c r="C533" s="311"/>
      <c r="D533" s="88"/>
      <c r="E533" s="121"/>
      <c r="F533" s="311"/>
      <c r="G533" s="88"/>
      <c r="H533" s="121"/>
      <c r="I533" s="311"/>
      <c r="J533" s="88"/>
      <c r="K533" s="121"/>
      <c r="L533" s="311"/>
      <c r="M533" s="316"/>
      <c r="N533" s="317"/>
      <c r="O533" s="318"/>
      <c r="P533" s="316"/>
      <c r="Q533" s="317"/>
      <c r="R533" s="318"/>
      <c r="S533" s="316"/>
      <c r="T533" s="317"/>
      <c r="U533" s="318"/>
      <c r="V533" s="88"/>
      <c r="W533" s="317"/>
      <c r="X533" s="311"/>
      <c r="Y533" s="143"/>
      <c r="Z533" s="143"/>
      <c r="AA533" s="143"/>
      <c r="AB533" s="17"/>
      <c r="AC533" s="17"/>
      <c r="AD533" s="17"/>
      <c r="AE533" s="17"/>
    </row>
    <row r="534">
      <c r="A534" s="88"/>
      <c r="B534" s="121"/>
      <c r="C534" s="311"/>
      <c r="D534" s="88"/>
      <c r="E534" s="121"/>
      <c r="F534" s="311"/>
      <c r="G534" s="88"/>
      <c r="H534" s="121"/>
      <c r="I534" s="311"/>
      <c r="J534" s="88"/>
      <c r="K534" s="121"/>
      <c r="L534" s="311"/>
      <c r="M534" s="316"/>
      <c r="N534" s="317"/>
      <c r="O534" s="318"/>
      <c r="P534" s="316"/>
      <c r="Q534" s="317"/>
      <c r="R534" s="318"/>
      <c r="S534" s="316"/>
      <c r="T534" s="317"/>
      <c r="U534" s="318"/>
      <c r="V534" s="88"/>
      <c r="W534" s="317"/>
      <c r="X534" s="311"/>
      <c r="Y534" s="143"/>
      <c r="Z534" s="143"/>
      <c r="AA534" s="143"/>
      <c r="AB534" s="17"/>
      <c r="AC534" s="17"/>
      <c r="AD534" s="17"/>
      <c r="AE534" s="17"/>
    </row>
    <row r="535">
      <c r="A535" s="88"/>
      <c r="B535" s="121"/>
      <c r="C535" s="311"/>
      <c r="D535" s="88"/>
      <c r="E535" s="121"/>
      <c r="F535" s="311"/>
      <c r="G535" s="88"/>
      <c r="H535" s="121"/>
      <c r="I535" s="311"/>
      <c r="J535" s="88"/>
      <c r="K535" s="121"/>
      <c r="L535" s="311"/>
      <c r="M535" s="316"/>
      <c r="N535" s="317"/>
      <c r="O535" s="318"/>
      <c r="P535" s="316"/>
      <c r="Q535" s="317"/>
      <c r="R535" s="318"/>
      <c r="S535" s="316"/>
      <c r="T535" s="317"/>
      <c r="U535" s="318"/>
      <c r="V535" s="88"/>
      <c r="W535" s="317"/>
      <c r="X535" s="311"/>
      <c r="Y535" s="143"/>
      <c r="Z535" s="143"/>
      <c r="AA535" s="143"/>
      <c r="AB535" s="17"/>
      <c r="AC535" s="17"/>
      <c r="AD535" s="17"/>
      <c r="AE535" s="17"/>
    </row>
    <row r="536">
      <c r="A536" s="88"/>
      <c r="B536" s="121"/>
      <c r="C536" s="311"/>
      <c r="D536" s="88"/>
      <c r="E536" s="121"/>
      <c r="F536" s="311"/>
      <c r="G536" s="88"/>
      <c r="H536" s="121"/>
      <c r="I536" s="311"/>
      <c r="J536" s="88"/>
      <c r="K536" s="121"/>
      <c r="L536" s="311"/>
      <c r="M536" s="316"/>
      <c r="N536" s="317"/>
      <c r="O536" s="318"/>
      <c r="P536" s="316"/>
      <c r="Q536" s="317"/>
      <c r="R536" s="318"/>
      <c r="S536" s="316"/>
      <c r="T536" s="317"/>
      <c r="U536" s="318"/>
      <c r="V536" s="88"/>
      <c r="W536" s="317"/>
      <c r="X536" s="311"/>
      <c r="Y536" s="143"/>
      <c r="Z536" s="143"/>
      <c r="AA536" s="143"/>
      <c r="AB536" s="17"/>
      <c r="AC536" s="17"/>
      <c r="AD536" s="17"/>
      <c r="AE536" s="17"/>
    </row>
    <row r="537">
      <c r="A537" s="88"/>
      <c r="B537" s="121"/>
      <c r="C537" s="311"/>
      <c r="D537" s="88"/>
      <c r="E537" s="121"/>
      <c r="F537" s="311"/>
      <c r="G537" s="88"/>
      <c r="H537" s="121"/>
      <c r="I537" s="311"/>
      <c r="J537" s="88"/>
      <c r="K537" s="121"/>
      <c r="L537" s="311"/>
      <c r="M537" s="316"/>
      <c r="N537" s="317"/>
      <c r="O537" s="318"/>
      <c r="P537" s="316"/>
      <c r="Q537" s="317"/>
      <c r="R537" s="318"/>
      <c r="S537" s="316"/>
      <c r="T537" s="317"/>
      <c r="U537" s="318"/>
      <c r="V537" s="88"/>
      <c r="W537" s="317"/>
      <c r="X537" s="311"/>
      <c r="Y537" s="143"/>
      <c r="Z537" s="143"/>
      <c r="AA537" s="143"/>
      <c r="AB537" s="17"/>
      <c r="AC537" s="17"/>
      <c r="AD537" s="17"/>
      <c r="AE537" s="17"/>
    </row>
    <row r="538">
      <c r="A538" s="88"/>
      <c r="B538" s="121"/>
      <c r="C538" s="311"/>
      <c r="D538" s="88"/>
      <c r="E538" s="121"/>
      <c r="F538" s="311"/>
      <c r="G538" s="88"/>
      <c r="H538" s="121"/>
      <c r="I538" s="311"/>
      <c r="J538" s="88"/>
      <c r="K538" s="121"/>
      <c r="L538" s="311"/>
      <c r="M538" s="316"/>
      <c r="N538" s="317"/>
      <c r="O538" s="318"/>
      <c r="P538" s="316"/>
      <c r="Q538" s="317"/>
      <c r="R538" s="318"/>
      <c r="S538" s="316"/>
      <c r="T538" s="317"/>
      <c r="U538" s="318"/>
      <c r="V538" s="88"/>
      <c r="W538" s="317"/>
      <c r="X538" s="311"/>
      <c r="Y538" s="143"/>
      <c r="Z538" s="143"/>
      <c r="AA538" s="143"/>
      <c r="AB538" s="17"/>
      <c r="AC538" s="17"/>
      <c r="AD538" s="17"/>
      <c r="AE538" s="17"/>
    </row>
    <row r="539">
      <c r="A539" s="88"/>
      <c r="B539" s="121"/>
      <c r="C539" s="311"/>
      <c r="D539" s="88"/>
      <c r="E539" s="121"/>
      <c r="F539" s="311"/>
      <c r="G539" s="88"/>
      <c r="H539" s="121"/>
      <c r="I539" s="311"/>
      <c r="J539" s="88"/>
      <c r="K539" s="121"/>
      <c r="L539" s="311"/>
      <c r="M539" s="316"/>
      <c r="N539" s="317"/>
      <c r="O539" s="318"/>
      <c r="P539" s="316"/>
      <c r="Q539" s="317"/>
      <c r="R539" s="318"/>
      <c r="S539" s="316"/>
      <c r="T539" s="317"/>
      <c r="U539" s="318"/>
      <c r="V539" s="88"/>
      <c r="W539" s="317"/>
      <c r="X539" s="311"/>
      <c r="Y539" s="143"/>
      <c r="Z539" s="143"/>
      <c r="AA539" s="143"/>
      <c r="AB539" s="17"/>
      <c r="AC539" s="17"/>
      <c r="AD539" s="17"/>
      <c r="AE539" s="17"/>
    </row>
    <row r="540">
      <c r="A540" s="88"/>
      <c r="B540" s="121"/>
      <c r="C540" s="311"/>
      <c r="D540" s="88"/>
      <c r="E540" s="121"/>
      <c r="F540" s="311"/>
      <c r="G540" s="88"/>
      <c r="H540" s="121"/>
      <c r="I540" s="311"/>
      <c r="J540" s="88"/>
      <c r="K540" s="121"/>
      <c r="L540" s="311"/>
      <c r="M540" s="316"/>
      <c r="N540" s="317"/>
      <c r="O540" s="318"/>
      <c r="P540" s="316"/>
      <c r="Q540" s="317"/>
      <c r="R540" s="318"/>
      <c r="S540" s="316"/>
      <c r="T540" s="317"/>
      <c r="U540" s="318"/>
      <c r="V540" s="88"/>
      <c r="W540" s="317"/>
      <c r="X540" s="311"/>
      <c r="Y540" s="143"/>
      <c r="Z540" s="143"/>
      <c r="AA540" s="143"/>
      <c r="AB540" s="17"/>
      <c r="AC540" s="17"/>
      <c r="AD540" s="17"/>
      <c r="AE540" s="17"/>
    </row>
    <row r="541">
      <c r="A541" s="88"/>
      <c r="B541" s="121"/>
      <c r="C541" s="311"/>
      <c r="D541" s="88"/>
      <c r="E541" s="121"/>
      <c r="F541" s="311"/>
      <c r="G541" s="88"/>
      <c r="H541" s="121"/>
      <c r="I541" s="311"/>
      <c r="J541" s="88"/>
      <c r="K541" s="121"/>
      <c r="L541" s="311"/>
      <c r="M541" s="316"/>
      <c r="N541" s="317"/>
      <c r="O541" s="318"/>
      <c r="P541" s="316"/>
      <c r="Q541" s="317"/>
      <c r="R541" s="318"/>
      <c r="S541" s="316"/>
      <c r="T541" s="317"/>
      <c r="U541" s="318"/>
      <c r="V541" s="88"/>
      <c r="W541" s="317"/>
      <c r="X541" s="311"/>
      <c r="Y541" s="143"/>
      <c r="Z541" s="143"/>
      <c r="AA541" s="143"/>
      <c r="AB541" s="17"/>
      <c r="AC541" s="17"/>
      <c r="AD541" s="17"/>
      <c r="AE541" s="17"/>
    </row>
    <row r="542">
      <c r="A542" s="88"/>
      <c r="B542" s="121"/>
      <c r="C542" s="311"/>
      <c r="D542" s="88"/>
      <c r="E542" s="121"/>
      <c r="F542" s="311"/>
      <c r="G542" s="88"/>
      <c r="H542" s="121"/>
      <c r="I542" s="311"/>
      <c r="J542" s="88"/>
      <c r="K542" s="121"/>
      <c r="L542" s="311"/>
      <c r="M542" s="316"/>
      <c r="N542" s="317"/>
      <c r="O542" s="318"/>
      <c r="P542" s="316"/>
      <c r="Q542" s="317"/>
      <c r="R542" s="318"/>
      <c r="S542" s="316"/>
      <c r="T542" s="317"/>
      <c r="U542" s="318"/>
      <c r="V542" s="88"/>
      <c r="W542" s="317"/>
      <c r="X542" s="311"/>
      <c r="Y542" s="143"/>
      <c r="Z542" s="143"/>
      <c r="AA542" s="143"/>
      <c r="AB542" s="17"/>
      <c r="AC542" s="17"/>
      <c r="AD542" s="17"/>
      <c r="AE542" s="17"/>
    </row>
    <row r="543">
      <c r="A543" s="88"/>
      <c r="B543" s="121"/>
      <c r="C543" s="311"/>
      <c r="D543" s="88"/>
      <c r="E543" s="121"/>
      <c r="F543" s="311"/>
      <c r="G543" s="88"/>
      <c r="H543" s="121"/>
      <c r="I543" s="311"/>
      <c r="J543" s="88"/>
      <c r="K543" s="121"/>
      <c r="L543" s="311"/>
      <c r="M543" s="316"/>
      <c r="N543" s="317"/>
      <c r="O543" s="318"/>
      <c r="P543" s="316"/>
      <c r="Q543" s="317"/>
      <c r="R543" s="318"/>
      <c r="S543" s="316"/>
      <c r="T543" s="317"/>
      <c r="U543" s="318"/>
      <c r="V543" s="88"/>
      <c r="W543" s="317"/>
      <c r="X543" s="311"/>
      <c r="Y543" s="143"/>
      <c r="Z543" s="143"/>
      <c r="AA543" s="143"/>
      <c r="AB543" s="17"/>
      <c r="AC543" s="17"/>
      <c r="AD543" s="17"/>
      <c r="AE543" s="17"/>
    </row>
    <row r="544">
      <c r="A544" s="88"/>
      <c r="B544" s="121"/>
      <c r="C544" s="311"/>
      <c r="D544" s="88"/>
      <c r="E544" s="121"/>
      <c r="F544" s="311"/>
      <c r="G544" s="88"/>
      <c r="H544" s="121"/>
      <c r="I544" s="311"/>
      <c r="J544" s="88"/>
      <c r="K544" s="121"/>
      <c r="L544" s="311"/>
      <c r="M544" s="316"/>
      <c r="N544" s="317"/>
      <c r="O544" s="318"/>
      <c r="P544" s="316"/>
      <c r="Q544" s="317"/>
      <c r="R544" s="318"/>
      <c r="S544" s="316"/>
      <c r="T544" s="317"/>
      <c r="U544" s="318"/>
      <c r="V544" s="88"/>
      <c r="W544" s="317"/>
      <c r="X544" s="311"/>
      <c r="Y544" s="143"/>
      <c r="Z544" s="143"/>
      <c r="AA544" s="143"/>
      <c r="AB544" s="17"/>
      <c r="AC544" s="17"/>
      <c r="AD544" s="17"/>
      <c r="AE544" s="17"/>
    </row>
    <row r="545">
      <c r="A545" s="88"/>
      <c r="B545" s="121"/>
      <c r="C545" s="311"/>
      <c r="D545" s="88"/>
      <c r="E545" s="121"/>
      <c r="F545" s="311"/>
      <c r="G545" s="88"/>
      <c r="H545" s="121"/>
      <c r="I545" s="311"/>
      <c r="J545" s="88"/>
      <c r="K545" s="121"/>
      <c r="L545" s="311"/>
      <c r="M545" s="316"/>
      <c r="N545" s="317"/>
      <c r="O545" s="318"/>
      <c r="P545" s="316"/>
      <c r="Q545" s="317"/>
      <c r="R545" s="318"/>
      <c r="S545" s="316"/>
      <c r="T545" s="317"/>
      <c r="U545" s="318"/>
      <c r="V545" s="88"/>
      <c r="W545" s="317"/>
      <c r="X545" s="311"/>
      <c r="Y545" s="143"/>
      <c r="Z545" s="143"/>
      <c r="AA545" s="143"/>
      <c r="AB545" s="17"/>
      <c r="AC545" s="17"/>
      <c r="AD545" s="17"/>
      <c r="AE545" s="17"/>
    </row>
    <row r="546">
      <c r="A546" s="88"/>
      <c r="B546" s="121"/>
      <c r="C546" s="311"/>
      <c r="D546" s="88"/>
      <c r="E546" s="121"/>
      <c r="F546" s="311"/>
      <c r="G546" s="88"/>
      <c r="H546" s="121"/>
      <c r="I546" s="311"/>
      <c r="J546" s="88"/>
      <c r="K546" s="121"/>
      <c r="L546" s="311"/>
      <c r="M546" s="316"/>
      <c r="N546" s="317"/>
      <c r="O546" s="318"/>
      <c r="P546" s="316"/>
      <c r="Q546" s="317"/>
      <c r="R546" s="318"/>
      <c r="S546" s="316"/>
      <c r="T546" s="317"/>
      <c r="U546" s="318"/>
      <c r="V546" s="88"/>
      <c r="W546" s="317"/>
      <c r="X546" s="311"/>
      <c r="Y546" s="143"/>
      <c r="Z546" s="143"/>
      <c r="AA546" s="143"/>
      <c r="AB546" s="17"/>
      <c r="AC546" s="17"/>
      <c r="AD546" s="17"/>
      <c r="AE546" s="17"/>
    </row>
    <row r="547">
      <c r="A547" s="88"/>
      <c r="B547" s="121"/>
      <c r="C547" s="311"/>
      <c r="D547" s="88"/>
      <c r="E547" s="121"/>
      <c r="F547" s="311"/>
      <c r="G547" s="88"/>
      <c r="H547" s="121"/>
      <c r="I547" s="311"/>
      <c r="J547" s="88"/>
      <c r="K547" s="121"/>
      <c r="L547" s="311"/>
      <c r="M547" s="316"/>
      <c r="N547" s="317"/>
      <c r="O547" s="318"/>
      <c r="P547" s="316"/>
      <c r="Q547" s="317"/>
      <c r="R547" s="318"/>
      <c r="S547" s="316"/>
      <c r="T547" s="317"/>
      <c r="U547" s="318"/>
      <c r="V547" s="88"/>
      <c r="W547" s="317"/>
      <c r="X547" s="311"/>
      <c r="Y547" s="143"/>
      <c r="Z547" s="143"/>
      <c r="AA547" s="143"/>
      <c r="AB547" s="17"/>
      <c r="AC547" s="17"/>
      <c r="AD547" s="17"/>
      <c r="AE547" s="17"/>
    </row>
    <row r="548">
      <c r="A548" s="88"/>
      <c r="B548" s="121"/>
      <c r="C548" s="311"/>
      <c r="D548" s="88"/>
      <c r="E548" s="121"/>
      <c r="F548" s="311"/>
      <c r="G548" s="88"/>
      <c r="H548" s="121"/>
      <c r="I548" s="311"/>
      <c r="J548" s="88"/>
      <c r="K548" s="121"/>
      <c r="L548" s="311"/>
      <c r="M548" s="316"/>
      <c r="N548" s="317"/>
      <c r="O548" s="318"/>
      <c r="P548" s="316"/>
      <c r="Q548" s="317"/>
      <c r="R548" s="318"/>
      <c r="S548" s="316"/>
      <c r="T548" s="317"/>
      <c r="U548" s="318"/>
      <c r="V548" s="88"/>
      <c r="W548" s="317"/>
      <c r="X548" s="311"/>
      <c r="Y548" s="143"/>
      <c r="Z548" s="143"/>
      <c r="AA548" s="143"/>
      <c r="AB548" s="17"/>
      <c r="AC548" s="17"/>
      <c r="AD548" s="17"/>
      <c r="AE548" s="17"/>
    </row>
    <row r="549">
      <c r="A549" s="88"/>
      <c r="B549" s="121"/>
      <c r="C549" s="311"/>
      <c r="D549" s="88"/>
      <c r="E549" s="121"/>
      <c r="F549" s="311"/>
      <c r="G549" s="88"/>
      <c r="H549" s="121"/>
      <c r="I549" s="311"/>
      <c r="J549" s="88"/>
      <c r="K549" s="121"/>
      <c r="L549" s="311"/>
      <c r="M549" s="316"/>
      <c r="N549" s="317"/>
      <c r="O549" s="318"/>
      <c r="P549" s="316"/>
      <c r="Q549" s="317"/>
      <c r="R549" s="318"/>
      <c r="S549" s="316"/>
      <c r="T549" s="317"/>
      <c r="U549" s="318"/>
      <c r="V549" s="88"/>
      <c r="W549" s="317"/>
      <c r="X549" s="311"/>
      <c r="Y549" s="143"/>
      <c r="Z549" s="143"/>
      <c r="AA549" s="143"/>
      <c r="AB549" s="17"/>
      <c r="AC549" s="17"/>
      <c r="AD549" s="17"/>
      <c r="AE549" s="17"/>
    </row>
    <row r="550">
      <c r="A550" s="88"/>
      <c r="B550" s="121"/>
      <c r="C550" s="311"/>
      <c r="D550" s="88"/>
      <c r="E550" s="121"/>
      <c r="F550" s="311"/>
      <c r="G550" s="88"/>
      <c r="H550" s="121"/>
      <c r="I550" s="311"/>
      <c r="J550" s="88"/>
      <c r="K550" s="121"/>
      <c r="L550" s="311"/>
      <c r="M550" s="316"/>
      <c r="N550" s="317"/>
      <c r="O550" s="318"/>
      <c r="P550" s="316"/>
      <c r="Q550" s="317"/>
      <c r="R550" s="318"/>
      <c r="S550" s="316"/>
      <c r="T550" s="317"/>
      <c r="U550" s="318"/>
      <c r="V550" s="88"/>
      <c r="W550" s="317"/>
      <c r="X550" s="311"/>
      <c r="Y550" s="143"/>
      <c r="Z550" s="143"/>
      <c r="AA550" s="143"/>
      <c r="AB550" s="17"/>
      <c r="AC550" s="17"/>
      <c r="AD550" s="17"/>
      <c r="AE550" s="17"/>
    </row>
    <row r="551">
      <c r="A551" s="88"/>
      <c r="B551" s="121"/>
      <c r="C551" s="311"/>
      <c r="D551" s="88"/>
      <c r="E551" s="121"/>
      <c r="F551" s="311"/>
      <c r="G551" s="88"/>
      <c r="H551" s="121"/>
      <c r="I551" s="311"/>
      <c r="J551" s="88"/>
      <c r="K551" s="121"/>
      <c r="L551" s="311"/>
      <c r="M551" s="316"/>
      <c r="N551" s="317"/>
      <c r="O551" s="318"/>
      <c r="P551" s="316"/>
      <c r="Q551" s="317"/>
      <c r="R551" s="318"/>
      <c r="S551" s="316"/>
      <c r="T551" s="317"/>
      <c r="U551" s="318"/>
      <c r="V551" s="88"/>
      <c r="W551" s="317"/>
      <c r="X551" s="311"/>
      <c r="Y551" s="143"/>
      <c r="Z551" s="143"/>
      <c r="AA551" s="143"/>
      <c r="AB551" s="17"/>
      <c r="AC551" s="17"/>
      <c r="AD551" s="17"/>
      <c r="AE551" s="17"/>
    </row>
    <row r="552">
      <c r="A552" s="88"/>
      <c r="B552" s="121"/>
      <c r="C552" s="311"/>
      <c r="D552" s="88"/>
      <c r="E552" s="121"/>
      <c r="F552" s="311"/>
      <c r="G552" s="88"/>
      <c r="H552" s="121"/>
      <c r="I552" s="311"/>
      <c r="J552" s="88"/>
      <c r="K552" s="121"/>
      <c r="L552" s="311"/>
      <c r="M552" s="316"/>
      <c r="N552" s="317"/>
      <c r="O552" s="318"/>
      <c r="P552" s="316"/>
      <c r="Q552" s="317"/>
      <c r="R552" s="318"/>
      <c r="S552" s="316"/>
      <c r="T552" s="317"/>
      <c r="U552" s="318"/>
      <c r="V552" s="88"/>
      <c r="W552" s="317"/>
      <c r="X552" s="311"/>
      <c r="Y552" s="143"/>
      <c r="Z552" s="143"/>
      <c r="AA552" s="143"/>
      <c r="AB552" s="17"/>
      <c r="AC552" s="17"/>
      <c r="AD552" s="17"/>
      <c r="AE552" s="17"/>
    </row>
    <row r="553">
      <c r="A553" s="88"/>
      <c r="B553" s="121"/>
      <c r="C553" s="311"/>
      <c r="D553" s="88"/>
      <c r="E553" s="121"/>
      <c r="F553" s="311"/>
      <c r="G553" s="88"/>
      <c r="H553" s="121"/>
      <c r="I553" s="311"/>
      <c r="J553" s="88"/>
      <c r="K553" s="121"/>
      <c r="L553" s="311"/>
      <c r="M553" s="316"/>
      <c r="N553" s="317"/>
      <c r="O553" s="318"/>
      <c r="P553" s="316"/>
      <c r="Q553" s="317"/>
      <c r="R553" s="318"/>
      <c r="S553" s="316"/>
      <c r="T553" s="317"/>
      <c r="U553" s="318"/>
      <c r="V553" s="88"/>
      <c r="W553" s="317"/>
      <c r="X553" s="311"/>
      <c r="Y553" s="143"/>
      <c r="Z553" s="143"/>
      <c r="AA553" s="143"/>
      <c r="AB553" s="17"/>
      <c r="AC553" s="17"/>
      <c r="AD553" s="17"/>
      <c r="AE553" s="17"/>
    </row>
    <row r="554">
      <c r="A554" s="88"/>
      <c r="B554" s="121"/>
      <c r="C554" s="311"/>
      <c r="D554" s="88"/>
      <c r="E554" s="121"/>
      <c r="F554" s="311"/>
      <c r="G554" s="88"/>
      <c r="H554" s="121"/>
      <c r="I554" s="311"/>
      <c r="J554" s="88"/>
      <c r="K554" s="121"/>
      <c r="L554" s="311"/>
      <c r="M554" s="316"/>
      <c r="N554" s="317"/>
      <c r="O554" s="318"/>
      <c r="P554" s="316"/>
      <c r="Q554" s="317"/>
      <c r="R554" s="318"/>
      <c r="S554" s="316"/>
      <c r="T554" s="317"/>
      <c r="U554" s="318"/>
      <c r="V554" s="88"/>
      <c r="W554" s="317"/>
      <c r="X554" s="311"/>
      <c r="Y554" s="143"/>
      <c r="Z554" s="143"/>
      <c r="AA554" s="143"/>
      <c r="AB554" s="17"/>
      <c r="AC554" s="17"/>
      <c r="AD554" s="17"/>
      <c r="AE554" s="17"/>
    </row>
    <row r="555">
      <c r="A555" s="88"/>
      <c r="B555" s="121"/>
      <c r="C555" s="311"/>
      <c r="D555" s="88"/>
      <c r="E555" s="121"/>
      <c r="F555" s="311"/>
      <c r="G555" s="88"/>
      <c r="H555" s="121"/>
      <c r="I555" s="311"/>
      <c r="J555" s="88"/>
      <c r="K555" s="121"/>
      <c r="L555" s="311"/>
      <c r="M555" s="316"/>
      <c r="N555" s="317"/>
      <c r="O555" s="318"/>
      <c r="P555" s="316"/>
      <c r="Q555" s="317"/>
      <c r="R555" s="318"/>
      <c r="S555" s="316"/>
      <c r="T555" s="317"/>
      <c r="U555" s="318"/>
      <c r="V555" s="88"/>
      <c r="W555" s="317"/>
      <c r="X555" s="311"/>
      <c r="Y555" s="143"/>
      <c r="Z555" s="143"/>
      <c r="AA555" s="143"/>
      <c r="AB555" s="17"/>
      <c r="AC555" s="17"/>
      <c r="AD555" s="17"/>
      <c r="AE555" s="17"/>
    </row>
    <row r="556">
      <c r="A556" s="88"/>
      <c r="B556" s="121"/>
      <c r="C556" s="311"/>
      <c r="D556" s="88"/>
      <c r="E556" s="121"/>
      <c r="F556" s="311"/>
      <c r="G556" s="88"/>
      <c r="H556" s="121"/>
      <c r="I556" s="311"/>
      <c r="J556" s="88"/>
      <c r="K556" s="121"/>
      <c r="L556" s="311"/>
      <c r="M556" s="316"/>
      <c r="N556" s="317"/>
      <c r="O556" s="318"/>
      <c r="P556" s="316"/>
      <c r="Q556" s="317"/>
      <c r="R556" s="318"/>
      <c r="S556" s="316"/>
      <c r="T556" s="317"/>
      <c r="U556" s="318"/>
      <c r="V556" s="88"/>
      <c r="W556" s="317"/>
      <c r="X556" s="311"/>
      <c r="Y556" s="143"/>
      <c r="Z556" s="143"/>
      <c r="AA556" s="143"/>
      <c r="AB556" s="17"/>
      <c r="AC556" s="17"/>
      <c r="AD556" s="17"/>
      <c r="AE556" s="17"/>
    </row>
    <row r="557">
      <c r="A557" s="88"/>
      <c r="B557" s="121"/>
      <c r="C557" s="311"/>
      <c r="D557" s="88"/>
      <c r="E557" s="121"/>
      <c r="F557" s="311"/>
      <c r="G557" s="88"/>
      <c r="H557" s="121"/>
      <c r="I557" s="311"/>
      <c r="J557" s="88"/>
      <c r="K557" s="121"/>
      <c r="L557" s="311"/>
      <c r="M557" s="316"/>
      <c r="N557" s="317"/>
      <c r="O557" s="318"/>
      <c r="P557" s="316"/>
      <c r="Q557" s="317"/>
      <c r="R557" s="318"/>
      <c r="S557" s="316"/>
      <c r="T557" s="317"/>
      <c r="U557" s="318"/>
      <c r="V557" s="88"/>
      <c r="W557" s="317"/>
      <c r="X557" s="311"/>
      <c r="Y557" s="143"/>
      <c r="Z557" s="143"/>
      <c r="AA557" s="143"/>
      <c r="AB557" s="17"/>
      <c r="AC557" s="17"/>
      <c r="AD557" s="17"/>
      <c r="AE557" s="17"/>
    </row>
    <row r="558">
      <c r="A558" s="88"/>
      <c r="B558" s="121"/>
      <c r="C558" s="311"/>
      <c r="D558" s="88"/>
      <c r="E558" s="121"/>
      <c r="F558" s="311"/>
      <c r="G558" s="88"/>
      <c r="H558" s="121"/>
      <c r="I558" s="311"/>
      <c r="J558" s="88"/>
      <c r="K558" s="121"/>
      <c r="L558" s="311"/>
      <c r="M558" s="316"/>
      <c r="N558" s="317"/>
      <c r="O558" s="318"/>
      <c r="P558" s="316"/>
      <c r="Q558" s="317"/>
      <c r="R558" s="318"/>
      <c r="S558" s="316"/>
      <c r="T558" s="317"/>
      <c r="U558" s="318"/>
      <c r="V558" s="88"/>
      <c r="W558" s="317"/>
      <c r="X558" s="311"/>
      <c r="Y558" s="143"/>
      <c r="Z558" s="143"/>
      <c r="AA558" s="143"/>
      <c r="AB558" s="17"/>
      <c r="AC558" s="17"/>
      <c r="AD558" s="17"/>
      <c r="AE558" s="17"/>
    </row>
    <row r="559">
      <c r="A559" s="88"/>
      <c r="B559" s="121"/>
      <c r="C559" s="311"/>
      <c r="D559" s="88"/>
      <c r="E559" s="121"/>
      <c r="F559" s="311"/>
      <c r="G559" s="88"/>
      <c r="H559" s="121"/>
      <c r="I559" s="311"/>
      <c r="J559" s="88"/>
      <c r="K559" s="121"/>
      <c r="L559" s="311"/>
      <c r="M559" s="316"/>
      <c r="N559" s="317"/>
      <c r="O559" s="318"/>
      <c r="P559" s="316"/>
      <c r="Q559" s="317"/>
      <c r="R559" s="318"/>
      <c r="S559" s="316"/>
      <c r="T559" s="317"/>
      <c r="U559" s="318"/>
      <c r="V559" s="88"/>
      <c r="W559" s="317"/>
      <c r="X559" s="311"/>
      <c r="Y559" s="143"/>
      <c r="Z559" s="143"/>
      <c r="AA559" s="143"/>
      <c r="AB559" s="17"/>
      <c r="AC559" s="17"/>
      <c r="AD559" s="17"/>
      <c r="AE559" s="17"/>
    </row>
    <row r="560">
      <c r="A560" s="88"/>
      <c r="B560" s="121"/>
      <c r="C560" s="311"/>
      <c r="D560" s="88"/>
      <c r="E560" s="121"/>
      <c r="F560" s="311"/>
      <c r="G560" s="88"/>
      <c r="H560" s="121"/>
      <c r="I560" s="311"/>
      <c r="J560" s="88"/>
      <c r="K560" s="121"/>
      <c r="L560" s="311"/>
      <c r="M560" s="316"/>
      <c r="N560" s="317"/>
      <c r="O560" s="318"/>
      <c r="P560" s="316"/>
      <c r="Q560" s="317"/>
      <c r="R560" s="318"/>
      <c r="S560" s="316"/>
      <c r="T560" s="317"/>
      <c r="U560" s="318"/>
      <c r="V560" s="88"/>
      <c r="W560" s="317"/>
      <c r="X560" s="311"/>
      <c r="Y560" s="143"/>
      <c r="Z560" s="143"/>
      <c r="AA560" s="143"/>
      <c r="AB560" s="17"/>
      <c r="AC560" s="17"/>
      <c r="AD560" s="17"/>
      <c r="AE560" s="17"/>
    </row>
    <row r="561">
      <c r="A561" s="88"/>
      <c r="B561" s="121"/>
      <c r="C561" s="311"/>
      <c r="D561" s="88"/>
      <c r="E561" s="121"/>
      <c r="F561" s="311"/>
      <c r="G561" s="88"/>
      <c r="H561" s="121"/>
      <c r="I561" s="311"/>
      <c r="J561" s="88"/>
      <c r="K561" s="121"/>
      <c r="L561" s="311"/>
      <c r="M561" s="316"/>
      <c r="N561" s="317"/>
      <c r="O561" s="318"/>
      <c r="P561" s="316"/>
      <c r="Q561" s="317"/>
      <c r="R561" s="318"/>
      <c r="S561" s="316"/>
      <c r="T561" s="317"/>
      <c r="U561" s="318"/>
      <c r="V561" s="88"/>
      <c r="W561" s="317"/>
      <c r="X561" s="311"/>
      <c r="Y561" s="143"/>
      <c r="Z561" s="143"/>
      <c r="AA561" s="143"/>
      <c r="AB561" s="17"/>
      <c r="AC561" s="17"/>
      <c r="AD561" s="17"/>
      <c r="AE561" s="17"/>
    </row>
    <row r="562">
      <c r="A562" s="88"/>
      <c r="B562" s="121"/>
      <c r="C562" s="311"/>
      <c r="D562" s="88"/>
      <c r="E562" s="121"/>
      <c r="F562" s="311"/>
      <c r="G562" s="88"/>
      <c r="H562" s="121"/>
      <c r="I562" s="311"/>
      <c r="J562" s="88"/>
      <c r="K562" s="121"/>
      <c r="L562" s="311"/>
      <c r="M562" s="316"/>
      <c r="N562" s="317"/>
      <c r="O562" s="318"/>
      <c r="P562" s="316"/>
      <c r="Q562" s="317"/>
      <c r="R562" s="318"/>
      <c r="S562" s="316"/>
      <c r="T562" s="317"/>
      <c r="U562" s="318"/>
      <c r="V562" s="88"/>
      <c r="W562" s="317"/>
      <c r="X562" s="311"/>
      <c r="Y562" s="143"/>
      <c r="Z562" s="143"/>
      <c r="AA562" s="143"/>
      <c r="AB562" s="17"/>
      <c r="AC562" s="17"/>
      <c r="AD562" s="17"/>
      <c r="AE562" s="17"/>
    </row>
    <row r="563">
      <c r="A563" s="88"/>
      <c r="B563" s="121"/>
      <c r="C563" s="311"/>
      <c r="D563" s="88"/>
      <c r="E563" s="121"/>
      <c r="F563" s="311"/>
      <c r="G563" s="88"/>
      <c r="H563" s="121"/>
      <c r="I563" s="311"/>
      <c r="J563" s="88"/>
      <c r="K563" s="121"/>
      <c r="L563" s="311"/>
      <c r="M563" s="316"/>
      <c r="N563" s="317"/>
      <c r="O563" s="318"/>
      <c r="P563" s="316"/>
      <c r="Q563" s="317"/>
      <c r="R563" s="318"/>
      <c r="S563" s="316"/>
      <c r="T563" s="317"/>
      <c r="U563" s="318"/>
      <c r="V563" s="88"/>
      <c r="W563" s="317"/>
      <c r="X563" s="311"/>
      <c r="Y563" s="143"/>
      <c r="Z563" s="143"/>
      <c r="AA563" s="143"/>
      <c r="AB563" s="17"/>
      <c r="AC563" s="17"/>
      <c r="AD563" s="17"/>
      <c r="AE563" s="17"/>
    </row>
    <row r="564">
      <c r="A564" s="88"/>
      <c r="B564" s="121"/>
      <c r="C564" s="311"/>
      <c r="D564" s="88"/>
      <c r="E564" s="121"/>
      <c r="F564" s="311"/>
      <c r="G564" s="88"/>
      <c r="H564" s="121"/>
      <c r="I564" s="311"/>
      <c r="J564" s="88"/>
      <c r="K564" s="121"/>
      <c r="L564" s="311"/>
      <c r="M564" s="316"/>
      <c r="N564" s="317"/>
      <c r="O564" s="318"/>
      <c r="P564" s="316"/>
      <c r="Q564" s="317"/>
      <c r="R564" s="318"/>
      <c r="S564" s="316"/>
      <c r="T564" s="317"/>
      <c r="U564" s="318"/>
      <c r="V564" s="88"/>
      <c r="W564" s="317"/>
      <c r="X564" s="311"/>
      <c r="Y564" s="143"/>
      <c r="Z564" s="143"/>
      <c r="AA564" s="143"/>
      <c r="AB564" s="17"/>
      <c r="AC564" s="17"/>
      <c r="AD564" s="17"/>
      <c r="AE564" s="17"/>
    </row>
    <row r="565">
      <c r="A565" s="88"/>
      <c r="B565" s="121"/>
      <c r="C565" s="311"/>
      <c r="D565" s="88"/>
      <c r="E565" s="121"/>
      <c r="F565" s="311"/>
      <c r="G565" s="88"/>
      <c r="H565" s="121"/>
      <c r="I565" s="311"/>
      <c r="J565" s="88"/>
      <c r="K565" s="121"/>
      <c r="L565" s="311"/>
      <c r="M565" s="316"/>
      <c r="N565" s="317"/>
      <c r="O565" s="318"/>
      <c r="P565" s="316"/>
      <c r="Q565" s="317"/>
      <c r="R565" s="318"/>
      <c r="S565" s="316"/>
      <c r="T565" s="317"/>
      <c r="U565" s="318"/>
      <c r="V565" s="88"/>
      <c r="W565" s="317"/>
      <c r="X565" s="311"/>
      <c r="Y565" s="143"/>
      <c r="Z565" s="143"/>
      <c r="AA565" s="143"/>
      <c r="AB565" s="17"/>
      <c r="AC565" s="17"/>
      <c r="AD565" s="17"/>
      <c r="AE565" s="17"/>
    </row>
    <row r="566">
      <c r="A566" s="88"/>
      <c r="B566" s="121"/>
      <c r="C566" s="311"/>
      <c r="D566" s="88"/>
      <c r="E566" s="121"/>
      <c r="F566" s="311"/>
      <c r="G566" s="88"/>
      <c r="H566" s="121"/>
      <c r="I566" s="311"/>
      <c r="J566" s="88"/>
      <c r="K566" s="121"/>
      <c r="L566" s="311"/>
      <c r="M566" s="316"/>
      <c r="N566" s="317"/>
      <c r="O566" s="318"/>
      <c r="P566" s="316"/>
      <c r="Q566" s="317"/>
      <c r="R566" s="318"/>
      <c r="S566" s="316"/>
      <c r="T566" s="317"/>
      <c r="U566" s="318"/>
      <c r="V566" s="88"/>
      <c r="W566" s="317"/>
      <c r="X566" s="311"/>
      <c r="Y566" s="143"/>
      <c r="Z566" s="143"/>
      <c r="AA566" s="143"/>
      <c r="AB566" s="17"/>
      <c r="AC566" s="17"/>
      <c r="AD566" s="17"/>
      <c r="AE566" s="17"/>
    </row>
    <row r="567">
      <c r="A567" s="88"/>
      <c r="B567" s="121"/>
      <c r="C567" s="311"/>
      <c r="D567" s="88"/>
      <c r="E567" s="121"/>
      <c r="F567" s="311"/>
      <c r="G567" s="88"/>
      <c r="H567" s="121"/>
      <c r="I567" s="311"/>
      <c r="J567" s="88"/>
      <c r="K567" s="121"/>
      <c r="L567" s="311"/>
      <c r="M567" s="316"/>
      <c r="N567" s="317"/>
      <c r="O567" s="318"/>
      <c r="P567" s="316"/>
      <c r="Q567" s="317"/>
      <c r="R567" s="318"/>
      <c r="S567" s="316"/>
      <c r="T567" s="317"/>
      <c r="U567" s="318"/>
      <c r="V567" s="88"/>
      <c r="W567" s="317"/>
      <c r="X567" s="311"/>
      <c r="Y567" s="143"/>
      <c r="Z567" s="143"/>
      <c r="AA567" s="143"/>
      <c r="AB567" s="17"/>
      <c r="AC567" s="17"/>
      <c r="AD567" s="17"/>
      <c r="AE567" s="17"/>
    </row>
    <row r="568">
      <c r="A568" s="88"/>
      <c r="B568" s="121"/>
      <c r="C568" s="311"/>
      <c r="D568" s="88"/>
      <c r="E568" s="121"/>
      <c r="F568" s="311"/>
      <c r="G568" s="88"/>
      <c r="H568" s="121"/>
      <c r="I568" s="311"/>
      <c r="J568" s="88"/>
      <c r="K568" s="121"/>
      <c r="L568" s="311"/>
      <c r="M568" s="316"/>
      <c r="N568" s="317"/>
      <c r="O568" s="318"/>
      <c r="P568" s="316"/>
      <c r="Q568" s="317"/>
      <c r="R568" s="318"/>
      <c r="S568" s="316"/>
      <c r="T568" s="317"/>
      <c r="U568" s="318"/>
      <c r="V568" s="88"/>
      <c r="W568" s="317"/>
      <c r="X568" s="311"/>
      <c r="Y568" s="143"/>
      <c r="Z568" s="143"/>
      <c r="AA568" s="143"/>
      <c r="AB568" s="17"/>
      <c r="AC568" s="17"/>
      <c r="AD568" s="17"/>
      <c r="AE568" s="17"/>
    </row>
    <row r="569">
      <c r="A569" s="88"/>
      <c r="B569" s="121"/>
      <c r="C569" s="311"/>
      <c r="D569" s="88"/>
      <c r="E569" s="121"/>
      <c r="F569" s="311"/>
      <c r="G569" s="88"/>
      <c r="H569" s="121"/>
      <c r="I569" s="311"/>
      <c r="J569" s="88"/>
      <c r="K569" s="121"/>
      <c r="L569" s="311"/>
      <c r="M569" s="316"/>
      <c r="N569" s="317"/>
      <c r="O569" s="318"/>
      <c r="P569" s="316"/>
      <c r="Q569" s="317"/>
      <c r="R569" s="318"/>
      <c r="S569" s="316"/>
      <c r="T569" s="317"/>
      <c r="U569" s="318"/>
      <c r="V569" s="88"/>
      <c r="W569" s="317"/>
      <c r="X569" s="311"/>
      <c r="Y569" s="143"/>
      <c r="Z569" s="143"/>
      <c r="AA569" s="143"/>
      <c r="AB569" s="17"/>
      <c r="AC569" s="17"/>
      <c r="AD569" s="17"/>
      <c r="AE569" s="17"/>
    </row>
    <row r="570">
      <c r="A570" s="88"/>
      <c r="B570" s="121"/>
      <c r="C570" s="311"/>
      <c r="D570" s="88"/>
      <c r="E570" s="121"/>
      <c r="F570" s="311"/>
      <c r="G570" s="88"/>
      <c r="H570" s="121"/>
      <c r="I570" s="311"/>
      <c r="J570" s="88"/>
      <c r="K570" s="121"/>
      <c r="L570" s="311"/>
      <c r="M570" s="316"/>
      <c r="N570" s="317"/>
      <c r="O570" s="318"/>
      <c r="P570" s="316"/>
      <c r="Q570" s="317"/>
      <c r="R570" s="318"/>
      <c r="S570" s="316"/>
      <c r="T570" s="317"/>
      <c r="U570" s="318"/>
      <c r="V570" s="88"/>
      <c r="W570" s="317"/>
      <c r="X570" s="311"/>
      <c r="Y570" s="143"/>
      <c r="Z570" s="143"/>
      <c r="AA570" s="143"/>
      <c r="AB570" s="17"/>
      <c r="AC570" s="17"/>
      <c r="AD570" s="17"/>
      <c r="AE570" s="17"/>
    </row>
    <row r="571">
      <c r="A571" s="88"/>
      <c r="B571" s="121"/>
      <c r="C571" s="311"/>
      <c r="D571" s="88"/>
      <c r="E571" s="121"/>
      <c r="F571" s="311"/>
      <c r="G571" s="88"/>
      <c r="H571" s="121"/>
      <c r="I571" s="311"/>
      <c r="J571" s="88"/>
      <c r="K571" s="121"/>
      <c r="L571" s="311"/>
      <c r="M571" s="316"/>
      <c r="N571" s="317"/>
      <c r="O571" s="318"/>
      <c r="P571" s="316"/>
      <c r="Q571" s="317"/>
      <c r="R571" s="318"/>
      <c r="S571" s="316"/>
      <c r="T571" s="317"/>
      <c r="U571" s="318"/>
      <c r="V571" s="88"/>
      <c r="W571" s="317"/>
      <c r="X571" s="311"/>
      <c r="Y571" s="143"/>
      <c r="Z571" s="143"/>
      <c r="AA571" s="143"/>
      <c r="AB571" s="17"/>
      <c r="AC571" s="17"/>
      <c r="AD571" s="17"/>
      <c r="AE571" s="17"/>
    </row>
    <row r="572">
      <c r="A572" s="88"/>
      <c r="B572" s="121"/>
      <c r="C572" s="311"/>
      <c r="D572" s="88"/>
      <c r="E572" s="121"/>
      <c r="F572" s="311"/>
      <c r="G572" s="88"/>
      <c r="H572" s="121"/>
      <c r="I572" s="311"/>
      <c r="J572" s="88"/>
      <c r="K572" s="121"/>
      <c r="L572" s="311"/>
      <c r="M572" s="316"/>
      <c r="N572" s="317"/>
      <c r="O572" s="318"/>
      <c r="P572" s="316"/>
      <c r="Q572" s="317"/>
      <c r="R572" s="318"/>
      <c r="S572" s="316"/>
      <c r="T572" s="317"/>
      <c r="U572" s="318"/>
      <c r="V572" s="88"/>
      <c r="W572" s="317"/>
      <c r="X572" s="311"/>
      <c r="Y572" s="143"/>
      <c r="Z572" s="143"/>
      <c r="AA572" s="143"/>
      <c r="AB572" s="17"/>
      <c r="AC572" s="17"/>
      <c r="AD572" s="17"/>
      <c r="AE572" s="17"/>
    </row>
    <row r="573">
      <c r="A573" s="88"/>
      <c r="B573" s="121"/>
      <c r="C573" s="311"/>
      <c r="D573" s="88"/>
      <c r="E573" s="121"/>
      <c r="F573" s="311"/>
      <c r="G573" s="88"/>
      <c r="H573" s="121"/>
      <c r="I573" s="311"/>
      <c r="J573" s="88"/>
      <c r="K573" s="121"/>
      <c r="L573" s="311"/>
      <c r="M573" s="316"/>
      <c r="N573" s="317"/>
      <c r="O573" s="318"/>
      <c r="P573" s="316"/>
      <c r="Q573" s="317"/>
      <c r="R573" s="318"/>
      <c r="S573" s="316"/>
      <c r="T573" s="317"/>
      <c r="U573" s="318"/>
      <c r="V573" s="88"/>
      <c r="W573" s="317"/>
      <c r="X573" s="311"/>
      <c r="Y573" s="143"/>
      <c r="Z573" s="143"/>
      <c r="AA573" s="143"/>
      <c r="AB573" s="17"/>
      <c r="AC573" s="17"/>
      <c r="AD573" s="17"/>
      <c r="AE573" s="17"/>
    </row>
    <row r="574">
      <c r="A574" s="88"/>
      <c r="B574" s="121"/>
      <c r="C574" s="311"/>
      <c r="D574" s="88"/>
      <c r="E574" s="121"/>
      <c r="F574" s="311"/>
      <c r="G574" s="88"/>
      <c r="H574" s="121"/>
      <c r="I574" s="311"/>
      <c r="J574" s="88"/>
      <c r="K574" s="121"/>
      <c r="L574" s="311"/>
      <c r="M574" s="316"/>
      <c r="N574" s="317"/>
      <c r="O574" s="318"/>
      <c r="P574" s="316"/>
      <c r="Q574" s="317"/>
      <c r="R574" s="318"/>
      <c r="S574" s="316"/>
      <c r="T574" s="317"/>
      <c r="U574" s="318"/>
      <c r="V574" s="88"/>
      <c r="W574" s="317"/>
      <c r="X574" s="311"/>
      <c r="Y574" s="143"/>
      <c r="Z574" s="143"/>
      <c r="AA574" s="143"/>
      <c r="AB574" s="17"/>
      <c r="AC574" s="17"/>
      <c r="AD574" s="17"/>
      <c r="AE574" s="17"/>
    </row>
    <row r="575">
      <c r="A575" s="88"/>
      <c r="B575" s="121"/>
      <c r="C575" s="311"/>
      <c r="D575" s="88"/>
      <c r="E575" s="121"/>
      <c r="F575" s="311"/>
      <c r="G575" s="88"/>
      <c r="H575" s="121"/>
      <c r="I575" s="311"/>
      <c r="J575" s="88"/>
      <c r="K575" s="121"/>
      <c r="L575" s="311"/>
      <c r="M575" s="316"/>
      <c r="N575" s="317"/>
      <c r="O575" s="318"/>
      <c r="P575" s="316"/>
      <c r="Q575" s="317"/>
      <c r="R575" s="318"/>
      <c r="S575" s="316"/>
      <c r="T575" s="317"/>
      <c r="U575" s="318"/>
      <c r="V575" s="88"/>
      <c r="W575" s="317"/>
      <c r="X575" s="311"/>
      <c r="Y575" s="143"/>
      <c r="Z575" s="143"/>
      <c r="AA575" s="143"/>
      <c r="AB575" s="17"/>
      <c r="AC575" s="17"/>
      <c r="AD575" s="17"/>
      <c r="AE575" s="17"/>
    </row>
    <row r="576">
      <c r="A576" s="88"/>
      <c r="B576" s="121"/>
      <c r="C576" s="311"/>
      <c r="D576" s="88"/>
      <c r="E576" s="121"/>
      <c r="F576" s="311"/>
      <c r="G576" s="88"/>
      <c r="H576" s="121"/>
      <c r="I576" s="311"/>
      <c r="J576" s="88"/>
      <c r="K576" s="121"/>
      <c r="L576" s="311"/>
      <c r="M576" s="316"/>
      <c r="N576" s="317"/>
      <c r="O576" s="318"/>
      <c r="P576" s="316"/>
      <c r="Q576" s="317"/>
      <c r="R576" s="318"/>
      <c r="S576" s="316"/>
      <c r="T576" s="317"/>
      <c r="U576" s="318"/>
      <c r="V576" s="88"/>
      <c r="W576" s="317"/>
      <c r="X576" s="311"/>
      <c r="Y576" s="143"/>
      <c r="Z576" s="143"/>
      <c r="AA576" s="143"/>
      <c r="AB576" s="17"/>
      <c r="AC576" s="17"/>
      <c r="AD576" s="17"/>
      <c r="AE576" s="17"/>
    </row>
    <row r="577">
      <c r="A577" s="88"/>
      <c r="B577" s="121"/>
      <c r="C577" s="311"/>
      <c r="D577" s="88"/>
      <c r="E577" s="121"/>
      <c r="F577" s="311"/>
      <c r="G577" s="88"/>
      <c r="H577" s="121"/>
      <c r="I577" s="311"/>
      <c r="J577" s="88"/>
      <c r="K577" s="121"/>
      <c r="L577" s="311"/>
      <c r="M577" s="316"/>
      <c r="N577" s="317"/>
      <c r="O577" s="318"/>
      <c r="P577" s="316"/>
      <c r="Q577" s="317"/>
      <c r="R577" s="318"/>
      <c r="S577" s="316"/>
      <c r="T577" s="317"/>
      <c r="U577" s="318"/>
      <c r="V577" s="88"/>
      <c r="W577" s="317"/>
      <c r="X577" s="311"/>
      <c r="Y577" s="143"/>
      <c r="Z577" s="143"/>
      <c r="AA577" s="143"/>
      <c r="AB577" s="17"/>
      <c r="AC577" s="17"/>
      <c r="AD577" s="17"/>
      <c r="AE577" s="17"/>
    </row>
    <row r="578">
      <c r="A578" s="88"/>
      <c r="B578" s="121"/>
      <c r="C578" s="311"/>
      <c r="D578" s="88"/>
      <c r="E578" s="121"/>
      <c r="F578" s="311"/>
      <c r="G578" s="88"/>
      <c r="H578" s="121"/>
      <c r="I578" s="311"/>
      <c r="J578" s="88"/>
      <c r="K578" s="121"/>
      <c r="L578" s="311"/>
      <c r="M578" s="316"/>
      <c r="N578" s="317"/>
      <c r="O578" s="318"/>
      <c r="P578" s="316"/>
      <c r="Q578" s="317"/>
      <c r="R578" s="318"/>
      <c r="S578" s="316"/>
      <c r="T578" s="317"/>
      <c r="U578" s="318"/>
      <c r="V578" s="88"/>
      <c r="W578" s="317"/>
      <c r="X578" s="311"/>
      <c r="Y578" s="143"/>
      <c r="Z578" s="143"/>
      <c r="AA578" s="143"/>
      <c r="AB578" s="17"/>
      <c r="AC578" s="17"/>
      <c r="AD578" s="17"/>
      <c r="AE578" s="17"/>
    </row>
    <row r="579">
      <c r="A579" s="88"/>
      <c r="B579" s="121"/>
      <c r="C579" s="311"/>
      <c r="D579" s="88"/>
      <c r="E579" s="121"/>
      <c r="F579" s="311"/>
      <c r="G579" s="88"/>
      <c r="H579" s="121"/>
      <c r="I579" s="311"/>
      <c r="J579" s="88"/>
      <c r="K579" s="121"/>
      <c r="L579" s="311"/>
      <c r="M579" s="316"/>
      <c r="N579" s="317"/>
      <c r="O579" s="318"/>
      <c r="P579" s="316"/>
      <c r="Q579" s="317"/>
      <c r="R579" s="318"/>
      <c r="S579" s="316"/>
      <c r="T579" s="317"/>
      <c r="U579" s="318"/>
      <c r="V579" s="88"/>
      <c r="W579" s="317"/>
      <c r="X579" s="311"/>
      <c r="Y579" s="143"/>
      <c r="Z579" s="143"/>
      <c r="AA579" s="143"/>
      <c r="AB579" s="17"/>
      <c r="AC579" s="17"/>
      <c r="AD579" s="17"/>
      <c r="AE579" s="17"/>
    </row>
    <row r="580">
      <c r="A580" s="88"/>
      <c r="B580" s="121"/>
      <c r="C580" s="311"/>
      <c r="D580" s="88"/>
      <c r="E580" s="121"/>
      <c r="F580" s="311"/>
      <c r="G580" s="88"/>
      <c r="H580" s="121"/>
      <c r="I580" s="311"/>
      <c r="J580" s="88"/>
      <c r="K580" s="121"/>
      <c r="L580" s="311"/>
      <c r="M580" s="316"/>
      <c r="N580" s="317"/>
      <c r="O580" s="318"/>
      <c r="P580" s="316"/>
      <c r="Q580" s="317"/>
      <c r="R580" s="318"/>
      <c r="S580" s="316"/>
      <c r="T580" s="317"/>
      <c r="U580" s="318"/>
      <c r="V580" s="88"/>
      <c r="W580" s="317"/>
      <c r="X580" s="311"/>
      <c r="Y580" s="143"/>
      <c r="Z580" s="143"/>
      <c r="AA580" s="143"/>
      <c r="AB580" s="17"/>
      <c r="AC580" s="17"/>
      <c r="AD580" s="17"/>
      <c r="AE580" s="17"/>
    </row>
    <row r="581">
      <c r="A581" s="88"/>
      <c r="B581" s="121"/>
      <c r="C581" s="311"/>
      <c r="D581" s="88"/>
      <c r="E581" s="121"/>
      <c r="F581" s="311"/>
      <c r="G581" s="88"/>
      <c r="H581" s="121"/>
      <c r="I581" s="311"/>
      <c r="J581" s="88"/>
      <c r="K581" s="121"/>
      <c r="L581" s="311"/>
      <c r="M581" s="316"/>
      <c r="N581" s="317"/>
      <c r="O581" s="318"/>
      <c r="P581" s="316"/>
      <c r="Q581" s="317"/>
      <c r="R581" s="318"/>
      <c r="S581" s="316"/>
      <c r="T581" s="317"/>
      <c r="U581" s="318"/>
      <c r="V581" s="88"/>
      <c r="W581" s="317"/>
      <c r="X581" s="311"/>
      <c r="Y581" s="143"/>
      <c r="Z581" s="143"/>
      <c r="AA581" s="143"/>
      <c r="AB581" s="17"/>
      <c r="AC581" s="17"/>
      <c r="AD581" s="17"/>
      <c r="AE581" s="17"/>
    </row>
    <row r="582">
      <c r="A582" s="88"/>
      <c r="B582" s="121"/>
      <c r="C582" s="311"/>
      <c r="D582" s="88"/>
      <c r="E582" s="121"/>
      <c r="F582" s="311"/>
      <c r="G582" s="88"/>
      <c r="H582" s="121"/>
      <c r="I582" s="311"/>
      <c r="J582" s="88"/>
      <c r="K582" s="121"/>
      <c r="L582" s="311"/>
      <c r="M582" s="316"/>
      <c r="N582" s="317"/>
      <c r="O582" s="318"/>
      <c r="P582" s="316"/>
      <c r="Q582" s="317"/>
      <c r="R582" s="318"/>
      <c r="S582" s="316"/>
      <c r="T582" s="317"/>
      <c r="U582" s="318"/>
      <c r="V582" s="88"/>
      <c r="W582" s="317"/>
      <c r="X582" s="311"/>
      <c r="Y582" s="143"/>
      <c r="Z582" s="143"/>
      <c r="AA582" s="143"/>
      <c r="AB582" s="17"/>
      <c r="AC582" s="17"/>
      <c r="AD582" s="17"/>
      <c r="AE582" s="17"/>
    </row>
    <row r="583">
      <c r="A583" s="88"/>
      <c r="B583" s="121"/>
      <c r="C583" s="311"/>
      <c r="D583" s="88"/>
      <c r="E583" s="121"/>
      <c r="F583" s="311"/>
      <c r="G583" s="88"/>
      <c r="H583" s="121"/>
      <c r="I583" s="311"/>
      <c r="J583" s="88"/>
      <c r="K583" s="121"/>
      <c r="L583" s="311"/>
      <c r="M583" s="316"/>
      <c r="N583" s="317"/>
      <c r="O583" s="318"/>
      <c r="P583" s="316"/>
      <c r="Q583" s="317"/>
      <c r="R583" s="318"/>
      <c r="S583" s="316"/>
      <c r="T583" s="317"/>
      <c r="U583" s="318"/>
      <c r="V583" s="88"/>
      <c r="W583" s="317"/>
      <c r="X583" s="311"/>
      <c r="Y583" s="143"/>
      <c r="Z583" s="143"/>
      <c r="AA583" s="143"/>
      <c r="AB583" s="17"/>
      <c r="AC583" s="17"/>
      <c r="AD583" s="17"/>
      <c r="AE583" s="17"/>
    </row>
    <row r="584">
      <c r="A584" s="88"/>
      <c r="B584" s="121"/>
      <c r="C584" s="311"/>
      <c r="D584" s="88"/>
      <c r="E584" s="121"/>
      <c r="F584" s="311"/>
      <c r="G584" s="88"/>
      <c r="H584" s="121"/>
      <c r="I584" s="311"/>
      <c r="J584" s="88"/>
      <c r="K584" s="121"/>
      <c r="L584" s="311"/>
      <c r="M584" s="316"/>
      <c r="N584" s="317"/>
      <c r="O584" s="318"/>
      <c r="P584" s="316"/>
      <c r="Q584" s="317"/>
      <c r="R584" s="318"/>
      <c r="S584" s="316"/>
      <c r="T584" s="317"/>
      <c r="U584" s="318"/>
      <c r="V584" s="88"/>
      <c r="W584" s="317"/>
      <c r="X584" s="311"/>
      <c r="Y584" s="143"/>
      <c r="Z584" s="143"/>
      <c r="AA584" s="143"/>
      <c r="AB584" s="17"/>
      <c r="AC584" s="17"/>
      <c r="AD584" s="17"/>
      <c r="AE584" s="17"/>
    </row>
    <row r="585">
      <c r="A585" s="88"/>
      <c r="B585" s="121"/>
      <c r="C585" s="311"/>
      <c r="D585" s="88"/>
      <c r="E585" s="121"/>
      <c r="F585" s="311"/>
      <c r="G585" s="88"/>
      <c r="H585" s="121"/>
      <c r="I585" s="311"/>
      <c r="J585" s="88"/>
      <c r="K585" s="121"/>
      <c r="L585" s="311"/>
      <c r="M585" s="316"/>
      <c r="N585" s="317"/>
      <c r="O585" s="318"/>
      <c r="P585" s="316"/>
      <c r="Q585" s="317"/>
      <c r="R585" s="318"/>
      <c r="S585" s="316"/>
      <c r="T585" s="317"/>
      <c r="U585" s="318"/>
      <c r="V585" s="88"/>
      <c r="W585" s="317"/>
      <c r="X585" s="311"/>
      <c r="Y585" s="143"/>
      <c r="Z585" s="143"/>
      <c r="AA585" s="143"/>
      <c r="AB585" s="17"/>
      <c r="AC585" s="17"/>
      <c r="AD585" s="17"/>
      <c r="AE585" s="17"/>
    </row>
    <row r="586">
      <c r="A586" s="88"/>
      <c r="B586" s="121"/>
      <c r="C586" s="311"/>
      <c r="D586" s="88"/>
      <c r="E586" s="121"/>
      <c r="F586" s="311"/>
      <c r="G586" s="88"/>
      <c r="H586" s="121"/>
      <c r="I586" s="311"/>
      <c r="J586" s="88"/>
      <c r="K586" s="121"/>
      <c r="L586" s="311"/>
      <c r="M586" s="316"/>
      <c r="N586" s="317"/>
      <c r="O586" s="318"/>
      <c r="P586" s="316"/>
      <c r="Q586" s="317"/>
      <c r="R586" s="318"/>
      <c r="S586" s="316"/>
      <c r="T586" s="317"/>
      <c r="U586" s="318"/>
      <c r="V586" s="88"/>
      <c r="W586" s="317"/>
      <c r="X586" s="311"/>
      <c r="Y586" s="143"/>
      <c r="Z586" s="143"/>
      <c r="AA586" s="143"/>
      <c r="AB586" s="17"/>
      <c r="AC586" s="17"/>
      <c r="AD586" s="17"/>
      <c r="AE586" s="17"/>
    </row>
    <row r="587">
      <c r="A587" s="88"/>
      <c r="B587" s="121"/>
      <c r="C587" s="311"/>
      <c r="D587" s="88"/>
      <c r="E587" s="121"/>
      <c r="F587" s="311"/>
      <c r="G587" s="88"/>
      <c r="H587" s="121"/>
      <c r="I587" s="311"/>
      <c r="J587" s="88"/>
      <c r="K587" s="121"/>
      <c r="L587" s="311"/>
      <c r="M587" s="316"/>
      <c r="N587" s="317"/>
      <c r="O587" s="318"/>
      <c r="P587" s="316"/>
      <c r="Q587" s="317"/>
      <c r="R587" s="318"/>
      <c r="S587" s="316"/>
      <c r="T587" s="317"/>
      <c r="U587" s="318"/>
      <c r="V587" s="88"/>
      <c r="W587" s="317"/>
      <c r="X587" s="311"/>
      <c r="Y587" s="143"/>
      <c r="Z587" s="143"/>
      <c r="AA587" s="143"/>
      <c r="AB587" s="17"/>
      <c r="AC587" s="17"/>
      <c r="AD587" s="17"/>
      <c r="AE587" s="17"/>
    </row>
    <row r="588">
      <c r="A588" s="88"/>
      <c r="B588" s="121"/>
      <c r="C588" s="311"/>
      <c r="D588" s="88"/>
      <c r="E588" s="121"/>
      <c r="F588" s="311"/>
      <c r="G588" s="88"/>
      <c r="H588" s="121"/>
      <c r="I588" s="311"/>
      <c r="J588" s="88"/>
      <c r="K588" s="121"/>
      <c r="L588" s="311"/>
      <c r="M588" s="316"/>
      <c r="N588" s="317"/>
      <c r="O588" s="318"/>
      <c r="P588" s="316"/>
      <c r="Q588" s="317"/>
      <c r="R588" s="318"/>
      <c r="S588" s="316"/>
      <c r="T588" s="317"/>
      <c r="U588" s="318"/>
      <c r="V588" s="88"/>
      <c r="W588" s="317"/>
      <c r="X588" s="311"/>
      <c r="Y588" s="143"/>
      <c r="Z588" s="143"/>
      <c r="AA588" s="143"/>
      <c r="AB588" s="17"/>
      <c r="AC588" s="17"/>
      <c r="AD588" s="17"/>
      <c r="AE588" s="17"/>
    </row>
    <row r="589">
      <c r="A589" s="88"/>
      <c r="B589" s="121"/>
      <c r="C589" s="311"/>
      <c r="D589" s="88"/>
      <c r="E589" s="121"/>
      <c r="F589" s="311"/>
      <c r="G589" s="88"/>
      <c r="H589" s="121"/>
      <c r="I589" s="311"/>
      <c r="J589" s="88"/>
      <c r="K589" s="121"/>
      <c r="L589" s="311"/>
      <c r="M589" s="316"/>
      <c r="N589" s="317"/>
      <c r="O589" s="318"/>
      <c r="P589" s="316"/>
      <c r="Q589" s="317"/>
      <c r="R589" s="318"/>
      <c r="S589" s="316"/>
      <c r="T589" s="317"/>
      <c r="U589" s="318"/>
      <c r="V589" s="88"/>
      <c r="W589" s="317"/>
      <c r="X589" s="311"/>
      <c r="Y589" s="143"/>
      <c r="Z589" s="143"/>
      <c r="AA589" s="143"/>
      <c r="AB589" s="17"/>
      <c r="AC589" s="17"/>
      <c r="AD589" s="17"/>
      <c r="AE589" s="17"/>
    </row>
    <row r="590">
      <c r="A590" s="88"/>
      <c r="B590" s="121"/>
      <c r="C590" s="311"/>
      <c r="D590" s="88"/>
      <c r="E590" s="121"/>
      <c r="F590" s="311"/>
      <c r="G590" s="88"/>
      <c r="H590" s="121"/>
      <c r="I590" s="311"/>
      <c r="J590" s="88"/>
      <c r="K590" s="121"/>
      <c r="L590" s="311"/>
      <c r="M590" s="316"/>
      <c r="N590" s="317"/>
      <c r="O590" s="318"/>
      <c r="P590" s="316"/>
      <c r="Q590" s="317"/>
      <c r="R590" s="318"/>
      <c r="S590" s="316"/>
      <c r="T590" s="317"/>
      <c r="U590" s="318"/>
      <c r="V590" s="88"/>
      <c r="W590" s="317"/>
      <c r="X590" s="311"/>
      <c r="Y590" s="143"/>
      <c r="Z590" s="143"/>
      <c r="AA590" s="143"/>
      <c r="AB590" s="17"/>
      <c r="AC590" s="17"/>
      <c r="AD590" s="17"/>
      <c r="AE590" s="17"/>
    </row>
    <row r="591">
      <c r="A591" s="88"/>
      <c r="B591" s="121"/>
      <c r="C591" s="311"/>
      <c r="D591" s="88"/>
      <c r="E591" s="121"/>
      <c r="F591" s="311"/>
      <c r="G591" s="88"/>
      <c r="H591" s="121"/>
      <c r="I591" s="311"/>
      <c r="J591" s="88"/>
      <c r="K591" s="121"/>
      <c r="L591" s="311"/>
      <c r="M591" s="316"/>
      <c r="N591" s="317"/>
      <c r="O591" s="318"/>
      <c r="P591" s="316"/>
      <c r="Q591" s="317"/>
      <c r="R591" s="318"/>
      <c r="S591" s="316"/>
      <c r="T591" s="317"/>
      <c r="U591" s="318"/>
      <c r="V591" s="88"/>
      <c r="W591" s="317"/>
      <c r="X591" s="311"/>
      <c r="Y591" s="143"/>
      <c r="Z591" s="143"/>
      <c r="AA591" s="143"/>
      <c r="AB591" s="17"/>
      <c r="AC591" s="17"/>
      <c r="AD591" s="17"/>
      <c r="AE591" s="17"/>
    </row>
    <row r="592">
      <c r="A592" s="88"/>
      <c r="B592" s="121"/>
      <c r="C592" s="311"/>
      <c r="D592" s="88"/>
      <c r="E592" s="121"/>
      <c r="F592" s="311"/>
      <c r="G592" s="88"/>
      <c r="H592" s="121"/>
      <c r="I592" s="311"/>
      <c r="J592" s="88"/>
      <c r="K592" s="121"/>
      <c r="L592" s="311"/>
      <c r="M592" s="316"/>
      <c r="N592" s="317"/>
      <c r="O592" s="318"/>
      <c r="P592" s="316"/>
      <c r="Q592" s="317"/>
      <c r="R592" s="318"/>
      <c r="S592" s="316"/>
      <c r="T592" s="317"/>
      <c r="U592" s="318"/>
      <c r="V592" s="88"/>
      <c r="W592" s="317"/>
      <c r="X592" s="311"/>
      <c r="Y592" s="143"/>
      <c r="Z592" s="143"/>
      <c r="AA592" s="143"/>
      <c r="AB592" s="17"/>
      <c r="AC592" s="17"/>
      <c r="AD592" s="17"/>
      <c r="AE592" s="17"/>
    </row>
    <row r="593">
      <c r="A593" s="88"/>
      <c r="B593" s="121"/>
      <c r="C593" s="311"/>
      <c r="D593" s="88"/>
      <c r="E593" s="121"/>
      <c r="F593" s="311"/>
      <c r="G593" s="88"/>
      <c r="H593" s="121"/>
      <c r="I593" s="311"/>
      <c r="J593" s="88"/>
      <c r="K593" s="121"/>
      <c r="L593" s="311"/>
      <c r="M593" s="316"/>
      <c r="N593" s="317"/>
      <c r="O593" s="318"/>
      <c r="P593" s="316"/>
      <c r="Q593" s="317"/>
      <c r="R593" s="318"/>
      <c r="S593" s="316"/>
      <c r="T593" s="317"/>
      <c r="U593" s="318"/>
      <c r="V593" s="88"/>
      <c r="W593" s="317"/>
      <c r="X593" s="311"/>
      <c r="Y593" s="143"/>
      <c r="Z593" s="143"/>
      <c r="AA593" s="143"/>
      <c r="AB593" s="17"/>
      <c r="AC593" s="17"/>
      <c r="AD593" s="17"/>
      <c r="AE593" s="17"/>
    </row>
    <row r="594">
      <c r="A594" s="88"/>
      <c r="B594" s="121"/>
      <c r="C594" s="311"/>
      <c r="D594" s="88"/>
      <c r="E594" s="121"/>
      <c r="F594" s="311"/>
      <c r="G594" s="88"/>
      <c r="H594" s="121"/>
      <c r="I594" s="311"/>
      <c r="J594" s="88"/>
      <c r="K594" s="121"/>
      <c r="L594" s="311"/>
      <c r="M594" s="316"/>
      <c r="N594" s="317"/>
      <c r="O594" s="318"/>
      <c r="P594" s="316"/>
      <c r="Q594" s="317"/>
      <c r="R594" s="318"/>
      <c r="S594" s="316"/>
      <c r="T594" s="317"/>
      <c r="U594" s="318"/>
      <c r="V594" s="88"/>
      <c r="W594" s="317"/>
      <c r="X594" s="311"/>
      <c r="Y594" s="143"/>
      <c r="Z594" s="143"/>
      <c r="AA594" s="143"/>
      <c r="AB594" s="17"/>
      <c r="AC594" s="17"/>
      <c r="AD594" s="17"/>
      <c r="AE594" s="17"/>
    </row>
    <row r="595">
      <c r="A595" s="88"/>
      <c r="B595" s="121"/>
      <c r="C595" s="311"/>
      <c r="D595" s="88"/>
      <c r="E595" s="121"/>
      <c r="F595" s="311"/>
      <c r="G595" s="88"/>
      <c r="H595" s="121"/>
      <c r="I595" s="311"/>
      <c r="J595" s="88"/>
      <c r="K595" s="121"/>
      <c r="L595" s="311"/>
      <c r="M595" s="316"/>
      <c r="N595" s="317"/>
      <c r="O595" s="318"/>
      <c r="P595" s="316"/>
      <c r="Q595" s="317"/>
      <c r="R595" s="318"/>
      <c r="S595" s="316"/>
      <c r="T595" s="317"/>
      <c r="U595" s="318"/>
      <c r="V595" s="88"/>
      <c r="W595" s="317"/>
      <c r="X595" s="311"/>
      <c r="Y595" s="143"/>
      <c r="Z595" s="143"/>
      <c r="AA595" s="143"/>
      <c r="AB595" s="17"/>
      <c r="AC595" s="17"/>
      <c r="AD595" s="17"/>
      <c r="AE595" s="17"/>
    </row>
    <row r="596">
      <c r="A596" s="88"/>
      <c r="B596" s="121"/>
      <c r="C596" s="311"/>
      <c r="D596" s="88"/>
      <c r="E596" s="121"/>
      <c r="F596" s="311"/>
      <c r="G596" s="88"/>
      <c r="H596" s="121"/>
      <c r="I596" s="311"/>
      <c r="J596" s="88"/>
      <c r="K596" s="121"/>
      <c r="L596" s="311"/>
      <c r="M596" s="316"/>
      <c r="N596" s="317"/>
      <c r="O596" s="318"/>
      <c r="P596" s="316"/>
      <c r="Q596" s="317"/>
      <c r="R596" s="318"/>
      <c r="S596" s="316"/>
      <c r="T596" s="317"/>
      <c r="U596" s="318"/>
      <c r="V596" s="88"/>
      <c r="W596" s="317"/>
      <c r="X596" s="311"/>
      <c r="Y596" s="143"/>
      <c r="Z596" s="143"/>
      <c r="AA596" s="143"/>
      <c r="AB596" s="17"/>
      <c r="AC596" s="17"/>
      <c r="AD596" s="17"/>
      <c r="AE596" s="17"/>
    </row>
    <row r="597">
      <c r="A597" s="88"/>
      <c r="B597" s="121"/>
      <c r="C597" s="311"/>
      <c r="D597" s="88"/>
      <c r="E597" s="121"/>
      <c r="F597" s="311"/>
      <c r="G597" s="88"/>
      <c r="H597" s="121"/>
      <c r="I597" s="311"/>
      <c r="J597" s="88"/>
      <c r="K597" s="121"/>
      <c r="L597" s="311"/>
      <c r="M597" s="316"/>
      <c r="N597" s="317"/>
      <c r="O597" s="318"/>
      <c r="P597" s="316"/>
      <c r="Q597" s="317"/>
      <c r="R597" s="318"/>
      <c r="S597" s="316"/>
      <c r="T597" s="317"/>
      <c r="U597" s="318"/>
      <c r="V597" s="88"/>
      <c r="W597" s="317"/>
      <c r="X597" s="311"/>
      <c r="Y597" s="143"/>
      <c r="Z597" s="143"/>
      <c r="AA597" s="143"/>
      <c r="AB597" s="17"/>
      <c r="AC597" s="17"/>
      <c r="AD597" s="17"/>
      <c r="AE597" s="17"/>
    </row>
    <row r="598">
      <c r="A598" s="88"/>
      <c r="B598" s="121"/>
      <c r="C598" s="311"/>
      <c r="D598" s="88"/>
      <c r="E598" s="121"/>
      <c r="F598" s="311"/>
      <c r="G598" s="88"/>
      <c r="H598" s="121"/>
      <c r="I598" s="311"/>
      <c r="J598" s="88"/>
      <c r="K598" s="121"/>
      <c r="L598" s="311"/>
      <c r="M598" s="316"/>
      <c r="N598" s="317"/>
      <c r="O598" s="318"/>
      <c r="P598" s="316"/>
      <c r="Q598" s="317"/>
      <c r="R598" s="318"/>
      <c r="S598" s="316"/>
      <c r="T598" s="317"/>
      <c r="U598" s="318"/>
      <c r="V598" s="88"/>
      <c r="W598" s="317"/>
      <c r="X598" s="311"/>
      <c r="Y598" s="143"/>
      <c r="Z598" s="143"/>
      <c r="AA598" s="143"/>
      <c r="AB598" s="17"/>
      <c r="AC598" s="17"/>
      <c r="AD598" s="17"/>
      <c r="AE598" s="17"/>
    </row>
    <row r="599">
      <c r="A599" s="88"/>
      <c r="B599" s="121"/>
      <c r="C599" s="311"/>
      <c r="D599" s="88"/>
      <c r="E599" s="121"/>
      <c r="F599" s="311"/>
      <c r="G599" s="88"/>
      <c r="H599" s="121"/>
      <c r="I599" s="311"/>
      <c r="J599" s="88"/>
      <c r="K599" s="121"/>
      <c r="L599" s="311"/>
      <c r="M599" s="316"/>
      <c r="N599" s="317"/>
      <c r="O599" s="318"/>
      <c r="P599" s="316"/>
      <c r="Q599" s="317"/>
      <c r="R599" s="318"/>
      <c r="S599" s="316"/>
      <c r="T599" s="317"/>
      <c r="U599" s="318"/>
      <c r="V599" s="88"/>
      <c r="W599" s="317"/>
      <c r="X599" s="311"/>
      <c r="Y599" s="143"/>
      <c r="Z599" s="143"/>
      <c r="AA599" s="143"/>
      <c r="AB599" s="17"/>
      <c r="AC599" s="17"/>
      <c r="AD599" s="17"/>
      <c r="AE599" s="17"/>
    </row>
    <row r="600">
      <c r="A600" s="88"/>
      <c r="B600" s="121"/>
      <c r="C600" s="311"/>
      <c r="D600" s="88"/>
      <c r="E600" s="121"/>
      <c r="F600" s="311"/>
      <c r="G600" s="88"/>
      <c r="H600" s="121"/>
      <c r="I600" s="311"/>
      <c r="J600" s="88"/>
      <c r="K600" s="121"/>
      <c r="L600" s="311"/>
      <c r="M600" s="316"/>
      <c r="N600" s="317"/>
      <c r="O600" s="318"/>
      <c r="P600" s="316"/>
      <c r="Q600" s="317"/>
      <c r="R600" s="318"/>
      <c r="S600" s="316"/>
      <c r="T600" s="317"/>
      <c r="U600" s="318"/>
      <c r="V600" s="88"/>
      <c r="W600" s="317"/>
      <c r="X600" s="311"/>
      <c r="Y600" s="143"/>
      <c r="Z600" s="143"/>
      <c r="AA600" s="143"/>
      <c r="AB600" s="17"/>
      <c r="AC600" s="17"/>
      <c r="AD600" s="17"/>
      <c r="AE600" s="17"/>
    </row>
    <row r="601">
      <c r="A601" s="88"/>
      <c r="B601" s="121"/>
      <c r="C601" s="311"/>
      <c r="D601" s="88"/>
      <c r="E601" s="121"/>
      <c r="F601" s="311"/>
      <c r="G601" s="88"/>
      <c r="H601" s="121"/>
      <c r="I601" s="311"/>
      <c r="J601" s="88"/>
      <c r="K601" s="121"/>
      <c r="L601" s="311"/>
      <c r="M601" s="316"/>
      <c r="N601" s="317"/>
      <c r="O601" s="318"/>
      <c r="P601" s="316"/>
      <c r="Q601" s="317"/>
      <c r="R601" s="318"/>
      <c r="S601" s="316"/>
      <c r="T601" s="317"/>
      <c r="U601" s="318"/>
      <c r="V601" s="88"/>
      <c r="W601" s="317"/>
      <c r="X601" s="311"/>
      <c r="Y601" s="143"/>
      <c r="Z601" s="143"/>
      <c r="AA601" s="143"/>
      <c r="AB601" s="17"/>
      <c r="AC601" s="17"/>
      <c r="AD601" s="17"/>
      <c r="AE601" s="17"/>
    </row>
    <row r="602">
      <c r="A602" s="88"/>
      <c r="B602" s="121"/>
      <c r="C602" s="311"/>
      <c r="D602" s="88"/>
      <c r="E602" s="121"/>
      <c r="F602" s="311"/>
      <c r="G602" s="88"/>
      <c r="H602" s="121"/>
      <c r="I602" s="311"/>
      <c r="J602" s="88"/>
      <c r="K602" s="121"/>
      <c r="L602" s="311"/>
      <c r="M602" s="316"/>
      <c r="N602" s="317"/>
      <c r="O602" s="318"/>
      <c r="P602" s="316"/>
      <c r="Q602" s="317"/>
      <c r="R602" s="318"/>
      <c r="S602" s="316"/>
      <c r="T602" s="317"/>
      <c r="U602" s="318"/>
      <c r="V602" s="88"/>
      <c r="W602" s="317"/>
      <c r="X602" s="311"/>
      <c r="Y602" s="143"/>
      <c r="Z602" s="143"/>
      <c r="AA602" s="143"/>
      <c r="AB602" s="17"/>
      <c r="AC602" s="17"/>
      <c r="AD602" s="17"/>
      <c r="AE602" s="17"/>
    </row>
    <row r="603">
      <c r="A603" s="88"/>
      <c r="B603" s="121"/>
      <c r="C603" s="311"/>
      <c r="D603" s="88"/>
      <c r="E603" s="121"/>
      <c r="F603" s="311"/>
      <c r="G603" s="88"/>
      <c r="H603" s="121"/>
      <c r="I603" s="311"/>
      <c r="J603" s="88"/>
      <c r="K603" s="121"/>
      <c r="L603" s="311"/>
      <c r="M603" s="316"/>
      <c r="N603" s="317"/>
      <c r="O603" s="318"/>
      <c r="P603" s="316"/>
      <c r="Q603" s="317"/>
      <c r="R603" s="318"/>
      <c r="S603" s="316"/>
      <c r="T603" s="317"/>
      <c r="U603" s="318"/>
      <c r="V603" s="88"/>
      <c r="W603" s="317"/>
      <c r="X603" s="311"/>
      <c r="Y603" s="143"/>
      <c r="Z603" s="143"/>
      <c r="AA603" s="143"/>
      <c r="AB603" s="17"/>
      <c r="AC603" s="17"/>
      <c r="AD603" s="17"/>
      <c r="AE603" s="17"/>
    </row>
    <row r="604">
      <c r="A604" s="88"/>
      <c r="B604" s="121"/>
      <c r="C604" s="311"/>
      <c r="D604" s="88"/>
      <c r="E604" s="121"/>
      <c r="F604" s="311"/>
      <c r="G604" s="88"/>
      <c r="H604" s="121"/>
      <c r="I604" s="311"/>
      <c r="J604" s="88"/>
      <c r="K604" s="121"/>
      <c r="L604" s="311"/>
      <c r="M604" s="316"/>
      <c r="N604" s="317"/>
      <c r="O604" s="318"/>
      <c r="P604" s="316"/>
      <c r="Q604" s="317"/>
      <c r="R604" s="318"/>
      <c r="S604" s="316"/>
      <c r="T604" s="317"/>
      <c r="U604" s="318"/>
      <c r="V604" s="88"/>
      <c r="W604" s="317"/>
      <c r="X604" s="311"/>
      <c r="Y604" s="143"/>
      <c r="Z604" s="143"/>
      <c r="AA604" s="143"/>
      <c r="AB604" s="17"/>
      <c r="AC604" s="17"/>
      <c r="AD604" s="17"/>
      <c r="AE604" s="17"/>
    </row>
    <row r="605">
      <c r="A605" s="88"/>
      <c r="B605" s="121"/>
      <c r="C605" s="311"/>
      <c r="D605" s="88"/>
      <c r="E605" s="121"/>
      <c r="F605" s="311"/>
      <c r="G605" s="88"/>
      <c r="H605" s="121"/>
      <c r="I605" s="311"/>
      <c r="J605" s="88"/>
      <c r="K605" s="121"/>
      <c r="L605" s="311"/>
      <c r="M605" s="316"/>
      <c r="N605" s="317"/>
      <c r="O605" s="318"/>
      <c r="P605" s="316"/>
      <c r="Q605" s="317"/>
      <c r="R605" s="318"/>
      <c r="S605" s="316"/>
      <c r="T605" s="317"/>
      <c r="U605" s="318"/>
      <c r="V605" s="88"/>
      <c r="W605" s="317"/>
      <c r="X605" s="311"/>
      <c r="Y605" s="143"/>
      <c r="Z605" s="143"/>
      <c r="AA605" s="143"/>
      <c r="AB605" s="17"/>
      <c r="AC605" s="17"/>
      <c r="AD605" s="17"/>
      <c r="AE605" s="17"/>
    </row>
    <row r="606">
      <c r="A606" s="88"/>
      <c r="B606" s="121"/>
      <c r="C606" s="311"/>
      <c r="D606" s="88"/>
      <c r="E606" s="121"/>
      <c r="F606" s="311"/>
      <c r="G606" s="88"/>
      <c r="H606" s="121"/>
      <c r="I606" s="311"/>
      <c r="J606" s="88"/>
      <c r="K606" s="121"/>
      <c r="L606" s="311"/>
      <c r="M606" s="316"/>
      <c r="N606" s="317"/>
      <c r="O606" s="318"/>
      <c r="P606" s="316"/>
      <c r="Q606" s="317"/>
      <c r="R606" s="318"/>
      <c r="S606" s="316"/>
      <c r="T606" s="317"/>
      <c r="U606" s="318"/>
      <c r="V606" s="88"/>
      <c r="W606" s="317"/>
      <c r="X606" s="311"/>
      <c r="Y606" s="143"/>
      <c r="Z606" s="143"/>
      <c r="AA606" s="143"/>
      <c r="AB606" s="17"/>
      <c r="AC606" s="17"/>
      <c r="AD606" s="17"/>
      <c r="AE606" s="17"/>
    </row>
    <row r="607">
      <c r="A607" s="88"/>
      <c r="B607" s="121"/>
      <c r="C607" s="311"/>
      <c r="D607" s="88"/>
      <c r="E607" s="121"/>
      <c r="F607" s="311"/>
      <c r="G607" s="88"/>
      <c r="H607" s="121"/>
      <c r="I607" s="311"/>
      <c r="J607" s="88"/>
      <c r="K607" s="121"/>
      <c r="L607" s="311"/>
      <c r="M607" s="316"/>
      <c r="N607" s="317"/>
      <c r="O607" s="318"/>
      <c r="P607" s="316"/>
      <c r="Q607" s="317"/>
      <c r="R607" s="318"/>
      <c r="S607" s="316"/>
      <c r="T607" s="317"/>
      <c r="U607" s="318"/>
      <c r="V607" s="88"/>
      <c r="W607" s="317"/>
      <c r="X607" s="311"/>
      <c r="Y607" s="143"/>
      <c r="Z607" s="143"/>
      <c r="AA607" s="143"/>
      <c r="AB607" s="17"/>
      <c r="AC607" s="17"/>
      <c r="AD607" s="17"/>
      <c r="AE607" s="17"/>
    </row>
    <row r="608">
      <c r="A608" s="88"/>
      <c r="B608" s="121"/>
      <c r="C608" s="311"/>
      <c r="D608" s="88"/>
      <c r="E608" s="121"/>
      <c r="F608" s="311"/>
      <c r="G608" s="88"/>
      <c r="H608" s="121"/>
      <c r="I608" s="311"/>
      <c r="J608" s="88"/>
      <c r="K608" s="121"/>
      <c r="L608" s="311"/>
      <c r="M608" s="316"/>
      <c r="N608" s="317"/>
      <c r="O608" s="318"/>
      <c r="P608" s="316"/>
      <c r="Q608" s="317"/>
      <c r="R608" s="318"/>
      <c r="S608" s="316"/>
      <c r="T608" s="317"/>
      <c r="U608" s="318"/>
      <c r="V608" s="88"/>
      <c r="W608" s="317"/>
      <c r="X608" s="311"/>
      <c r="Y608" s="143"/>
      <c r="Z608" s="143"/>
      <c r="AA608" s="143"/>
      <c r="AB608" s="17"/>
      <c r="AC608" s="17"/>
      <c r="AD608" s="17"/>
      <c r="AE608" s="17"/>
    </row>
    <row r="609">
      <c r="A609" s="88"/>
      <c r="B609" s="121"/>
      <c r="C609" s="311"/>
      <c r="D609" s="88"/>
      <c r="E609" s="121"/>
      <c r="F609" s="311"/>
      <c r="G609" s="88"/>
      <c r="H609" s="121"/>
      <c r="I609" s="311"/>
      <c r="J609" s="88"/>
      <c r="K609" s="121"/>
      <c r="L609" s="311"/>
      <c r="M609" s="316"/>
      <c r="N609" s="317"/>
      <c r="O609" s="318"/>
      <c r="P609" s="316"/>
      <c r="Q609" s="317"/>
      <c r="R609" s="318"/>
      <c r="S609" s="316"/>
      <c r="T609" s="317"/>
      <c r="U609" s="318"/>
      <c r="V609" s="88"/>
      <c r="W609" s="317"/>
      <c r="X609" s="311"/>
      <c r="Y609" s="143"/>
      <c r="Z609" s="143"/>
      <c r="AA609" s="143"/>
      <c r="AB609" s="17"/>
      <c r="AC609" s="17"/>
      <c r="AD609" s="17"/>
      <c r="AE609" s="17"/>
    </row>
    <row r="610">
      <c r="A610" s="88"/>
      <c r="B610" s="121"/>
      <c r="C610" s="311"/>
      <c r="D610" s="88"/>
      <c r="E610" s="121"/>
      <c r="F610" s="311"/>
      <c r="G610" s="88"/>
      <c r="H610" s="121"/>
      <c r="I610" s="311"/>
      <c r="J610" s="88"/>
      <c r="K610" s="121"/>
      <c r="L610" s="311"/>
      <c r="M610" s="316"/>
      <c r="N610" s="317"/>
      <c r="O610" s="318"/>
      <c r="P610" s="316"/>
      <c r="Q610" s="317"/>
      <c r="R610" s="318"/>
      <c r="S610" s="316"/>
      <c r="T610" s="317"/>
      <c r="U610" s="318"/>
      <c r="V610" s="88"/>
      <c r="W610" s="317"/>
      <c r="X610" s="311"/>
      <c r="Y610" s="143"/>
      <c r="Z610" s="143"/>
      <c r="AA610" s="143"/>
      <c r="AB610" s="17"/>
      <c r="AC610" s="17"/>
      <c r="AD610" s="17"/>
      <c r="AE610" s="17"/>
    </row>
    <row r="611">
      <c r="A611" s="88"/>
      <c r="B611" s="121"/>
      <c r="C611" s="311"/>
      <c r="D611" s="88"/>
      <c r="E611" s="121"/>
      <c r="F611" s="311"/>
      <c r="G611" s="88"/>
      <c r="H611" s="121"/>
      <c r="I611" s="311"/>
      <c r="J611" s="88"/>
      <c r="K611" s="121"/>
      <c r="L611" s="311"/>
      <c r="M611" s="316"/>
      <c r="N611" s="317"/>
      <c r="O611" s="318"/>
      <c r="P611" s="316"/>
      <c r="Q611" s="317"/>
      <c r="R611" s="318"/>
      <c r="S611" s="316"/>
      <c r="T611" s="317"/>
      <c r="U611" s="318"/>
      <c r="V611" s="88"/>
      <c r="W611" s="317"/>
      <c r="X611" s="311"/>
      <c r="Y611" s="143"/>
      <c r="Z611" s="143"/>
      <c r="AA611" s="143"/>
      <c r="AB611" s="17"/>
      <c r="AC611" s="17"/>
      <c r="AD611" s="17"/>
      <c r="AE611" s="17"/>
    </row>
    <row r="612">
      <c r="A612" s="88"/>
      <c r="B612" s="121"/>
      <c r="C612" s="311"/>
      <c r="D612" s="88"/>
      <c r="E612" s="121"/>
      <c r="F612" s="311"/>
      <c r="G612" s="88"/>
      <c r="H612" s="121"/>
      <c r="I612" s="311"/>
      <c r="J612" s="88"/>
      <c r="K612" s="121"/>
      <c r="L612" s="311"/>
      <c r="M612" s="316"/>
      <c r="N612" s="317"/>
      <c r="O612" s="318"/>
      <c r="P612" s="316"/>
      <c r="Q612" s="317"/>
      <c r="R612" s="318"/>
      <c r="S612" s="316"/>
      <c r="T612" s="317"/>
      <c r="U612" s="318"/>
      <c r="V612" s="88"/>
      <c r="W612" s="317"/>
      <c r="X612" s="311"/>
      <c r="Y612" s="143"/>
      <c r="Z612" s="143"/>
      <c r="AA612" s="143"/>
      <c r="AB612" s="17"/>
      <c r="AC612" s="17"/>
      <c r="AD612" s="17"/>
      <c r="AE612" s="17"/>
    </row>
    <row r="613">
      <c r="A613" s="88"/>
      <c r="B613" s="121"/>
      <c r="C613" s="311"/>
      <c r="D613" s="88"/>
      <c r="E613" s="121"/>
      <c r="F613" s="311"/>
      <c r="G613" s="88"/>
      <c r="H613" s="121"/>
      <c r="I613" s="311"/>
      <c r="J613" s="88"/>
      <c r="K613" s="121"/>
      <c r="L613" s="311"/>
      <c r="M613" s="316"/>
      <c r="N613" s="317"/>
      <c r="O613" s="318"/>
      <c r="P613" s="316"/>
      <c r="Q613" s="317"/>
      <c r="R613" s="318"/>
      <c r="S613" s="316"/>
      <c r="T613" s="317"/>
      <c r="U613" s="318"/>
      <c r="V613" s="88"/>
      <c r="W613" s="317"/>
      <c r="X613" s="311"/>
      <c r="Y613" s="143"/>
      <c r="Z613" s="143"/>
      <c r="AA613" s="143"/>
      <c r="AB613" s="17"/>
      <c r="AC613" s="17"/>
      <c r="AD613" s="17"/>
      <c r="AE613" s="17"/>
    </row>
    <row r="614">
      <c r="A614" s="88"/>
      <c r="B614" s="121"/>
      <c r="C614" s="311"/>
      <c r="D614" s="88"/>
      <c r="E614" s="121"/>
      <c r="F614" s="311"/>
      <c r="G614" s="88"/>
      <c r="H614" s="121"/>
      <c r="I614" s="311"/>
      <c r="J614" s="88"/>
      <c r="K614" s="121"/>
      <c r="L614" s="311"/>
      <c r="M614" s="316"/>
      <c r="N614" s="317"/>
      <c r="O614" s="318"/>
      <c r="P614" s="316"/>
      <c r="Q614" s="317"/>
      <c r="R614" s="318"/>
      <c r="S614" s="316"/>
      <c r="T614" s="317"/>
      <c r="U614" s="318"/>
      <c r="V614" s="88"/>
      <c r="W614" s="317"/>
      <c r="X614" s="311"/>
      <c r="Y614" s="143"/>
      <c r="Z614" s="143"/>
      <c r="AA614" s="143"/>
      <c r="AB614" s="17"/>
      <c r="AC614" s="17"/>
      <c r="AD614" s="17"/>
      <c r="AE614" s="17"/>
    </row>
    <row r="615">
      <c r="A615" s="88"/>
      <c r="B615" s="121"/>
      <c r="C615" s="311"/>
      <c r="D615" s="88"/>
      <c r="E615" s="121"/>
      <c r="F615" s="311"/>
      <c r="G615" s="88"/>
      <c r="H615" s="121"/>
      <c r="I615" s="311"/>
      <c r="J615" s="88"/>
      <c r="K615" s="121"/>
      <c r="L615" s="311"/>
      <c r="M615" s="316"/>
      <c r="N615" s="317"/>
      <c r="O615" s="318"/>
      <c r="P615" s="316"/>
      <c r="Q615" s="317"/>
      <c r="R615" s="318"/>
      <c r="S615" s="316"/>
      <c r="T615" s="317"/>
      <c r="U615" s="318"/>
      <c r="V615" s="88"/>
      <c r="W615" s="317"/>
      <c r="X615" s="311"/>
      <c r="Y615" s="143"/>
      <c r="Z615" s="143"/>
      <c r="AA615" s="143"/>
      <c r="AB615" s="17"/>
      <c r="AC615" s="17"/>
      <c r="AD615" s="17"/>
      <c r="AE615" s="17"/>
    </row>
    <row r="616">
      <c r="A616" s="88"/>
      <c r="B616" s="121"/>
      <c r="C616" s="311"/>
      <c r="D616" s="88"/>
      <c r="E616" s="121"/>
      <c r="F616" s="311"/>
      <c r="G616" s="88"/>
      <c r="H616" s="121"/>
      <c r="I616" s="311"/>
      <c r="J616" s="88"/>
      <c r="K616" s="121"/>
      <c r="L616" s="311"/>
      <c r="M616" s="316"/>
      <c r="N616" s="317"/>
      <c r="O616" s="318"/>
      <c r="P616" s="316"/>
      <c r="Q616" s="317"/>
      <c r="R616" s="318"/>
      <c r="S616" s="316"/>
      <c r="T616" s="317"/>
      <c r="U616" s="318"/>
      <c r="V616" s="88"/>
      <c r="W616" s="317"/>
      <c r="X616" s="311"/>
      <c r="Y616" s="143"/>
      <c r="Z616" s="143"/>
      <c r="AA616" s="143"/>
      <c r="AB616" s="17"/>
      <c r="AC616" s="17"/>
      <c r="AD616" s="17"/>
      <c r="AE616" s="17"/>
    </row>
    <row r="617">
      <c r="A617" s="88"/>
      <c r="B617" s="121"/>
      <c r="C617" s="311"/>
      <c r="D617" s="88"/>
      <c r="E617" s="121"/>
      <c r="F617" s="311"/>
      <c r="G617" s="88"/>
      <c r="H617" s="121"/>
      <c r="I617" s="311"/>
      <c r="J617" s="88"/>
      <c r="K617" s="121"/>
      <c r="L617" s="311"/>
      <c r="M617" s="316"/>
      <c r="N617" s="317"/>
      <c r="O617" s="318"/>
      <c r="P617" s="316"/>
      <c r="Q617" s="317"/>
      <c r="R617" s="318"/>
      <c r="S617" s="316"/>
      <c r="T617" s="317"/>
      <c r="U617" s="318"/>
      <c r="V617" s="88"/>
      <c r="W617" s="317"/>
      <c r="X617" s="311"/>
      <c r="Y617" s="143"/>
      <c r="Z617" s="143"/>
      <c r="AA617" s="143"/>
      <c r="AB617" s="17"/>
      <c r="AC617" s="17"/>
      <c r="AD617" s="17"/>
      <c r="AE617" s="17"/>
    </row>
    <row r="618">
      <c r="A618" s="88"/>
      <c r="B618" s="121"/>
      <c r="C618" s="311"/>
      <c r="D618" s="88"/>
      <c r="E618" s="121"/>
      <c r="F618" s="311"/>
      <c r="G618" s="88"/>
      <c r="H618" s="121"/>
      <c r="I618" s="311"/>
      <c r="J618" s="88"/>
      <c r="K618" s="121"/>
      <c r="L618" s="311"/>
      <c r="M618" s="316"/>
      <c r="N618" s="317"/>
      <c r="O618" s="318"/>
      <c r="P618" s="316"/>
      <c r="Q618" s="317"/>
      <c r="R618" s="318"/>
      <c r="S618" s="316"/>
      <c r="T618" s="317"/>
      <c r="U618" s="318"/>
      <c r="V618" s="88"/>
      <c r="W618" s="317"/>
      <c r="X618" s="311"/>
      <c r="Y618" s="143"/>
      <c r="Z618" s="143"/>
      <c r="AA618" s="143"/>
      <c r="AB618" s="17"/>
      <c r="AC618" s="17"/>
      <c r="AD618" s="17"/>
      <c r="AE618" s="17"/>
    </row>
    <row r="619">
      <c r="A619" s="88"/>
      <c r="B619" s="121"/>
      <c r="C619" s="311"/>
      <c r="D619" s="88"/>
      <c r="E619" s="121"/>
      <c r="F619" s="311"/>
      <c r="G619" s="88"/>
      <c r="H619" s="121"/>
      <c r="I619" s="311"/>
      <c r="J619" s="88"/>
      <c r="K619" s="121"/>
      <c r="L619" s="311"/>
      <c r="M619" s="316"/>
      <c r="N619" s="317"/>
      <c r="O619" s="318"/>
      <c r="P619" s="316"/>
      <c r="Q619" s="317"/>
      <c r="R619" s="318"/>
      <c r="S619" s="316"/>
      <c r="T619" s="317"/>
      <c r="U619" s="318"/>
      <c r="V619" s="88"/>
      <c r="W619" s="317"/>
      <c r="X619" s="311"/>
      <c r="Y619" s="143"/>
      <c r="Z619" s="143"/>
      <c r="AA619" s="143"/>
      <c r="AB619" s="17"/>
      <c r="AC619" s="17"/>
      <c r="AD619" s="17"/>
      <c r="AE619" s="17"/>
    </row>
    <row r="620">
      <c r="A620" s="88"/>
      <c r="B620" s="121"/>
      <c r="C620" s="311"/>
      <c r="D620" s="88"/>
      <c r="E620" s="121"/>
      <c r="F620" s="311"/>
      <c r="G620" s="88"/>
      <c r="H620" s="121"/>
      <c r="I620" s="311"/>
      <c r="J620" s="88"/>
      <c r="K620" s="121"/>
      <c r="L620" s="311"/>
      <c r="M620" s="316"/>
      <c r="N620" s="317"/>
      <c r="O620" s="318"/>
      <c r="P620" s="316"/>
      <c r="Q620" s="317"/>
      <c r="R620" s="318"/>
      <c r="S620" s="316"/>
      <c r="T620" s="317"/>
      <c r="U620" s="318"/>
      <c r="V620" s="88"/>
      <c r="W620" s="317"/>
      <c r="X620" s="311"/>
      <c r="Y620" s="143"/>
      <c r="Z620" s="143"/>
      <c r="AA620" s="143"/>
      <c r="AB620" s="17"/>
      <c r="AC620" s="17"/>
      <c r="AD620" s="17"/>
      <c r="AE620" s="17"/>
    </row>
    <row r="621">
      <c r="A621" s="88"/>
      <c r="B621" s="121"/>
      <c r="C621" s="311"/>
      <c r="D621" s="88"/>
      <c r="E621" s="121"/>
      <c r="F621" s="311"/>
      <c r="G621" s="88"/>
      <c r="H621" s="121"/>
      <c r="I621" s="311"/>
      <c r="J621" s="88"/>
      <c r="K621" s="121"/>
      <c r="L621" s="311"/>
      <c r="M621" s="316"/>
      <c r="N621" s="317"/>
      <c r="O621" s="318"/>
      <c r="P621" s="316"/>
      <c r="Q621" s="317"/>
      <c r="R621" s="318"/>
      <c r="S621" s="316"/>
      <c r="T621" s="317"/>
      <c r="U621" s="318"/>
      <c r="V621" s="88"/>
      <c r="W621" s="317"/>
      <c r="X621" s="311"/>
      <c r="Y621" s="143"/>
      <c r="Z621" s="143"/>
      <c r="AA621" s="143"/>
      <c r="AB621" s="17"/>
      <c r="AC621" s="17"/>
      <c r="AD621" s="17"/>
      <c r="AE621" s="17"/>
    </row>
    <row r="622">
      <c r="A622" s="88"/>
      <c r="B622" s="121"/>
      <c r="C622" s="311"/>
      <c r="D622" s="88"/>
      <c r="E622" s="121"/>
      <c r="F622" s="311"/>
      <c r="G622" s="88"/>
      <c r="H622" s="121"/>
      <c r="I622" s="311"/>
      <c r="J622" s="88"/>
      <c r="K622" s="121"/>
      <c r="L622" s="311"/>
      <c r="M622" s="316"/>
      <c r="N622" s="317"/>
      <c r="O622" s="318"/>
      <c r="P622" s="316"/>
      <c r="Q622" s="317"/>
      <c r="R622" s="318"/>
      <c r="S622" s="316"/>
      <c r="T622" s="317"/>
      <c r="U622" s="318"/>
      <c r="V622" s="88"/>
      <c r="W622" s="317"/>
      <c r="X622" s="311"/>
      <c r="Y622" s="143"/>
      <c r="Z622" s="143"/>
      <c r="AA622" s="143"/>
      <c r="AB622" s="17"/>
      <c r="AC622" s="17"/>
      <c r="AD622" s="17"/>
      <c r="AE622" s="17"/>
    </row>
    <row r="623">
      <c r="A623" s="88"/>
      <c r="B623" s="121"/>
      <c r="C623" s="311"/>
      <c r="D623" s="88"/>
      <c r="E623" s="121"/>
      <c r="F623" s="311"/>
      <c r="G623" s="88"/>
      <c r="H623" s="121"/>
      <c r="I623" s="311"/>
      <c r="J623" s="88"/>
      <c r="K623" s="121"/>
      <c r="L623" s="311"/>
      <c r="M623" s="316"/>
      <c r="N623" s="317"/>
      <c r="O623" s="318"/>
      <c r="P623" s="316"/>
      <c r="Q623" s="317"/>
      <c r="R623" s="318"/>
      <c r="S623" s="316"/>
      <c r="T623" s="317"/>
      <c r="U623" s="318"/>
      <c r="V623" s="88"/>
      <c r="W623" s="317"/>
      <c r="X623" s="311"/>
      <c r="Y623" s="143"/>
      <c r="Z623" s="143"/>
      <c r="AA623" s="143"/>
      <c r="AB623" s="17"/>
      <c r="AC623" s="17"/>
      <c r="AD623" s="17"/>
      <c r="AE623" s="17"/>
    </row>
    <row r="624">
      <c r="A624" s="88"/>
      <c r="B624" s="121"/>
      <c r="C624" s="311"/>
      <c r="D624" s="88"/>
      <c r="E624" s="121"/>
      <c r="F624" s="311"/>
      <c r="G624" s="88"/>
      <c r="H624" s="121"/>
      <c r="I624" s="311"/>
      <c r="J624" s="88"/>
      <c r="K624" s="121"/>
      <c r="L624" s="311"/>
      <c r="M624" s="316"/>
      <c r="N624" s="317"/>
      <c r="O624" s="318"/>
      <c r="P624" s="316"/>
      <c r="Q624" s="317"/>
      <c r="R624" s="318"/>
      <c r="S624" s="316"/>
      <c r="T624" s="317"/>
      <c r="U624" s="318"/>
      <c r="V624" s="88"/>
      <c r="W624" s="317"/>
      <c r="X624" s="311"/>
      <c r="Y624" s="143"/>
      <c r="Z624" s="143"/>
      <c r="AA624" s="143"/>
      <c r="AB624" s="17"/>
      <c r="AC624" s="17"/>
      <c r="AD624" s="17"/>
      <c r="AE624" s="17"/>
    </row>
    <row r="625">
      <c r="A625" s="88"/>
      <c r="B625" s="121"/>
      <c r="C625" s="311"/>
      <c r="D625" s="88"/>
      <c r="E625" s="121"/>
      <c r="F625" s="311"/>
      <c r="G625" s="88"/>
      <c r="H625" s="121"/>
      <c r="I625" s="311"/>
      <c r="J625" s="88"/>
      <c r="K625" s="121"/>
      <c r="L625" s="311"/>
      <c r="M625" s="316"/>
      <c r="N625" s="317"/>
      <c r="O625" s="318"/>
      <c r="P625" s="316"/>
      <c r="Q625" s="317"/>
      <c r="R625" s="318"/>
      <c r="S625" s="316"/>
      <c r="T625" s="317"/>
      <c r="U625" s="318"/>
      <c r="V625" s="88"/>
      <c r="W625" s="317"/>
      <c r="X625" s="311"/>
      <c r="Y625" s="143"/>
      <c r="Z625" s="143"/>
      <c r="AA625" s="143"/>
      <c r="AB625" s="17"/>
      <c r="AC625" s="17"/>
      <c r="AD625" s="17"/>
      <c r="AE625" s="17"/>
    </row>
    <row r="626">
      <c r="A626" s="88"/>
      <c r="B626" s="121"/>
      <c r="C626" s="311"/>
      <c r="D626" s="88"/>
      <c r="E626" s="121"/>
      <c r="F626" s="311"/>
      <c r="G626" s="88"/>
      <c r="H626" s="121"/>
      <c r="I626" s="311"/>
      <c r="J626" s="88"/>
      <c r="K626" s="121"/>
      <c r="L626" s="311"/>
      <c r="M626" s="316"/>
      <c r="N626" s="317"/>
      <c r="O626" s="318"/>
      <c r="P626" s="316"/>
      <c r="Q626" s="317"/>
      <c r="R626" s="318"/>
      <c r="S626" s="316"/>
      <c r="T626" s="317"/>
      <c r="U626" s="318"/>
      <c r="V626" s="88"/>
      <c r="W626" s="317"/>
      <c r="X626" s="311"/>
      <c r="Y626" s="143"/>
      <c r="Z626" s="143"/>
      <c r="AA626" s="143"/>
      <c r="AB626" s="17"/>
      <c r="AC626" s="17"/>
      <c r="AD626" s="17"/>
      <c r="AE626" s="17"/>
    </row>
    <row r="627">
      <c r="A627" s="88"/>
      <c r="B627" s="121"/>
      <c r="C627" s="311"/>
      <c r="D627" s="88"/>
      <c r="E627" s="121"/>
      <c r="F627" s="311"/>
      <c r="G627" s="88"/>
      <c r="H627" s="121"/>
      <c r="I627" s="311"/>
      <c r="J627" s="88"/>
      <c r="K627" s="121"/>
      <c r="L627" s="311"/>
      <c r="M627" s="316"/>
      <c r="N627" s="317"/>
      <c r="O627" s="318"/>
      <c r="P627" s="316"/>
      <c r="Q627" s="317"/>
      <c r="R627" s="318"/>
      <c r="S627" s="316"/>
      <c r="T627" s="317"/>
      <c r="U627" s="318"/>
      <c r="V627" s="88"/>
      <c r="W627" s="317"/>
      <c r="X627" s="311"/>
      <c r="Y627" s="143"/>
      <c r="Z627" s="143"/>
      <c r="AA627" s="143"/>
      <c r="AB627" s="17"/>
      <c r="AC627" s="17"/>
      <c r="AD627" s="17"/>
      <c r="AE627" s="17"/>
    </row>
    <row r="628">
      <c r="A628" s="88"/>
      <c r="B628" s="121"/>
      <c r="C628" s="311"/>
      <c r="D628" s="88"/>
      <c r="E628" s="121"/>
      <c r="F628" s="311"/>
      <c r="G628" s="88"/>
      <c r="H628" s="121"/>
      <c r="I628" s="311"/>
      <c r="J628" s="88"/>
      <c r="K628" s="121"/>
      <c r="L628" s="311"/>
      <c r="M628" s="316"/>
      <c r="N628" s="317"/>
      <c r="O628" s="318"/>
      <c r="P628" s="316"/>
      <c r="Q628" s="317"/>
      <c r="R628" s="318"/>
      <c r="S628" s="316"/>
      <c r="T628" s="317"/>
      <c r="U628" s="318"/>
      <c r="V628" s="88"/>
      <c r="W628" s="317"/>
      <c r="X628" s="311"/>
      <c r="Y628" s="143"/>
      <c r="Z628" s="143"/>
      <c r="AA628" s="143"/>
      <c r="AB628" s="17"/>
      <c r="AC628" s="17"/>
      <c r="AD628" s="17"/>
      <c r="AE628" s="17"/>
    </row>
    <row r="629">
      <c r="A629" s="88"/>
      <c r="B629" s="121"/>
      <c r="C629" s="311"/>
      <c r="D629" s="88"/>
      <c r="E629" s="121"/>
      <c r="F629" s="311"/>
      <c r="G629" s="88"/>
      <c r="H629" s="121"/>
      <c r="I629" s="311"/>
      <c r="J629" s="88"/>
      <c r="K629" s="121"/>
      <c r="L629" s="311"/>
      <c r="M629" s="316"/>
      <c r="N629" s="317"/>
      <c r="O629" s="318"/>
      <c r="P629" s="316"/>
      <c r="Q629" s="317"/>
      <c r="R629" s="318"/>
      <c r="S629" s="316"/>
      <c r="T629" s="317"/>
      <c r="U629" s="318"/>
      <c r="V629" s="88"/>
      <c r="W629" s="317"/>
      <c r="X629" s="311"/>
      <c r="Y629" s="143"/>
      <c r="Z629" s="143"/>
      <c r="AA629" s="143"/>
      <c r="AB629" s="17"/>
      <c r="AC629" s="17"/>
      <c r="AD629" s="17"/>
      <c r="AE629" s="17"/>
    </row>
    <row r="630">
      <c r="A630" s="88"/>
      <c r="B630" s="121"/>
      <c r="C630" s="311"/>
      <c r="D630" s="88"/>
      <c r="E630" s="121"/>
      <c r="F630" s="311"/>
      <c r="G630" s="88"/>
      <c r="H630" s="121"/>
      <c r="I630" s="311"/>
      <c r="J630" s="88"/>
      <c r="K630" s="121"/>
      <c r="L630" s="311"/>
      <c r="M630" s="316"/>
      <c r="N630" s="317"/>
      <c r="O630" s="318"/>
      <c r="P630" s="316"/>
      <c r="Q630" s="317"/>
      <c r="R630" s="318"/>
      <c r="S630" s="316"/>
      <c r="T630" s="317"/>
      <c r="U630" s="318"/>
      <c r="V630" s="88"/>
      <c r="W630" s="317"/>
      <c r="X630" s="311"/>
      <c r="Y630" s="143"/>
      <c r="Z630" s="143"/>
      <c r="AA630" s="143"/>
      <c r="AB630" s="17"/>
      <c r="AC630" s="17"/>
      <c r="AD630" s="17"/>
      <c r="AE630" s="17"/>
    </row>
    <row r="631">
      <c r="A631" s="88"/>
      <c r="B631" s="121"/>
      <c r="C631" s="311"/>
      <c r="D631" s="88"/>
      <c r="E631" s="121"/>
      <c r="F631" s="311"/>
      <c r="G631" s="88"/>
      <c r="H631" s="121"/>
      <c r="I631" s="311"/>
      <c r="J631" s="88"/>
      <c r="K631" s="121"/>
      <c r="L631" s="311"/>
      <c r="M631" s="316"/>
      <c r="N631" s="317"/>
      <c r="O631" s="318"/>
      <c r="P631" s="316"/>
      <c r="Q631" s="317"/>
      <c r="R631" s="318"/>
      <c r="S631" s="316"/>
      <c r="T631" s="317"/>
      <c r="U631" s="318"/>
      <c r="V631" s="88"/>
      <c r="W631" s="317"/>
      <c r="X631" s="311"/>
      <c r="Y631" s="143"/>
      <c r="Z631" s="143"/>
      <c r="AA631" s="143"/>
      <c r="AB631" s="17"/>
      <c r="AC631" s="17"/>
      <c r="AD631" s="17"/>
      <c r="AE631" s="17"/>
    </row>
    <row r="632">
      <c r="A632" s="88"/>
      <c r="B632" s="121"/>
      <c r="C632" s="311"/>
      <c r="D632" s="88"/>
      <c r="E632" s="121"/>
      <c r="F632" s="311"/>
      <c r="G632" s="88"/>
      <c r="H632" s="121"/>
      <c r="I632" s="311"/>
      <c r="J632" s="88"/>
      <c r="K632" s="121"/>
      <c r="L632" s="311"/>
      <c r="M632" s="316"/>
      <c r="N632" s="317"/>
      <c r="O632" s="318"/>
      <c r="P632" s="316"/>
      <c r="Q632" s="317"/>
      <c r="R632" s="318"/>
      <c r="S632" s="316"/>
      <c r="T632" s="317"/>
      <c r="U632" s="318"/>
      <c r="V632" s="88"/>
      <c r="W632" s="317"/>
      <c r="X632" s="311"/>
      <c r="Y632" s="143"/>
      <c r="Z632" s="143"/>
      <c r="AA632" s="143"/>
      <c r="AB632" s="17"/>
      <c r="AC632" s="17"/>
      <c r="AD632" s="17"/>
      <c r="AE632" s="17"/>
    </row>
    <row r="633">
      <c r="A633" s="88"/>
      <c r="B633" s="121"/>
      <c r="C633" s="311"/>
      <c r="D633" s="88"/>
      <c r="E633" s="121"/>
      <c r="F633" s="311"/>
      <c r="G633" s="88"/>
      <c r="H633" s="121"/>
      <c r="I633" s="311"/>
      <c r="J633" s="88"/>
      <c r="K633" s="121"/>
      <c r="L633" s="311"/>
      <c r="M633" s="316"/>
      <c r="N633" s="317"/>
      <c r="O633" s="318"/>
      <c r="P633" s="316"/>
      <c r="Q633" s="317"/>
      <c r="R633" s="318"/>
      <c r="S633" s="316"/>
      <c r="T633" s="317"/>
      <c r="U633" s="318"/>
      <c r="V633" s="88"/>
      <c r="W633" s="317"/>
      <c r="X633" s="311"/>
      <c r="Y633" s="143"/>
      <c r="Z633" s="143"/>
      <c r="AA633" s="143"/>
      <c r="AB633" s="17"/>
      <c r="AC633" s="17"/>
      <c r="AD633" s="17"/>
      <c r="AE633" s="17"/>
    </row>
    <row r="634">
      <c r="A634" s="88"/>
      <c r="B634" s="121"/>
      <c r="C634" s="311"/>
      <c r="D634" s="88"/>
      <c r="E634" s="121"/>
      <c r="F634" s="311"/>
      <c r="G634" s="88"/>
      <c r="H634" s="121"/>
      <c r="I634" s="311"/>
      <c r="J634" s="88"/>
      <c r="K634" s="121"/>
      <c r="L634" s="311"/>
      <c r="M634" s="316"/>
      <c r="N634" s="317"/>
      <c r="O634" s="318"/>
      <c r="P634" s="316"/>
      <c r="Q634" s="317"/>
      <c r="R634" s="318"/>
      <c r="S634" s="316"/>
      <c r="T634" s="317"/>
      <c r="U634" s="318"/>
      <c r="V634" s="88"/>
      <c r="W634" s="317"/>
      <c r="X634" s="311"/>
      <c r="Y634" s="143"/>
      <c r="Z634" s="143"/>
      <c r="AA634" s="143"/>
      <c r="AB634" s="17"/>
      <c r="AC634" s="17"/>
      <c r="AD634" s="17"/>
      <c r="AE634" s="17"/>
    </row>
    <row r="635">
      <c r="A635" s="88"/>
      <c r="B635" s="121"/>
      <c r="C635" s="311"/>
      <c r="D635" s="88"/>
      <c r="E635" s="121"/>
      <c r="F635" s="311"/>
      <c r="G635" s="88"/>
      <c r="H635" s="121"/>
      <c r="I635" s="311"/>
      <c r="J635" s="88"/>
      <c r="K635" s="121"/>
      <c r="L635" s="311"/>
      <c r="M635" s="316"/>
      <c r="N635" s="317"/>
      <c r="O635" s="318"/>
      <c r="P635" s="316"/>
      <c r="Q635" s="317"/>
      <c r="R635" s="318"/>
      <c r="S635" s="316"/>
      <c r="T635" s="317"/>
      <c r="U635" s="318"/>
      <c r="V635" s="88"/>
      <c r="W635" s="317"/>
      <c r="X635" s="311"/>
      <c r="Y635" s="143"/>
      <c r="Z635" s="143"/>
      <c r="AA635" s="143"/>
      <c r="AB635" s="17"/>
      <c r="AC635" s="17"/>
      <c r="AD635" s="17"/>
      <c r="AE635" s="17"/>
    </row>
    <row r="636">
      <c r="A636" s="88"/>
      <c r="B636" s="121"/>
      <c r="C636" s="311"/>
      <c r="D636" s="88"/>
      <c r="E636" s="121"/>
      <c r="F636" s="311"/>
      <c r="G636" s="88"/>
      <c r="H636" s="121"/>
      <c r="I636" s="311"/>
      <c r="J636" s="88"/>
      <c r="K636" s="121"/>
      <c r="L636" s="311"/>
      <c r="M636" s="316"/>
      <c r="N636" s="317"/>
      <c r="O636" s="318"/>
      <c r="P636" s="316"/>
      <c r="Q636" s="317"/>
      <c r="R636" s="318"/>
      <c r="S636" s="316"/>
      <c r="T636" s="317"/>
      <c r="U636" s="318"/>
      <c r="V636" s="88"/>
      <c r="W636" s="317"/>
      <c r="X636" s="311"/>
      <c r="Y636" s="143"/>
      <c r="Z636" s="143"/>
      <c r="AA636" s="143"/>
      <c r="AB636" s="17"/>
      <c r="AC636" s="17"/>
      <c r="AD636" s="17"/>
      <c r="AE636" s="17"/>
    </row>
    <row r="637">
      <c r="A637" s="88"/>
      <c r="B637" s="121"/>
      <c r="C637" s="311"/>
      <c r="D637" s="88"/>
      <c r="E637" s="121"/>
      <c r="F637" s="311"/>
      <c r="G637" s="88"/>
      <c r="H637" s="121"/>
      <c r="I637" s="311"/>
      <c r="J637" s="88"/>
      <c r="K637" s="121"/>
      <c r="L637" s="311"/>
      <c r="M637" s="316"/>
      <c r="N637" s="317"/>
      <c r="O637" s="318"/>
      <c r="P637" s="316"/>
      <c r="Q637" s="317"/>
      <c r="R637" s="318"/>
      <c r="S637" s="316"/>
      <c r="T637" s="317"/>
      <c r="U637" s="318"/>
      <c r="V637" s="88"/>
      <c r="W637" s="317"/>
      <c r="X637" s="311"/>
      <c r="Y637" s="143"/>
      <c r="Z637" s="143"/>
      <c r="AA637" s="143"/>
      <c r="AB637" s="17"/>
      <c r="AC637" s="17"/>
      <c r="AD637" s="17"/>
      <c r="AE637" s="17"/>
    </row>
    <row r="638">
      <c r="A638" s="88"/>
      <c r="B638" s="121"/>
      <c r="C638" s="311"/>
      <c r="D638" s="88"/>
      <c r="E638" s="121"/>
      <c r="F638" s="311"/>
      <c r="G638" s="88"/>
      <c r="H638" s="121"/>
      <c r="I638" s="311"/>
      <c r="J638" s="88"/>
      <c r="K638" s="121"/>
      <c r="L638" s="311"/>
      <c r="M638" s="316"/>
      <c r="N638" s="317"/>
      <c r="O638" s="318"/>
      <c r="P638" s="316"/>
      <c r="Q638" s="317"/>
      <c r="R638" s="318"/>
      <c r="S638" s="316"/>
      <c r="T638" s="317"/>
      <c r="U638" s="318"/>
      <c r="V638" s="88"/>
      <c r="W638" s="317"/>
      <c r="X638" s="311"/>
      <c r="Y638" s="143"/>
      <c r="Z638" s="143"/>
      <c r="AA638" s="143"/>
      <c r="AB638" s="17"/>
      <c r="AC638" s="17"/>
      <c r="AD638" s="17"/>
      <c r="AE638" s="17"/>
    </row>
    <row r="639">
      <c r="A639" s="88"/>
      <c r="B639" s="121"/>
      <c r="C639" s="311"/>
      <c r="D639" s="88"/>
      <c r="E639" s="121"/>
      <c r="F639" s="311"/>
      <c r="G639" s="88"/>
      <c r="H639" s="121"/>
      <c r="I639" s="311"/>
      <c r="J639" s="88"/>
      <c r="K639" s="121"/>
      <c r="L639" s="311"/>
      <c r="M639" s="316"/>
      <c r="N639" s="317"/>
      <c r="O639" s="318"/>
      <c r="P639" s="316"/>
      <c r="Q639" s="317"/>
      <c r="R639" s="318"/>
      <c r="S639" s="316"/>
      <c r="T639" s="317"/>
      <c r="U639" s="318"/>
      <c r="V639" s="88"/>
      <c r="W639" s="317"/>
      <c r="X639" s="311"/>
      <c r="Y639" s="143"/>
      <c r="Z639" s="143"/>
      <c r="AA639" s="143"/>
      <c r="AB639" s="17"/>
      <c r="AC639" s="17"/>
      <c r="AD639" s="17"/>
      <c r="AE639" s="17"/>
    </row>
    <row r="640">
      <c r="A640" s="88"/>
      <c r="B640" s="121"/>
      <c r="C640" s="311"/>
      <c r="D640" s="88"/>
      <c r="E640" s="121"/>
      <c r="F640" s="311"/>
      <c r="G640" s="88"/>
      <c r="H640" s="121"/>
      <c r="I640" s="311"/>
      <c r="J640" s="88"/>
      <c r="K640" s="121"/>
      <c r="L640" s="311"/>
      <c r="M640" s="316"/>
      <c r="N640" s="317"/>
      <c r="O640" s="318"/>
      <c r="P640" s="316"/>
      <c r="Q640" s="317"/>
      <c r="R640" s="318"/>
      <c r="S640" s="316"/>
      <c r="T640" s="317"/>
      <c r="U640" s="318"/>
      <c r="V640" s="88"/>
      <c r="W640" s="317"/>
      <c r="X640" s="311"/>
      <c r="Y640" s="143"/>
      <c r="Z640" s="143"/>
      <c r="AA640" s="143"/>
      <c r="AB640" s="17"/>
      <c r="AC640" s="17"/>
      <c r="AD640" s="17"/>
      <c r="AE640" s="17"/>
    </row>
    <row r="641">
      <c r="A641" s="88"/>
      <c r="B641" s="121"/>
      <c r="C641" s="311"/>
      <c r="D641" s="88"/>
      <c r="E641" s="121"/>
      <c r="F641" s="311"/>
      <c r="G641" s="88"/>
      <c r="H641" s="121"/>
      <c r="I641" s="311"/>
      <c r="J641" s="88"/>
      <c r="K641" s="121"/>
      <c r="L641" s="311"/>
      <c r="M641" s="316"/>
      <c r="N641" s="317"/>
      <c r="O641" s="318"/>
      <c r="P641" s="316"/>
      <c r="Q641" s="317"/>
      <c r="R641" s="318"/>
      <c r="S641" s="316"/>
      <c r="T641" s="317"/>
      <c r="U641" s="318"/>
      <c r="V641" s="88"/>
      <c r="W641" s="317"/>
      <c r="X641" s="311"/>
      <c r="Y641" s="143"/>
      <c r="Z641" s="143"/>
      <c r="AA641" s="143"/>
      <c r="AB641" s="17"/>
      <c r="AC641" s="17"/>
      <c r="AD641" s="17"/>
      <c r="AE641" s="17"/>
    </row>
    <row r="642">
      <c r="A642" s="88"/>
      <c r="B642" s="121"/>
      <c r="C642" s="311"/>
      <c r="D642" s="88"/>
      <c r="E642" s="121"/>
      <c r="F642" s="311"/>
      <c r="G642" s="88"/>
      <c r="H642" s="121"/>
      <c r="I642" s="311"/>
      <c r="J642" s="88"/>
      <c r="K642" s="121"/>
      <c r="L642" s="311"/>
      <c r="M642" s="316"/>
      <c r="N642" s="317"/>
      <c r="O642" s="318"/>
      <c r="P642" s="316"/>
      <c r="Q642" s="317"/>
      <c r="R642" s="318"/>
      <c r="S642" s="316"/>
      <c r="T642" s="317"/>
      <c r="U642" s="318"/>
      <c r="V642" s="88"/>
      <c r="W642" s="317"/>
      <c r="X642" s="311"/>
      <c r="Y642" s="143"/>
      <c r="Z642" s="143"/>
      <c r="AA642" s="143"/>
      <c r="AB642" s="17"/>
      <c r="AC642" s="17"/>
      <c r="AD642" s="17"/>
      <c r="AE642" s="17"/>
    </row>
    <row r="643">
      <c r="A643" s="88"/>
      <c r="B643" s="121"/>
      <c r="C643" s="311"/>
      <c r="D643" s="88"/>
      <c r="E643" s="121"/>
      <c r="F643" s="311"/>
      <c r="G643" s="88"/>
      <c r="H643" s="121"/>
      <c r="I643" s="311"/>
      <c r="J643" s="88"/>
      <c r="K643" s="121"/>
      <c r="L643" s="311"/>
      <c r="M643" s="316"/>
      <c r="N643" s="317"/>
      <c r="O643" s="318"/>
      <c r="P643" s="316"/>
      <c r="Q643" s="317"/>
      <c r="R643" s="318"/>
      <c r="S643" s="316"/>
      <c r="T643" s="317"/>
      <c r="U643" s="318"/>
      <c r="V643" s="88"/>
      <c r="W643" s="317"/>
      <c r="X643" s="311"/>
      <c r="Y643" s="143"/>
      <c r="Z643" s="143"/>
      <c r="AA643" s="143"/>
      <c r="AB643" s="17"/>
      <c r="AC643" s="17"/>
      <c r="AD643" s="17"/>
      <c r="AE643" s="17"/>
    </row>
    <row r="644">
      <c r="A644" s="88"/>
      <c r="B644" s="121"/>
      <c r="C644" s="311"/>
      <c r="D644" s="88"/>
      <c r="E644" s="121"/>
      <c r="F644" s="311"/>
      <c r="G644" s="88"/>
      <c r="H644" s="121"/>
      <c r="I644" s="311"/>
      <c r="J644" s="88"/>
      <c r="K644" s="121"/>
      <c r="L644" s="311"/>
      <c r="M644" s="316"/>
      <c r="N644" s="317"/>
      <c r="O644" s="318"/>
      <c r="P644" s="316"/>
      <c r="Q644" s="317"/>
      <c r="R644" s="318"/>
      <c r="S644" s="316"/>
      <c r="T644" s="317"/>
      <c r="U644" s="318"/>
      <c r="V644" s="88"/>
      <c r="W644" s="317"/>
      <c r="X644" s="311"/>
      <c r="Y644" s="143"/>
      <c r="Z644" s="143"/>
      <c r="AA644" s="143"/>
      <c r="AB644" s="17"/>
      <c r="AC644" s="17"/>
      <c r="AD644" s="17"/>
      <c r="AE644" s="17"/>
    </row>
    <row r="645">
      <c r="A645" s="88"/>
      <c r="B645" s="121"/>
      <c r="C645" s="311"/>
      <c r="D645" s="88"/>
      <c r="E645" s="121"/>
      <c r="F645" s="311"/>
      <c r="G645" s="88"/>
      <c r="H645" s="121"/>
      <c r="I645" s="311"/>
      <c r="J645" s="88"/>
      <c r="K645" s="121"/>
      <c r="L645" s="311"/>
      <c r="M645" s="316"/>
      <c r="N645" s="317"/>
      <c r="O645" s="318"/>
      <c r="P645" s="316"/>
      <c r="Q645" s="317"/>
      <c r="R645" s="318"/>
      <c r="S645" s="316"/>
      <c r="T645" s="317"/>
      <c r="U645" s="318"/>
      <c r="V645" s="88"/>
      <c r="W645" s="317"/>
      <c r="X645" s="311"/>
      <c r="Y645" s="143"/>
      <c r="Z645" s="143"/>
      <c r="AA645" s="143"/>
      <c r="AB645" s="17"/>
      <c r="AC645" s="17"/>
      <c r="AD645" s="17"/>
      <c r="AE645" s="17"/>
    </row>
    <row r="646">
      <c r="A646" s="88"/>
      <c r="B646" s="121"/>
      <c r="C646" s="311"/>
      <c r="D646" s="88"/>
      <c r="E646" s="121"/>
      <c r="F646" s="311"/>
      <c r="G646" s="88"/>
      <c r="H646" s="121"/>
      <c r="I646" s="311"/>
      <c r="J646" s="88"/>
      <c r="K646" s="121"/>
      <c r="L646" s="311"/>
      <c r="M646" s="316"/>
      <c r="N646" s="317"/>
      <c r="O646" s="318"/>
      <c r="P646" s="316"/>
      <c r="Q646" s="317"/>
      <c r="R646" s="318"/>
      <c r="S646" s="316"/>
      <c r="T646" s="317"/>
      <c r="U646" s="318"/>
      <c r="V646" s="88"/>
      <c r="W646" s="317"/>
      <c r="X646" s="311"/>
      <c r="Y646" s="143"/>
      <c r="Z646" s="143"/>
      <c r="AA646" s="143"/>
      <c r="AB646" s="17"/>
      <c r="AC646" s="17"/>
      <c r="AD646" s="17"/>
      <c r="AE646" s="17"/>
    </row>
    <row r="647">
      <c r="A647" s="88"/>
      <c r="B647" s="121"/>
      <c r="C647" s="311"/>
      <c r="D647" s="88"/>
      <c r="E647" s="121"/>
      <c r="F647" s="311"/>
      <c r="G647" s="88"/>
      <c r="H647" s="121"/>
      <c r="I647" s="311"/>
      <c r="J647" s="88"/>
      <c r="K647" s="121"/>
      <c r="L647" s="311"/>
      <c r="M647" s="316"/>
      <c r="N647" s="317"/>
      <c r="O647" s="318"/>
      <c r="P647" s="316"/>
      <c r="Q647" s="317"/>
      <c r="R647" s="318"/>
      <c r="S647" s="316"/>
      <c r="T647" s="317"/>
      <c r="U647" s="318"/>
      <c r="V647" s="88"/>
      <c r="W647" s="317"/>
      <c r="X647" s="311"/>
      <c r="Y647" s="143"/>
      <c r="Z647" s="143"/>
      <c r="AA647" s="143"/>
      <c r="AB647" s="17"/>
      <c r="AC647" s="17"/>
      <c r="AD647" s="17"/>
      <c r="AE647" s="17"/>
    </row>
    <row r="648">
      <c r="A648" s="88"/>
      <c r="B648" s="121"/>
      <c r="C648" s="311"/>
      <c r="D648" s="88"/>
      <c r="E648" s="121"/>
      <c r="F648" s="311"/>
      <c r="G648" s="88"/>
      <c r="H648" s="121"/>
      <c r="I648" s="311"/>
      <c r="J648" s="88"/>
      <c r="K648" s="121"/>
      <c r="L648" s="311"/>
      <c r="M648" s="316"/>
      <c r="N648" s="317"/>
      <c r="O648" s="318"/>
      <c r="P648" s="316"/>
      <c r="Q648" s="317"/>
      <c r="R648" s="318"/>
      <c r="S648" s="316"/>
      <c r="T648" s="317"/>
      <c r="U648" s="318"/>
      <c r="V648" s="88"/>
      <c r="W648" s="317"/>
      <c r="X648" s="311"/>
      <c r="Y648" s="143"/>
      <c r="Z648" s="143"/>
      <c r="AA648" s="143"/>
      <c r="AB648" s="17"/>
      <c r="AC648" s="17"/>
      <c r="AD648" s="17"/>
      <c r="AE648" s="17"/>
    </row>
    <row r="649">
      <c r="A649" s="88"/>
      <c r="B649" s="121"/>
      <c r="C649" s="311"/>
      <c r="D649" s="88"/>
      <c r="E649" s="121"/>
      <c r="F649" s="311"/>
      <c r="G649" s="88"/>
      <c r="H649" s="121"/>
      <c r="I649" s="311"/>
      <c r="J649" s="88"/>
      <c r="K649" s="121"/>
      <c r="L649" s="311"/>
      <c r="M649" s="316"/>
      <c r="N649" s="317"/>
      <c r="O649" s="318"/>
      <c r="P649" s="316"/>
      <c r="Q649" s="317"/>
      <c r="R649" s="318"/>
      <c r="S649" s="316"/>
      <c r="T649" s="317"/>
      <c r="U649" s="318"/>
      <c r="V649" s="88"/>
      <c r="W649" s="317"/>
      <c r="X649" s="311"/>
      <c r="Y649" s="143"/>
      <c r="Z649" s="143"/>
      <c r="AA649" s="143"/>
      <c r="AB649" s="17"/>
      <c r="AC649" s="17"/>
      <c r="AD649" s="17"/>
      <c r="AE649" s="17"/>
    </row>
    <row r="650">
      <c r="A650" s="88"/>
      <c r="B650" s="121"/>
      <c r="C650" s="311"/>
      <c r="D650" s="88"/>
      <c r="E650" s="121"/>
      <c r="F650" s="311"/>
      <c r="G650" s="88"/>
      <c r="H650" s="121"/>
      <c r="I650" s="311"/>
      <c r="J650" s="88"/>
      <c r="K650" s="121"/>
      <c r="L650" s="311"/>
      <c r="M650" s="316"/>
      <c r="N650" s="317"/>
      <c r="O650" s="318"/>
      <c r="P650" s="316"/>
      <c r="Q650" s="317"/>
      <c r="R650" s="318"/>
      <c r="S650" s="316"/>
      <c r="T650" s="317"/>
      <c r="U650" s="318"/>
      <c r="V650" s="88"/>
      <c r="W650" s="317"/>
      <c r="X650" s="311"/>
      <c r="Y650" s="143"/>
      <c r="Z650" s="143"/>
      <c r="AA650" s="143"/>
      <c r="AB650" s="17"/>
      <c r="AC650" s="17"/>
      <c r="AD650" s="17"/>
      <c r="AE650" s="17"/>
    </row>
    <row r="651">
      <c r="A651" s="88"/>
      <c r="B651" s="121"/>
      <c r="C651" s="311"/>
      <c r="D651" s="88"/>
      <c r="E651" s="121"/>
      <c r="F651" s="311"/>
      <c r="G651" s="88"/>
      <c r="H651" s="121"/>
      <c r="I651" s="311"/>
      <c r="J651" s="88"/>
      <c r="K651" s="121"/>
      <c r="L651" s="311"/>
      <c r="M651" s="316"/>
      <c r="N651" s="317"/>
      <c r="O651" s="318"/>
      <c r="P651" s="316"/>
      <c r="Q651" s="317"/>
      <c r="R651" s="318"/>
      <c r="S651" s="316"/>
      <c r="T651" s="317"/>
      <c r="U651" s="318"/>
      <c r="V651" s="88"/>
      <c r="W651" s="317"/>
      <c r="X651" s="311"/>
      <c r="Y651" s="143"/>
      <c r="Z651" s="143"/>
      <c r="AA651" s="143"/>
      <c r="AB651" s="17"/>
      <c r="AC651" s="17"/>
      <c r="AD651" s="17"/>
      <c r="AE651" s="17"/>
    </row>
    <row r="652">
      <c r="A652" s="88"/>
      <c r="B652" s="121"/>
      <c r="C652" s="311"/>
      <c r="D652" s="88"/>
      <c r="E652" s="121"/>
      <c r="F652" s="311"/>
      <c r="G652" s="88"/>
      <c r="H652" s="121"/>
      <c r="I652" s="311"/>
      <c r="J652" s="88"/>
      <c r="K652" s="121"/>
      <c r="L652" s="311"/>
      <c r="M652" s="316"/>
      <c r="N652" s="317"/>
      <c r="O652" s="318"/>
      <c r="P652" s="316"/>
      <c r="Q652" s="317"/>
      <c r="R652" s="318"/>
      <c r="S652" s="316"/>
      <c r="T652" s="317"/>
      <c r="U652" s="318"/>
      <c r="V652" s="88"/>
      <c r="W652" s="317"/>
      <c r="X652" s="311"/>
      <c r="Y652" s="143"/>
      <c r="Z652" s="143"/>
      <c r="AA652" s="143"/>
      <c r="AB652" s="17"/>
      <c r="AC652" s="17"/>
      <c r="AD652" s="17"/>
      <c r="AE652" s="17"/>
    </row>
    <row r="653">
      <c r="A653" s="88"/>
      <c r="B653" s="121"/>
      <c r="C653" s="311"/>
      <c r="D653" s="88"/>
      <c r="E653" s="121"/>
      <c r="F653" s="311"/>
      <c r="G653" s="88"/>
      <c r="H653" s="121"/>
      <c r="I653" s="311"/>
      <c r="J653" s="88"/>
      <c r="K653" s="121"/>
      <c r="L653" s="311"/>
      <c r="M653" s="316"/>
      <c r="N653" s="317"/>
      <c r="O653" s="318"/>
      <c r="P653" s="316"/>
      <c r="Q653" s="317"/>
      <c r="R653" s="318"/>
      <c r="S653" s="316"/>
      <c r="T653" s="317"/>
      <c r="U653" s="318"/>
      <c r="V653" s="88"/>
      <c r="W653" s="317"/>
      <c r="X653" s="311"/>
      <c r="Y653" s="143"/>
      <c r="Z653" s="143"/>
      <c r="AA653" s="143"/>
      <c r="AB653" s="17"/>
      <c r="AC653" s="17"/>
      <c r="AD653" s="17"/>
      <c r="AE653" s="17"/>
    </row>
    <row r="654">
      <c r="A654" s="88"/>
      <c r="B654" s="121"/>
      <c r="C654" s="311"/>
      <c r="D654" s="88"/>
      <c r="E654" s="121"/>
      <c r="F654" s="311"/>
      <c r="G654" s="88"/>
      <c r="H654" s="121"/>
      <c r="I654" s="311"/>
      <c r="J654" s="88"/>
      <c r="K654" s="121"/>
      <c r="L654" s="311"/>
      <c r="M654" s="316"/>
      <c r="N654" s="317"/>
      <c r="O654" s="318"/>
      <c r="P654" s="316"/>
      <c r="Q654" s="317"/>
      <c r="R654" s="318"/>
      <c r="S654" s="316"/>
      <c r="T654" s="317"/>
      <c r="U654" s="318"/>
      <c r="V654" s="88"/>
      <c r="W654" s="317"/>
      <c r="X654" s="311"/>
      <c r="Y654" s="143"/>
      <c r="Z654" s="143"/>
      <c r="AA654" s="143"/>
      <c r="AB654" s="17"/>
      <c r="AC654" s="17"/>
      <c r="AD654" s="17"/>
      <c r="AE654" s="17"/>
    </row>
    <row r="655">
      <c r="A655" s="88"/>
      <c r="B655" s="121"/>
      <c r="C655" s="311"/>
      <c r="D655" s="88"/>
      <c r="E655" s="121"/>
      <c r="F655" s="311"/>
      <c r="G655" s="88"/>
      <c r="H655" s="121"/>
      <c r="I655" s="311"/>
      <c r="J655" s="88"/>
      <c r="K655" s="121"/>
      <c r="L655" s="311"/>
      <c r="M655" s="316"/>
      <c r="N655" s="317"/>
      <c r="O655" s="318"/>
      <c r="P655" s="316"/>
      <c r="Q655" s="317"/>
      <c r="R655" s="318"/>
      <c r="S655" s="316"/>
      <c r="T655" s="317"/>
      <c r="U655" s="318"/>
      <c r="V655" s="88"/>
      <c r="W655" s="317"/>
      <c r="X655" s="311"/>
      <c r="Y655" s="143"/>
      <c r="Z655" s="143"/>
      <c r="AA655" s="143"/>
      <c r="AB655" s="17"/>
      <c r="AC655" s="17"/>
      <c r="AD655" s="17"/>
      <c r="AE655" s="17"/>
    </row>
    <row r="656">
      <c r="A656" s="88"/>
      <c r="B656" s="121"/>
      <c r="C656" s="311"/>
      <c r="D656" s="88"/>
      <c r="E656" s="121"/>
      <c r="F656" s="311"/>
      <c r="G656" s="88"/>
      <c r="H656" s="121"/>
      <c r="I656" s="311"/>
      <c r="J656" s="88"/>
      <c r="K656" s="121"/>
      <c r="L656" s="311"/>
      <c r="M656" s="316"/>
      <c r="N656" s="317"/>
      <c r="O656" s="318"/>
      <c r="P656" s="316"/>
      <c r="Q656" s="317"/>
      <c r="R656" s="318"/>
      <c r="S656" s="316"/>
      <c r="T656" s="317"/>
      <c r="U656" s="318"/>
      <c r="V656" s="88"/>
      <c r="W656" s="317"/>
      <c r="X656" s="311"/>
      <c r="Y656" s="143"/>
      <c r="Z656" s="143"/>
      <c r="AA656" s="143"/>
      <c r="AB656" s="17"/>
      <c r="AC656" s="17"/>
      <c r="AD656" s="17"/>
      <c r="AE656" s="17"/>
    </row>
    <row r="657">
      <c r="A657" s="88"/>
      <c r="B657" s="121"/>
      <c r="C657" s="311"/>
      <c r="D657" s="88"/>
      <c r="E657" s="121"/>
      <c r="F657" s="311"/>
      <c r="G657" s="88"/>
      <c r="H657" s="121"/>
      <c r="I657" s="311"/>
      <c r="J657" s="88"/>
      <c r="K657" s="121"/>
      <c r="L657" s="311"/>
      <c r="M657" s="316"/>
      <c r="N657" s="317"/>
      <c r="O657" s="318"/>
      <c r="P657" s="316"/>
      <c r="Q657" s="317"/>
      <c r="R657" s="318"/>
      <c r="S657" s="316"/>
      <c r="T657" s="317"/>
      <c r="U657" s="318"/>
      <c r="V657" s="88"/>
      <c r="W657" s="317"/>
      <c r="X657" s="311"/>
      <c r="Y657" s="143"/>
      <c r="Z657" s="143"/>
      <c r="AA657" s="143"/>
      <c r="AB657" s="17"/>
      <c r="AC657" s="17"/>
      <c r="AD657" s="17"/>
      <c r="AE657" s="17"/>
    </row>
    <row r="658">
      <c r="A658" s="88"/>
      <c r="B658" s="121"/>
      <c r="C658" s="311"/>
      <c r="D658" s="88"/>
      <c r="E658" s="121"/>
      <c r="F658" s="311"/>
      <c r="G658" s="88"/>
      <c r="H658" s="121"/>
      <c r="I658" s="311"/>
      <c r="J658" s="88"/>
      <c r="K658" s="121"/>
      <c r="L658" s="311"/>
      <c r="M658" s="316"/>
      <c r="N658" s="317"/>
      <c r="O658" s="318"/>
      <c r="P658" s="316"/>
      <c r="Q658" s="317"/>
      <c r="R658" s="318"/>
      <c r="S658" s="316"/>
      <c r="T658" s="317"/>
      <c r="U658" s="318"/>
      <c r="V658" s="88"/>
      <c r="W658" s="317"/>
      <c r="X658" s="311"/>
      <c r="Y658" s="143"/>
      <c r="Z658" s="143"/>
      <c r="AA658" s="143"/>
      <c r="AB658" s="17"/>
      <c r="AC658" s="17"/>
      <c r="AD658" s="17"/>
      <c r="AE658" s="17"/>
    </row>
    <row r="659">
      <c r="A659" s="88"/>
      <c r="B659" s="121"/>
      <c r="C659" s="311"/>
      <c r="D659" s="88"/>
      <c r="E659" s="121"/>
      <c r="F659" s="311"/>
      <c r="G659" s="88"/>
      <c r="H659" s="121"/>
      <c r="I659" s="311"/>
      <c r="J659" s="88"/>
      <c r="K659" s="121"/>
      <c r="L659" s="311"/>
      <c r="M659" s="316"/>
      <c r="N659" s="317"/>
      <c r="O659" s="318"/>
      <c r="P659" s="316"/>
      <c r="Q659" s="317"/>
      <c r="R659" s="318"/>
      <c r="S659" s="316"/>
      <c r="T659" s="317"/>
      <c r="U659" s="318"/>
      <c r="V659" s="88"/>
      <c r="W659" s="317"/>
      <c r="X659" s="311"/>
      <c r="Y659" s="143"/>
      <c r="Z659" s="143"/>
      <c r="AA659" s="143"/>
      <c r="AB659" s="17"/>
      <c r="AC659" s="17"/>
      <c r="AD659" s="17"/>
      <c r="AE659" s="17"/>
    </row>
    <row r="660">
      <c r="A660" s="88"/>
      <c r="B660" s="121"/>
      <c r="C660" s="311"/>
      <c r="D660" s="88"/>
      <c r="E660" s="121"/>
      <c r="F660" s="311"/>
      <c r="G660" s="88"/>
      <c r="H660" s="121"/>
      <c r="I660" s="311"/>
      <c r="J660" s="88"/>
      <c r="K660" s="121"/>
      <c r="L660" s="311"/>
      <c r="M660" s="316"/>
      <c r="N660" s="317"/>
      <c r="O660" s="318"/>
      <c r="P660" s="316"/>
      <c r="Q660" s="317"/>
      <c r="R660" s="318"/>
      <c r="S660" s="316"/>
      <c r="T660" s="317"/>
      <c r="U660" s="318"/>
      <c r="V660" s="88"/>
      <c r="W660" s="317"/>
      <c r="X660" s="311"/>
      <c r="Y660" s="143"/>
      <c r="Z660" s="143"/>
      <c r="AA660" s="143"/>
      <c r="AB660" s="17"/>
      <c r="AC660" s="17"/>
      <c r="AD660" s="17"/>
      <c r="AE660" s="17"/>
    </row>
    <row r="661">
      <c r="A661" s="88"/>
      <c r="B661" s="121"/>
      <c r="C661" s="311"/>
      <c r="D661" s="88"/>
      <c r="E661" s="121"/>
      <c r="F661" s="311"/>
      <c r="G661" s="88"/>
      <c r="H661" s="121"/>
      <c r="I661" s="311"/>
      <c r="J661" s="88"/>
      <c r="K661" s="121"/>
      <c r="L661" s="311"/>
      <c r="M661" s="316"/>
      <c r="N661" s="317"/>
      <c r="O661" s="318"/>
      <c r="P661" s="316"/>
      <c r="Q661" s="317"/>
      <c r="R661" s="318"/>
      <c r="S661" s="316"/>
      <c r="T661" s="317"/>
      <c r="U661" s="318"/>
      <c r="V661" s="88"/>
      <c r="W661" s="317"/>
      <c r="X661" s="311"/>
      <c r="Y661" s="143"/>
      <c r="Z661" s="143"/>
      <c r="AA661" s="143"/>
      <c r="AB661" s="17"/>
      <c r="AC661" s="17"/>
      <c r="AD661" s="17"/>
      <c r="AE661" s="17"/>
    </row>
    <row r="662">
      <c r="A662" s="88"/>
      <c r="B662" s="121"/>
      <c r="C662" s="311"/>
      <c r="D662" s="88"/>
      <c r="E662" s="121"/>
      <c r="F662" s="311"/>
      <c r="G662" s="88"/>
      <c r="H662" s="121"/>
      <c r="I662" s="311"/>
      <c r="J662" s="88"/>
      <c r="K662" s="121"/>
      <c r="L662" s="311"/>
      <c r="M662" s="316"/>
      <c r="N662" s="317"/>
      <c r="O662" s="318"/>
      <c r="P662" s="316"/>
      <c r="Q662" s="317"/>
      <c r="R662" s="318"/>
      <c r="S662" s="316"/>
      <c r="T662" s="317"/>
      <c r="U662" s="318"/>
      <c r="V662" s="88"/>
      <c r="W662" s="317"/>
      <c r="X662" s="311"/>
      <c r="Y662" s="143"/>
      <c r="Z662" s="143"/>
      <c r="AA662" s="143"/>
      <c r="AB662" s="17"/>
      <c r="AC662" s="17"/>
      <c r="AD662" s="17"/>
      <c r="AE662" s="17"/>
    </row>
    <row r="663">
      <c r="A663" s="88"/>
      <c r="B663" s="121"/>
      <c r="C663" s="311"/>
      <c r="D663" s="88"/>
      <c r="E663" s="121"/>
      <c r="F663" s="311"/>
      <c r="G663" s="88"/>
      <c r="H663" s="121"/>
      <c r="I663" s="311"/>
      <c r="J663" s="88"/>
      <c r="K663" s="121"/>
      <c r="L663" s="311"/>
      <c r="M663" s="316"/>
      <c r="N663" s="317"/>
      <c r="O663" s="318"/>
      <c r="P663" s="316"/>
      <c r="Q663" s="317"/>
      <c r="R663" s="318"/>
      <c r="S663" s="316"/>
      <c r="T663" s="317"/>
      <c r="U663" s="318"/>
      <c r="V663" s="88"/>
      <c r="W663" s="317"/>
      <c r="X663" s="311"/>
      <c r="Y663" s="143"/>
      <c r="Z663" s="143"/>
      <c r="AA663" s="143"/>
      <c r="AB663" s="17"/>
      <c r="AC663" s="17"/>
      <c r="AD663" s="17"/>
      <c r="AE663" s="17"/>
    </row>
    <row r="664">
      <c r="A664" s="88"/>
      <c r="B664" s="121"/>
      <c r="C664" s="311"/>
      <c r="D664" s="88"/>
      <c r="E664" s="121"/>
      <c r="F664" s="311"/>
      <c r="G664" s="88"/>
      <c r="H664" s="121"/>
      <c r="I664" s="311"/>
      <c r="J664" s="88"/>
      <c r="K664" s="121"/>
      <c r="L664" s="311"/>
      <c r="M664" s="316"/>
      <c r="N664" s="317"/>
      <c r="O664" s="318"/>
      <c r="P664" s="316"/>
      <c r="Q664" s="317"/>
      <c r="R664" s="318"/>
      <c r="S664" s="316"/>
      <c r="T664" s="317"/>
      <c r="U664" s="318"/>
      <c r="V664" s="88"/>
      <c r="W664" s="317"/>
      <c r="X664" s="311"/>
      <c r="Y664" s="143"/>
      <c r="Z664" s="143"/>
      <c r="AA664" s="143"/>
      <c r="AB664" s="17"/>
      <c r="AC664" s="17"/>
      <c r="AD664" s="17"/>
      <c r="AE664" s="17"/>
    </row>
    <row r="665">
      <c r="A665" s="88"/>
      <c r="B665" s="121"/>
      <c r="C665" s="311"/>
      <c r="D665" s="88"/>
      <c r="E665" s="121"/>
      <c r="F665" s="311"/>
      <c r="G665" s="88"/>
      <c r="H665" s="121"/>
      <c r="I665" s="311"/>
      <c r="J665" s="88"/>
      <c r="K665" s="121"/>
      <c r="L665" s="311"/>
      <c r="M665" s="316"/>
      <c r="N665" s="317"/>
      <c r="O665" s="318"/>
      <c r="P665" s="316"/>
      <c r="Q665" s="317"/>
      <c r="R665" s="318"/>
      <c r="S665" s="316"/>
      <c r="T665" s="317"/>
      <c r="U665" s="318"/>
      <c r="V665" s="88"/>
      <c r="W665" s="317"/>
      <c r="X665" s="311"/>
      <c r="Y665" s="143"/>
      <c r="Z665" s="143"/>
      <c r="AA665" s="143"/>
      <c r="AB665" s="17"/>
      <c r="AC665" s="17"/>
      <c r="AD665" s="17"/>
      <c r="AE665" s="17"/>
    </row>
    <row r="666">
      <c r="A666" s="88"/>
      <c r="B666" s="121"/>
      <c r="C666" s="311"/>
      <c r="D666" s="88"/>
      <c r="E666" s="121"/>
      <c r="F666" s="311"/>
      <c r="G666" s="88"/>
      <c r="H666" s="121"/>
      <c r="I666" s="311"/>
      <c r="J666" s="88"/>
      <c r="K666" s="121"/>
      <c r="L666" s="311"/>
      <c r="M666" s="316"/>
      <c r="N666" s="317"/>
      <c r="O666" s="318"/>
      <c r="P666" s="316"/>
      <c r="Q666" s="317"/>
      <c r="R666" s="318"/>
      <c r="S666" s="316"/>
      <c r="T666" s="317"/>
      <c r="U666" s="318"/>
      <c r="V666" s="88"/>
      <c r="W666" s="317"/>
      <c r="X666" s="311"/>
      <c r="Y666" s="143"/>
      <c r="Z666" s="143"/>
      <c r="AA666" s="143"/>
      <c r="AB666" s="17"/>
      <c r="AC666" s="17"/>
      <c r="AD666" s="17"/>
      <c r="AE666" s="17"/>
    </row>
    <row r="667">
      <c r="A667" s="88"/>
      <c r="B667" s="121"/>
      <c r="C667" s="311"/>
      <c r="D667" s="88"/>
      <c r="E667" s="121"/>
      <c r="F667" s="311"/>
      <c r="G667" s="88"/>
      <c r="H667" s="121"/>
      <c r="I667" s="311"/>
      <c r="J667" s="88"/>
      <c r="K667" s="121"/>
      <c r="L667" s="311"/>
      <c r="M667" s="316"/>
      <c r="N667" s="317"/>
      <c r="O667" s="318"/>
      <c r="P667" s="316"/>
      <c r="Q667" s="317"/>
      <c r="R667" s="318"/>
      <c r="S667" s="316"/>
      <c r="T667" s="317"/>
      <c r="U667" s="318"/>
      <c r="V667" s="88"/>
      <c r="W667" s="317"/>
      <c r="X667" s="311"/>
      <c r="Y667" s="143"/>
      <c r="Z667" s="143"/>
      <c r="AA667" s="143"/>
      <c r="AB667" s="17"/>
      <c r="AC667" s="17"/>
      <c r="AD667" s="17"/>
      <c r="AE667" s="17"/>
    </row>
    <row r="668">
      <c r="A668" s="88"/>
      <c r="B668" s="121"/>
      <c r="C668" s="311"/>
      <c r="D668" s="88"/>
      <c r="E668" s="121"/>
      <c r="F668" s="311"/>
      <c r="G668" s="88"/>
      <c r="H668" s="121"/>
      <c r="I668" s="311"/>
      <c r="J668" s="88"/>
      <c r="K668" s="121"/>
      <c r="L668" s="311"/>
      <c r="M668" s="316"/>
      <c r="N668" s="317"/>
      <c r="O668" s="318"/>
      <c r="P668" s="316"/>
      <c r="Q668" s="317"/>
      <c r="R668" s="318"/>
      <c r="S668" s="316"/>
      <c r="T668" s="317"/>
      <c r="U668" s="318"/>
      <c r="V668" s="88"/>
      <c r="W668" s="317"/>
      <c r="X668" s="311"/>
      <c r="Y668" s="143"/>
      <c r="Z668" s="143"/>
      <c r="AA668" s="143"/>
      <c r="AB668" s="17"/>
      <c r="AC668" s="17"/>
      <c r="AD668" s="17"/>
      <c r="AE668" s="17"/>
    </row>
    <row r="669">
      <c r="A669" s="88"/>
      <c r="B669" s="121"/>
      <c r="C669" s="311"/>
      <c r="D669" s="88"/>
      <c r="E669" s="121"/>
      <c r="F669" s="311"/>
      <c r="G669" s="88"/>
      <c r="H669" s="121"/>
      <c r="I669" s="311"/>
      <c r="J669" s="88"/>
      <c r="K669" s="121"/>
      <c r="L669" s="311"/>
      <c r="M669" s="316"/>
      <c r="N669" s="317"/>
      <c r="O669" s="318"/>
      <c r="P669" s="316"/>
      <c r="Q669" s="317"/>
      <c r="R669" s="318"/>
      <c r="S669" s="316"/>
      <c r="T669" s="317"/>
      <c r="U669" s="318"/>
      <c r="V669" s="88"/>
      <c r="W669" s="317"/>
      <c r="X669" s="311"/>
      <c r="Y669" s="143"/>
      <c r="Z669" s="143"/>
      <c r="AA669" s="143"/>
      <c r="AB669" s="17"/>
      <c r="AC669" s="17"/>
      <c r="AD669" s="17"/>
      <c r="AE669" s="17"/>
    </row>
    <row r="670">
      <c r="A670" s="88"/>
      <c r="B670" s="121"/>
      <c r="C670" s="311"/>
      <c r="D670" s="88"/>
      <c r="E670" s="121"/>
      <c r="F670" s="311"/>
      <c r="G670" s="88"/>
      <c r="H670" s="121"/>
      <c r="I670" s="311"/>
      <c r="J670" s="88"/>
      <c r="K670" s="121"/>
      <c r="L670" s="311"/>
      <c r="M670" s="316"/>
      <c r="N670" s="317"/>
      <c r="O670" s="318"/>
      <c r="P670" s="316"/>
      <c r="Q670" s="317"/>
      <c r="R670" s="318"/>
      <c r="S670" s="316"/>
      <c r="T670" s="317"/>
      <c r="U670" s="318"/>
      <c r="V670" s="88"/>
      <c r="W670" s="317"/>
      <c r="X670" s="311"/>
      <c r="Y670" s="143"/>
      <c r="Z670" s="143"/>
      <c r="AA670" s="143"/>
      <c r="AB670" s="17"/>
      <c r="AC670" s="17"/>
      <c r="AD670" s="17"/>
      <c r="AE670" s="17"/>
    </row>
    <row r="671">
      <c r="A671" s="88"/>
      <c r="B671" s="121"/>
      <c r="C671" s="311"/>
      <c r="D671" s="88"/>
      <c r="E671" s="121"/>
      <c r="F671" s="311"/>
      <c r="G671" s="88"/>
      <c r="H671" s="121"/>
      <c r="I671" s="311"/>
      <c r="J671" s="88"/>
      <c r="K671" s="121"/>
      <c r="L671" s="311"/>
      <c r="M671" s="316"/>
      <c r="N671" s="317"/>
      <c r="O671" s="318"/>
      <c r="P671" s="316"/>
      <c r="Q671" s="317"/>
      <c r="R671" s="318"/>
      <c r="S671" s="316"/>
      <c r="T671" s="317"/>
      <c r="U671" s="318"/>
      <c r="V671" s="88"/>
      <c r="W671" s="317"/>
      <c r="X671" s="311"/>
      <c r="Y671" s="143"/>
      <c r="Z671" s="143"/>
      <c r="AA671" s="143"/>
      <c r="AB671" s="17"/>
      <c r="AC671" s="17"/>
      <c r="AD671" s="17"/>
      <c r="AE671" s="17"/>
    </row>
    <row r="672">
      <c r="A672" s="88"/>
      <c r="B672" s="121"/>
      <c r="C672" s="311"/>
      <c r="D672" s="88"/>
      <c r="E672" s="121"/>
      <c r="F672" s="311"/>
      <c r="G672" s="88"/>
      <c r="H672" s="121"/>
      <c r="I672" s="311"/>
      <c r="J672" s="88"/>
      <c r="K672" s="121"/>
      <c r="L672" s="311"/>
      <c r="M672" s="316"/>
      <c r="N672" s="317"/>
      <c r="O672" s="318"/>
      <c r="P672" s="316"/>
      <c r="Q672" s="317"/>
      <c r="R672" s="318"/>
      <c r="S672" s="316"/>
      <c r="T672" s="317"/>
      <c r="U672" s="318"/>
      <c r="V672" s="88"/>
      <c r="W672" s="317"/>
      <c r="X672" s="311"/>
      <c r="Y672" s="143"/>
      <c r="Z672" s="143"/>
      <c r="AA672" s="143"/>
      <c r="AB672" s="17"/>
      <c r="AC672" s="17"/>
      <c r="AD672" s="17"/>
      <c r="AE672" s="17"/>
    </row>
    <row r="673">
      <c r="A673" s="88"/>
      <c r="B673" s="121"/>
      <c r="C673" s="311"/>
      <c r="D673" s="88"/>
      <c r="E673" s="121"/>
      <c r="F673" s="311"/>
      <c r="G673" s="88"/>
      <c r="H673" s="121"/>
      <c r="I673" s="311"/>
      <c r="J673" s="88"/>
      <c r="K673" s="121"/>
      <c r="L673" s="311"/>
      <c r="M673" s="316"/>
      <c r="N673" s="317"/>
      <c r="O673" s="318"/>
      <c r="P673" s="316"/>
      <c r="Q673" s="317"/>
      <c r="R673" s="318"/>
      <c r="S673" s="316"/>
      <c r="T673" s="317"/>
      <c r="U673" s="318"/>
      <c r="V673" s="88"/>
      <c r="W673" s="317"/>
      <c r="X673" s="311"/>
      <c r="Y673" s="143"/>
      <c r="Z673" s="143"/>
      <c r="AA673" s="143"/>
      <c r="AB673" s="17"/>
      <c r="AC673" s="17"/>
      <c r="AD673" s="17"/>
      <c r="AE673" s="17"/>
    </row>
    <row r="674">
      <c r="A674" s="88"/>
      <c r="B674" s="121"/>
      <c r="C674" s="311"/>
      <c r="D674" s="88"/>
      <c r="E674" s="121"/>
      <c r="F674" s="311"/>
      <c r="G674" s="88"/>
      <c r="H674" s="121"/>
      <c r="I674" s="311"/>
      <c r="J674" s="88"/>
      <c r="K674" s="121"/>
      <c r="L674" s="311"/>
      <c r="M674" s="316"/>
      <c r="N674" s="317"/>
      <c r="O674" s="318"/>
      <c r="P674" s="316"/>
      <c r="Q674" s="317"/>
      <c r="R674" s="318"/>
      <c r="S674" s="316"/>
      <c r="T674" s="317"/>
      <c r="U674" s="318"/>
      <c r="V674" s="88"/>
      <c r="W674" s="317"/>
      <c r="X674" s="311"/>
      <c r="Y674" s="143"/>
      <c r="Z674" s="143"/>
      <c r="AA674" s="143"/>
      <c r="AB674" s="17"/>
      <c r="AC674" s="17"/>
      <c r="AD674" s="17"/>
      <c r="AE674" s="17"/>
    </row>
    <row r="675">
      <c r="A675" s="88"/>
      <c r="B675" s="121"/>
      <c r="C675" s="311"/>
      <c r="D675" s="88"/>
      <c r="E675" s="121"/>
      <c r="F675" s="311"/>
      <c r="G675" s="88"/>
      <c r="H675" s="121"/>
      <c r="I675" s="311"/>
      <c r="J675" s="88"/>
      <c r="K675" s="121"/>
      <c r="L675" s="311"/>
      <c r="M675" s="316"/>
      <c r="N675" s="317"/>
      <c r="O675" s="318"/>
      <c r="P675" s="316"/>
      <c r="Q675" s="317"/>
      <c r="R675" s="318"/>
      <c r="S675" s="316"/>
      <c r="T675" s="317"/>
      <c r="U675" s="318"/>
      <c r="V675" s="88"/>
      <c r="W675" s="317"/>
      <c r="X675" s="311"/>
      <c r="Y675" s="143"/>
      <c r="Z675" s="143"/>
      <c r="AA675" s="143"/>
      <c r="AB675" s="17"/>
      <c r="AC675" s="17"/>
      <c r="AD675" s="17"/>
      <c r="AE675" s="17"/>
    </row>
    <row r="676">
      <c r="A676" s="88"/>
      <c r="B676" s="121"/>
      <c r="C676" s="311"/>
      <c r="D676" s="88"/>
      <c r="E676" s="121"/>
      <c r="F676" s="311"/>
      <c r="G676" s="88"/>
      <c r="H676" s="121"/>
      <c r="I676" s="311"/>
      <c r="J676" s="88"/>
      <c r="K676" s="121"/>
      <c r="L676" s="311"/>
      <c r="M676" s="316"/>
      <c r="N676" s="317"/>
      <c r="O676" s="318"/>
      <c r="P676" s="316"/>
      <c r="Q676" s="317"/>
      <c r="R676" s="318"/>
      <c r="S676" s="316"/>
      <c r="T676" s="317"/>
      <c r="U676" s="318"/>
      <c r="V676" s="88"/>
      <c r="W676" s="317"/>
      <c r="X676" s="311"/>
      <c r="Y676" s="143"/>
      <c r="Z676" s="143"/>
      <c r="AA676" s="143"/>
      <c r="AB676" s="17"/>
      <c r="AC676" s="17"/>
      <c r="AD676" s="17"/>
      <c r="AE676" s="17"/>
    </row>
    <row r="677">
      <c r="A677" s="88"/>
      <c r="B677" s="121"/>
      <c r="C677" s="311"/>
      <c r="D677" s="88"/>
      <c r="E677" s="121"/>
      <c r="F677" s="311"/>
      <c r="G677" s="88"/>
      <c r="H677" s="121"/>
      <c r="I677" s="311"/>
      <c r="J677" s="88"/>
      <c r="K677" s="121"/>
      <c r="L677" s="311"/>
      <c r="M677" s="316"/>
      <c r="N677" s="317"/>
      <c r="O677" s="318"/>
      <c r="P677" s="316"/>
      <c r="Q677" s="317"/>
      <c r="R677" s="318"/>
      <c r="S677" s="316"/>
      <c r="T677" s="317"/>
      <c r="U677" s="318"/>
      <c r="V677" s="88"/>
      <c r="W677" s="317"/>
      <c r="X677" s="311"/>
      <c r="Y677" s="143"/>
      <c r="Z677" s="143"/>
      <c r="AA677" s="143"/>
      <c r="AB677" s="17"/>
      <c r="AC677" s="17"/>
      <c r="AD677" s="17"/>
      <c r="AE677" s="17"/>
    </row>
    <row r="678">
      <c r="A678" s="88"/>
      <c r="B678" s="121"/>
      <c r="C678" s="311"/>
      <c r="D678" s="88"/>
      <c r="E678" s="121"/>
      <c r="F678" s="311"/>
      <c r="G678" s="88"/>
      <c r="H678" s="121"/>
      <c r="I678" s="311"/>
      <c r="J678" s="88"/>
      <c r="K678" s="121"/>
      <c r="L678" s="311"/>
      <c r="M678" s="316"/>
      <c r="N678" s="317"/>
      <c r="O678" s="318"/>
      <c r="P678" s="316"/>
      <c r="Q678" s="317"/>
      <c r="R678" s="318"/>
      <c r="S678" s="316"/>
      <c r="T678" s="317"/>
      <c r="U678" s="318"/>
      <c r="V678" s="88"/>
      <c r="W678" s="317"/>
      <c r="X678" s="311"/>
      <c r="Y678" s="143"/>
      <c r="Z678" s="143"/>
      <c r="AA678" s="143"/>
      <c r="AB678" s="17"/>
      <c r="AC678" s="17"/>
      <c r="AD678" s="17"/>
      <c r="AE678" s="17"/>
    </row>
    <row r="679">
      <c r="A679" s="88"/>
      <c r="B679" s="121"/>
      <c r="C679" s="311"/>
      <c r="D679" s="88"/>
      <c r="E679" s="121"/>
      <c r="F679" s="311"/>
      <c r="G679" s="88"/>
      <c r="H679" s="121"/>
      <c r="I679" s="311"/>
      <c r="J679" s="88"/>
      <c r="K679" s="121"/>
      <c r="L679" s="311"/>
      <c r="M679" s="316"/>
      <c r="N679" s="317"/>
      <c r="O679" s="318"/>
      <c r="P679" s="316"/>
      <c r="Q679" s="317"/>
      <c r="R679" s="318"/>
      <c r="S679" s="316"/>
      <c r="T679" s="317"/>
      <c r="U679" s="318"/>
      <c r="V679" s="88"/>
      <c r="W679" s="317"/>
      <c r="X679" s="311"/>
      <c r="Y679" s="143"/>
      <c r="Z679" s="143"/>
      <c r="AA679" s="143"/>
      <c r="AB679" s="17"/>
      <c r="AC679" s="17"/>
      <c r="AD679" s="17"/>
      <c r="AE679" s="17"/>
    </row>
    <row r="680">
      <c r="A680" s="88"/>
      <c r="B680" s="121"/>
      <c r="C680" s="311"/>
      <c r="D680" s="88"/>
      <c r="E680" s="121"/>
      <c r="F680" s="311"/>
      <c r="G680" s="88"/>
      <c r="H680" s="121"/>
      <c r="I680" s="311"/>
      <c r="J680" s="88"/>
      <c r="K680" s="121"/>
      <c r="L680" s="311"/>
      <c r="M680" s="316"/>
      <c r="N680" s="317"/>
      <c r="O680" s="318"/>
      <c r="P680" s="316"/>
      <c r="Q680" s="317"/>
      <c r="R680" s="318"/>
      <c r="S680" s="316"/>
      <c r="T680" s="317"/>
      <c r="U680" s="318"/>
      <c r="V680" s="88"/>
      <c r="W680" s="317"/>
      <c r="X680" s="311"/>
      <c r="Y680" s="143"/>
      <c r="Z680" s="143"/>
      <c r="AA680" s="143"/>
      <c r="AB680" s="17"/>
      <c r="AC680" s="17"/>
      <c r="AD680" s="17"/>
      <c r="AE680" s="17"/>
    </row>
    <row r="681">
      <c r="A681" s="88"/>
      <c r="B681" s="121"/>
      <c r="C681" s="311"/>
      <c r="D681" s="88"/>
      <c r="E681" s="121"/>
      <c r="F681" s="311"/>
      <c r="G681" s="88"/>
      <c r="H681" s="121"/>
      <c r="I681" s="311"/>
      <c r="J681" s="88"/>
      <c r="K681" s="121"/>
      <c r="L681" s="311"/>
      <c r="M681" s="316"/>
      <c r="N681" s="317"/>
      <c r="O681" s="318"/>
      <c r="P681" s="316"/>
      <c r="Q681" s="317"/>
      <c r="R681" s="318"/>
      <c r="S681" s="316"/>
      <c r="T681" s="317"/>
      <c r="U681" s="318"/>
      <c r="V681" s="88"/>
      <c r="W681" s="317"/>
      <c r="X681" s="311"/>
      <c r="Y681" s="143"/>
      <c r="Z681" s="143"/>
      <c r="AA681" s="143"/>
      <c r="AB681" s="17"/>
      <c r="AC681" s="17"/>
      <c r="AD681" s="17"/>
      <c r="AE681" s="17"/>
    </row>
    <row r="682">
      <c r="A682" s="88"/>
      <c r="B682" s="121"/>
      <c r="C682" s="311"/>
      <c r="D682" s="88"/>
      <c r="E682" s="121"/>
      <c r="F682" s="311"/>
      <c r="G682" s="88"/>
      <c r="H682" s="121"/>
      <c r="I682" s="311"/>
      <c r="J682" s="88"/>
      <c r="K682" s="121"/>
      <c r="L682" s="311"/>
      <c r="M682" s="316"/>
      <c r="N682" s="317"/>
      <c r="O682" s="318"/>
      <c r="P682" s="316"/>
      <c r="Q682" s="317"/>
      <c r="R682" s="318"/>
      <c r="S682" s="316"/>
      <c r="T682" s="317"/>
      <c r="U682" s="318"/>
      <c r="V682" s="88"/>
      <c r="W682" s="317"/>
      <c r="X682" s="311"/>
      <c r="Y682" s="143"/>
      <c r="Z682" s="143"/>
      <c r="AA682" s="143"/>
      <c r="AB682" s="17"/>
      <c r="AC682" s="17"/>
      <c r="AD682" s="17"/>
      <c r="AE682" s="17"/>
    </row>
    <row r="683">
      <c r="A683" s="88"/>
      <c r="B683" s="121"/>
      <c r="C683" s="311"/>
      <c r="D683" s="88"/>
      <c r="E683" s="121"/>
      <c r="F683" s="311"/>
      <c r="G683" s="88"/>
      <c r="H683" s="121"/>
      <c r="I683" s="311"/>
      <c r="J683" s="88"/>
      <c r="K683" s="121"/>
      <c r="L683" s="311"/>
      <c r="M683" s="316"/>
      <c r="N683" s="317"/>
      <c r="O683" s="318"/>
      <c r="P683" s="316"/>
      <c r="Q683" s="317"/>
      <c r="R683" s="318"/>
      <c r="S683" s="316"/>
      <c r="T683" s="317"/>
      <c r="U683" s="318"/>
      <c r="V683" s="88"/>
      <c r="W683" s="317"/>
      <c r="X683" s="311"/>
      <c r="Y683" s="143"/>
      <c r="Z683" s="143"/>
      <c r="AA683" s="143"/>
      <c r="AB683" s="17"/>
      <c r="AC683" s="17"/>
      <c r="AD683" s="17"/>
      <c r="AE683" s="17"/>
    </row>
    <row r="684">
      <c r="A684" s="88"/>
      <c r="B684" s="121"/>
      <c r="C684" s="311"/>
      <c r="D684" s="88"/>
      <c r="E684" s="121"/>
      <c r="F684" s="311"/>
      <c r="G684" s="88"/>
      <c r="H684" s="121"/>
      <c r="I684" s="311"/>
      <c r="J684" s="88"/>
      <c r="K684" s="121"/>
      <c r="L684" s="311"/>
      <c r="M684" s="316"/>
      <c r="N684" s="317"/>
      <c r="O684" s="318"/>
      <c r="P684" s="316"/>
      <c r="Q684" s="317"/>
      <c r="R684" s="318"/>
      <c r="S684" s="316"/>
      <c r="T684" s="317"/>
      <c r="U684" s="318"/>
      <c r="V684" s="88"/>
      <c r="W684" s="317"/>
      <c r="X684" s="311"/>
      <c r="Y684" s="143"/>
      <c r="Z684" s="143"/>
      <c r="AA684" s="143"/>
      <c r="AB684" s="17"/>
      <c r="AC684" s="17"/>
      <c r="AD684" s="17"/>
      <c r="AE684" s="17"/>
    </row>
    <row r="685">
      <c r="A685" s="88"/>
      <c r="B685" s="121"/>
      <c r="C685" s="311"/>
      <c r="D685" s="88"/>
      <c r="E685" s="121"/>
      <c r="F685" s="311"/>
      <c r="G685" s="88"/>
      <c r="H685" s="121"/>
      <c r="I685" s="311"/>
      <c r="J685" s="88"/>
      <c r="K685" s="121"/>
      <c r="L685" s="311"/>
      <c r="M685" s="316"/>
      <c r="N685" s="317"/>
      <c r="O685" s="318"/>
      <c r="P685" s="316"/>
      <c r="Q685" s="317"/>
      <c r="R685" s="318"/>
      <c r="S685" s="316"/>
      <c r="T685" s="317"/>
      <c r="U685" s="318"/>
      <c r="V685" s="88"/>
      <c r="W685" s="317"/>
      <c r="X685" s="311"/>
      <c r="Y685" s="143"/>
      <c r="Z685" s="143"/>
      <c r="AA685" s="143"/>
      <c r="AB685" s="17"/>
      <c r="AC685" s="17"/>
      <c r="AD685" s="17"/>
      <c r="AE685" s="17"/>
    </row>
    <row r="686">
      <c r="A686" s="88"/>
      <c r="B686" s="121"/>
      <c r="C686" s="311"/>
      <c r="D686" s="88"/>
      <c r="E686" s="121"/>
      <c r="F686" s="311"/>
      <c r="G686" s="88"/>
      <c r="H686" s="121"/>
      <c r="I686" s="311"/>
      <c r="J686" s="88"/>
      <c r="K686" s="121"/>
      <c r="L686" s="311"/>
      <c r="M686" s="316"/>
      <c r="N686" s="317"/>
      <c r="O686" s="318"/>
      <c r="P686" s="316"/>
      <c r="Q686" s="317"/>
      <c r="R686" s="318"/>
      <c r="S686" s="316"/>
      <c r="T686" s="317"/>
      <c r="U686" s="318"/>
      <c r="V686" s="88"/>
      <c r="W686" s="317"/>
      <c r="X686" s="311"/>
      <c r="Y686" s="143"/>
      <c r="Z686" s="143"/>
      <c r="AA686" s="143"/>
      <c r="AB686" s="17"/>
      <c r="AC686" s="17"/>
      <c r="AD686" s="17"/>
      <c r="AE686" s="17"/>
    </row>
    <row r="687">
      <c r="A687" s="88"/>
      <c r="B687" s="121"/>
      <c r="C687" s="311"/>
      <c r="D687" s="88"/>
      <c r="E687" s="121"/>
      <c r="F687" s="311"/>
      <c r="G687" s="88"/>
      <c r="H687" s="121"/>
      <c r="I687" s="311"/>
      <c r="J687" s="88"/>
      <c r="K687" s="121"/>
      <c r="L687" s="311"/>
      <c r="M687" s="316"/>
      <c r="N687" s="317"/>
      <c r="O687" s="318"/>
      <c r="P687" s="316"/>
      <c r="Q687" s="317"/>
      <c r="R687" s="318"/>
      <c r="S687" s="316"/>
      <c r="T687" s="317"/>
      <c r="U687" s="318"/>
      <c r="V687" s="88"/>
      <c r="W687" s="317"/>
      <c r="X687" s="311"/>
      <c r="Y687" s="143"/>
      <c r="Z687" s="143"/>
      <c r="AA687" s="143"/>
      <c r="AB687" s="17"/>
      <c r="AC687" s="17"/>
      <c r="AD687" s="17"/>
      <c r="AE687" s="17"/>
    </row>
    <row r="688">
      <c r="A688" s="88"/>
      <c r="B688" s="121"/>
      <c r="C688" s="311"/>
      <c r="D688" s="88"/>
      <c r="E688" s="121"/>
      <c r="F688" s="311"/>
      <c r="G688" s="88"/>
      <c r="H688" s="121"/>
      <c r="I688" s="311"/>
      <c r="J688" s="88"/>
      <c r="K688" s="121"/>
      <c r="L688" s="311"/>
      <c r="M688" s="316"/>
      <c r="N688" s="317"/>
      <c r="O688" s="318"/>
      <c r="P688" s="316"/>
      <c r="Q688" s="317"/>
      <c r="R688" s="318"/>
      <c r="S688" s="316"/>
      <c r="T688" s="317"/>
      <c r="U688" s="318"/>
      <c r="V688" s="88"/>
      <c r="W688" s="317"/>
      <c r="X688" s="311"/>
      <c r="Y688" s="143"/>
      <c r="Z688" s="143"/>
      <c r="AA688" s="143"/>
      <c r="AB688" s="17"/>
      <c r="AC688" s="17"/>
      <c r="AD688" s="17"/>
      <c r="AE688" s="17"/>
    </row>
    <row r="689">
      <c r="A689" s="88"/>
      <c r="B689" s="121"/>
      <c r="C689" s="311"/>
      <c r="D689" s="88"/>
      <c r="E689" s="121"/>
      <c r="F689" s="311"/>
      <c r="G689" s="88"/>
      <c r="H689" s="121"/>
      <c r="I689" s="311"/>
      <c r="J689" s="88"/>
      <c r="K689" s="121"/>
      <c r="L689" s="311"/>
      <c r="M689" s="316"/>
      <c r="N689" s="317"/>
      <c r="O689" s="318"/>
      <c r="P689" s="316"/>
      <c r="Q689" s="317"/>
      <c r="R689" s="318"/>
      <c r="S689" s="316"/>
      <c r="T689" s="317"/>
      <c r="U689" s="318"/>
      <c r="V689" s="88"/>
      <c r="W689" s="317"/>
      <c r="X689" s="311"/>
      <c r="Y689" s="143"/>
      <c r="Z689" s="143"/>
      <c r="AA689" s="143"/>
      <c r="AB689" s="17"/>
      <c r="AC689" s="17"/>
      <c r="AD689" s="17"/>
      <c r="AE689" s="17"/>
    </row>
    <row r="690">
      <c r="A690" s="88"/>
      <c r="B690" s="121"/>
      <c r="C690" s="311"/>
      <c r="D690" s="88"/>
      <c r="E690" s="121"/>
      <c r="F690" s="311"/>
      <c r="G690" s="88"/>
      <c r="H690" s="121"/>
      <c r="I690" s="311"/>
      <c r="J690" s="88"/>
      <c r="K690" s="121"/>
      <c r="L690" s="311"/>
      <c r="M690" s="316"/>
      <c r="N690" s="317"/>
      <c r="O690" s="318"/>
      <c r="P690" s="316"/>
      <c r="Q690" s="317"/>
      <c r="R690" s="318"/>
      <c r="S690" s="316"/>
      <c r="T690" s="317"/>
      <c r="U690" s="318"/>
      <c r="V690" s="88"/>
      <c r="W690" s="317"/>
      <c r="X690" s="311"/>
      <c r="Y690" s="143"/>
      <c r="Z690" s="143"/>
      <c r="AA690" s="143"/>
      <c r="AB690" s="17"/>
      <c r="AC690" s="17"/>
      <c r="AD690" s="17"/>
      <c r="AE690" s="17"/>
    </row>
    <row r="691">
      <c r="A691" s="88"/>
      <c r="B691" s="121"/>
      <c r="C691" s="311"/>
      <c r="D691" s="88"/>
      <c r="E691" s="121"/>
      <c r="F691" s="311"/>
      <c r="G691" s="88"/>
      <c r="H691" s="121"/>
      <c r="I691" s="311"/>
      <c r="J691" s="88"/>
      <c r="K691" s="121"/>
      <c r="L691" s="311"/>
      <c r="M691" s="316"/>
      <c r="N691" s="317"/>
      <c r="O691" s="318"/>
      <c r="P691" s="316"/>
      <c r="Q691" s="317"/>
      <c r="R691" s="318"/>
      <c r="S691" s="316"/>
      <c r="T691" s="317"/>
      <c r="U691" s="318"/>
      <c r="V691" s="88"/>
      <c r="W691" s="317"/>
      <c r="X691" s="311"/>
      <c r="Y691" s="143"/>
      <c r="Z691" s="143"/>
      <c r="AA691" s="143"/>
      <c r="AB691" s="17"/>
      <c r="AC691" s="17"/>
      <c r="AD691" s="17"/>
      <c r="AE691" s="17"/>
    </row>
    <row r="692">
      <c r="A692" s="88"/>
      <c r="B692" s="121"/>
      <c r="C692" s="311"/>
      <c r="D692" s="88"/>
      <c r="E692" s="121"/>
      <c r="F692" s="311"/>
      <c r="G692" s="88"/>
      <c r="H692" s="121"/>
      <c r="I692" s="311"/>
      <c r="J692" s="88"/>
      <c r="K692" s="121"/>
      <c r="L692" s="311"/>
      <c r="M692" s="316"/>
      <c r="N692" s="317"/>
      <c r="O692" s="318"/>
      <c r="P692" s="316"/>
      <c r="Q692" s="317"/>
      <c r="R692" s="318"/>
      <c r="S692" s="316"/>
      <c r="T692" s="317"/>
      <c r="U692" s="318"/>
      <c r="V692" s="88"/>
      <c r="W692" s="317"/>
      <c r="X692" s="311"/>
      <c r="Y692" s="143"/>
      <c r="Z692" s="143"/>
      <c r="AA692" s="143"/>
      <c r="AB692" s="17"/>
      <c r="AC692" s="17"/>
      <c r="AD692" s="17"/>
      <c r="AE692" s="17"/>
    </row>
    <row r="693">
      <c r="A693" s="88"/>
      <c r="B693" s="121"/>
      <c r="C693" s="311"/>
      <c r="D693" s="88"/>
      <c r="E693" s="121"/>
      <c r="F693" s="311"/>
      <c r="G693" s="88"/>
      <c r="H693" s="121"/>
      <c r="I693" s="311"/>
      <c r="J693" s="88"/>
      <c r="K693" s="121"/>
      <c r="L693" s="311"/>
      <c r="M693" s="316"/>
      <c r="N693" s="317"/>
      <c r="O693" s="318"/>
      <c r="P693" s="316"/>
      <c r="Q693" s="317"/>
      <c r="R693" s="318"/>
      <c r="S693" s="316"/>
      <c r="T693" s="317"/>
      <c r="U693" s="318"/>
      <c r="V693" s="88"/>
      <c r="W693" s="317"/>
      <c r="X693" s="311"/>
      <c r="Y693" s="143"/>
      <c r="Z693" s="143"/>
      <c r="AA693" s="143"/>
      <c r="AB693" s="17"/>
      <c r="AC693" s="17"/>
      <c r="AD693" s="17"/>
      <c r="AE693" s="17"/>
    </row>
    <row r="694">
      <c r="A694" s="88"/>
      <c r="B694" s="121"/>
      <c r="C694" s="311"/>
      <c r="D694" s="88"/>
      <c r="E694" s="121"/>
      <c r="F694" s="311"/>
      <c r="G694" s="88"/>
      <c r="H694" s="121"/>
      <c r="I694" s="311"/>
      <c r="J694" s="88"/>
      <c r="K694" s="121"/>
      <c r="L694" s="311"/>
      <c r="M694" s="316"/>
      <c r="N694" s="317"/>
      <c r="O694" s="318"/>
      <c r="P694" s="316"/>
      <c r="Q694" s="317"/>
      <c r="R694" s="318"/>
      <c r="S694" s="316"/>
      <c r="T694" s="317"/>
      <c r="U694" s="318"/>
      <c r="V694" s="88"/>
      <c r="W694" s="317"/>
      <c r="X694" s="311"/>
      <c r="Y694" s="143"/>
      <c r="Z694" s="143"/>
      <c r="AA694" s="143"/>
      <c r="AB694" s="17"/>
      <c r="AC694" s="17"/>
      <c r="AD694" s="17"/>
      <c r="AE694" s="17"/>
    </row>
    <row r="695">
      <c r="A695" s="88"/>
      <c r="B695" s="121"/>
      <c r="C695" s="311"/>
      <c r="D695" s="88"/>
      <c r="E695" s="121"/>
      <c r="F695" s="311"/>
      <c r="G695" s="88"/>
      <c r="H695" s="121"/>
      <c r="I695" s="311"/>
      <c r="J695" s="88"/>
      <c r="K695" s="121"/>
      <c r="L695" s="311"/>
      <c r="M695" s="316"/>
      <c r="N695" s="317"/>
      <c r="O695" s="318"/>
      <c r="P695" s="316"/>
      <c r="Q695" s="317"/>
      <c r="R695" s="318"/>
      <c r="S695" s="316"/>
      <c r="T695" s="317"/>
      <c r="U695" s="318"/>
      <c r="V695" s="88"/>
      <c r="W695" s="317"/>
      <c r="X695" s="311"/>
      <c r="Y695" s="143"/>
      <c r="Z695" s="143"/>
      <c r="AA695" s="143"/>
      <c r="AB695" s="17"/>
      <c r="AC695" s="17"/>
      <c r="AD695" s="17"/>
      <c r="AE695" s="17"/>
    </row>
    <row r="696">
      <c r="A696" s="88"/>
      <c r="B696" s="121"/>
      <c r="C696" s="311"/>
      <c r="D696" s="88"/>
      <c r="E696" s="121"/>
      <c r="F696" s="311"/>
      <c r="G696" s="88"/>
      <c r="H696" s="121"/>
      <c r="I696" s="311"/>
      <c r="J696" s="88"/>
      <c r="K696" s="121"/>
      <c r="L696" s="311"/>
      <c r="M696" s="316"/>
      <c r="N696" s="317"/>
      <c r="O696" s="318"/>
      <c r="P696" s="316"/>
      <c r="Q696" s="317"/>
      <c r="R696" s="318"/>
      <c r="S696" s="316"/>
      <c r="T696" s="317"/>
      <c r="U696" s="318"/>
      <c r="V696" s="88"/>
      <c r="W696" s="317"/>
      <c r="X696" s="311"/>
      <c r="Y696" s="143"/>
      <c r="Z696" s="143"/>
      <c r="AA696" s="143"/>
      <c r="AB696" s="17"/>
      <c r="AC696" s="17"/>
      <c r="AD696" s="17"/>
      <c r="AE696" s="17"/>
    </row>
    <row r="697">
      <c r="A697" s="88"/>
      <c r="B697" s="121"/>
      <c r="C697" s="311"/>
      <c r="D697" s="88"/>
      <c r="E697" s="121"/>
      <c r="F697" s="311"/>
      <c r="G697" s="88"/>
      <c r="H697" s="121"/>
      <c r="I697" s="311"/>
      <c r="J697" s="88"/>
      <c r="K697" s="121"/>
      <c r="L697" s="311"/>
      <c r="M697" s="316"/>
      <c r="N697" s="317"/>
      <c r="O697" s="318"/>
      <c r="P697" s="316"/>
      <c r="Q697" s="317"/>
      <c r="R697" s="318"/>
      <c r="S697" s="316"/>
      <c r="T697" s="317"/>
      <c r="U697" s="318"/>
      <c r="V697" s="88"/>
      <c r="W697" s="317"/>
      <c r="X697" s="311"/>
      <c r="Y697" s="143"/>
      <c r="Z697" s="143"/>
      <c r="AA697" s="143"/>
      <c r="AB697" s="17"/>
      <c r="AC697" s="17"/>
      <c r="AD697" s="17"/>
      <c r="AE697" s="17"/>
    </row>
    <row r="698">
      <c r="A698" s="88"/>
      <c r="B698" s="121"/>
      <c r="C698" s="311"/>
      <c r="D698" s="88"/>
      <c r="E698" s="121"/>
      <c r="F698" s="311"/>
      <c r="G698" s="88"/>
      <c r="H698" s="121"/>
      <c r="I698" s="311"/>
      <c r="J698" s="88"/>
      <c r="K698" s="121"/>
      <c r="L698" s="311"/>
      <c r="M698" s="316"/>
      <c r="N698" s="317"/>
      <c r="O698" s="318"/>
      <c r="P698" s="316"/>
      <c r="Q698" s="317"/>
      <c r="R698" s="318"/>
      <c r="S698" s="316"/>
      <c r="T698" s="317"/>
      <c r="U698" s="318"/>
      <c r="V698" s="88"/>
      <c r="W698" s="317"/>
      <c r="X698" s="311"/>
      <c r="Y698" s="143"/>
      <c r="Z698" s="143"/>
      <c r="AA698" s="143"/>
      <c r="AB698" s="17"/>
      <c r="AC698" s="17"/>
      <c r="AD698" s="17"/>
      <c r="AE698" s="17"/>
    </row>
    <row r="699">
      <c r="A699" s="88"/>
      <c r="B699" s="121"/>
      <c r="C699" s="311"/>
      <c r="D699" s="88"/>
      <c r="E699" s="121"/>
      <c r="F699" s="311"/>
      <c r="G699" s="88"/>
      <c r="H699" s="121"/>
      <c r="I699" s="311"/>
      <c r="J699" s="88"/>
      <c r="K699" s="121"/>
      <c r="L699" s="311"/>
      <c r="M699" s="316"/>
      <c r="N699" s="317"/>
      <c r="O699" s="318"/>
      <c r="P699" s="316"/>
      <c r="Q699" s="317"/>
      <c r="R699" s="318"/>
      <c r="S699" s="316"/>
      <c r="T699" s="317"/>
      <c r="U699" s="318"/>
      <c r="V699" s="88"/>
      <c r="W699" s="317"/>
      <c r="X699" s="311"/>
      <c r="Y699" s="143"/>
      <c r="Z699" s="143"/>
      <c r="AA699" s="143"/>
      <c r="AB699" s="17"/>
      <c r="AC699" s="17"/>
      <c r="AD699" s="17"/>
      <c r="AE699" s="17"/>
    </row>
    <row r="700">
      <c r="A700" s="88"/>
      <c r="B700" s="121"/>
      <c r="C700" s="311"/>
      <c r="D700" s="88"/>
      <c r="E700" s="121"/>
      <c r="F700" s="311"/>
      <c r="G700" s="88"/>
      <c r="H700" s="121"/>
      <c r="I700" s="311"/>
      <c r="J700" s="88"/>
      <c r="K700" s="121"/>
      <c r="L700" s="311"/>
      <c r="M700" s="316"/>
      <c r="N700" s="317"/>
      <c r="O700" s="318"/>
      <c r="P700" s="316"/>
      <c r="Q700" s="317"/>
      <c r="R700" s="318"/>
      <c r="S700" s="316"/>
      <c r="T700" s="317"/>
      <c r="U700" s="318"/>
      <c r="V700" s="88"/>
      <c r="W700" s="317"/>
      <c r="X700" s="311"/>
      <c r="Y700" s="143"/>
      <c r="Z700" s="143"/>
      <c r="AA700" s="143"/>
      <c r="AB700" s="17"/>
      <c r="AC700" s="17"/>
      <c r="AD700" s="17"/>
      <c r="AE700" s="17"/>
    </row>
    <row r="701">
      <c r="A701" s="88"/>
      <c r="B701" s="121"/>
      <c r="C701" s="311"/>
      <c r="D701" s="88"/>
      <c r="E701" s="121"/>
      <c r="F701" s="311"/>
      <c r="G701" s="88"/>
      <c r="H701" s="121"/>
      <c r="I701" s="311"/>
      <c r="J701" s="88"/>
      <c r="K701" s="121"/>
      <c r="L701" s="311"/>
      <c r="M701" s="316"/>
      <c r="N701" s="317"/>
      <c r="O701" s="318"/>
      <c r="P701" s="316"/>
      <c r="Q701" s="317"/>
      <c r="R701" s="318"/>
      <c r="S701" s="316"/>
      <c r="T701" s="317"/>
      <c r="U701" s="318"/>
      <c r="V701" s="88"/>
      <c r="W701" s="317"/>
      <c r="X701" s="311"/>
      <c r="Y701" s="143"/>
      <c r="Z701" s="143"/>
      <c r="AA701" s="143"/>
      <c r="AB701" s="17"/>
      <c r="AC701" s="17"/>
      <c r="AD701" s="17"/>
      <c r="AE701" s="17"/>
    </row>
    <row r="702">
      <c r="A702" s="88"/>
      <c r="B702" s="121"/>
      <c r="C702" s="311"/>
      <c r="D702" s="88"/>
      <c r="E702" s="121"/>
      <c r="F702" s="311"/>
      <c r="G702" s="88"/>
      <c r="H702" s="121"/>
      <c r="I702" s="311"/>
      <c r="J702" s="88"/>
      <c r="K702" s="121"/>
      <c r="L702" s="311"/>
      <c r="M702" s="316"/>
      <c r="N702" s="317"/>
      <c r="O702" s="318"/>
      <c r="P702" s="316"/>
      <c r="Q702" s="317"/>
      <c r="R702" s="318"/>
      <c r="S702" s="316"/>
      <c r="T702" s="317"/>
      <c r="U702" s="318"/>
      <c r="V702" s="88"/>
      <c r="W702" s="317"/>
      <c r="X702" s="311"/>
      <c r="Y702" s="143"/>
      <c r="Z702" s="143"/>
      <c r="AA702" s="143"/>
      <c r="AB702" s="17"/>
      <c r="AC702" s="17"/>
      <c r="AD702" s="17"/>
      <c r="AE702" s="17"/>
    </row>
    <row r="703">
      <c r="A703" s="88"/>
      <c r="B703" s="121"/>
      <c r="C703" s="311"/>
      <c r="D703" s="88"/>
      <c r="E703" s="121"/>
      <c r="F703" s="311"/>
      <c r="G703" s="88"/>
      <c r="H703" s="121"/>
      <c r="I703" s="311"/>
      <c r="J703" s="88"/>
      <c r="K703" s="121"/>
      <c r="L703" s="311"/>
      <c r="M703" s="316"/>
      <c r="N703" s="317"/>
      <c r="O703" s="318"/>
      <c r="P703" s="316"/>
      <c r="Q703" s="317"/>
      <c r="R703" s="318"/>
      <c r="S703" s="316"/>
      <c r="T703" s="317"/>
      <c r="U703" s="318"/>
      <c r="V703" s="88"/>
      <c r="W703" s="317"/>
      <c r="X703" s="311"/>
      <c r="Y703" s="143"/>
      <c r="Z703" s="143"/>
      <c r="AA703" s="143"/>
      <c r="AB703" s="17"/>
      <c r="AC703" s="17"/>
      <c r="AD703" s="17"/>
      <c r="AE703" s="17"/>
    </row>
    <row r="704">
      <c r="A704" s="88"/>
      <c r="B704" s="121"/>
      <c r="C704" s="311"/>
      <c r="D704" s="88"/>
      <c r="E704" s="121"/>
      <c r="F704" s="311"/>
      <c r="G704" s="88"/>
      <c r="H704" s="121"/>
      <c r="I704" s="311"/>
      <c r="J704" s="88"/>
      <c r="K704" s="121"/>
      <c r="L704" s="311"/>
      <c r="M704" s="316"/>
      <c r="N704" s="317"/>
      <c r="O704" s="318"/>
      <c r="P704" s="316"/>
      <c r="Q704" s="317"/>
      <c r="R704" s="318"/>
      <c r="S704" s="316"/>
      <c r="T704" s="317"/>
      <c r="U704" s="318"/>
      <c r="V704" s="88"/>
      <c r="W704" s="317"/>
      <c r="X704" s="311"/>
      <c r="Y704" s="143"/>
      <c r="Z704" s="143"/>
      <c r="AA704" s="143"/>
      <c r="AB704" s="17"/>
      <c r="AC704" s="17"/>
      <c r="AD704" s="17"/>
      <c r="AE704" s="17"/>
    </row>
    <row r="705">
      <c r="A705" s="88"/>
      <c r="B705" s="121"/>
      <c r="C705" s="311"/>
      <c r="D705" s="88"/>
      <c r="E705" s="121"/>
      <c r="F705" s="311"/>
      <c r="G705" s="88"/>
      <c r="H705" s="121"/>
      <c r="I705" s="311"/>
      <c r="J705" s="88"/>
      <c r="K705" s="121"/>
      <c r="L705" s="311"/>
      <c r="M705" s="316"/>
      <c r="N705" s="317"/>
      <c r="O705" s="318"/>
      <c r="P705" s="316"/>
      <c r="Q705" s="317"/>
      <c r="R705" s="318"/>
      <c r="S705" s="316"/>
      <c r="T705" s="317"/>
      <c r="U705" s="318"/>
      <c r="V705" s="88"/>
      <c r="W705" s="317"/>
      <c r="X705" s="311"/>
      <c r="Y705" s="143"/>
      <c r="Z705" s="143"/>
      <c r="AA705" s="143"/>
      <c r="AB705" s="17"/>
      <c r="AC705" s="17"/>
      <c r="AD705" s="17"/>
      <c r="AE705" s="17"/>
    </row>
    <row r="706">
      <c r="A706" s="88"/>
      <c r="B706" s="121"/>
      <c r="C706" s="311"/>
      <c r="D706" s="88"/>
      <c r="E706" s="121"/>
      <c r="F706" s="311"/>
      <c r="G706" s="88"/>
      <c r="H706" s="121"/>
      <c r="I706" s="311"/>
      <c r="J706" s="88"/>
      <c r="K706" s="121"/>
      <c r="L706" s="311"/>
      <c r="M706" s="316"/>
      <c r="N706" s="317"/>
      <c r="O706" s="318"/>
      <c r="P706" s="316"/>
      <c r="Q706" s="317"/>
      <c r="R706" s="318"/>
      <c r="S706" s="316"/>
      <c r="T706" s="317"/>
      <c r="U706" s="318"/>
      <c r="V706" s="88"/>
      <c r="W706" s="317"/>
      <c r="X706" s="311"/>
      <c r="Y706" s="143"/>
      <c r="Z706" s="143"/>
      <c r="AA706" s="143"/>
      <c r="AB706" s="17"/>
      <c r="AC706" s="17"/>
      <c r="AD706" s="17"/>
      <c r="AE706" s="17"/>
    </row>
    <row r="707">
      <c r="A707" s="88"/>
      <c r="B707" s="121"/>
      <c r="C707" s="311"/>
      <c r="D707" s="88"/>
      <c r="E707" s="121"/>
      <c r="F707" s="311"/>
      <c r="G707" s="88"/>
      <c r="H707" s="121"/>
      <c r="I707" s="311"/>
      <c r="J707" s="88"/>
      <c r="K707" s="121"/>
      <c r="L707" s="311"/>
      <c r="M707" s="316"/>
      <c r="N707" s="317"/>
      <c r="O707" s="318"/>
      <c r="P707" s="316"/>
      <c r="Q707" s="317"/>
      <c r="R707" s="318"/>
      <c r="S707" s="316"/>
      <c r="T707" s="317"/>
      <c r="U707" s="318"/>
      <c r="V707" s="88"/>
      <c r="W707" s="317"/>
      <c r="X707" s="311"/>
      <c r="Y707" s="143"/>
      <c r="Z707" s="143"/>
      <c r="AA707" s="143"/>
      <c r="AB707" s="17"/>
      <c r="AC707" s="17"/>
      <c r="AD707" s="17"/>
      <c r="AE707" s="17"/>
    </row>
    <row r="708">
      <c r="A708" s="88"/>
      <c r="B708" s="121"/>
      <c r="C708" s="311"/>
      <c r="D708" s="88"/>
      <c r="E708" s="121"/>
      <c r="F708" s="311"/>
      <c r="G708" s="88"/>
      <c r="H708" s="121"/>
      <c r="I708" s="311"/>
      <c r="J708" s="88"/>
      <c r="K708" s="121"/>
      <c r="L708" s="311"/>
      <c r="M708" s="316"/>
      <c r="N708" s="317"/>
      <c r="O708" s="318"/>
      <c r="P708" s="316"/>
      <c r="Q708" s="317"/>
      <c r="R708" s="318"/>
      <c r="S708" s="316"/>
      <c r="T708" s="317"/>
      <c r="U708" s="318"/>
      <c r="V708" s="88"/>
      <c r="W708" s="317"/>
      <c r="X708" s="311"/>
      <c r="Y708" s="143"/>
      <c r="Z708" s="143"/>
      <c r="AA708" s="143"/>
      <c r="AB708" s="17"/>
      <c r="AC708" s="17"/>
      <c r="AD708" s="17"/>
      <c r="AE708" s="17"/>
    </row>
    <row r="709">
      <c r="A709" s="88"/>
      <c r="B709" s="121"/>
      <c r="C709" s="311"/>
      <c r="D709" s="88"/>
      <c r="E709" s="121"/>
      <c r="F709" s="311"/>
      <c r="G709" s="88"/>
      <c r="H709" s="121"/>
      <c r="I709" s="311"/>
      <c r="J709" s="88"/>
      <c r="K709" s="121"/>
      <c r="L709" s="311"/>
      <c r="M709" s="316"/>
      <c r="N709" s="317"/>
      <c r="O709" s="318"/>
      <c r="P709" s="316"/>
      <c r="Q709" s="317"/>
      <c r="R709" s="318"/>
      <c r="S709" s="316"/>
      <c r="T709" s="317"/>
      <c r="U709" s="318"/>
      <c r="V709" s="88"/>
      <c r="W709" s="317"/>
      <c r="X709" s="311"/>
      <c r="Y709" s="143"/>
      <c r="Z709" s="143"/>
      <c r="AA709" s="143"/>
      <c r="AB709" s="17"/>
      <c r="AC709" s="17"/>
      <c r="AD709" s="17"/>
      <c r="AE709" s="17"/>
    </row>
    <row r="710">
      <c r="A710" s="88"/>
      <c r="B710" s="121"/>
      <c r="C710" s="311"/>
      <c r="D710" s="88"/>
      <c r="E710" s="121"/>
      <c r="F710" s="311"/>
      <c r="G710" s="88"/>
      <c r="H710" s="121"/>
      <c r="I710" s="311"/>
      <c r="J710" s="88"/>
      <c r="K710" s="121"/>
      <c r="L710" s="311"/>
      <c r="M710" s="316"/>
      <c r="N710" s="317"/>
      <c r="O710" s="318"/>
      <c r="P710" s="316"/>
      <c r="Q710" s="317"/>
      <c r="R710" s="318"/>
      <c r="S710" s="316"/>
      <c r="T710" s="317"/>
      <c r="U710" s="318"/>
      <c r="V710" s="88"/>
      <c r="W710" s="317"/>
      <c r="X710" s="311"/>
      <c r="Y710" s="143"/>
      <c r="Z710" s="143"/>
      <c r="AA710" s="143"/>
      <c r="AB710" s="17"/>
      <c r="AC710" s="17"/>
      <c r="AD710" s="17"/>
      <c r="AE710" s="17"/>
    </row>
    <row r="711">
      <c r="A711" s="88"/>
      <c r="B711" s="121"/>
      <c r="C711" s="311"/>
      <c r="D711" s="88"/>
      <c r="E711" s="121"/>
      <c r="F711" s="311"/>
      <c r="G711" s="88"/>
      <c r="H711" s="121"/>
      <c r="I711" s="311"/>
      <c r="J711" s="88"/>
      <c r="K711" s="121"/>
      <c r="L711" s="311"/>
      <c r="M711" s="316"/>
      <c r="N711" s="317"/>
      <c r="O711" s="318"/>
      <c r="P711" s="316"/>
      <c r="Q711" s="317"/>
      <c r="R711" s="318"/>
      <c r="S711" s="316"/>
      <c r="T711" s="317"/>
      <c r="U711" s="318"/>
      <c r="V711" s="88"/>
      <c r="W711" s="317"/>
      <c r="X711" s="311"/>
      <c r="Y711" s="143"/>
      <c r="Z711" s="143"/>
      <c r="AA711" s="143"/>
      <c r="AB711" s="17"/>
      <c r="AC711" s="17"/>
      <c r="AD711" s="17"/>
      <c r="AE711" s="17"/>
    </row>
    <row r="712">
      <c r="A712" s="88"/>
      <c r="B712" s="121"/>
      <c r="C712" s="311"/>
      <c r="D712" s="88"/>
      <c r="E712" s="121"/>
      <c r="F712" s="311"/>
      <c r="G712" s="88"/>
      <c r="H712" s="121"/>
      <c r="I712" s="311"/>
      <c r="J712" s="88"/>
      <c r="K712" s="121"/>
      <c r="L712" s="311"/>
      <c r="M712" s="316"/>
      <c r="N712" s="317"/>
      <c r="O712" s="318"/>
      <c r="P712" s="316"/>
      <c r="Q712" s="317"/>
      <c r="R712" s="318"/>
      <c r="S712" s="316"/>
      <c r="T712" s="317"/>
      <c r="U712" s="318"/>
      <c r="V712" s="88"/>
      <c r="W712" s="317"/>
      <c r="X712" s="311"/>
      <c r="Y712" s="143"/>
      <c r="Z712" s="143"/>
      <c r="AA712" s="143"/>
      <c r="AB712" s="17"/>
      <c r="AC712" s="17"/>
      <c r="AD712" s="17"/>
      <c r="AE712" s="17"/>
    </row>
    <row r="713">
      <c r="A713" s="88"/>
      <c r="B713" s="121"/>
      <c r="C713" s="311"/>
      <c r="D713" s="88"/>
      <c r="E713" s="121"/>
      <c r="F713" s="311"/>
      <c r="G713" s="88"/>
      <c r="H713" s="121"/>
      <c r="I713" s="311"/>
      <c r="J713" s="88"/>
      <c r="K713" s="121"/>
      <c r="L713" s="311"/>
      <c r="M713" s="316"/>
      <c r="N713" s="317"/>
      <c r="O713" s="318"/>
      <c r="P713" s="316"/>
      <c r="Q713" s="317"/>
      <c r="R713" s="318"/>
      <c r="S713" s="316"/>
      <c r="T713" s="317"/>
      <c r="U713" s="318"/>
      <c r="V713" s="88"/>
      <c r="W713" s="317"/>
      <c r="X713" s="311"/>
      <c r="Y713" s="143"/>
      <c r="Z713" s="143"/>
      <c r="AA713" s="143"/>
      <c r="AB713" s="17"/>
      <c r="AC713" s="17"/>
      <c r="AD713" s="17"/>
      <c r="AE713" s="17"/>
    </row>
    <row r="714">
      <c r="A714" s="88"/>
      <c r="B714" s="121"/>
      <c r="C714" s="311"/>
      <c r="D714" s="88"/>
      <c r="E714" s="121"/>
      <c r="F714" s="311"/>
      <c r="G714" s="88"/>
      <c r="H714" s="121"/>
      <c r="I714" s="311"/>
      <c r="J714" s="88"/>
      <c r="K714" s="121"/>
      <c r="L714" s="311"/>
      <c r="M714" s="316"/>
      <c r="N714" s="317"/>
      <c r="O714" s="318"/>
      <c r="P714" s="316"/>
      <c r="Q714" s="317"/>
      <c r="R714" s="318"/>
      <c r="S714" s="316"/>
      <c r="T714" s="317"/>
      <c r="U714" s="318"/>
      <c r="V714" s="88"/>
      <c r="W714" s="317"/>
      <c r="X714" s="311"/>
      <c r="Y714" s="143"/>
      <c r="Z714" s="143"/>
      <c r="AA714" s="143"/>
      <c r="AB714" s="17"/>
      <c r="AC714" s="17"/>
      <c r="AD714" s="17"/>
      <c r="AE714" s="17"/>
    </row>
    <row r="715">
      <c r="A715" s="88"/>
      <c r="B715" s="121"/>
      <c r="C715" s="311"/>
      <c r="D715" s="88"/>
      <c r="E715" s="121"/>
      <c r="F715" s="311"/>
      <c r="G715" s="88"/>
      <c r="H715" s="121"/>
      <c r="I715" s="311"/>
      <c r="J715" s="88"/>
      <c r="K715" s="121"/>
      <c r="L715" s="311"/>
      <c r="M715" s="316"/>
      <c r="N715" s="317"/>
      <c r="O715" s="318"/>
      <c r="P715" s="316"/>
      <c r="Q715" s="317"/>
      <c r="R715" s="318"/>
      <c r="S715" s="316"/>
      <c r="T715" s="317"/>
      <c r="U715" s="318"/>
      <c r="V715" s="88"/>
      <c r="W715" s="317"/>
      <c r="X715" s="311"/>
      <c r="Y715" s="143"/>
      <c r="Z715" s="143"/>
      <c r="AA715" s="143"/>
      <c r="AB715" s="17"/>
      <c r="AC715" s="17"/>
      <c r="AD715" s="17"/>
      <c r="AE715" s="17"/>
    </row>
    <row r="716">
      <c r="A716" s="88"/>
      <c r="B716" s="121"/>
      <c r="C716" s="311"/>
      <c r="D716" s="88"/>
      <c r="E716" s="121"/>
      <c r="F716" s="311"/>
      <c r="G716" s="88"/>
      <c r="H716" s="121"/>
      <c r="I716" s="311"/>
      <c r="J716" s="88"/>
      <c r="K716" s="121"/>
      <c r="L716" s="311"/>
      <c r="M716" s="316"/>
      <c r="N716" s="317"/>
      <c r="O716" s="318"/>
      <c r="P716" s="316"/>
      <c r="Q716" s="317"/>
      <c r="R716" s="318"/>
      <c r="S716" s="316"/>
      <c r="T716" s="317"/>
      <c r="U716" s="318"/>
      <c r="V716" s="88"/>
      <c r="W716" s="317"/>
      <c r="X716" s="311"/>
      <c r="Y716" s="143"/>
      <c r="Z716" s="143"/>
      <c r="AA716" s="143"/>
      <c r="AB716" s="17"/>
      <c r="AC716" s="17"/>
      <c r="AD716" s="17"/>
      <c r="AE716" s="17"/>
    </row>
    <row r="717">
      <c r="A717" s="88"/>
      <c r="B717" s="121"/>
      <c r="C717" s="311"/>
      <c r="D717" s="88"/>
      <c r="E717" s="121"/>
      <c r="F717" s="311"/>
      <c r="G717" s="88"/>
      <c r="H717" s="121"/>
      <c r="I717" s="311"/>
      <c r="J717" s="88"/>
      <c r="K717" s="121"/>
      <c r="L717" s="311"/>
      <c r="M717" s="316"/>
      <c r="N717" s="317"/>
      <c r="O717" s="318"/>
      <c r="P717" s="316"/>
      <c r="Q717" s="317"/>
      <c r="R717" s="318"/>
      <c r="S717" s="316"/>
      <c r="T717" s="317"/>
      <c r="U717" s="318"/>
      <c r="V717" s="88"/>
      <c r="W717" s="317"/>
      <c r="X717" s="311"/>
      <c r="Y717" s="143"/>
      <c r="Z717" s="143"/>
      <c r="AA717" s="143"/>
      <c r="AB717" s="17"/>
      <c r="AC717" s="17"/>
      <c r="AD717" s="17"/>
      <c r="AE717" s="17"/>
    </row>
    <row r="718">
      <c r="A718" s="88"/>
      <c r="B718" s="121"/>
      <c r="C718" s="311"/>
      <c r="D718" s="88"/>
      <c r="E718" s="121"/>
      <c r="F718" s="311"/>
      <c r="G718" s="88"/>
      <c r="H718" s="121"/>
      <c r="I718" s="311"/>
      <c r="J718" s="88"/>
      <c r="K718" s="121"/>
      <c r="L718" s="311"/>
      <c r="M718" s="316"/>
      <c r="N718" s="317"/>
      <c r="O718" s="318"/>
      <c r="P718" s="316"/>
      <c r="Q718" s="317"/>
      <c r="R718" s="318"/>
      <c r="S718" s="316"/>
      <c r="T718" s="317"/>
      <c r="U718" s="318"/>
      <c r="V718" s="88"/>
      <c r="W718" s="317"/>
      <c r="X718" s="311"/>
      <c r="Y718" s="143"/>
      <c r="Z718" s="143"/>
      <c r="AA718" s="143"/>
      <c r="AB718" s="17"/>
      <c r="AC718" s="17"/>
      <c r="AD718" s="17"/>
      <c r="AE718" s="17"/>
    </row>
    <row r="719">
      <c r="A719" s="88"/>
      <c r="B719" s="121"/>
      <c r="C719" s="311"/>
      <c r="D719" s="88"/>
      <c r="E719" s="121"/>
      <c r="F719" s="311"/>
      <c r="G719" s="88"/>
      <c r="H719" s="121"/>
      <c r="I719" s="311"/>
      <c r="J719" s="88"/>
      <c r="K719" s="121"/>
      <c r="L719" s="311"/>
      <c r="M719" s="316"/>
      <c r="N719" s="317"/>
      <c r="O719" s="318"/>
      <c r="P719" s="316"/>
      <c r="Q719" s="317"/>
      <c r="R719" s="318"/>
      <c r="S719" s="316"/>
      <c r="T719" s="317"/>
      <c r="U719" s="318"/>
      <c r="V719" s="88"/>
      <c r="W719" s="317"/>
      <c r="X719" s="311"/>
      <c r="Y719" s="143"/>
      <c r="Z719" s="143"/>
      <c r="AA719" s="143"/>
      <c r="AB719" s="17"/>
      <c r="AC719" s="17"/>
      <c r="AD719" s="17"/>
      <c r="AE719" s="17"/>
    </row>
    <row r="720">
      <c r="A720" s="88"/>
      <c r="B720" s="121"/>
      <c r="C720" s="311"/>
      <c r="D720" s="88"/>
      <c r="E720" s="121"/>
      <c r="F720" s="311"/>
      <c r="G720" s="88"/>
      <c r="H720" s="121"/>
      <c r="I720" s="311"/>
      <c r="J720" s="88"/>
      <c r="K720" s="121"/>
      <c r="L720" s="311"/>
      <c r="M720" s="316"/>
      <c r="N720" s="317"/>
      <c r="O720" s="318"/>
      <c r="P720" s="316"/>
      <c r="Q720" s="317"/>
      <c r="R720" s="318"/>
      <c r="S720" s="316"/>
      <c r="T720" s="317"/>
      <c r="U720" s="318"/>
      <c r="V720" s="88"/>
      <c r="W720" s="317"/>
      <c r="X720" s="311"/>
      <c r="Y720" s="143"/>
      <c r="Z720" s="143"/>
      <c r="AA720" s="143"/>
      <c r="AB720" s="17"/>
      <c r="AC720" s="17"/>
      <c r="AD720" s="17"/>
      <c r="AE720" s="17"/>
    </row>
    <row r="721">
      <c r="A721" s="88"/>
      <c r="B721" s="121"/>
      <c r="C721" s="311"/>
      <c r="D721" s="88"/>
      <c r="E721" s="121"/>
      <c r="F721" s="311"/>
      <c r="G721" s="88"/>
      <c r="H721" s="121"/>
      <c r="I721" s="311"/>
      <c r="J721" s="88"/>
      <c r="K721" s="121"/>
      <c r="L721" s="311"/>
      <c r="M721" s="316"/>
      <c r="N721" s="317"/>
      <c r="O721" s="318"/>
      <c r="P721" s="316"/>
      <c r="Q721" s="317"/>
      <c r="R721" s="318"/>
      <c r="S721" s="316"/>
      <c r="T721" s="317"/>
      <c r="U721" s="318"/>
      <c r="V721" s="88"/>
      <c r="W721" s="317"/>
      <c r="X721" s="311"/>
      <c r="Y721" s="143"/>
      <c r="Z721" s="143"/>
      <c r="AA721" s="143"/>
      <c r="AB721" s="17"/>
      <c r="AC721" s="17"/>
      <c r="AD721" s="17"/>
      <c r="AE721" s="17"/>
    </row>
    <row r="722">
      <c r="A722" s="88"/>
      <c r="B722" s="121"/>
      <c r="C722" s="311"/>
      <c r="D722" s="88"/>
      <c r="E722" s="121"/>
      <c r="F722" s="311"/>
      <c r="G722" s="88"/>
      <c r="H722" s="121"/>
      <c r="I722" s="311"/>
      <c r="J722" s="88"/>
      <c r="K722" s="121"/>
      <c r="L722" s="311"/>
      <c r="M722" s="316"/>
      <c r="N722" s="317"/>
      <c r="O722" s="318"/>
      <c r="P722" s="316"/>
      <c r="Q722" s="317"/>
      <c r="R722" s="318"/>
      <c r="S722" s="316"/>
      <c r="T722" s="317"/>
      <c r="U722" s="318"/>
      <c r="V722" s="88"/>
      <c r="W722" s="317"/>
      <c r="X722" s="311"/>
      <c r="Y722" s="143"/>
      <c r="Z722" s="143"/>
      <c r="AA722" s="143"/>
      <c r="AB722" s="17"/>
      <c r="AC722" s="17"/>
      <c r="AD722" s="17"/>
      <c r="AE722" s="17"/>
    </row>
    <row r="723">
      <c r="A723" s="88"/>
      <c r="B723" s="121"/>
      <c r="C723" s="311"/>
      <c r="D723" s="88"/>
      <c r="E723" s="121"/>
      <c r="F723" s="311"/>
      <c r="G723" s="88"/>
      <c r="H723" s="121"/>
      <c r="I723" s="311"/>
      <c r="J723" s="88"/>
      <c r="K723" s="121"/>
      <c r="L723" s="311"/>
      <c r="M723" s="316"/>
      <c r="N723" s="317"/>
      <c r="O723" s="318"/>
      <c r="P723" s="316"/>
      <c r="Q723" s="317"/>
      <c r="R723" s="318"/>
      <c r="S723" s="316"/>
      <c r="T723" s="317"/>
      <c r="U723" s="318"/>
      <c r="V723" s="88"/>
      <c r="W723" s="317"/>
      <c r="X723" s="311"/>
      <c r="Y723" s="143"/>
      <c r="Z723" s="143"/>
      <c r="AA723" s="143"/>
      <c r="AB723" s="17"/>
      <c r="AC723" s="17"/>
      <c r="AD723" s="17"/>
      <c r="AE723" s="17"/>
    </row>
    <row r="724">
      <c r="A724" s="88"/>
      <c r="B724" s="121"/>
      <c r="C724" s="311"/>
      <c r="D724" s="88"/>
      <c r="E724" s="121"/>
      <c r="F724" s="311"/>
      <c r="G724" s="88"/>
      <c r="H724" s="121"/>
      <c r="I724" s="311"/>
      <c r="J724" s="88"/>
      <c r="K724" s="121"/>
      <c r="L724" s="311"/>
      <c r="M724" s="316"/>
      <c r="N724" s="317"/>
      <c r="O724" s="318"/>
      <c r="P724" s="316"/>
      <c r="Q724" s="317"/>
      <c r="R724" s="318"/>
      <c r="S724" s="316"/>
      <c r="T724" s="317"/>
      <c r="U724" s="318"/>
      <c r="V724" s="88"/>
      <c r="W724" s="317"/>
      <c r="X724" s="311"/>
      <c r="Y724" s="143"/>
      <c r="Z724" s="143"/>
      <c r="AA724" s="143"/>
      <c r="AB724" s="17"/>
      <c r="AC724" s="17"/>
      <c r="AD724" s="17"/>
      <c r="AE724" s="17"/>
    </row>
    <row r="725">
      <c r="A725" s="88"/>
      <c r="B725" s="121"/>
      <c r="C725" s="311"/>
      <c r="D725" s="88"/>
      <c r="E725" s="121"/>
      <c r="F725" s="311"/>
      <c r="G725" s="88"/>
      <c r="H725" s="121"/>
      <c r="I725" s="311"/>
      <c r="J725" s="88"/>
      <c r="K725" s="121"/>
      <c r="L725" s="311"/>
      <c r="M725" s="316"/>
      <c r="N725" s="317"/>
      <c r="O725" s="318"/>
      <c r="P725" s="316"/>
      <c r="Q725" s="317"/>
      <c r="R725" s="318"/>
      <c r="S725" s="316"/>
      <c r="T725" s="317"/>
      <c r="U725" s="318"/>
      <c r="V725" s="88"/>
      <c r="W725" s="317"/>
      <c r="X725" s="311"/>
      <c r="Y725" s="143"/>
      <c r="Z725" s="143"/>
      <c r="AA725" s="143"/>
      <c r="AB725" s="17"/>
      <c r="AC725" s="17"/>
      <c r="AD725" s="17"/>
      <c r="AE725" s="17"/>
    </row>
    <row r="726">
      <c r="A726" s="88"/>
      <c r="B726" s="121"/>
      <c r="C726" s="311"/>
      <c r="D726" s="88"/>
      <c r="E726" s="121"/>
      <c r="F726" s="311"/>
      <c r="G726" s="88"/>
      <c r="H726" s="121"/>
      <c r="I726" s="311"/>
      <c r="J726" s="88"/>
      <c r="K726" s="121"/>
      <c r="L726" s="311"/>
      <c r="M726" s="316"/>
      <c r="N726" s="317"/>
      <c r="O726" s="318"/>
      <c r="P726" s="316"/>
      <c r="Q726" s="317"/>
      <c r="R726" s="318"/>
      <c r="S726" s="316"/>
      <c r="T726" s="317"/>
      <c r="U726" s="318"/>
      <c r="V726" s="88"/>
      <c r="W726" s="317"/>
      <c r="X726" s="311"/>
      <c r="Y726" s="143"/>
      <c r="Z726" s="143"/>
      <c r="AA726" s="143"/>
      <c r="AB726" s="17"/>
      <c r="AC726" s="17"/>
      <c r="AD726" s="17"/>
      <c r="AE726" s="17"/>
    </row>
    <row r="727">
      <c r="A727" s="88"/>
      <c r="B727" s="121"/>
      <c r="C727" s="311"/>
      <c r="D727" s="88"/>
      <c r="E727" s="121"/>
      <c r="F727" s="311"/>
      <c r="G727" s="88"/>
      <c r="H727" s="121"/>
      <c r="I727" s="311"/>
      <c r="J727" s="88"/>
      <c r="K727" s="121"/>
      <c r="L727" s="311"/>
      <c r="M727" s="316"/>
      <c r="N727" s="317"/>
      <c r="O727" s="318"/>
      <c r="P727" s="316"/>
      <c r="Q727" s="317"/>
      <c r="R727" s="318"/>
      <c r="S727" s="316"/>
      <c r="T727" s="317"/>
      <c r="U727" s="318"/>
      <c r="V727" s="88"/>
      <c r="W727" s="317"/>
      <c r="X727" s="311"/>
      <c r="Y727" s="143"/>
      <c r="Z727" s="143"/>
      <c r="AA727" s="143"/>
      <c r="AB727" s="17"/>
      <c r="AC727" s="17"/>
      <c r="AD727" s="17"/>
      <c r="AE727" s="17"/>
    </row>
    <row r="728">
      <c r="A728" s="88"/>
      <c r="B728" s="121"/>
      <c r="C728" s="311"/>
      <c r="D728" s="88"/>
      <c r="E728" s="121"/>
      <c r="F728" s="311"/>
      <c r="G728" s="88"/>
      <c r="H728" s="121"/>
      <c r="I728" s="311"/>
      <c r="J728" s="88"/>
      <c r="K728" s="121"/>
      <c r="L728" s="311"/>
      <c r="M728" s="316"/>
      <c r="N728" s="317"/>
      <c r="O728" s="318"/>
      <c r="P728" s="316"/>
      <c r="Q728" s="317"/>
      <c r="R728" s="318"/>
      <c r="S728" s="316"/>
      <c r="T728" s="317"/>
      <c r="U728" s="318"/>
      <c r="V728" s="88"/>
      <c r="W728" s="317"/>
      <c r="X728" s="311"/>
      <c r="Y728" s="143"/>
      <c r="Z728" s="143"/>
      <c r="AA728" s="143"/>
      <c r="AB728" s="17"/>
      <c r="AC728" s="17"/>
      <c r="AD728" s="17"/>
      <c r="AE728" s="17"/>
    </row>
    <row r="729">
      <c r="A729" s="88"/>
      <c r="B729" s="121"/>
      <c r="C729" s="311"/>
      <c r="D729" s="88"/>
      <c r="E729" s="121"/>
      <c r="F729" s="311"/>
      <c r="G729" s="88"/>
      <c r="H729" s="121"/>
      <c r="I729" s="311"/>
      <c r="J729" s="88"/>
      <c r="K729" s="121"/>
      <c r="L729" s="311"/>
      <c r="M729" s="316"/>
      <c r="N729" s="317"/>
      <c r="O729" s="318"/>
      <c r="P729" s="316"/>
      <c r="Q729" s="317"/>
      <c r="R729" s="318"/>
      <c r="S729" s="316"/>
      <c r="T729" s="317"/>
      <c r="U729" s="318"/>
      <c r="V729" s="88"/>
      <c r="W729" s="317"/>
      <c r="X729" s="311"/>
      <c r="Y729" s="143"/>
      <c r="Z729" s="143"/>
      <c r="AA729" s="143"/>
      <c r="AB729" s="17"/>
      <c r="AC729" s="17"/>
      <c r="AD729" s="17"/>
      <c r="AE729" s="17"/>
    </row>
    <row r="730">
      <c r="A730" s="88"/>
      <c r="B730" s="121"/>
      <c r="C730" s="311"/>
      <c r="D730" s="88"/>
      <c r="E730" s="121"/>
      <c r="F730" s="311"/>
      <c r="G730" s="88"/>
      <c r="H730" s="121"/>
      <c r="I730" s="311"/>
      <c r="J730" s="88"/>
      <c r="K730" s="121"/>
      <c r="L730" s="311"/>
      <c r="M730" s="316"/>
      <c r="N730" s="317"/>
      <c r="O730" s="318"/>
      <c r="P730" s="316"/>
      <c r="Q730" s="317"/>
      <c r="R730" s="318"/>
      <c r="S730" s="316"/>
      <c r="T730" s="317"/>
      <c r="U730" s="318"/>
      <c r="V730" s="88"/>
      <c r="W730" s="317"/>
      <c r="X730" s="311"/>
      <c r="Y730" s="143"/>
      <c r="Z730" s="143"/>
      <c r="AA730" s="143"/>
      <c r="AB730" s="17"/>
      <c r="AC730" s="17"/>
      <c r="AD730" s="17"/>
      <c r="AE730" s="17"/>
    </row>
    <row r="731">
      <c r="A731" s="88"/>
      <c r="B731" s="121"/>
      <c r="C731" s="311"/>
      <c r="D731" s="88"/>
      <c r="E731" s="121"/>
      <c r="F731" s="311"/>
      <c r="G731" s="88"/>
      <c r="H731" s="121"/>
      <c r="I731" s="311"/>
      <c r="J731" s="88"/>
      <c r="K731" s="121"/>
      <c r="L731" s="311"/>
      <c r="M731" s="316"/>
      <c r="N731" s="317"/>
      <c r="O731" s="318"/>
      <c r="P731" s="316"/>
      <c r="Q731" s="317"/>
      <c r="R731" s="318"/>
      <c r="S731" s="316"/>
      <c r="T731" s="317"/>
      <c r="U731" s="318"/>
      <c r="V731" s="88"/>
      <c r="W731" s="317"/>
      <c r="X731" s="311"/>
      <c r="Y731" s="143"/>
      <c r="Z731" s="143"/>
      <c r="AA731" s="143"/>
      <c r="AB731" s="17"/>
      <c r="AC731" s="17"/>
      <c r="AD731" s="17"/>
      <c r="AE731" s="17"/>
    </row>
    <row r="732">
      <c r="A732" s="88"/>
      <c r="B732" s="121"/>
      <c r="C732" s="311"/>
      <c r="D732" s="88"/>
      <c r="E732" s="121"/>
      <c r="F732" s="311"/>
      <c r="G732" s="88"/>
      <c r="H732" s="121"/>
      <c r="I732" s="311"/>
      <c r="J732" s="88"/>
      <c r="K732" s="121"/>
      <c r="L732" s="311"/>
      <c r="M732" s="316"/>
      <c r="N732" s="317"/>
      <c r="O732" s="318"/>
      <c r="P732" s="316"/>
      <c r="Q732" s="317"/>
      <c r="R732" s="318"/>
      <c r="S732" s="316"/>
      <c r="T732" s="317"/>
      <c r="U732" s="318"/>
      <c r="V732" s="88"/>
      <c r="W732" s="317"/>
      <c r="X732" s="311"/>
      <c r="Y732" s="143"/>
      <c r="Z732" s="143"/>
      <c r="AA732" s="143"/>
      <c r="AB732" s="17"/>
      <c r="AC732" s="17"/>
      <c r="AD732" s="17"/>
      <c r="AE732" s="17"/>
    </row>
    <row r="733">
      <c r="A733" s="88"/>
      <c r="B733" s="121"/>
      <c r="C733" s="311"/>
      <c r="D733" s="88"/>
      <c r="E733" s="121"/>
      <c r="F733" s="311"/>
      <c r="G733" s="88"/>
      <c r="H733" s="121"/>
      <c r="I733" s="311"/>
      <c r="J733" s="88"/>
      <c r="K733" s="121"/>
      <c r="L733" s="311"/>
      <c r="M733" s="316"/>
      <c r="N733" s="317"/>
      <c r="O733" s="318"/>
      <c r="P733" s="316"/>
      <c r="Q733" s="317"/>
      <c r="R733" s="318"/>
      <c r="S733" s="316"/>
      <c r="T733" s="317"/>
      <c r="U733" s="318"/>
      <c r="V733" s="88"/>
      <c r="W733" s="317"/>
      <c r="X733" s="311"/>
      <c r="Y733" s="143"/>
      <c r="Z733" s="143"/>
      <c r="AA733" s="143"/>
      <c r="AB733" s="17"/>
      <c r="AC733" s="17"/>
      <c r="AD733" s="17"/>
      <c r="AE733" s="17"/>
    </row>
    <row r="734">
      <c r="A734" s="88"/>
      <c r="B734" s="121"/>
      <c r="C734" s="311"/>
      <c r="D734" s="88"/>
      <c r="E734" s="121"/>
      <c r="F734" s="311"/>
      <c r="G734" s="88"/>
      <c r="H734" s="121"/>
      <c r="I734" s="311"/>
      <c r="J734" s="88"/>
      <c r="K734" s="121"/>
      <c r="L734" s="311"/>
      <c r="M734" s="316"/>
      <c r="N734" s="317"/>
      <c r="O734" s="318"/>
      <c r="P734" s="316"/>
      <c r="Q734" s="317"/>
      <c r="R734" s="318"/>
      <c r="S734" s="316"/>
      <c r="T734" s="317"/>
      <c r="U734" s="318"/>
      <c r="V734" s="88"/>
      <c r="W734" s="317"/>
      <c r="X734" s="311"/>
      <c r="Y734" s="143"/>
      <c r="Z734" s="143"/>
      <c r="AA734" s="143"/>
      <c r="AB734" s="17"/>
      <c r="AC734" s="17"/>
      <c r="AD734" s="17"/>
      <c r="AE734" s="17"/>
    </row>
    <row r="735">
      <c r="A735" s="88"/>
      <c r="B735" s="121"/>
      <c r="C735" s="311"/>
      <c r="D735" s="88"/>
      <c r="E735" s="121"/>
      <c r="F735" s="311"/>
      <c r="G735" s="88"/>
      <c r="H735" s="121"/>
      <c r="I735" s="311"/>
      <c r="J735" s="88"/>
      <c r="K735" s="121"/>
      <c r="L735" s="311"/>
      <c r="M735" s="316"/>
      <c r="N735" s="317"/>
      <c r="O735" s="318"/>
      <c r="P735" s="316"/>
      <c r="Q735" s="317"/>
      <c r="R735" s="318"/>
      <c r="S735" s="316"/>
      <c r="T735" s="317"/>
      <c r="U735" s="318"/>
      <c r="V735" s="88"/>
      <c r="W735" s="317"/>
      <c r="X735" s="311"/>
      <c r="Y735" s="143"/>
      <c r="Z735" s="143"/>
      <c r="AA735" s="143"/>
      <c r="AB735" s="17"/>
      <c r="AC735" s="17"/>
      <c r="AD735" s="17"/>
      <c r="AE735" s="17"/>
    </row>
    <row r="736">
      <c r="A736" s="88"/>
      <c r="B736" s="121"/>
      <c r="C736" s="311"/>
      <c r="D736" s="88"/>
      <c r="E736" s="121"/>
      <c r="F736" s="311"/>
      <c r="G736" s="88"/>
      <c r="H736" s="121"/>
      <c r="I736" s="311"/>
      <c r="J736" s="88"/>
      <c r="K736" s="121"/>
      <c r="L736" s="311"/>
      <c r="M736" s="316"/>
      <c r="N736" s="317"/>
      <c r="O736" s="318"/>
      <c r="P736" s="316"/>
      <c r="Q736" s="317"/>
      <c r="R736" s="318"/>
      <c r="S736" s="316"/>
      <c r="T736" s="317"/>
      <c r="U736" s="318"/>
      <c r="V736" s="88"/>
      <c r="W736" s="317"/>
      <c r="X736" s="311"/>
      <c r="Y736" s="143"/>
      <c r="Z736" s="143"/>
      <c r="AA736" s="143"/>
      <c r="AB736" s="17"/>
      <c r="AC736" s="17"/>
      <c r="AD736" s="17"/>
      <c r="AE736" s="17"/>
    </row>
    <row r="737">
      <c r="A737" s="88"/>
      <c r="B737" s="121"/>
      <c r="C737" s="311"/>
      <c r="D737" s="88"/>
      <c r="E737" s="121"/>
      <c r="F737" s="311"/>
      <c r="G737" s="88"/>
      <c r="H737" s="121"/>
      <c r="I737" s="311"/>
      <c r="J737" s="88"/>
      <c r="K737" s="121"/>
      <c r="L737" s="311"/>
      <c r="M737" s="316"/>
      <c r="N737" s="317"/>
      <c r="O737" s="318"/>
      <c r="P737" s="316"/>
      <c r="Q737" s="317"/>
      <c r="R737" s="318"/>
      <c r="S737" s="316"/>
      <c r="T737" s="317"/>
      <c r="U737" s="318"/>
      <c r="V737" s="88"/>
      <c r="W737" s="317"/>
      <c r="X737" s="311"/>
      <c r="Y737" s="143"/>
      <c r="Z737" s="143"/>
      <c r="AA737" s="143"/>
      <c r="AB737" s="17"/>
      <c r="AC737" s="17"/>
      <c r="AD737" s="17"/>
      <c r="AE737" s="17"/>
    </row>
    <row r="738">
      <c r="A738" s="88"/>
      <c r="B738" s="121"/>
      <c r="C738" s="311"/>
      <c r="D738" s="88"/>
      <c r="E738" s="121"/>
      <c r="F738" s="311"/>
      <c r="G738" s="88"/>
      <c r="H738" s="121"/>
      <c r="I738" s="311"/>
      <c r="J738" s="88"/>
      <c r="K738" s="121"/>
      <c r="L738" s="311"/>
      <c r="M738" s="316"/>
      <c r="N738" s="317"/>
      <c r="O738" s="318"/>
      <c r="P738" s="316"/>
      <c r="Q738" s="317"/>
      <c r="R738" s="318"/>
      <c r="S738" s="316"/>
      <c r="T738" s="317"/>
      <c r="U738" s="318"/>
      <c r="V738" s="88"/>
      <c r="W738" s="317"/>
      <c r="X738" s="311"/>
      <c r="Y738" s="143"/>
      <c r="Z738" s="143"/>
      <c r="AA738" s="143"/>
      <c r="AB738" s="17"/>
      <c r="AC738" s="17"/>
      <c r="AD738" s="17"/>
      <c r="AE738" s="17"/>
    </row>
    <row r="739">
      <c r="A739" s="88"/>
      <c r="B739" s="121"/>
      <c r="C739" s="311"/>
      <c r="D739" s="88"/>
      <c r="E739" s="121"/>
      <c r="F739" s="311"/>
      <c r="G739" s="88"/>
      <c r="H739" s="121"/>
      <c r="I739" s="311"/>
      <c r="J739" s="88"/>
      <c r="K739" s="121"/>
      <c r="L739" s="311"/>
      <c r="M739" s="316"/>
      <c r="N739" s="317"/>
      <c r="O739" s="318"/>
      <c r="P739" s="316"/>
      <c r="Q739" s="317"/>
      <c r="R739" s="318"/>
      <c r="S739" s="316"/>
      <c r="T739" s="317"/>
      <c r="U739" s="318"/>
      <c r="V739" s="88"/>
      <c r="W739" s="317"/>
      <c r="X739" s="311"/>
      <c r="Y739" s="143"/>
      <c r="Z739" s="143"/>
      <c r="AA739" s="143"/>
      <c r="AB739" s="17"/>
      <c r="AC739" s="17"/>
      <c r="AD739" s="17"/>
      <c r="AE739" s="17"/>
    </row>
    <row r="740">
      <c r="A740" s="88"/>
      <c r="B740" s="121"/>
      <c r="C740" s="311"/>
      <c r="D740" s="88"/>
      <c r="E740" s="121"/>
      <c r="F740" s="311"/>
      <c r="G740" s="88"/>
      <c r="H740" s="121"/>
      <c r="I740" s="311"/>
      <c r="J740" s="88"/>
      <c r="K740" s="121"/>
      <c r="L740" s="311"/>
      <c r="M740" s="316"/>
      <c r="N740" s="317"/>
      <c r="O740" s="318"/>
      <c r="P740" s="316"/>
      <c r="Q740" s="317"/>
      <c r="R740" s="318"/>
      <c r="S740" s="316"/>
      <c r="T740" s="317"/>
      <c r="U740" s="318"/>
      <c r="V740" s="88"/>
      <c r="W740" s="317"/>
      <c r="X740" s="311"/>
      <c r="Y740" s="143"/>
      <c r="Z740" s="143"/>
      <c r="AA740" s="143"/>
      <c r="AB740" s="17"/>
      <c r="AC740" s="17"/>
      <c r="AD740" s="17"/>
      <c r="AE740" s="17"/>
    </row>
    <row r="741">
      <c r="A741" s="88"/>
      <c r="B741" s="121"/>
      <c r="C741" s="311"/>
      <c r="D741" s="88"/>
      <c r="E741" s="121"/>
      <c r="F741" s="311"/>
      <c r="G741" s="88"/>
      <c r="H741" s="121"/>
      <c r="I741" s="311"/>
      <c r="J741" s="88"/>
      <c r="K741" s="121"/>
      <c r="L741" s="311"/>
      <c r="M741" s="316"/>
      <c r="N741" s="317"/>
      <c r="O741" s="318"/>
      <c r="P741" s="316"/>
      <c r="Q741" s="317"/>
      <c r="R741" s="318"/>
      <c r="S741" s="316"/>
      <c r="T741" s="317"/>
      <c r="U741" s="318"/>
      <c r="V741" s="88"/>
      <c r="W741" s="317"/>
      <c r="X741" s="311"/>
      <c r="Y741" s="143"/>
      <c r="Z741" s="143"/>
      <c r="AA741" s="143"/>
      <c r="AB741" s="17"/>
      <c r="AC741" s="17"/>
      <c r="AD741" s="17"/>
      <c r="AE741" s="17"/>
    </row>
    <row r="742">
      <c r="A742" s="88"/>
      <c r="B742" s="121"/>
      <c r="C742" s="311"/>
      <c r="D742" s="88"/>
      <c r="E742" s="121"/>
      <c r="F742" s="311"/>
      <c r="G742" s="88"/>
      <c r="H742" s="121"/>
      <c r="I742" s="311"/>
      <c r="J742" s="88"/>
      <c r="K742" s="121"/>
      <c r="L742" s="311"/>
      <c r="M742" s="316"/>
      <c r="N742" s="317"/>
      <c r="O742" s="318"/>
      <c r="P742" s="316"/>
      <c r="Q742" s="317"/>
      <c r="R742" s="318"/>
      <c r="S742" s="316"/>
      <c r="T742" s="317"/>
      <c r="U742" s="318"/>
      <c r="V742" s="88"/>
      <c r="W742" s="317"/>
      <c r="X742" s="311"/>
      <c r="Y742" s="143"/>
      <c r="Z742" s="143"/>
      <c r="AA742" s="143"/>
      <c r="AB742" s="17"/>
      <c r="AC742" s="17"/>
      <c r="AD742" s="17"/>
      <c r="AE742" s="17"/>
    </row>
    <row r="743">
      <c r="A743" s="88"/>
      <c r="B743" s="121"/>
      <c r="C743" s="311"/>
      <c r="D743" s="88"/>
      <c r="E743" s="121"/>
      <c r="F743" s="311"/>
      <c r="G743" s="88"/>
      <c r="H743" s="121"/>
      <c r="I743" s="311"/>
      <c r="J743" s="88"/>
      <c r="K743" s="121"/>
      <c r="L743" s="311"/>
      <c r="M743" s="316"/>
      <c r="N743" s="317"/>
      <c r="O743" s="318"/>
      <c r="P743" s="316"/>
      <c r="Q743" s="317"/>
      <c r="R743" s="318"/>
      <c r="S743" s="316"/>
      <c r="T743" s="317"/>
      <c r="U743" s="318"/>
      <c r="V743" s="88"/>
      <c r="W743" s="317"/>
      <c r="X743" s="311"/>
      <c r="Y743" s="143"/>
      <c r="Z743" s="143"/>
      <c r="AA743" s="143"/>
      <c r="AB743" s="17"/>
      <c r="AC743" s="17"/>
      <c r="AD743" s="17"/>
      <c r="AE743" s="17"/>
    </row>
    <row r="744">
      <c r="A744" s="88"/>
      <c r="B744" s="121"/>
      <c r="C744" s="311"/>
      <c r="D744" s="88"/>
      <c r="E744" s="121"/>
      <c r="F744" s="311"/>
      <c r="G744" s="88"/>
      <c r="H744" s="121"/>
      <c r="I744" s="311"/>
      <c r="J744" s="88"/>
      <c r="K744" s="121"/>
      <c r="L744" s="311"/>
      <c r="M744" s="316"/>
      <c r="N744" s="317"/>
      <c r="O744" s="318"/>
      <c r="P744" s="316"/>
      <c r="Q744" s="317"/>
      <c r="R744" s="318"/>
      <c r="S744" s="316"/>
      <c r="T744" s="317"/>
      <c r="U744" s="318"/>
      <c r="V744" s="88"/>
      <c r="W744" s="317"/>
      <c r="X744" s="311"/>
      <c r="Y744" s="143"/>
      <c r="Z744" s="143"/>
      <c r="AA744" s="143"/>
      <c r="AB744" s="17"/>
      <c r="AC744" s="17"/>
      <c r="AD744" s="17"/>
      <c r="AE744" s="17"/>
    </row>
    <row r="745">
      <c r="A745" s="88"/>
      <c r="B745" s="121"/>
      <c r="C745" s="311"/>
      <c r="D745" s="88"/>
      <c r="E745" s="121"/>
      <c r="F745" s="311"/>
      <c r="G745" s="88"/>
      <c r="H745" s="121"/>
      <c r="I745" s="311"/>
      <c r="J745" s="88"/>
      <c r="K745" s="121"/>
      <c r="L745" s="311"/>
      <c r="M745" s="316"/>
      <c r="N745" s="317"/>
      <c r="O745" s="318"/>
      <c r="P745" s="316"/>
      <c r="Q745" s="317"/>
      <c r="R745" s="318"/>
      <c r="S745" s="316"/>
      <c r="T745" s="317"/>
      <c r="U745" s="318"/>
      <c r="V745" s="88"/>
      <c r="W745" s="317"/>
      <c r="X745" s="311"/>
      <c r="Y745" s="143"/>
      <c r="Z745" s="143"/>
      <c r="AA745" s="143"/>
      <c r="AB745" s="17"/>
      <c r="AC745" s="17"/>
      <c r="AD745" s="17"/>
      <c r="AE745" s="17"/>
    </row>
    <row r="746">
      <c r="A746" s="88"/>
      <c r="B746" s="121"/>
      <c r="C746" s="311"/>
      <c r="D746" s="88"/>
      <c r="E746" s="121"/>
      <c r="F746" s="311"/>
      <c r="G746" s="88"/>
      <c r="H746" s="121"/>
      <c r="I746" s="311"/>
      <c r="J746" s="88"/>
      <c r="K746" s="121"/>
      <c r="L746" s="311"/>
      <c r="M746" s="316"/>
      <c r="N746" s="317"/>
      <c r="O746" s="318"/>
      <c r="P746" s="316"/>
      <c r="Q746" s="317"/>
      <c r="R746" s="318"/>
      <c r="S746" s="316"/>
      <c r="T746" s="317"/>
      <c r="U746" s="318"/>
      <c r="V746" s="88"/>
      <c r="W746" s="317"/>
      <c r="X746" s="311"/>
      <c r="Y746" s="143"/>
      <c r="Z746" s="143"/>
      <c r="AA746" s="143"/>
      <c r="AB746" s="17"/>
      <c r="AC746" s="17"/>
      <c r="AD746" s="17"/>
      <c r="AE746" s="17"/>
    </row>
    <row r="747">
      <c r="A747" s="88"/>
      <c r="B747" s="121"/>
      <c r="C747" s="311"/>
      <c r="D747" s="88"/>
      <c r="E747" s="121"/>
      <c r="F747" s="311"/>
      <c r="G747" s="88"/>
      <c r="H747" s="121"/>
      <c r="I747" s="311"/>
      <c r="J747" s="88"/>
      <c r="K747" s="121"/>
      <c r="L747" s="311"/>
      <c r="M747" s="316"/>
      <c r="N747" s="317"/>
      <c r="O747" s="318"/>
      <c r="P747" s="316"/>
      <c r="Q747" s="317"/>
      <c r="R747" s="318"/>
      <c r="S747" s="316"/>
      <c r="T747" s="317"/>
      <c r="U747" s="318"/>
      <c r="V747" s="88"/>
      <c r="W747" s="317"/>
      <c r="X747" s="311"/>
      <c r="Y747" s="143"/>
      <c r="Z747" s="143"/>
      <c r="AA747" s="143"/>
      <c r="AB747" s="17"/>
      <c r="AC747" s="17"/>
      <c r="AD747" s="17"/>
      <c r="AE747" s="17"/>
    </row>
    <row r="748">
      <c r="A748" s="88"/>
      <c r="B748" s="121"/>
      <c r="C748" s="311"/>
      <c r="D748" s="88"/>
      <c r="E748" s="121"/>
      <c r="F748" s="311"/>
      <c r="G748" s="88"/>
      <c r="H748" s="121"/>
      <c r="I748" s="311"/>
      <c r="J748" s="88"/>
      <c r="K748" s="121"/>
      <c r="L748" s="311"/>
      <c r="M748" s="316"/>
      <c r="N748" s="317"/>
      <c r="O748" s="318"/>
      <c r="P748" s="316"/>
      <c r="Q748" s="317"/>
      <c r="R748" s="318"/>
      <c r="S748" s="316"/>
      <c r="T748" s="317"/>
      <c r="U748" s="318"/>
      <c r="V748" s="88"/>
      <c r="W748" s="317"/>
      <c r="X748" s="311"/>
      <c r="Y748" s="143"/>
      <c r="Z748" s="143"/>
      <c r="AA748" s="143"/>
      <c r="AB748" s="17"/>
      <c r="AC748" s="17"/>
      <c r="AD748" s="17"/>
      <c r="AE748" s="17"/>
    </row>
    <row r="749">
      <c r="A749" s="88"/>
      <c r="B749" s="121"/>
      <c r="C749" s="311"/>
      <c r="D749" s="88"/>
      <c r="E749" s="121"/>
      <c r="F749" s="311"/>
      <c r="G749" s="88"/>
      <c r="H749" s="121"/>
      <c r="I749" s="311"/>
      <c r="J749" s="88"/>
      <c r="K749" s="121"/>
      <c r="L749" s="311"/>
      <c r="M749" s="316"/>
      <c r="N749" s="317"/>
      <c r="O749" s="318"/>
      <c r="P749" s="316"/>
      <c r="Q749" s="317"/>
      <c r="R749" s="318"/>
      <c r="S749" s="316"/>
      <c r="T749" s="317"/>
      <c r="U749" s="318"/>
      <c r="V749" s="88"/>
      <c r="W749" s="317"/>
      <c r="X749" s="311"/>
      <c r="Y749" s="143"/>
      <c r="Z749" s="143"/>
      <c r="AA749" s="143"/>
      <c r="AB749" s="17"/>
      <c r="AC749" s="17"/>
      <c r="AD749" s="17"/>
      <c r="AE749" s="17"/>
    </row>
    <row r="750">
      <c r="A750" s="88"/>
      <c r="B750" s="121"/>
      <c r="C750" s="311"/>
      <c r="D750" s="88"/>
      <c r="E750" s="121"/>
      <c r="F750" s="311"/>
      <c r="G750" s="88"/>
      <c r="H750" s="121"/>
      <c r="I750" s="311"/>
      <c r="J750" s="88"/>
      <c r="K750" s="121"/>
      <c r="L750" s="311"/>
      <c r="M750" s="316"/>
      <c r="N750" s="317"/>
      <c r="O750" s="318"/>
      <c r="P750" s="316"/>
      <c r="Q750" s="317"/>
      <c r="R750" s="318"/>
      <c r="S750" s="316"/>
      <c r="T750" s="317"/>
      <c r="U750" s="318"/>
      <c r="V750" s="88"/>
      <c r="W750" s="317"/>
      <c r="X750" s="311"/>
      <c r="Y750" s="143"/>
      <c r="Z750" s="143"/>
      <c r="AA750" s="143"/>
      <c r="AB750" s="17"/>
      <c r="AC750" s="17"/>
      <c r="AD750" s="17"/>
      <c r="AE750" s="17"/>
    </row>
    <row r="751">
      <c r="A751" s="88"/>
      <c r="B751" s="121"/>
      <c r="C751" s="311"/>
      <c r="D751" s="88"/>
      <c r="E751" s="121"/>
      <c r="F751" s="311"/>
      <c r="G751" s="88"/>
      <c r="H751" s="121"/>
      <c r="I751" s="311"/>
      <c r="J751" s="88"/>
      <c r="K751" s="121"/>
      <c r="L751" s="311"/>
      <c r="M751" s="316"/>
      <c r="N751" s="317"/>
      <c r="O751" s="318"/>
      <c r="P751" s="316"/>
      <c r="Q751" s="317"/>
      <c r="R751" s="318"/>
      <c r="S751" s="316"/>
      <c r="T751" s="317"/>
      <c r="U751" s="318"/>
      <c r="V751" s="88"/>
      <c r="W751" s="317"/>
      <c r="X751" s="311"/>
      <c r="Y751" s="143"/>
      <c r="Z751" s="143"/>
      <c r="AA751" s="143"/>
      <c r="AB751" s="17"/>
      <c r="AC751" s="17"/>
      <c r="AD751" s="17"/>
      <c r="AE751" s="17"/>
    </row>
    <row r="752">
      <c r="A752" s="88"/>
      <c r="B752" s="121"/>
      <c r="C752" s="311"/>
      <c r="D752" s="88"/>
      <c r="E752" s="121"/>
      <c r="F752" s="311"/>
      <c r="G752" s="88"/>
      <c r="H752" s="121"/>
      <c r="I752" s="311"/>
      <c r="J752" s="88"/>
      <c r="K752" s="121"/>
      <c r="L752" s="311"/>
      <c r="M752" s="316"/>
      <c r="N752" s="317"/>
      <c r="O752" s="318"/>
      <c r="P752" s="316"/>
      <c r="Q752" s="317"/>
      <c r="R752" s="318"/>
      <c r="S752" s="316"/>
      <c r="T752" s="317"/>
      <c r="U752" s="318"/>
      <c r="V752" s="88"/>
      <c r="W752" s="317"/>
      <c r="X752" s="311"/>
      <c r="Y752" s="143"/>
      <c r="Z752" s="143"/>
      <c r="AA752" s="143"/>
      <c r="AB752" s="17"/>
      <c r="AC752" s="17"/>
      <c r="AD752" s="17"/>
      <c r="AE752" s="17"/>
    </row>
    <row r="753">
      <c r="A753" s="88"/>
      <c r="B753" s="121"/>
      <c r="C753" s="311"/>
      <c r="D753" s="88"/>
      <c r="E753" s="121"/>
      <c r="F753" s="311"/>
      <c r="G753" s="88"/>
      <c r="H753" s="121"/>
      <c r="I753" s="311"/>
      <c r="J753" s="88"/>
      <c r="K753" s="121"/>
      <c r="L753" s="311"/>
      <c r="M753" s="316"/>
      <c r="N753" s="317"/>
      <c r="O753" s="318"/>
      <c r="P753" s="316"/>
      <c r="Q753" s="317"/>
      <c r="R753" s="318"/>
      <c r="S753" s="316"/>
      <c r="T753" s="317"/>
      <c r="U753" s="318"/>
      <c r="V753" s="88"/>
      <c r="W753" s="317"/>
      <c r="X753" s="311"/>
      <c r="Y753" s="143"/>
      <c r="Z753" s="143"/>
      <c r="AA753" s="143"/>
      <c r="AB753" s="17"/>
      <c r="AC753" s="17"/>
      <c r="AD753" s="17"/>
      <c r="AE753" s="17"/>
    </row>
    <row r="754">
      <c r="A754" s="88"/>
      <c r="B754" s="121"/>
      <c r="C754" s="311"/>
      <c r="D754" s="88"/>
      <c r="E754" s="121"/>
      <c r="F754" s="311"/>
      <c r="G754" s="88"/>
      <c r="H754" s="121"/>
      <c r="I754" s="311"/>
      <c r="J754" s="88"/>
      <c r="K754" s="121"/>
      <c r="L754" s="311"/>
      <c r="M754" s="316"/>
      <c r="N754" s="317"/>
      <c r="O754" s="318"/>
      <c r="P754" s="316"/>
      <c r="Q754" s="317"/>
      <c r="R754" s="318"/>
      <c r="S754" s="316"/>
      <c r="T754" s="317"/>
      <c r="U754" s="318"/>
      <c r="V754" s="88"/>
      <c r="W754" s="317"/>
      <c r="X754" s="311"/>
      <c r="Y754" s="143"/>
      <c r="Z754" s="143"/>
      <c r="AA754" s="143"/>
      <c r="AB754" s="17"/>
      <c r="AC754" s="17"/>
      <c r="AD754" s="17"/>
      <c r="AE754" s="17"/>
    </row>
    <row r="755">
      <c r="A755" s="88"/>
      <c r="B755" s="121"/>
      <c r="C755" s="311"/>
      <c r="D755" s="88"/>
      <c r="E755" s="121"/>
      <c r="F755" s="311"/>
      <c r="G755" s="88"/>
      <c r="H755" s="121"/>
      <c r="I755" s="311"/>
      <c r="J755" s="88"/>
      <c r="K755" s="121"/>
      <c r="L755" s="311"/>
      <c r="M755" s="316"/>
      <c r="N755" s="317"/>
      <c r="O755" s="318"/>
      <c r="P755" s="316"/>
      <c r="Q755" s="317"/>
      <c r="R755" s="318"/>
      <c r="S755" s="316"/>
      <c r="T755" s="317"/>
      <c r="U755" s="318"/>
      <c r="V755" s="88"/>
      <c r="W755" s="317"/>
      <c r="X755" s="311"/>
      <c r="Y755" s="143"/>
      <c r="Z755" s="143"/>
      <c r="AA755" s="143"/>
      <c r="AB755" s="17"/>
      <c r="AC755" s="17"/>
      <c r="AD755" s="17"/>
      <c r="AE755" s="17"/>
    </row>
    <row r="756">
      <c r="A756" s="88"/>
      <c r="B756" s="121"/>
      <c r="C756" s="311"/>
      <c r="D756" s="88"/>
      <c r="E756" s="121"/>
      <c r="F756" s="311"/>
      <c r="G756" s="88"/>
      <c r="H756" s="121"/>
      <c r="I756" s="311"/>
      <c r="J756" s="88"/>
      <c r="K756" s="121"/>
      <c r="L756" s="311"/>
      <c r="M756" s="316"/>
      <c r="N756" s="317"/>
      <c r="O756" s="318"/>
      <c r="P756" s="316"/>
      <c r="Q756" s="317"/>
      <c r="R756" s="318"/>
      <c r="S756" s="316"/>
      <c r="T756" s="317"/>
      <c r="U756" s="318"/>
      <c r="V756" s="88"/>
      <c r="W756" s="317"/>
      <c r="X756" s="311"/>
      <c r="Y756" s="143"/>
      <c r="Z756" s="143"/>
      <c r="AA756" s="143"/>
      <c r="AB756" s="17"/>
      <c r="AC756" s="17"/>
      <c r="AD756" s="17"/>
      <c r="AE756" s="17"/>
    </row>
    <row r="757">
      <c r="A757" s="88"/>
      <c r="B757" s="121"/>
      <c r="C757" s="311"/>
      <c r="D757" s="88"/>
      <c r="E757" s="121"/>
      <c r="F757" s="311"/>
      <c r="G757" s="88"/>
      <c r="H757" s="121"/>
      <c r="I757" s="311"/>
      <c r="J757" s="88"/>
      <c r="K757" s="121"/>
      <c r="L757" s="311"/>
      <c r="M757" s="316"/>
      <c r="N757" s="317"/>
      <c r="O757" s="318"/>
      <c r="P757" s="316"/>
      <c r="Q757" s="317"/>
      <c r="R757" s="318"/>
      <c r="S757" s="316"/>
      <c r="T757" s="317"/>
      <c r="U757" s="318"/>
      <c r="V757" s="88"/>
      <c r="W757" s="317"/>
      <c r="X757" s="311"/>
      <c r="Y757" s="143"/>
      <c r="Z757" s="143"/>
      <c r="AA757" s="143"/>
      <c r="AB757" s="17"/>
      <c r="AC757" s="17"/>
      <c r="AD757" s="17"/>
      <c r="AE757" s="17"/>
    </row>
    <row r="758">
      <c r="A758" s="88"/>
      <c r="B758" s="121"/>
      <c r="C758" s="311"/>
      <c r="D758" s="88"/>
      <c r="E758" s="121"/>
      <c r="F758" s="311"/>
      <c r="G758" s="88"/>
      <c r="H758" s="121"/>
      <c r="I758" s="311"/>
      <c r="J758" s="88"/>
      <c r="K758" s="121"/>
      <c r="L758" s="311"/>
      <c r="M758" s="316"/>
      <c r="N758" s="317"/>
      <c r="O758" s="318"/>
      <c r="P758" s="316"/>
      <c r="Q758" s="317"/>
      <c r="R758" s="318"/>
      <c r="S758" s="316"/>
      <c r="T758" s="317"/>
      <c r="U758" s="318"/>
      <c r="V758" s="88"/>
      <c r="W758" s="317"/>
      <c r="X758" s="311"/>
      <c r="Y758" s="143"/>
      <c r="Z758" s="143"/>
      <c r="AA758" s="143"/>
      <c r="AB758" s="17"/>
      <c r="AC758" s="17"/>
      <c r="AD758" s="17"/>
      <c r="AE758" s="17"/>
    </row>
    <row r="759">
      <c r="A759" s="88"/>
      <c r="B759" s="121"/>
      <c r="C759" s="311"/>
      <c r="D759" s="88"/>
      <c r="E759" s="121"/>
      <c r="F759" s="311"/>
      <c r="G759" s="88"/>
      <c r="H759" s="121"/>
      <c r="I759" s="311"/>
      <c r="J759" s="88"/>
      <c r="K759" s="121"/>
      <c r="L759" s="311"/>
      <c r="M759" s="316"/>
      <c r="N759" s="317"/>
      <c r="O759" s="318"/>
      <c r="P759" s="316"/>
      <c r="Q759" s="317"/>
      <c r="R759" s="318"/>
      <c r="S759" s="316"/>
      <c r="T759" s="317"/>
      <c r="U759" s="318"/>
      <c r="V759" s="88"/>
      <c r="W759" s="317"/>
      <c r="X759" s="311"/>
      <c r="Y759" s="143"/>
      <c r="Z759" s="143"/>
      <c r="AA759" s="143"/>
      <c r="AB759" s="17"/>
      <c r="AC759" s="17"/>
      <c r="AD759" s="17"/>
      <c r="AE759" s="17"/>
    </row>
    <row r="760">
      <c r="A760" s="88"/>
      <c r="B760" s="121"/>
      <c r="C760" s="311"/>
      <c r="D760" s="88"/>
      <c r="E760" s="121"/>
      <c r="F760" s="311"/>
      <c r="G760" s="88"/>
      <c r="H760" s="121"/>
      <c r="I760" s="311"/>
      <c r="J760" s="88"/>
      <c r="K760" s="121"/>
      <c r="L760" s="311"/>
      <c r="M760" s="316"/>
      <c r="N760" s="317"/>
      <c r="O760" s="318"/>
      <c r="P760" s="316"/>
      <c r="Q760" s="317"/>
      <c r="R760" s="318"/>
      <c r="S760" s="316"/>
      <c r="T760" s="317"/>
      <c r="U760" s="318"/>
      <c r="V760" s="88"/>
      <c r="W760" s="317"/>
      <c r="X760" s="311"/>
      <c r="Y760" s="143"/>
      <c r="Z760" s="143"/>
      <c r="AA760" s="143"/>
      <c r="AB760" s="17"/>
      <c r="AC760" s="17"/>
      <c r="AD760" s="17"/>
      <c r="AE760" s="17"/>
    </row>
    <row r="761">
      <c r="A761" s="88"/>
      <c r="B761" s="121"/>
      <c r="C761" s="311"/>
      <c r="D761" s="88"/>
      <c r="E761" s="121"/>
      <c r="F761" s="311"/>
      <c r="G761" s="88"/>
      <c r="H761" s="121"/>
      <c r="I761" s="311"/>
      <c r="J761" s="88"/>
      <c r="K761" s="121"/>
      <c r="L761" s="311"/>
      <c r="M761" s="316"/>
      <c r="N761" s="317"/>
      <c r="O761" s="318"/>
      <c r="P761" s="316"/>
      <c r="Q761" s="317"/>
      <c r="R761" s="318"/>
      <c r="S761" s="316"/>
      <c r="T761" s="317"/>
      <c r="U761" s="318"/>
      <c r="V761" s="88"/>
      <c r="W761" s="317"/>
      <c r="X761" s="311"/>
      <c r="Y761" s="143"/>
      <c r="Z761" s="143"/>
      <c r="AA761" s="143"/>
      <c r="AB761" s="17"/>
      <c r="AC761" s="17"/>
      <c r="AD761" s="17"/>
      <c r="AE761" s="17"/>
    </row>
    <row r="762">
      <c r="A762" s="88"/>
      <c r="B762" s="121"/>
      <c r="C762" s="311"/>
      <c r="D762" s="88"/>
      <c r="E762" s="121"/>
      <c r="F762" s="311"/>
      <c r="G762" s="88"/>
      <c r="H762" s="121"/>
      <c r="I762" s="311"/>
      <c r="J762" s="88"/>
      <c r="K762" s="121"/>
      <c r="L762" s="311"/>
      <c r="M762" s="316"/>
      <c r="N762" s="317"/>
      <c r="O762" s="318"/>
      <c r="P762" s="316"/>
      <c r="Q762" s="317"/>
      <c r="R762" s="318"/>
      <c r="S762" s="316"/>
      <c r="T762" s="317"/>
      <c r="U762" s="318"/>
      <c r="V762" s="88"/>
      <c r="W762" s="317"/>
      <c r="X762" s="311"/>
      <c r="Y762" s="143"/>
      <c r="Z762" s="143"/>
      <c r="AA762" s="143"/>
      <c r="AB762" s="17"/>
      <c r="AC762" s="17"/>
      <c r="AD762" s="17"/>
      <c r="AE762" s="17"/>
    </row>
    <row r="763">
      <c r="A763" s="88"/>
      <c r="B763" s="121"/>
      <c r="C763" s="311"/>
      <c r="D763" s="88"/>
      <c r="E763" s="121"/>
      <c r="F763" s="311"/>
      <c r="G763" s="88"/>
      <c r="H763" s="121"/>
      <c r="I763" s="311"/>
      <c r="J763" s="88"/>
      <c r="K763" s="121"/>
      <c r="L763" s="311"/>
      <c r="M763" s="316"/>
      <c r="N763" s="317"/>
      <c r="O763" s="318"/>
      <c r="P763" s="316"/>
      <c r="Q763" s="317"/>
      <c r="R763" s="318"/>
      <c r="S763" s="316"/>
      <c r="T763" s="317"/>
      <c r="U763" s="318"/>
      <c r="V763" s="88"/>
      <c r="W763" s="317"/>
      <c r="X763" s="311"/>
      <c r="Y763" s="143"/>
      <c r="Z763" s="143"/>
      <c r="AA763" s="143"/>
      <c r="AB763" s="17"/>
      <c r="AC763" s="17"/>
      <c r="AD763" s="17"/>
      <c r="AE763" s="17"/>
    </row>
    <row r="764">
      <c r="A764" s="88"/>
      <c r="B764" s="121"/>
      <c r="C764" s="311"/>
      <c r="D764" s="88"/>
      <c r="E764" s="121"/>
      <c r="F764" s="311"/>
      <c r="G764" s="88"/>
      <c r="H764" s="121"/>
      <c r="I764" s="311"/>
      <c r="J764" s="88"/>
      <c r="K764" s="121"/>
      <c r="L764" s="311"/>
      <c r="M764" s="316"/>
      <c r="N764" s="317"/>
      <c r="O764" s="318"/>
      <c r="P764" s="316"/>
      <c r="Q764" s="317"/>
      <c r="R764" s="318"/>
      <c r="S764" s="316"/>
      <c r="T764" s="317"/>
      <c r="U764" s="318"/>
      <c r="V764" s="88"/>
      <c r="W764" s="317"/>
      <c r="X764" s="311"/>
      <c r="Y764" s="143"/>
      <c r="Z764" s="143"/>
      <c r="AA764" s="143"/>
      <c r="AB764" s="17"/>
      <c r="AC764" s="17"/>
      <c r="AD764" s="17"/>
      <c r="AE764" s="17"/>
    </row>
    <row r="765">
      <c r="A765" s="88"/>
      <c r="B765" s="121"/>
      <c r="C765" s="311"/>
      <c r="D765" s="88"/>
      <c r="E765" s="121"/>
      <c r="F765" s="311"/>
      <c r="G765" s="88"/>
      <c r="H765" s="121"/>
      <c r="I765" s="311"/>
      <c r="J765" s="88"/>
      <c r="K765" s="121"/>
      <c r="L765" s="311"/>
      <c r="M765" s="316"/>
      <c r="N765" s="317"/>
      <c r="O765" s="318"/>
      <c r="P765" s="316"/>
      <c r="Q765" s="317"/>
      <c r="R765" s="318"/>
      <c r="S765" s="316"/>
      <c r="T765" s="317"/>
      <c r="U765" s="318"/>
      <c r="V765" s="88"/>
      <c r="W765" s="317"/>
      <c r="X765" s="311"/>
      <c r="Y765" s="143"/>
      <c r="Z765" s="143"/>
      <c r="AA765" s="143"/>
      <c r="AB765" s="17"/>
      <c r="AC765" s="17"/>
      <c r="AD765" s="17"/>
      <c r="AE765" s="17"/>
    </row>
    <row r="766">
      <c r="A766" s="88"/>
      <c r="B766" s="121"/>
      <c r="C766" s="311"/>
      <c r="D766" s="88"/>
      <c r="E766" s="121"/>
      <c r="F766" s="311"/>
      <c r="G766" s="88"/>
      <c r="H766" s="121"/>
      <c r="I766" s="311"/>
      <c r="J766" s="88"/>
      <c r="K766" s="121"/>
      <c r="L766" s="311"/>
      <c r="M766" s="316"/>
      <c r="N766" s="317"/>
      <c r="O766" s="318"/>
      <c r="P766" s="316"/>
      <c r="Q766" s="317"/>
      <c r="R766" s="318"/>
      <c r="S766" s="316"/>
      <c r="T766" s="317"/>
      <c r="U766" s="318"/>
      <c r="V766" s="88"/>
      <c r="W766" s="317"/>
      <c r="X766" s="311"/>
      <c r="Y766" s="143"/>
      <c r="Z766" s="143"/>
      <c r="AA766" s="143"/>
      <c r="AB766" s="17"/>
      <c r="AC766" s="17"/>
      <c r="AD766" s="17"/>
      <c r="AE766" s="17"/>
    </row>
    <row r="767">
      <c r="A767" s="88"/>
      <c r="B767" s="121"/>
      <c r="C767" s="311"/>
      <c r="D767" s="88"/>
      <c r="E767" s="121"/>
      <c r="F767" s="311"/>
      <c r="G767" s="88"/>
      <c r="H767" s="121"/>
      <c r="I767" s="311"/>
      <c r="J767" s="88"/>
      <c r="K767" s="121"/>
      <c r="L767" s="311"/>
      <c r="M767" s="316"/>
      <c r="N767" s="317"/>
      <c r="O767" s="318"/>
      <c r="P767" s="316"/>
      <c r="Q767" s="317"/>
      <c r="R767" s="318"/>
      <c r="S767" s="316"/>
      <c r="T767" s="317"/>
      <c r="U767" s="318"/>
      <c r="V767" s="88"/>
      <c r="W767" s="317"/>
      <c r="X767" s="311"/>
      <c r="Y767" s="143"/>
      <c r="Z767" s="143"/>
      <c r="AA767" s="143"/>
      <c r="AB767" s="17"/>
      <c r="AC767" s="17"/>
      <c r="AD767" s="17"/>
      <c r="AE767" s="17"/>
    </row>
    <row r="768">
      <c r="A768" s="88"/>
      <c r="B768" s="121"/>
      <c r="C768" s="311"/>
      <c r="D768" s="88"/>
      <c r="E768" s="121"/>
      <c r="F768" s="311"/>
      <c r="G768" s="88"/>
      <c r="H768" s="121"/>
      <c r="I768" s="311"/>
      <c r="J768" s="88"/>
      <c r="K768" s="121"/>
      <c r="L768" s="311"/>
      <c r="M768" s="316"/>
      <c r="N768" s="317"/>
      <c r="O768" s="318"/>
      <c r="P768" s="316"/>
      <c r="Q768" s="317"/>
      <c r="R768" s="318"/>
      <c r="S768" s="316"/>
      <c r="T768" s="317"/>
      <c r="U768" s="318"/>
      <c r="V768" s="88"/>
      <c r="W768" s="317"/>
      <c r="X768" s="311"/>
      <c r="Y768" s="143"/>
      <c r="Z768" s="143"/>
      <c r="AA768" s="143"/>
      <c r="AB768" s="17"/>
      <c r="AC768" s="17"/>
      <c r="AD768" s="17"/>
      <c r="AE768" s="17"/>
    </row>
    <row r="769">
      <c r="A769" s="88"/>
      <c r="B769" s="121"/>
      <c r="C769" s="311"/>
      <c r="D769" s="88"/>
      <c r="E769" s="121"/>
      <c r="F769" s="311"/>
      <c r="G769" s="88"/>
      <c r="H769" s="121"/>
      <c r="I769" s="311"/>
      <c r="J769" s="88"/>
      <c r="K769" s="121"/>
      <c r="L769" s="311"/>
      <c r="M769" s="316"/>
      <c r="N769" s="317"/>
      <c r="O769" s="318"/>
      <c r="P769" s="316"/>
      <c r="Q769" s="317"/>
      <c r="R769" s="318"/>
      <c r="S769" s="316"/>
      <c r="T769" s="317"/>
      <c r="U769" s="318"/>
      <c r="V769" s="88"/>
      <c r="W769" s="317"/>
      <c r="X769" s="311"/>
      <c r="Y769" s="143"/>
      <c r="Z769" s="143"/>
      <c r="AA769" s="143"/>
      <c r="AB769" s="17"/>
      <c r="AC769" s="17"/>
      <c r="AD769" s="17"/>
      <c r="AE769" s="17"/>
    </row>
    <row r="770">
      <c r="A770" s="88"/>
      <c r="B770" s="121"/>
      <c r="C770" s="311"/>
      <c r="D770" s="88"/>
      <c r="E770" s="121"/>
      <c r="F770" s="311"/>
      <c r="G770" s="88"/>
      <c r="H770" s="121"/>
      <c r="I770" s="311"/>
      <c r="J770" s="88"/>
      <c r="K770" s="121"/>
      <c r="L770" s="311"/>
      <c r="M770" s="316"/>
      <c r="N770" s="317"/>
      <c r="O770" s="318"/>
      <c r="P770" s="316"/>
      <c r="Q770" s="317"/>
      <c r="R770" s="318"/>
      <c r="S770" s="316"/>
      <c r="T770" s="317"/>
      <c r="U770" s="318"/>
      <c r="V770" s="88"/>
      <c r="W770" s="317"/>
      <c r="X770" s="311"/>
      <c r="Y770" s="143"/>
      <c r="Z770" s="143"/>
      <c r="AA770" s="143"/>
      <c r="AB770" s="17"/>
      <c r="AC770" s="17"/>
      <c r="AD770" s="17"/>
      <c r="AE770" s="17"/>
    </row>
    <row r="771">
      <c r="A771" s="88"/>
      <c r="B771" s="121"/>
      <c r="C771" s="311"/>
      <c r="D771" s="88"/>
      <c r="E771" s="121"/>
      <c r="F771" s="311"/>
      <c r="G771" s="88"/>
      <c r="H771" s="121"/>
      <c r="I771" s="311"/>
      <c r="J771" s="88"/>
      <c r="K771" s="121"/>
      <c r="L771" s="311"/>
      <c r="M771" s="316"/>
      <c r="N771" s="317"/>
      <c r="O771" s="318"/>
      <c r="P771" s="316"/>
      <c r="Q771" s="317"/>
      <c r="R771" s="318"/>
      <c r="S771" s="316"/>
      <c r="T771" s="317"/>
      <c r="U771" s="318"/>
      <c r="V771" s="88"/>
      <c r="W771" s="317"/>
      <c r="X771" s="311"/>
      <c r="Y771" s="143"/>
      <c r="Z771" s="143"/>
      <c r="AA771" s="143"/>
      <c r="AB771" s="17"/>
      <c r="AC771" s="17"/>
      <c r="AD771" s="17"/>
      <c r="AE771" s="17"/>
    </row>
    <row r="772">
      <c r="A772" s="88"/>
      <c r="B772" s="121"/>
      <c r="C772" s="311"/>
      <c r="D772" s="88"/>
      <c r="E772" s="121"/>
      <c r="F772" s="311"/>
      <c r="G772" s="88"/>
      <c r="H772" s="121"/>
      <c r="I772" s="311"/>
      <c r="J772" s="88"/>
      <c r="K772" s="121"/>
      <c r="L772" s="311"/>
      <c r="M772" s="316"/>
      <c r="N772" s="317"/>
      <c r="O772" s="318"/>
      <c r="P772" s="316"/>
      <c r="Q772" s="317"/>
      <c r="R772" s="318"/>
      <c r="S772" s="316"/>
      <c r="T772" s="317"/>
      <c r="U772" s="318"/>
      <c r="V772" s="88"/>
      <c r="W772" s="317"/>
      <c r="X772" s="311"/>
      <c r="Y772" s="143"/>
      <c r="Z772" s="143"/>
      <c r="AA772" s="143"/>
      <c r="AB772" s="17"/>
      <c r="AC772" s="17"/>
      <c r="AD772" s="17"/>
      <c r="AE772" s="17"/>
    </row>
    <row r="773">
      <c r="A773" s="88"/>
      <c r="B773" s="121"/>
      <c r="C773" s="311"/>
      <c r="D773" s="88"/>
      <c r="E773" s="121"/>
      <c r="F773" s="311"/>
      <c r="G773" s="88"/>
      <c r="H773" s="121"/>
      <c r="I773" s="311"/>
      <c r="J773" s="88"/>
      <c r="K773" s="121"/>
      <c r="L773" s="311"/>
      <c r="M773" s="316"/>
      <c r="N773" s="317"/>
      <c r="O773" s="318"/>
      <c r="P773" s="316"/>
      <c r="Q773" s="317"/>
      <c r="R773" s="318"/>
      <c r="S773" s="316"/>
      <c r="T773" s="317"/>
      <c r="U773" s="318"/>
      <c r="V773" s="88"/>
      <c r="W773" s="317"/>
      <c r="X773" s="311"/>
      <c r="Y773" s="143"/>
      <c r="Z773" s="143"/>
      <c r="AA773" s="143"/>
      <c r="AB773" s="17"/>
      <c r="AC773" s="17"/>
      <c r="AD773" s="17"/>
      <c r="AE773" s="17"/>
    </row>
    <row r="774">
      <c r="A774" s="88"/>
      <c r="B774" s="121"/>
      <c r="C774" s="311"/>
      <c r="D774" s="88"/>
      <c r="E774" s="121"/>
      <c r="F774" s="311"/>
      <c r="G774" s="88"/>
      <c r="H774" s="121"/>
      <c r="I774" s="311"/>
      <c r="J774" s="88"/>
      <c r="K774" s="121"/>
      <c r="L774" s="311"/>
      <c r="M774" s="316"/>
      <c r="N774" s="317"/>
      <c r="O774" s="318"/>
      <c r="P774" s="316"/>
      <c r="Q774" s="317"/>
      <c r="R774" s="318"/>
      <c r="S774" s="316"/>
      <c r="T774" s="317"/>
      <c r="U774" s="318"/>
      <c r="V774" s="88"/>
      <c r="W774" s="317"/>
      <c r="X774" s="311"/>
      <c r="Y774" s="143"/>
      <c r="Z774" s="143"/>
      <c r="AA774" s="143"/>
      <c r="AB774" s="17"/>
      <c r="AC774" s="17"/>
      <c r="AD774" s="17"/>
      <c r="AE774" s="17"/>
    </row>
    <row r="775">
      <c r="A775" s="88"/>
      <c r="B775" s="121"/>
      <c r="C775" s="311"/>
      <c r="D775" s="88"/>
      <c r="E775" s="121"/>
      <c r="F775" s="311"/>
      <c r="G775" s="88"/>
      <c r="H775" s="121"/>
      <c r="I775" s="311"/>
      <c r="J775" s="88"/>
      <c r="K775" s="121"/>
      <c r="L775" s="311"/>
      <c r="M775" s="316"/>
      <c r="N775" s="317"/>
      <c r="O775" s="318"/>
      <c r="P775" s="316"/>
      <c r="Q775" s="317"/>
      <c r="R775" s="318"/>
      <c r="S775" s="316"/>
      <c r="T775" s="317"/>
      <c r="U775" s="318"/>
      <c r="V775" s="88"/>
      <c r="W775" s="317"/>
      <c r="X775" s="311"/>
      <c r="Y775" s="143"/>
      <c r="Z775" s="143"/>
      <c r="AA775" s="143"/>
      <c r="AB775" s="17"/>
      <c r="AC775" s="17"/>
      <c r="AD775" s="17"/>
      <c r="AE775" s="17"/>
    </row>
    <row r="776">
      <c r="A776" s="88"/>
      <c r="B776" s="121"/>
      <c r="C776" s="311"/>
      <c r="D776" s="88"/>
      <c r="E776" s="121"/>
      <c r="F776" s="311"/>
      <c r="G776" s="88"/>
      <c r="H776" s="121"/>
      <c r="I776" s="311"/>
      <c r="J776" s="88"/>
      <c r="K776" s="121"/>
      <c r="L776" s="311"/>
      <c r="M776" s="316"/>
      <c r="N776" s="317"/>
      <c r="O776" s="318"/>
      <c r="P776" s="316"/>
      <c r="Q776" s="317"/>
      <c r="R776" s="318"/>
      <c r="S776" s="316"/>
      <c r="T776" s="317"/>
      <c r="U776" s="318"/>
      <c r="V776" s="88"/>
      <c r="W776" s="317"/>
      <c r="X776" s="311"/>
      <c r="Y776" s="143"/>
      <c r="Z776" s="143"/>
      <c r="AA776" s="143"/>
      <c r="AB776" s="17"/>
      <c r="AC776" s="17"/>
      <c r="AD776" s="17"/>
      <c r="AE776" s="17"/>
    </row>
    <row r="777">
      <c r="A777" s="88"/>
      <c r="B777" s="121"/>
      <c r="C777" s="311"/>
      <c r="D777" s="88"/>
      <c r="E777" s="121"/>
      <c r="F777" s="311"/>
      <c r="G777" s="88"/>
      <c r="H777" s="121"/>
      <c r="I777" s="311"/>
      <c r="J777" s="88"/>
      <c r="K777" s="121"/>
      <c r="L777" s="311"/>
      <c r="M777" s="316"/>
      <c r="N777" s="317"/>
      <c r="O777" s="318"/>
      <c r="P777" s="316"/>
      <c r="Q777" s="317"/>
      <c r="R777" s="318"/>
      <c r="S777" s="316"/>
      <c r="T777" s="317"/>
      <c r="U777" s="318"/>
      <c r="V777" s="88"/>
      <c r="W777" s="317"/>
      <c r="X777" s="311"/>
      <c r="Y777" s="143"/>
      <c r="Z777" s="143"/>
      <c r="AA777" s="143"/>
      <c r="AB777" s="17"/>
      <c r="AC777" s="17"/>
      <c r="AD777" s="17"/>
      <c r="AE777" s="17"/>
    </row>
    <row r="778">
      <c r="A778" s="88"/>
      <c r="B778" s="121"/>
      <c r="C778" s="311"/>
      <c r="D778" s="88"/>
      <c r="E778" s="121"/>
      <c r="F778" s="311"/>
      <c r="G778" s="88"/>
      <c r="H778" s="121"/>
      <c r="I778" s="311"/>
      <c r="J778" s="88"/>
      <c r="K778" s="121"/>
      <c r="L778" s="311"/>
      <c r="M778" s="316"/>
      <c r="N778" s="317"/>
      <c r="O778" s="318"/>
      <c r="P778" s="316"/>
      <c r="Q778" s="317"/>
      <c r="R778" s="318"/>
      <c r="S778" s="316"/>
      <c r="T778" s="317"/>
      <c r="U778" s="318"/>
      <c r="V778" s="88"/>
      <c r="W778" s="317"/>
      <c r="X778" s="311"/>
      <c r="Y778" s="143"/>
      <c r="Z778" s="143"/>
      <c r="AA778" s="143"/>
      <c r="AB778" s="17"/>
      <c r="AC778" s="17"/>
      <c r="AD778" s="17"/>
      <c r="AE778" s="17"/>
    </row>
    <row r="779">
      <c r="A779" s="88"/>
      <c r="B779" s="121"/>
      <c r="C779" s="311"/>
      <c r="D779" s="88"/>
      <c r="E779" s="121"/>
      <c r="F779" s="311"/>
      <c r="G779" s="88"/>
      <c r="H779" s="121"/>
      <c r="I779" s="311"/>
      <c r="J779" s="88"/>
      <c r="K779" s="121"/>
      <c r="L779" s="311"/>
      <c r="M779" s="316"/>
      <c r="N779" s="317"/>
      <c r="O779" s="318"/>
      <c r="P779" s="316"/>
      <c r="Q779" s="317"/>
      <c r="R779" s="318"/>
      <c r="S779" s="316"/>
      <c r="T779" s="317"/>
      <c r="U779" s="318"/>
      <c r="V779" s="88"/>
      <c r="W779" s="317"/>
      <c r="X779" s="311"/>
      <c r="Y779" s="143"/>
      <c r="Z779" s="143"/>
      <c r="AA779" s="143"/>
      <c r="AB779" s="17"/>
      <c r="AC779" s="17"/>
      <c r="AD779" s="17"/>
      <c r="AE779" s="17"/>
    </row>
    <row r="780">
      <c r="A780" s="88"/>
      <c r="B780" s="121"/>
      <c r="C780" s="311"/>
      <c r="D780" s="88"/>
      <c r="E780" s="121"/>
      <c r="F780" s="311"/>
      <c r="G780" s="88"/>
      <c r="H780" s="121"/>
      <c r="I780" s="311"/>
      <c r="J780" s="88"/>
      <c r="K780" s="121"/>
      <c r="L780" s="311"/>
      <c r="M780" s="316"/>
      <c r="N780" s="317"/>
      <c r="O780" s="318"/>
      <c r="P780" s="316"/>
      <c r="Q780" s="317"/>
      <c r="R780" s="318"/>
      <c r="S780" s="316"/>
      <c r="T780" s="317"/>
      <c r="U780" s="318"/>
      <c r="V780" s="88"/>
      <c r="W780" s="317"/>
      <c r="X780" s="311"/>
      <c r="Y780" s="143"/>
      <c r="Z780" s="143"/>
      <c r="AA780" s="143"/>
      <c r="AB780" s="17"/>
      <c r="AC780" s="17"/>
      <c r="AD780" s="17"/>
      <c r="AE780" s="17"/>
    </row>
    <row r="781">
      <c r="A781" s="88"/>
      <c r="B781" s="121"/>
      <c r="C781" s="311"/>
      <c r="D781" s="88"/>
      <c r="E781" s="121"/>
      <c r="F781" s="311"/>
      <c r="G781" s="88"/>
      <c r="H781" s="121"/>
      <c r="I781" s="311"/>
      <c r="J781" s="88"/>
      <c r="K781" s="121"/>
      <c r="L781" s="311"/>
      <c r="M781" s="316"/>
      <c r="N781" s="317"/>
      <c r="O781" s="318"/>
      <c r="P781" s="316"/>
      <c r="Q781" s="317"/>
      <c r="R781" s="318"/>
      <c r="S781" s="316"/>
      <c r="T781" s="317"/>
      <c r="U781" s="318"/>
      <c r="V781" s="88"/>
      <c r="W781" s="317"/>
      <c r="X781" s="311"/>
      <c r="Y781" s="143"/>
      <c r="Z781" s="143"/>
      <c r="AA781" s="143"/>
      <c r="AB781" s="17"/>
      <c r="AC781" s="17"/>
      <c r="AD781" s="17"/>
      <c r="AE781" s="17"/>
    </row>
    <row r="782">
      <c r="A782" s="88"/>
      <c r="B782" s="121"/>
      <c r="C782" s="311"/>
      <c r="D782" s="88"/>
      <c r="E782" s="121"/>
      <c r="F782" s="311"/>
      <c r="G782" s="88"/>
      <c r="H782" s="121"/>
      <c r="I782" s="311"/>
      <c r="J782" s="88"/>
      <c r="K782" s="121"/>
      <c r="L782" s="311"/>
      <c r="M782" s="316"/>
      <c r="N782" s="317"/>
      <c r="O782" s="318"/>
      <c r="P782" s="316"/>
      <c r="Q782" s="317"/>
      <c r="R782" s="318"/>
      <c r="S782" s="316"/>
      <c r="T782" s="317"/>
      <c r="U782" s="318"/>
      <c r="V782" s="88"/>
      <c r="W782" s="317"/>
      <c r="X782" s="311"/>
      <c r="Y782" s="143"/>
      <c r="Z782" s="143"/>
      <c r="AA782" s="143"/>
      <c r="AB782" s="17"/>
      <c r="AC782" s="17"/>
      <c r="AD782" s="17"/>
      <c r="AE782" s="17"/>
    </row>
    <row r="783">
      <c r="A783" s="88"/>
      <c r="B783" s="121"/>
      <c r="C783" s="311"/>
      <c r="D783" s="88"/>
      <c r="E783" s="121"/>
      <c r="F783" s="311"/>
      <c r="G783" s="88"/>
      <c r="H783" s="121"/>
      <c r="I783" s="311"/>
      <c r="J783" s="88"/>
      <c r="K783" s="121"/>
      <c r="L783" s="311"/>
      <c r="M783" s="316"/>
      <c r="N783" s="317"/>
      <c r="O783" s="318"/>
      <c r="P783" s="316"/>
      <c r="Q783" s="317"/>
      <c r="R783" s="318"/>
      <c r="S783" s="316"/>
      <c r="T783" s="317"/>
      <c r="U783" s="318"/>
      <c r="V783" s="88"/>
      <c r="W783" s="317"/>
      <c r="X783" s="311"/>
      <c r="Y783" s="143"/>
      <c r="Z783" s="143"/>
      <c r="AA783" s="143"/>
      <c r="AB783" s="17"/>
      <c r="AC783" s="17"/>
      <c r="AD783" s="17"/>
      <c r="AE783" s="17"/>
    </row>
    <row r="784">
      <c r="A784" s="88"/>
      <c r="B784" s="121"/>
      <c r="C784" s="311"/>
      <c r="D784" s="88"/>
      <c r="E784" s="121"/>
      <c r="F784" s="311"/>
      <c r="G784" s="88"/>
      <c r="H784" s="121"/>
      <c r="I784" s="311"/>
      <c r="J784" s="88"/>
      <c r="K784" s="121"/>
      <c r="L784" s="311"/>
      <c r="M784" s="316"/>
      <c r="N784" s="317"/>
      <c r="O784" s="318"/>
      <c r="P784" s="316"/>
      <c r="Q784" s="317"/>
      <c r="R784" s="318"/>
      <c r="S784" s="316"/>
      <c r="T784" s="317"/>
      <c r="U784" s="318"/>
      <c r="V784" s="88"/>
      <c r="W784" s="317"/>
      <c r="X784" s="311"/>
      <c r="Y784" s="143"/>
      <c r="Z784" s="143"/>
      <c r="AA784" s="143"/>
      <c r="AB784" s="17"/>
      <c r="AC784" s="17"/>
      <c r="AD784" s="17"/>
      <c r="AE784" s="17"/>
    </row>
    <row r="785">
      <c r="A785" s="88"/>
      <c r="B785" s="121"/>
      <c r="C785" s="311"/>
      <c r="D785" s="88"/>
      <c r="E785" s="121"/>
      <c r="F785" s="311"/>
      <c r="G785" s="88"/>
      <c r="H785" s="121"/>
      <c r="I785" s="311"/>
      <c r="J785" s="88"/>
      <c r="K785" s="121"/>
      <c r="L785" s="311"/>
      <c r="M785" s="316"/>
      <c r="N785" s="317"/>
      <c r="O785" s="318"/>
      <c r="P785" s="316"/>
      <c r="Q785" s="317"/>
      <c r="R785" s="318"/>
      <c r="S785" s="316"/>
      <c r="T785" s="317"/>
      <c r="U785" s="318"/>
      <c r="V785" s="88"/>
      <c r="W785" s="317"/>
      <c r="X785" s="311"/>
      <c r="Y785" s="143"/>
      <c r="Z785" s="143"/>
      <c r="AA785" s="143"/>
      <c r="AB785" s="17"/>
      <c r="AC785" s="17"/>
      <c r="AD785" s="17"/>
      <c r="AE785" s="17"/>
    </row>
    <row r="786">
      <c r="A786" s="88"/>
      <c r="B786" s="121"/>
      <c r="C786" s="311"/>
      <c r="D786" s="88"/>
      <c r="E786" s="121"/>
      <c r="F786" s="311"/>
      <c r="G786" s="88"/>
      <c r="H786" s="121"/>
      <c r="I786" s="311"/>
      <c r="J786" s="88"/>
      <c r="K786" s="121"/>
      <c r="L786" s="311"/>
      <c r="M786" s="316"/>
      <c r="N786" s="317"/>
      <c r="O786" s="318"/>
      <c r="P786" s="316"/>
      <c r="Q786" s="317"/>
      <c r="R786" s="318"/>
      <c r="S786" s="316"/>
      <c r="T786" s="317"/>
      <c r="U786" s="318"/>
      <c r="V786" s="88"/>
      <c r="W786" s="317"/>
      <c r="X786" s="311"/>
      <c r="Y786" s="143"/>
      <c r="Z786" s="143"/>
      <c r="AA786" s="143"/>
      <c r="AB786" s="17"/>
      <c r="AC786" s="17"/>
      <c r="AD786" s="17"/>
      <c r="AE786" s="17"/>
    </row>
    <row r="787">
      <c r="A787" s="88"/>
      <c r="B787" s="121"/>
      <c r="C787" s="311"/>
      <c r="D787" s="88"/>
      <c r="E787" s="121"/>
      <c r="F787" s="311"/>
      <c r="G787" s="88"/>
      <c r="H787" s="121"/>
      <c r="I787" s="311"/>
      <c r="J787" s="88"/>
      <c r="K787" s="121"/>
      <c r="L787" s="311"/>
      <c r="M787" s="316"/>
      <c r="N787" s="317"/>
      <c r="O787" s="318"/>
      <c r="P787" s="316"/>
      <c r="Q787" s="317"/>
      <c r="R787" s="318"/>
      <c r="S787" s="316"/>
      <c r="T787" s="317"/>
      <c r="U787" s="318"/>
      <c r="V787" s="88"/>
      <c r="W787" s="317"/>
      <c r="X787" s="311"/>
      <c r="Y787" s="143"/>
      <c r="Z787" s="143"/>
      <c r="AA787" s="143"/>
      <c r="AB787" s="17"/>
      <c r="AC787" s="17"/>
      <c r="AD787" s="17"/>
      <c r="AE787" s="17"/>
    </row>
    <row r="788">
      <c r="A788" s="88"/>
      <c r="B788" s="121"/>
      <c r="C788" s="311"/>
      <c r="D788" s="88"/>
      <c r="E788" s="121"/>
      <c r="F788" s="311"/>
      <c r="G788" s="88"/>
      <c r="H788" s="121"/>
      <c r="I788" s="311"/>
      <c r="J788" s="88"/>
      <c r="K788" s="121"/>
      <c r="L788" s="311"/>
      <c r="M788" s="316"/>
      <c r="N788" s="317"/>
      <c r="O788" s="318"/>
      <c r="P788" s="316"/>
      <c r="Q788" s="317"/>
      <c r="R788" s="318"/>
      <c r="S788" s="316"/>
      <c r="T788" s="317"/>
      <c r="U788" s="318"/>
      <c r="V788" s="88"/>
      <c r="W788" s="317"/>
      <c r="X788" s="311"/>
      <c r="Y788" s="143"/>
      <c r="Z788" s="143"/>
      <c r="AA788" s="143"/>
      <c r="AB788" s="17"/>
      <c r="AC788" s="17"/>
      <c r="AD788" s="17"/>
      <c r="AE788" s="17"/>
    </row>
    <row r="789">
      <c r="A789" s="88"/>
      <c r="B789" s="121"/>
      <c r="C789" s="311"/>
      <c r="D789" s="88"/>
      <c r="E789" s="121"/>
      <c r="F789" s="311"/>
      <c r="G789" s="88"/>
      <c r="H789" s="121"/>
      <c r="I789" s="311"/>
      <c r="J789" s="88"/>
      <c r="K789" s="121"/>
      <c r="L789" s="311"/>
      <c r="M789" s="316"/>
      <c r="N789" s="317"/>
      <c r="O789" s="318"/>
      <c r="P789" s="316"/>
      <c r="Q789" s="317"/>
      <c r="R789" s="318"/>
      <c r="S789" s="316"/>
      <c r="T789" s="317"/>
      <c r="U789" s="318"/>
      <c r="V789" s="88"/>
      <c r="W789" s="317"/>
      <c r="X789" s="311"/>
      <c r="Y789" s="143"/>
      <c r="Z789" s="143"/>
      <c r="AA789" s="143"/>
      <c r="AB789" s="17"/>
      <c r="AC789" s="17"/>
      <c r="AD789" s="17"/>
      <c r="AE789" s="17"/>
    </row>
    <row r="790">
      <c r="A790" s="88"/>
      <c r="B790" s="121"/>
      <c r="C790" s="311"/>
      <c r="D790" s="88"/>
      <c r="E790" s="121"/>
      <c r="F790" s="311"/>
      <c r="G790" s="88"/>
      <c r="H790" s="121"/>
      <c r="I790" s="311"/>
      <c r="J790" s="88"/>
      <c r="K790" s="121"/>
      <c r="L790" s="311"/>
      <c r="M790" s="316"/>
      <c r="N790" s="317"/>
      <c r="O790" s="318"/>
      <c r="P790" s="316"/>
      <c r="Q790" s="317"/>
      <c r="R790" s="318"/>
      <c r="S790" s="316"/>
      <c r="T790" s="317"/>
      <c r="U790" s="318"/>
      <c r="V790" s="88"/>
      <c r="W790" s="317"/>
      <c r="X790" s="311"/>
      <c r="Y790" s="143"/>
      <c r="Z790" s="143"/>
      <c r="AA790" s="143"/>
      <c r="AB790" s="17"/>
      <c r="AC790" s="17"/>
      <c r="AD790" s="17"/>
      <c r="AE790" s="17"/>
    </row>
    <row r="791">
      <c r="A791" s="88"/>
      <c r="B791" s="121"/>
      <c r="C791" s="311"/>
      <c r="D791" s="88"/>
      <c r="E791" s="121"/>
      <c r="F791" s="311"/>
      <c r="G791" s="88"/>
      <c r="H791" s="121"/>
      <c r="I791" s="311"/>
      <c r="J791" s="88"/>
      <c r="K791" s="121"/>
      <c r="L791" s="311"/>
      <c r="M791" s="316"/>
      <c r="N791" s="317"/>
      <c r="O791" s="318"/>
      <c r="P791" s="316"/>
      <c r="Q791" s="317"/>
      <c r="R791" s="318"/>
      <c r="S791" s="316"/>
      <c r="T791" s="317"/>
      <c r="U791" s="318"/>
      <c r="V791" s="88"/>
      <c r="W791" s="317"/>
      <c r="X791" s="311"/>
      <c r="Y791" s="143"/>
      <c r="Z791" s="143"/>
      <c r="AA791" s="143"/>
      <c r="AB791" s="17"/>
      <c r="AC791" s="17"/>
      <c r="AD791" s="17"/>
      <c r="AE791" s="17"/>
    </row>
    <row r="792">
      <c r="A792" s="88"/>
      <c r="B792" s="121"/>
      <c r="C792" s="311"/>
      <c r="D792" s="88"/>
      <c r="E792" s="121"/>
      <c r="F792" s="311"/>
      <c r="G792" s="88"/>
      <c r="H792" s="121"/>
      <c r="I792" s="311"/>
      <c r="J792" s="88"/>
      <c r="K792" s="121"/>
      <c r="L792" s="311"/>
      <c r="M792" s="316"/>
      <c r="N792" s="317"/>
      <c r="O792" s="318"/>
      <c r="P792" s="316"/>
      <c r="Q792" s="317"/>
      <c r="R792" s="318"/>
      <c r="S792" s="316"/>
      <c r="T792" s="317"/>
      <c r="U792" s="318"/>
      <c r="V792" s="88"/>
      <c r="W792" s="317"/>
      <c r="X792" s="311"/>
      <c r="Y792" s="143"/>
      <c r="Z792" s="143"/>
      <c r="AA792" s="143"/>
      <c r="AB792" s="17"/>
      <c r="AC792" s="17"/>
      <c r="AD792" s="17"/>
      <c r="AE792" s="17"/>
    </row>
    <row r="793">
      <c r="A793" s="88"/>
      <c r="B793" s="121"/>
      <c r="C793" s="311"/>
      <c r="D793" s="88"/>
      <c r="E793" s="121"/>
      <c r="F793" s="311"/>
      <c r="G793" s="88"/>
      <c r="H793" s="121"/>
      <c r="I793" s="311"/>
      <c r="J793" s="88"/>
      <c r="K793" s="121"/>
      <c r="L793" s="311"/>
      <c r="M793" s="316"/>
      <c r="N793" s="317"/>
      <c r="O793" s="318"/>
      <c r="P793" s="316"/>
      <c r="Q793" s="317"/>
      <c r="R793" s="318"/>
      <c r="S793" s="316"/>
      <c r="T793" s="317"/>
      <c r="U793" s="318"/>
      <c r="V793" s="88"/>
      <c r="W793" s="317"/>
      <c r="X793" s="311"/>
      <c r="Y793" s="143"/>
      <c r="Z793" s="143"/>
      <c r="AA793" s="143"/>
      <c r="AB793" s="17"/>
      <c r="AC793" s="17"/>
      <c r="AD793" s="17"/>
      <c r="AE793" s="17"/>
    </row>
    <row r="794">
      <c r="A794" s="88"/>
      <c r="B794" s="121"/>
      <c r="C794" s="311"/>
      <c r="D794" s="88"/>
      <c r="E794" s="121"/>
      <c r="F794" s="311"/>
      <c r="G794" s="88"/>
      <c r="H794" s="121"/>
      <c r="I794" s="311"/>
      <c r="J794" s="88"/>
      <c r="K794" s="121"/>
      <c r="L794" s="311"/>
      <c r="M794" s="316"/>
      <c r="N794" s="317"/>
      <c r="O794" s="318"/>
      <c r="P794" s="316"/>
      <c r="Q794" s="317"/>
      <c r="R794" s="318"/>
      <c r="S794" s="316"/>
      <c r="T794" s="317"/>
      <c r="U794" s="318"/>
      <c r="V794" s="88"/>
      <c r="W794" s="317"/>
      <c r="X794" s="311"/>
      <c r="Y794" s="143"/>
      <c r="Z794" s="143"/>
      <c r="AA794" s="143"/>
      <c r="AB794" s="17"/>
      <c r="AC794" s="17"/>
      <c r="AD794" s="17"/>
      <c r="AE794" s="17"/>
    </row>
    <row r="795">
      <c r="A795" s="88"/>
      <c r="B795" s="121"/>
      <c r="C795" s="311"/>
      <c r="D795" s="88"/>
      <c r="E795" s="121"/>
      <c r="F795" s="311"/>
      <c r="G795" s="88"/>
      <c r="H795" s="121"/>
      <c r="I795" s="311"/>
      <c r="J795" s="88"/>
      <c r="K795" s="121"/>
      <c r="L795" s="311"/>
      <c r="M795" s="316"/>
      <c r="N795" s="317"/>
      <c r="O795" s="318"/>
      <c r="P795" s="316"/>
      <c r="Q795" s="317"/>
      <c r="R795" s="318"/>
      <c r="S795" s="316"/>
      <c r="T795" s="317"/>
      <c r="U795" s="318"/>
      <c r="V795" s="88"/>
      <c r="W795" s="317"/>
      <c r="X795" s="311"/>
      <c r="Y795" s="143"/>
      <c r="Z795" s="143"/>
      <c r="AA795" s="143"/>
      <c r="AB795" s="17"/>
      <c r="AC795" s="17"/>
      <c r="AD795" s="17"/>
      <c r="AE795" s="17"/>
    </row>
    <row r="796">
      <c r="A796" s="88"/>
      <c r="B796" s="121"/>
      <c r="C796" s="311"/>
      <c r="D796" s="88"/>
      <c r="E796" s="121"/>
      <c r="F796" s="311"/>
      <c r="G796" s="88"/>
      <c r="H796" s="121"/>
      <c r="I796" s="311"/>
      <c r="J796" s="88"/>
      <c r="K796" s="121"/>
      <c r="L796" s="311"/>
      <c r="M796" s="316"/>
      <c r="N796" s="317"/>
      <c r="O796" s="318"/>
      <c r="P796" s="316"/>
      <c r="Q796" s="317"/>
      <c r="R796" s="318"/>
      <c r="S796" s="316"/>
      <c r="T796" s="317"/>
      <c r="U796" s="318"/>
      <c r="V796" s="88"/>
      <c r="W796" s="317"/>
      <c r="X796" s="311"/>
      <c r="Y796" s="143"/>
      <c r="Z796" s="143"/>
      <c r="AA796" s="143"/>
      <c r="AB796" s="17"/>
      <c r="AC796" s="17"/>
      <c r="AD796" s="17"/>
      <c r="AE796" s="17"/>
    </row>
    <row r="797">
      <c r="A797" s="88"/>
      <c r="B797" s="121"/>
      <c r="C797" s="311"/>
      <c r="D797" s="88"/>
      <c r="E797" s="121"/>
      <c r="F797" s="311"/>
      <c r="G797" s="88"/>
      <c r="H797" s="121"/>
      <c r="I797" s="311"/>
      <c r="J797" s="88"/>
      <c r="K797" s="121"/>
      <c r="L797" s="311"/>
      <c r="M797" s="316"/>
      <c r="N797" s="317"/>
      <c r="O797" s="318"/>
      <c r="P797" s="316"/>
      <c r="Q797" s="317"/>
      <c r="R797" s="318"/>
      <c r="S797" s="316"/>
      <c r="T797" s="317"/>
      <c r="U797" s="318"/>
      <c r="V797" s="88"/>
      <c r="W797" s="317"/>
      <c r="X797" s="311"/>
      <c r="Y797" s="143"/>
      <c r="Z797" s="143"/>
      <c r="AA797" s="143"/>
      <c r="AB797" s="17"/>
      <c r="AC797" s="17"/>
      <c r="AD797" s="17"/>
      <c r="AE797" s="17"/>
    </row>
    <row r="798">
      <c r="A798" s="88"/>
      <c r="B798" s="121"/>
      <c r="C798" s="311"/>
      <c r="D798" s="88"/>
      <c r="E798" s="121"/>
      <c r="F798" s="311"/>
      <c r="G798" s="88"/>
      <c r="H798" s="121"/>
      <c r="I798" s="311"/>
      <c r="J798" s="88"/>
      <c r="K798" s="121"/>
      <c r="L798" s="311"/>
      <c r="M798" s="316"/>
      <c r="N798" s="317"/>
      <c r="O798" s="318"/>
      <c r="P798" s="316"/>
      <c r="Q798" s="317"/>
      <c r="R798" s="318"/>
      <c r="S798" s="316"/>
      <c r="T798" s="317"/>
      <c r="U798" s="318"/>
      <c r="V798" s="88"/>
      <c r="W798" s="317"/>
      <c r="X798" s="311"/>
      <c r="Y798" s="143"/>
      <c r="Z798" s="143"/>
      <c r="AA798" s="143"/>
      <c r="AB798" s="17"/>
      <c r="AC798" s="17"/>
      <c r="AD798" s="17"/>
      <c r="AE798" s="17"/>
    </row>
    <row r="799">
      <c r="A799" s="88"/>
      <c r="B799" s="121"/>
      <c r="C799" s="311"/>
      <c r="D799" s="88"/>
      <c r="E799" s="121"/>
      <c r="F799" s="311"/>
      <c r="G799" s="88"/>
      <c r="H799" s="121"/>
      <c r="I799" s="311"/>
      <c r="J799" s="88"/>
      <c r="K799" s="121"/>
      <c r="L799" s="311"/>
      <c r="M799" s="316"/>
      <c r="N799" s="317"/>
      <c r="O799" s="318"/>
      <c r="P799" s="316"/>
      <c r="Q799" s="317"/>
      <c r="R799" s="318"/>
      <c r="S799" s="316"/>
      <c r="T799" s="317"/>
      <c r="U799" s="318"/>
      <c r="V799" s="88"/>
      <c r="W799" s="317"/>
      <c r="X799" s="311"/>
      <c r="Y799" s="143"/>
      <c r="Z799" s="143"/>
      <c r="AA799" s="143"/>
      <c r="AB799" s="17"/>
      <c r="AC799" s="17"/>
      <c r="AD799" s="17"/>
      <c r="AE799" s="17"/>
    </row>
    <row r="800">
      <c r="A800" s="88"/>
      <c r="B800" s="121"/>
      <c r="C800" s="311"/>
      <c r="D800" s="88"/>
      <c r="E800" s="121"/>
      <c r="F800" s="311"/>
      <c r="G800" s="88"/>
      <c r="H800" s="121"/>
      <c r="I800" s="311"/>
      <c r="J800" s="88"/>
      <c r="K800" s="121"/>
      <c r="L800" s="311"/>
      <c r="M800" s="316"/>
      <c r="N800" s="317"/>
      <c r="O800" s="318"/>
      <c r="P800" s="316"/>
      <c r="Q800" s="317"/>
      <c r="R800" s="318"/>
      <c r="S800" s="316"/>
      <c r="T800" s="317"/>
      <c r="U800" s="318"/>
      <c r="V800" s="88"/>
      <c r="W800" s="317"/>
      <c r="X800" s="311"/>
      <c r="Y800" s="143"/>
      <c r="Z800" s="143"/>
      <c r="AA800" s="143"/>
      <c r="AB800" s="17"/>
      <c r="AC800" s="17"/>
      <c r="AD800" s="17"/>
      <c r="AE800" s="17"/>
    </row>
    <row r="801">
      <c r="A801" s="88"/>
      <c r="B801" s="121"/>
      <c r="C801" s="311"/>
      <c r="D801" s="88"/>
      <c r="E801" s="121"/>
      <c r="F801" s="311"/>
      <c r="G801" s="88"/>
      <c r="H801" s="121"/>
      <c r="I801" s="311"/>
      <c r="J801" s="88"/>
      <c r="K801" s="121"/>
      <c r="L801" s="311"/>
      <c r="M801" s="316"/>
      <c r="N801" s="317"/>
      <c r="O801" s="318"/>
      <c r="P801" s="316"/>
      <c r="Q801" s="317"/>
      <c r="R801" s="318"/>
      <c r="S801" s="316"/>
      <c r="T801" s="317"/>
      <c r="U801" s="318"/>
      <c r="V801" s="88"/>
      <c r="W801" s="317"/>
      <c r="X801" s="311"/>
      <c r="Y801" s="143"/>
      <c r="Z801" s="143"/>
      <c r="AA801" s="143"/>
      <c r="AB801" s="17"/>
      <c r="AC801" s="17"/>
      <c r="AD801" s="17"/>
      <c r="AE801" s="17"/>
    </row>
    <row r="802">
      <c r="A802" s="88"/>
      <c r="B802" s="121"/>
      <c r="C802" s="311"/>
      <c r="D802" s="88"/>
      <c r="E802" s="121"/>
      <c r="F802" s="311"/>
      <c r="G802" s="88"/>
      <c r="H802" s="121"/>
      <c r="I802" s="311"/>
      <c r="J802" s="88"/>
      <c r="K802" s="121"/>
      <c r="L802" s="311"/>
      <c r="M802" s="316"/>
      <c r="N802" s="317"/>
      <c r="O802" s="318"/>
      <c r="P802" s="316"/>
      <c r="Q802" s="317"/>
      <c r="R802" s="318"/>
      <c r="S802" s="316"/>
      <c r="T802" s="317"/>
      <c r="U802" s="318"/>
      <c r="V802" s="88"/>
      <c r="W802" s="317"/>
      <c r="X802" s="311"/>
      <c r="Y802" s="143"/>
      <c r="Z802" s="143"/>
      <c r="AA802" s="143"/>
      <c r="AB802" s="17"/>
      <c r="AC802" s="17"/>
      <c r="AD802" s="17"/>
      <c r="AE802" s="17"/>
    </row>
    <row r="803">
      <c r="A803" s="88"/>
      <c r="B803" s="121"/>
      <c r="C803" s="311"/>
      <c r="D803" s="88"/>
      <c r="E803" s="121"/>
      <c r="F803" s="311"/>
      <c r="G803" s="88"/>
      <c r="H803" s="121"/>
      <c r="I803" s="311"/>
      <c r="J803" s="88"/>
      <c r="K803" s="121"/>
      <c r="L803" s="311"/>
      <c r="M803" s="316"/>
      <c r="N803" s="317"/>
      <c r="O803" s="318"/>
      <c r="P803" s="316"/>
      <c r="Q803" s="317"/>
      <c r="R803" s="318"/>
      <c r="S803" s="316"/>
      <c r="T803" s="317"/>
      <c r="U803" s="318"/>
      <c r="V803" s="88"/>
      <c r="W803" s="317"/>
      <c r="X803" s="311"/>
      <c r="Y803" s="143"/>
      <c r="Z803" s="143"/>
      <c r="AA803" s="143"/>
      <c r="AB803" s="17"/>
      <c r="AC803" s="17"/>
      <c r="AD803" s="17"/>
      <c r="AE803" s="17"/>
    </row>
    <row r="804">
      <c r="A804" s="88"/>
      <c r="B804" s="121"/>
      <c r="C804" s="311"/>
      <c r="D804" s="88"/>
      <c r="E804" s="121"/>
      <c r="F804" s="311"/>
      <c r="G804" s="88"/>
      <c r="H804" s="121"/>
      <c r="I804" s="311"/>
      <c r="J804" s="88"/>
      <c r="K804" s="121"/>
      <c r="L804" s="311"/>
      <c r="M804" s="316"/>
      <c r="N804" s="317"/>
      <c r="O804" s="318"/>
      <c r="P804" s="316"/>
      <c r="Q804" s="317"/>
      <c r="R804" s="318"/>
      <c r="S804" s="316"/>
      <c r="T804" s="317"/>
      <c r="U804" s="318"/>
      <c r="V804" s="88"/>
      <c r="W804" s="317"/>
      <c r="X804" s="311"/>
      <c r="Y804" s="143"/>
      <c r="Z804" s="143"/>
      <c r="AA804" s="143"/>
      <c r="AB804" s="17"/>
      <c r="AC804" s="17"/>
      <c r="AD804" s="17"/>
      <c r="AE804" s="17"/>
    </row>
    <row r="805">
      <c r="A805" s="88"/>
      <c r="B805" s="121"/>
      <c r="C805" s="311"/>
      <c r="D805" s="88"/>
      <c r="E805" s="121"/>
      <c r="F805" s="311"/>
      <c r="G805" s="88"/>
      <c r="H805" s="121"/>
      <c r="I805" s="311"/>
      <c r="J805" s="88"/>
      <c r="K805" s="121"/>
      <c r="L805" s="311"/>
      <c r="M805" s="316"/>
      <c r="N805" s="317"/>
      <c r="O805" s="318"/>
      <c r="P805" s="316"/>
      <c r="Q805" s="317"/>
      <c r="R805" s="318"/>
      <c r="S805" s="316"/>
      <c r="T805" s="317"/>
      <c r="U805" s="318"/>
      <c r="V805" s="88"/>
      <c r="W805" s="317"/>
      <c r="X805" s="311"/>
      <c r="Y805" s="143"/>
      <c r="Z805" s="143"/>
      <c r="AA805" s="143"/>
      <c r="AB805" s="17"/>
      <c r="AC805" s="17"/>
      <c r="AD805" s="17"/>
      <c r="AE805" s="17"/>
    </row>
    <row r="806">
      <c r="A806" s="88"/>
      <c r="B806" s="121"/>
      <c r="C806" s="311"/>
      <c r="D806" s="88"/>
      <c r="E806" s="121"/>
      <c r="F806" s="311"/>
      <c r="G806" s="88"/>
      <c r="H806" s="121"/>
      <c r="I806" s="311"/>
      <c r="J806" s="88"/>
      <c r="K806" s="121"/>
      <c r="L806" s="311"/>
      <c r="M806" s="316"/>
      <c r="N806" s="317"/>
      <c r="O806" s="318"/>
      <c r="P806" s="316"/>
      <c r="Q806" s="317"/>
      <c r="R806" s="318"/>
      <c r="S806" s="316"/>
      <c r="T806" s="317"/>
      <c r="U806" s="318"/>
      <c r="V806" s="88"/>
      <c r="W806" s="317"/>
      <c r="X806" s="311"/>
      <c r="Y806" s="143"/>
      <c r="Z806" s="143"/>
      <c r="AA806" s="143"/>
      <c r="AB806" s="17"/>
      <c r="AC806" s="17"/>
      <c r="AD806" s="17"/>
      <c r="AE806" s="17"/>
    </row>
    <row r="807">
      <c r="A807" s="88"/>
      <c r="B807" s="121"/>
      <c r="C807" s="311"/>
      <c r="D807" s="88"/>
      <c r="E807" s="121"/>
      <c r="F807" s="311"/>
      <c r="G807" s="88"/>
      <c r="H807" s="121"/>
      <c r="I807" s="311"/>
      <c r="J807" s="88"/>
      <c r="K807" s="121"/>
      <c r="L807" s="311"/>
      <c r="M807" s="316"/>
      <c r="N807" s="317"/>
      <c r="O807" s="318"/>
      <c r="P807" s="316"/>
      <c r="Q807" s="317"/>
      <c r="R807" s="318"/>
      <c r="S807" s="316"/>
      <c r="T807" s="317"/>
      <c r="U807" s="318"/>
      <c r="V807" s="88"/>
      <c r="W807" s="317"/>
      <c r="X807" s="311"/>
      <c r="Y807" s="143"/>
      <c r="Z807" s="143"/>
      <c r="AA807" s="143"/>
      <c r="AB807" s="17"/>
      <c r="AC807" s="17"/>
      <c r="AD807" s="17"/>
      <c r="AE807" s="17"/>
    </row>
    <row r="808">
      <c r="A808" s="88"/>
      <c r="B808" s="121"/>
      <c r="C808" s="311"/>
      <c r="D808" s="88"/>
      <c r="E808" s="121"/>
      <c r="F808" s="311"/>
      <c r="G808" s="88"/>
      <c r="H808" s="121"/>
      <c r="I808" s="311"/>
      <c r="J808" s="88"/>
      <c r="K808" s="121"/>
      <c r="L808" s="311"/>
      <c r="M808" s="316"/>
      <c r="N808" s="317"/>
      <c r="O808" s="318"/>
      <c r="P808" s="316"/>
      <c r="Q808" s="317"/>
      <c r="R808" s="318"/>
      <c r="S808" s="316"/>
      <c r="T808" s="317"/>
      <c r="U808" s="318"/>
      <c r="V808" s="88"/>
      <c r="W808" s="317"/>
      <c r="X808" s="311"/>
      <c r="Y808" s="143"/>
      <c r="Z808" s="143"/>
      <c r="AA808" s="143"/>
      <c r="AB808" s="17"/>
      <c r="AC808" s="17"/>
      <c r="AD808" s="17"/>
      <c r="AE808" s="17"/>
    </row>
    <row r="809">
      <c r="A809" s="88"/>
      <c r="B809" s="121"/>
      <c r="C809" s="311"/>
      <c r="D809" s="88"/>
      <c r="E809" s="121"/>
      <c r="F809" s="311"/>
      <c r="G809" s="88"/>
      <c r="H809" s="121"/>
      <c r="I809" s="311"/>
      <c r="J809" s="88"/>
      <c r="K809" s="121"/>
      <c r="L809" s="311"/>
      <c r="M809" s="316"/>
      <c r="N809" s="317"/>
      <c r="O809" s="318"/>
      <c r="P809" s="316"/>
      <c r="Q809" s="317"/>
      <c r="R809" s="318"/>
      <c r="S809" s="316"/>
      <c r="T809" s="317"/>
      <c r="U809" s="318"/>
      <c r="V809" s="88"/>
      <c r="W809" s="317"/>
      <c r="X809" s="311"/>
      <c r="Y809" s="143"/>
      <c r="Z809" s="143"/>
      <c r="AA809" s="143"/>
      <c r="AB809" s="17"/>
      <c r="AC809" s="17"/>
      <c r="AD809" s="17"/>
      <c r="AE809" s="17"/>
    </row>
    <row r="810">
      <c r="A810" s="88"/>
      <c r="B810" s="121"/>
      <c r="C810" s="311"/>
      <c r="D810" s="88"/>
      <c r="E810" s="121"/>
      <c r="F810" s="311"/>
      <c r="G810" s="88"/>
      <c r="H810" s="121"/>
      <c r="I810" s="311"/>
      <c r="J810" s="88"/>
      <c r="K810" s="121"/>
      <c r="L810" s="311"/>
      <c r="M810" s="316"/>
      <c r="N810" s="317"/>
      <c r="O810" s="318"/>
      <c r="P810" s="316"/>
      <c r="Q810" s="317"/>
      <c r="R810" s="318"/>
      <c r="S810" s="316"/>
      <c r="T810" s="317"/>
      <c r="U810" s="318"/>
      <c r="V810" s="88"/>
      <c r="W810" s="317"/>
      <c r="X810" s="311"/>
      <c r="Y810" s="143"/>
      <c r="Z810" s="143"/>
      <c r="AA810" s="143"/>
      <c r="AB810" s="17"/>
      <c r="AC810" s="17"/>
      <c r="AD810" s="17"/>
      <c r="AE810" s="17"/>
    </row>
    <row r="811">
      <c r="A811" s="88"/>
      <c r="B811" s="121"/>
      <c r="C811" s="311"/>
      <c r="D811" s="88"/>
      <c r="E811" s="121"/>
      <c r="F811" s="311"/>
      <c r="G811" s="88"/>
      <c r="H811" s="121"/>
      <c r="I811" s="311"/>
      <c r="J811" s="88"/>
      <c r="K811" s="121"/>
      <c r="L811" s="311"/>
      <c r="M811" s="316"/>
      <c r="N811" s="317"/>
      <c r="O811" s="318"/>
      <c r="P811" s="316"/>
      <c r="Q811" s="317"/>
      <c r="R811" s="318"/>
      <c r="S811" s="316"/>
      <c r="T811" s="317"/>
      <c r="U811" s="318"/>
      <c r="V811" s="88"/>
      <c r="W811" s="317"/>
      <c r="X811" s="311"/>
      <c r="Y811" s="143"/>
      <c r="Z811" s="143"/>
      <c r="AA811" s="143"/>
      <c r="AB811" s="17"/>
      <c r="AC811" s="17"/>
      <c r="AD811" s="17"/>
      <c r="AE811" s="17"/>
    </row>
    <row r="812">
      <c r="A812" s="88"/>
      <c r="B812" s="121"/>
      <c r="C812" s="311"/>
      <c r="D812" s="88"/>
      <c r="E812" s="121"/>
      <c r="F812" s="311"/>
      <c r="G812" s="88"/>
      <c r="H812" s="121"/>
      <c r="I812" s="311"/>
      <c r="J812" s="88"/>
      <c r="K812" s="121"/>
      <c r="L812" s="311"/>
      <c r="M812" s="316"/>
      <c r="N812" s="317"/>
      <c r="O812" s="318"/>
      <c r="P812" s="316"/>
      <c r="Q812" s="317"/>
      <c r="R812" s="318"/>
      <c r="S812" s="316"/>
      <c r="T812" s="317"/>
      <c r="U812" s="318"/>
      <c r="V812" s="88"/>
      <c r="W812" s="317"/>
      <c r="X812" s="311"/>
      <c r="Y812" s="143"/>
      <c r="Z812" s="143"/>
      <c r="AA812" s="143"/>
      <c r="AB812" s="17"/>
      <c r="AC812" s="17"/>
      <c r="AD812" s="17"/>
      <c r="AE812" s="17"/>
    </row>
    <row r="813">
      <c r="A813" s="88"/>
      <c r="B813" s="121"/>
      <c r="C813" s="311"/>
      <c r="D813" s="88"/>
      <c r="E813" s="121"/>
      <c r="F813" s="311"/>
      <c r="G813" s="88"/>
      <c r="H813" s="121"/>
      <c r="I813" s="311"/>
      <c r="J813" s="88"/>
      <c r="K813" s="121"/>
      <c r="L813" s="311"/>
      <c r="M813" s="316"/>
      <c r="N813" s="317"/>
      <c r="O813" s="318"/>
      <c r="P813" s="316"/>
      <c r="Q813" s="317"/>
      <c r="R813" s="318"/>
      <c r="S813" s="316"/>
      <c r="T813" s="317"/>
      <c r="U813" s="318"/>
      <c r="V813" s="88"/>
      <c r="W813" s="317"/>
      <c r="X813" s="311"/>
      <c r="Y813" s="143"/>
      <c r="Z813" s="143"/>
      <c r="AA813" s="143"/>
      <c r="AB813" s="17"/>
      <c r="AC813" s="17"/>
      <c r="AD813" s="17"/>
      <c r="AE813" s="17"/>
    </row>
    <row r="814">
      <c r="A814" s="88"/>
      <c r="B814" s="121"/>
      <c r="C814" s="311"/>
      <c r="D814" s="88"/>
      <c r="E814" s="121"/>
      <c r="F814" s="311"/>
      <c r="G814" s="88"/>
      <c r="H814" s="121"/>
      <c r="I814" s="311"/>
      <c r="J814" s="88"/>
      <c r="K814" s="121"/>
      <c r="L814" s="311"/>
      <c r="M814" s="316"/>
      <c r="N814" s="317"/>
      <c r="O814" s="318"/>
      <c r="P814" s="316"/>
      <c r="Q814" s="317"/>
      <c r="R814" s="318"/>
      <c r="S814" s="316"/>
      <c r="T814" s="317"/>
      <c r="U814" s="318"/>
      <c r="V814" s="88"/>
      <c r="W814" s="317"/>
      <c r="X814" s="311"/>
      <c r="Y814" s="143"/>
      <c r="Z814" s="143"/>
      <c r="AA814" s="143"/>
      <c r="AB814" s="17"/>
      <c r="AC814" s="17"/>
      <c r="AD814" s="17"/>
      <c r="AE814" s="17"/>
    </row>
    <row r="815">
      <c r="A815" s="88"/>
      <c r="B815" s="121"/>
      <c r="C815" s="311"/>
      <c r="D815" s="88"/>
      <c r="E815" s="121"/>
      <c r="F815" s="311"/>
      <c r="G815" s="88"/>
      <c r="H815" s="121"/>
      <c r="I815" s="311"/>
      <c r="J815" s="88"/>
      <c r="K815" s="121"/>
      <c r="L815" s="311"/>
      <c r="M815" s="316"/>
      <c r="N815" s="317"/>
      <c r="O815" s="318"/>
      <c r="P815" s="316"/>
      <c r="Q815" s="317"/>
      <c r="R815" s="318"/>
      <c r="S815" s="316"/>
      <c r="T815" s="317"/>
      <c r="U815" s="318"/>
      <c r="V815" s="88"/>
      <c r="W815" s="317"/>
      <c r="X815" s="311"/>
      <c r="Y815" s="143"/>
      <c r="Z815" s="143"/>
      <c r="AA815" s="143"/>
      <c r="AB815" s="17"/>
      <c r="AC815" s="17"/>
      <c r="AD815" s="17"/>
      <c r="AE815" s="17"/>
    </row>
    <row r="816">
      <c r="A816" s="88"/>
      <c r="B816" s="121"/>
      <c r="C816" s="311"/>
      <c r="D816" s="88"/>
      <c r="E816" s="121"/>
      <c r="F816" s="311"/>
      <c r="G816" s="88"/>
      <c r="H816" s="121"/>
      <c r="I816" s="311"/>
      <c r="J816" s="88"/>
      <c r="K816" s="121"/>
      <c r="L816" s="311"/>
      <c r="M816" s="316"/>
      <c r="N816" s="317"/>
      <c r="O816" s="318"/>
      <c r="P816" s="316"/>
      <c r="Q816" s="317"/>
      <c r="R816" s="318"/>
      <c r="S816" s="316"/>
      <c r="T816" s="317"/>
      <c r="U816" s="318"/>
      <c r="V816" s="88"/>
      <c r="W816" s="317"/>
      <c r="X816" s="311"/>
      <c r="Y816" s="143"/>
      <c r="Z816" s="143"/>
      <c r="AA816" s="143"/>
      <c r="AB816" s="17"/>
      <c r="AC816" s="17"/>
      <c r="AD816" s="17"/>
      <c r="AE816" s="17"/>
    </row>
    <row r="817">
      <c r="A817" s="88"/>
      <c r="B817" s="121"/>
      <c r="C817" s="311"/>
      <c r="D817" s="88"/>
      <c r="E817" s="121"/>
      <c r="F817" s="311"/>
      <c r="G817" s="88"/>
      <c r="H817" s="121"/>
      <c r="I817" s="311"/>
      <c r="J817" s="88"/>
      <c r="K817" s="121"/>
      <c r="L817" s="311"/>
      <c r="M817" s="316"/>
      <c r="N817" s="317"/>
      <c r="O817" s="318"/>
      <c r="P817" s="316"/>
      <c r="Q817" s="317"/>
      <c r="R817" s="318"/>
      <c r="S817" s="316"/>
      <c r="T817" s="317"/>
      <c r="U817" s="318"/>
      <c r="V817" s="88"/>
      <c r="W817" s="317"/>
      <c r="X817" s="311"/>
      <c r="Y817" s="143"/>
      <c r="Z817" s="143"/>
      <c r="AA817" s="143"/>
      <c r="AB817" s="17"/>
      <c r="AC817" s="17"/>
      <c r="AD817" s="17"/>
      <c r="AE817" s="17"/>
    </row>
    <row r="818">
      <c r="A818" s="88"/>
      <c r="B818" s="121"/>
      <c r="C818" s="311"/>
      <c r="D818" s="88"/>
      <c r="E818" s="121"/>
      <c r="F818" s="311"/>
      <c r="G818" s="88"/>
      <c r="H818" s="121"/>
      <c r="I818" s="311"/>
      <c r="J818" s="88"/>
      <c r="K818" s="121"/>
      <c r="L818" s="311"/>
      <c r="M818" s="316"/>
      <c r="N818" s="317"/>
      <c r="O818" s="318"/>
      <c r="P818" s="316"/>
      <c r="Q818" s="317"/>
      <c r="R818" s="318"/>
      <c r="S818" s="316"/>
      <c r="T818" s="317"/>
      <c r="U818" s="318"/>
      <c r="V818" s="88"/>
      <c r="W818" s="317"/>
      <c r="X818" s="311"/>
      <c r="Y818" s="143"/>
      <c r="Z818" s="143"/>
      <c r="AA818" s="143"/>
      <c r="AB818" s="17"/>
      <c r="AC818" s="17"/>
      <c r="AD818" s="17"/>
      <c r="AE818" s="17"/>
    </row>
    <row r="819">
      <c r="A819" s="88"/>
      <c r="B819" s="121"/>
      <c r="C819" s="311"/>
      <c r="D819" s="88"/>
      <c r="E819" s="121"/>
      <c r="F819" s="311"/>
      <c r="G819" s="88"/>
      <c r="H819" s="121"/>
      <c r="I819" s="311"/>
      <c r="J819" s="88"/>
      <c r="K819" s="121"/>
      <c r="L819" s="311"/>
      <c r="M819" s="316"/>
      <c r="N819" s="317"/>
      <c r="O819" s="318"/>
      <c r="P819" s="316"/>
      <c r="Q819" s="317"/>
      <c r="R819" s="318"/>
      <c r="S819" s="316"/>
      <c r="T819" s="317"/>
      <c r="U819" s="318"/>
      <c r="V819" s="88"/>
      <c r="W819" s="317"/>
      <c r="X819" s="311"/>
      <c r="Y819" s="143"/>
      <c r="Z819" s="143"/>
      <c r="AA819" s="143"/>
      <c r="AB819" s="17"/>
      <c r="AC819" s="17"/>
      <c r="AD819" s="17"/>
      <c r="AE819" s="17"/>
    </row>
    <row r="820">
      <c r="A820" s="88"/>
      <c r="B820" s="121"/>
      <c r="C820" s="311"/>
      <c r="D820" s="88"/>
      <c r="E820" s="121"/>
      <c r="F820" s="311"/>
      <c r="G820" s="88"/>
      <c r="H820" s="121"/>
      <c r="I820" s="311"/>
      <c r="J820" s="88"/>
      <c r="K820" s="121"/>
      <c r="L820" s="311"/>
      <c r="M820" s="316"/>
      <c r="N820" s="317"/>
      <c r="O820" s="318"/>
      <c r="P820" s="316"/>
      <c r="Q820" s="317"/>
      <c r="R820" s="318"/>
      <c r="S820" s="316"/>
      <c r="T820" s="317"/>
      <c r="U820" s="318"/>
      <c r="V820" s="88"/>
      <c r="W820" s="317"/>
      <c r="X820" s="311"/>
      <c r="Y820" s="143"/>
      <c r="Z820" s="143"/>
      <c r="AA820" s="143"/>
      <c r="AB820" s="17"/>
      <c r="AC820" s="17"/>
      <c r="AD820" s="17"/>
      <c r="AE820" s="17"/>
    </row>
    <row r="821">
      <c r="A821" s="88"/>
      <c r="B821" s="121"/>
      <c r="C821" s="311"/>
      <c r="D821" s="88"/>
      <c r="E821" s="121"/>
      <c r="F821" s="311"/>
      <c r="G821" s="88"/>
      <c r="H821" s="121"/>
      <c r="I821" s="311"/>
      <c r="J821" s="88"/>
      <c r="K821" s="121"/>
      <c r="L821" s="311"/>
      <c r="M821" s="316"/>
      <c r="N821" s="317"/>
      <c r="O821" s="318"/>
      <c r="P821" s="316"/>
      <c r="Q821" s="317"/>
      <c r="R821" s="318"/>
      <c r="S821" s="316"/>
      <c r="T821" s="317"/>
      <c r="U821" s="318"/>
      <c r="V821" s="88"/>
      <c r="W821" s="317"/>
      <c r="X821" s="311"/>
      <c r="Y821" s="143"/>
      <c r="Z821" s="143"/>
      <c r="AA821" s="143"/>
      <c r="AB821" s="17"/>
      <c r="AC821" s="17"/>
      <c r="AD821" s="17"/>
      <c r="AE821" s="17"/>
    </row>
    <row r="822">
      <c r="A822" s="88"/>
      <c r="B822" s="121"/>
      <c r="C822" s="311"/>
      <c r="D822" s="88"/>
      <c r="E822" s="121"/>
      <c r="F822" s="311"/>
      <c r="G822" s="88"/>
      <c r="H822" s="121"/>
      <c r="I822" s="311"/>
      <c r="J822" s="88"/>
      <c r="K822" s="121"/>
      <c r="L822" s="311"/>
      <c r="M822" s="316"/>
      <c r="N822" s="317"/>
      <c r="O822" s="318"/>
      <c r="P822" s="316"/>
      <c r="Q822" s="317"/>
      <c r="R822" s="318"/>
      <c r="S822" s="316"/>
      <c r="T822" s="317"/>
      <c r="U822" s="318"/>
      <c r="V822" s="88"/>
      <c r="W822" s="317"/>
      <c r="X822" s="311"/>
      <c r="Y822" s="143"/>
      <c r="Z822" s="143"/>
      <c r="AA822" s="143"/>
      <c r="AB822" s="17"/>
      <c r="AC822" s="17"/>
      <c r="AD822" s="17"/>
      <c r="AE822" s="17"/>
    </row>
    <row r="823">
      <c r="A823" s="88"/>
      <c r="B823" s="121"/>
      <c r="C823" s="311"/>
      <c r="D823" s="88"/>
      <c r="E823" s="121"/>
      <c r="F823" s="311"/>
      <c r="G823" s="88"/>
      <c r="H823" s="121"/>
      <c r="I823" s="311"/>
      <c r="J823" s="88"/>
      <c r="K823" s="121"/>
      <c r="L823" s="311"/>
      <c r="M823" s="316"/>
      <c r="N823" s="317"/>
      <c r="O823" s="318"/>
      <c r="P823" s="316"/>
      <c r="Q823" s="317"/>
      <c r="R823" s="318"/>
      <c r="S823" s="316"/>
      <c r="T823" s="317"/>
      <c r="U823" s="318"/>
      <c r="V823" s="88"/>
      <c r="W823" s="317"/>
      <c r="X823" s="311"/>
      <c r="Y823" s="143"/>
      <c r="Z823" s="143"/>
      <c r="AA823" s="143"/>
      <c r="AB823" s="17"/>
      <c r="AC823" s="17"/>
      <c r="AD823" s="17"/>
      <c r="AE823" s="17"/>
    </row>
    <row r="824">
      <c r="A824" s="88"/>
      <c r="B824" s="121"/>
      <c r="C824" s="311"/>
      <c r="D824" s="88"/>
      <c r="E824" s="121"/>
      <c r="F824" s="311"/>
      <c r="G824" s="88"/>
      <c r="H824" s="121"/>
      <c r="I824" s="311"/>
      <c r="J824" s="88"/>
      <c r="K824" s="121"/>
      <c r="L824" s="311"/>
      <c r="M824" s="316"/>
      <c r="N824" s="317"/>
      <c r="O824" s="318"/>
      <c r="P824" s="316"/>
      <c r="Q824" s="317"/>
      <c r="R824" s="318"/>
      <c r="S824" s="316"/>
      <c r="T824" s="317"/>
      <c r="U824" s="318"/>
      <c r="V824" s="88"/>
      <c r="W824" s="317"/>
      <c r="X824" s="311"/>
      <c r="Y824" s="143"/>
      <c r="Z824" s="143"/>
      <c r="AA824" s="143"/>
      <c r="AB824" s="17"/>
      <c r="AC824" s="17"/>
      <c r="AD824" s="17"/>
      <c r="AE824" s="17"/>
    </row>
    <row r="825">
      <c r="A825" s="88"/>
      <c r="B825" s="121"/>
      <c r="C825" s="311"/>
      <c r="D825" s="88"/>
      <c r="E825" s="121"/>
      <c r="F825" s="311"/>
      <c r="G825" s="88"/>
      <c r="H825" s="121"/>
      <c r="I825" s="311"/>
      <c r="J825" s="88"/>
      <c r="K825" s="121"/>
      <c r="L825" s="311"/>
      <c r="M825" s="316"/>
      <c r="N825" s="317"/>
      <c r="O825" s="318"/>
      <c r="P825" s="316"/>
      <c r="Q825" s="317"/>
      <c r="R825" s="318"/>
      <c r="S825" s="316"/>
      <c r="T825" s="317"/>
      <c r="U825" s="318"/>
      <c r="V825" s="88"/>
      <c r="W825" s="317"/>
      <c r="X825" s="311"/>
      <c r="Y825" s="143"/>
      <c r="Z825" s="143"/>
      <c r="AA825" s="143"/>
      <c r="AB825" s="17"/>
      <c r="AC825" s="17"/>
      <c r="AD825" s="17"/>
      <c r="AE825" s="17"/>
    </row>
    <row r="826">
      <c r="A826" s="88"/>
      <c r="B826" s="121"/>
      <c r="C826" s="311"/>
      <c r="D826" s="88"/>
      <c r="E826" s="121"/>
      <c r="F826" s="311"/>
      <c r="G826" s="88"/>
      <c r="H826" s="121"/>
      <c r="I826" s="311"/>
      <c r="J826" s="88"/>
      <c r="K826" s="121"/>
      <c r="L826" s="311"/>
      <c r="M826" s="316"/>
      <c r="N826" s="317"/>
      <c r="O826" s="318"/>
      <c r="P826" s="316"/>
      <c r="Q826" s="317"/>
      <c r="R826" s="318"/>
      <c r="S826" s="316"/>
      <c r="T826" s="317"/>
      <c r="U826" s="318"/>
      <c r="V826" s="88"/>
      <c r="W826" s="317"/>
      <c r="X826" s="311"/>
      <c r="Y826" s="143"/>
      <c r="Z826" s="143"/>
      <c r="AA826" s="143"/>
      <c r="AB826" s="17"/>
      <c r="AC826" s="17"/>
      <c r="AD826" s="17"/>
      <c r="AE826" s="17"/>
    </row>
    <row r="827">
      <c r="A827" s="88"/>
      <c r="B827" s="121"/>
      <c r="C827" s="311"/>
      <c r="D827" s="88"/>
      <c r="E827" s="121"/>
      <c r="F827" s="311"/>
      <c r="G827" s="88"/>
      <c r="H827" s="121"/>
      <c r="I827" s="311"/>
      <c r="J827" s="88"/>
      <c r="K827" s="121"/>
      <c r="L827" s="311"/>
      <c r="M827" s="316"/>
      <c r="N827" s="317"/>
      <c r="O827" s="318"/>
      <c r="P827" s="316"/>
      <c r="Q827" s="317"/>
      <c r="R827" s="318"/>
      <c r="S827" s="316"/>
      <c r="T827" s="317"/>
      <c r="U827" s="318"/>
      <c r="V827" s="88"/>
      <c r="W827" s="317"/>
      <c r="X827" s="311"/>
      <c r="Y827" s="143"/>
      <c r="Z827" s="143"/>
      <c r="AA827" s="143"/>
      <c r="AB827" s="17"/>
      <c r="AC827" s="17"/>
      <c r="AD827" s="17"/>
      <c r="AE827" s="17"/>
    </row>
    <row r="828">
      <c r="A828" s="88"/>
      <c r="B828" s="121"/>
      <c r="C828" s="311"/>
      <c r="D828" s="88"/>
      <c r="E828" s="121"/>
      <c r="F828" s="311"/>
      <c r="G828" s="88"/>
      <c r="H828" s="121"/>
      <c r="I828" s="311"/>
      <c r="J828" s="88"/>
      <c r="K828" s="121"/>
      <c r="L828" s="311"/>
      <c r="M828" s="316"/>
      <c r="N828" s="317"/>
      <c r="O828" s="318"/>
      <c r="P828" s="316"/>
      <c r="Q828" s="317"/>
      <c r="R828" s="318"/>
      <c r="S828" s="316"/>
      <c r="T828" s="317"/>
      <c r="U828" s="318"/>
      <c r="V828" s="88"/>
      <c r="W828" s="317"/>
      <c r="X828" s="311"/>
      <c r="Y828" s="143"/>
      <c r="Z828" s="143"/>
      <c r="AA828" s="143"/>
      <c r="AB828" s="17"/>
      <c r="AC828" s="17"/>
      <c r="AD828" s="17"/>
      <c r="AE828" s="17"/>
    </row>
    <row r="829">
      <c r="A829" s="88"/>
      <c r="B829" s="121"/>
      <c r="C829" s="311"/>
      <c r="D829" s="88"/>
      <c r="E829" s="121"/>
      <c r="F829" s="311"/>
      <c r="G829" s="88"/>
      <c r="H829" s="121"/>
      <c r="I829" s="311"/>
      <c r="J829" s="88"/>
      <c r="K829" s="121"/>
      <c r="L829" s="311"/>
      <c r="M829" s="316"/>
      <c r="N829" s="317"/>
      <c r="O829" s="318"/>
      <c r="P829" s="316"/>
      <c r="Q829" s="317"/>
      <c r="R829" s="318"/>
      <c r="S829" s="316"/>
      <c r="T829" s="317"/>
      <c r="U829" s="318"/>
      <c r="V829" s="88"/>
      <c r="W829" s="317"/>
      <c r="X829" s="311"/>
      <c r="Y829" s="143"/>
      <c r="Z829" s="143"/>
      <c r="AA829" s="143"/>
      <c r="AB829" s="17"/>
      <c r="AC829" s="17"/>
      <c r="AD829" s="17"/>
      <c r="AE829" s="17"/>
    </row>
    <row r="830">
      <c r="A830" s="88"/>
      <c r="B830" s="121"/>
      <c r="C830" s="311"/>
      <c r="D830" s="88"/>
      <c r="E830" s="121"/>
      <c r="F830" s="311"/>
      <c r="G830" s="88"/>
      <c r="H830" s="121"/>
      <c r="I830" s="311"/>
      <c r="J830" s="88"/>
      <c r="K830" s="121"/>
      <c r="L830" s="311"/>
      <c r="M830" s="316"/>
      <c r="N830" s="317"/>
      <c r="O830" s="318"/>
      <c r="P830" s="316"/>
      <c r="Q830" s="317"/>
      <c r="R830" s="318"/>
      <c r="S830" s="316"/>
      <c r="T830" s="317"/>
      <c r="U830" s="318"/>
      <c r="V830" s="88"/>
      <c r="W830" s="317"/>
      <c r="X830" s="311"/>
      <c r="Y830" s="143"/>
      <c r="Z830" s="143"/>
      <c r="AA830" s="143"/>
      <c r="AB830" s="17"/>
      <c r="AC830" s="17"/>
      <c r="AD830" s="17"/>
      <c r="AE830" s="17"/>
    </row>
    <row r="831">
      <c r="A831" s="88"/>
      <c r="B831" s="121"/>
      <c r="C831" s="311"/>
      <c r="D831" s="88"/>
      <c r="E831" s="121"/>
      <c r="F831" s="311"/>
      <c r="G831" s="88"/>
      <c r="H831" s="121"/>
      <c r="I831" s="311"/>
      <c r="J831" s="88"/>
      <c r="K831" s="121"/>
      <c r="L831" s="311"/>
      <c r="M831" s="316"/>
      <c r="N831" s="317"/>
      <c r="O831" s="318"/>
      <c r="P831" s="316"/>
      <c r="Q831" s="317"/>
      <c r="R831" s="318"/>
      <c r="S831" s="316"/>
      <c r="T831" s="317"/>
      <c r="U831" s="318"/>
      <c r="V831" s="88"/>
      <c r="W831" s="317"/>
      <c r="X831" s="311"/>
      <c r="Y831" s="143"/>
      <c r="Z831" s="143"/>
      <c r="AA831" s="143"/>
      <c r="AB831" s="17"/>
      <c r="AC831" s="17"/>
      <c r="AD831" s="17"/>
      <c r="AE831" s="17"/>
    </row>
    <row r="832">
      <c r="A832" s="88"/>
      <c r="B832" s="121"/>
      <c r="C832" s="311"/>
      <c r="D832" s="88"/>
      <c r="E832" s="121"/>
      <c r="F832" s="311"/>
      <c r="G832" s="88"/>
      <c r="H832" s="121"/>
      <c r="I832" s="311"/>
      <c r="J832" s="88"/>
      <c r="K832" s="121"/>
      <c r="L832" s="311"/>
      <c r="M832" s="316"/>
      <c r="N832" s="317"/>
      <c r="O832" s="318"/>
      <c r="P832" s="316"/>
      <c r="Q832" s="317"/>
      <c r="R832" s="318"/>
      <c r="S832" s="316"/>
      <c r="T832" s="317"/>
      <c r="U832" s="318"/>
      <c r="V832" s="88"/>
      <c r="W832" s="317"/>
      <c r="X832" s="311"/>
      <c r="Y832" s="143"/>
      <c r="Z832" s="143"/>
      <c r="AA832" s="143"/>
      <c r="AB832" s="17"/>
      <c r="AC832" s="17"/>
      <c r="AD832" s="17"/>
      <c r="AE832" s="17"/>
    </row>
    <row r="833">
      <c r="A833" s="88"/>
      <c r="B833" s="121"/>
      <c r="C833" s="311"/>
      <c r="D833" s="88"/>
      <c r="E833" s="121"/>
      <c r="F833" s="311"/>
      <c r="G833" s="88"/>
      <c r="H833" s="121"/>
      <c r="I833" s="311"/>
      <c r="J833" s="88"/>
      <c r="K833" s="121"/>
      <c r="L833" s="311"/>
      <c r="M833" s="316"/>
      <c r="N833" s="317"/>
      <c r="O833" s="318"/>
      <c r="P833" s="316"/>
      <c r="Q833" s="317"/>
      <c r="R833" s="318"/>
      <c r="S833" s="316"/>
      <c r="T833" s="317"/>
      <c r="U833" s="318"/>
      <c r="V833" s="88"/>
      <c r="W833" s="317"/>
      <c r="X833" s="311"/>
      <c r="Y833" s="143"/>
      <c r="Z833" s="143"/>
      <c r="AA833" s="143"/>
      <c r="AB833" s="17"/>
      <c r="AC833" s="17"/>
      <c r="AD833" s="17"/>
      <c r="AE833" s="17"/>
    </row>
    <row r="834">
      <c r="A834" s="88"/>
      <c r="B834" s="121"/>
      <c r="C834" s="311"/>
      <c r="D834" s="88"/>
      <c r="E834" s="121"/>
      <c r="F834" s="311"/>
      <c r="G834" s="88"/>
      <c r="H834" s="121"/>
      <c r="I834" s="311"/>
      <c r="J834" s="88"/>
      <c r="K834" s="121"/>
      <c r="L834" s="311"/>
      <c r="M834" s="316"/>
      <c r="N834" s="317"/>
      <c r="O834" s="318"/>
      <c r="P834" s="316"/>
      <c r="Q834" s="317"/>
      <c r="R834" s="318"/>
      <c r="S834" s="316"/>
      <c r="T834" s="317"/>
      <c r="U834" s="318"/>
      <c r="V834" s="88"/>
      <c r="W834" s="317"/>
      <c r="X834" s="311"/>
      <c r="Y834" s="143"/>
      <c r="Z834" s="143"/>
      <c r="AA834" s="143"/>
      <c r="AB834" s="17"/>
      <c r="AC834" s="17"/>
      <c r="AD834" s="17"/>
      <c r="AE834" s="17"/>
    </row>
    <row r="835">
      <c r="A835" s="88"/>
      <c r="B835" s="121"/>
      <c r="C835" s="311"/>
      <c r="D835" s="88"/>
      <c r="E835" s="121"/>
      <c r="F835" s="311"/>
      <c r="G835" s="88"/>
      <c r="H835" s="121"/>
      <c r="I835" s="311"/>
      <c r="J835" s="88"/>
      <c r="K835" s="121"/>
      <c r="L835" s="311"/>
      <c r="M835" s="316"/>
      <c r="N835" s="317"/>
      <c r="O835" s="318"/>
      <c r="P835" s="316"/>
      <c r="Q835" s="317"/>
      <c r="R835" s="318"/>
      <c r="S835" s="316"/>
      <c r="T835" s="317"/>
      <c r="U835" s="318"/>
      <c r="V835" s="88"/>
      <c r="W835" s="317"/>
      <c r="X835" s="311"/>
      <c r="Y835" s="143"/>
      <c r="Z835" s="143"/>
      <c r="AA835" s="143"/>
      <c r="AB835" s="17"/>
      <c r="AC835" s="17"/>
      <c r="AD835" s="17"/>
      <c r="AE835" s="17"/>
    </row>
    <row r="836">
      <c r="A836" s="88"/>
      <c r="B836" s="121"/>
      <c r="C836" s="311"/>
      <c r="D836" s="88"/>
      <c r="E836" s="121"/>
      <c r="F836" s="311"/>
      <c r="G836" s="88"/>
      <c r="H836" s="121"/>
      <c r="I836" s="311"/>
      <c r="J836" s="88"/>
      <c r="K836" s="121"/>
      <c r="L836" s="311"/>
      <c r="M836" s="316"/>
      <c r="N836" s="317"/>
      <c r="O836" s="318"/>
      <c r="P836" s="316"/>
      <c r="Q836" s="317"/>
      <c r="R836" s="318"/>
      <c r="S836" s="316"/>
      <c r="T836" s="317"/>
      <c r="U836" s="318"/>
      <c r="V836" s="88"/>
      <c r="W836" s="317"/>
      <c r="X836" s="311"/>
      <c r="Y836" s="143"/>
      <c r="Z836" s="143"/>
      <c r="AA836" s="143"/>
      <c r="AB836" s="17"/>
      <c r="AC836" s="17"/>
      <c r="AD836" s="17"/>
      <c r="AE836" s="17"/>
    </row>
    <row r="837">
      <c r="A837" s="88"/>
      <c r="B837" s="121"/>
      <c r="C837" s="311"/>
      <c r="D837" s="88"/>
      <c r="E837" s="121"/>
      <c r="F837" s="311"/>
      <c r="G837" s="88"/>
      <c r="H837" s="121"/>
      <c r="I837" s="311"/>
      <c r="J837" s="88"/>
      <c r="K837" s="121"/>
      <c r="L837" s="311"/>
      <c r="M837" s="316"/>
      <c r="N837" s="317"/>
      <c r="O837" s="318"/>
      <c r="P837" s="316"/>
      <c r="Q837" s="317"/>
      <c r="R837" s="318"/>
      <c r="S837" s="316"/>
      <c r="T837" s="317"/>
      <c r="U837" s="318"/>
      <c r="V837" s="88"/>
      <c r="W837" s="317"/>
      <c r="X837" s="311"/>
      <c r="Y837" s="143"/>
      <c r="Z837" s="143"/>
      <c r="AA837" s="143"/>
      <c r="AB837" s="17"/>
      <c r="AC837" s="17"/>
      <c r="AD837" s="17"/>
      <c r="AE837" s="17"/>
    </row>
    <row r="838">
      <c r="A838" s="88"/>
      <c r="B838" s="121"/>
      <c r="C838" s="311"/>
      <c r="D838" s="88"/>
      <c r="E838" s="121"/>
      <c r="F838" s="311"/>
      <c r="G838" s="88"/>
      <c r="H838" s="121"/>
      <c r="I838" s="311"/>
      <c r="J838" s="88"/>
      <c r="K838" s="121"/>
      <c r="L838" s="311"/>
      <c r="M838" s="316"/>
      <c r="N838" s="317"/>
      <c r="O838" s="318"/>
      <c r="P838" s="316"/>
      <c r="Q838" s="317"/>
      <c r="R838" s="318"/>
      <c r="S838" s="316"/>
      <c r="T838" s="317"/>
      <c r="U838" s="318"/>
      <c r="V838" s="88"/>
      <c r="W838" s="317"/>
      <c r="X838" s="311"/>
      <c r="Y838" s="143"/>
      <c r="Z838" s="143"/>
      <c r="AA838" s="143"/>
      <c r="AB838" s="17"/>
      <c r="AC838" s="17"/>
      <c r="AD838" s="17"/>
      <c r="AE838" s="17"/>
    </row>
    <row r="839">
      <c r="A839" s="88"/>
      <c r="B839" s="121"/>
      <c r="C839" s="311"/>
      <c r="D839" s="88"/>
      <c r="E839" s="121"/>
      <c r="F839" s="311"/>
      <c r="G839" s="88"/>
      <c r="H839" s="121"/>
      <c r="I839" s="311"/>
      <c r="J839" s="88"/>
      <c r="K839" s="121"/>
      <c r="L839" s="311"/>
      <c r="M839" s="316"/>
      <c r="N839" s="317"/>
      <c r="O839" s="318"/>
      <c r="P839" s="316"/>
      <c r="Q839" s="317"/>
      <c r="R839" s="318"/>
      <c r="S839" s="316"/>
      <c r="T839" s="317"/>
      <c r="U839" s="318"/>
      <c r="V839" s="88"/>
      <c r="W839" s="317"/>
      <c r="X839" s="311"/>
      <c r="Y839" s="143"/>
      <c r="Z839" s="143"/>
      <c r="AA839" s="143"/>
      <c r="AB839" s="17"/>
      <c r="AC839" s="17"/>
      <c r="AD839" s="17"/>
      <c r="AE839" s="17"/>
    </row>
    <row r="840">
      <c r="A840" s="88"/>
      <c r="B840" s="121"/>
      <c r="C840" s="311"/>
      <c r="D840" s="88"/>
      <c r="E840" s="121"/>
      <c r="F840" s="311"/>
      <c r="G840" s="88"/>
      <c r="H840" s="121"/>
      <c r="I840" s="311"/>
      <c r="J840" s="88"/>
      <c r="K840" s="121"/>
      <c r="L840" s="311"/>
      <c r="M840" s="316"/>
      <c r="N840" s="317"/>
      <c r="O840" s="318"/>
      <c r="P840" s="316"/>
      <c r="Q840" s="317"/>
      <c r="R840" s="318"/>
      <c r="S840" s="316"/>
      <c r="T840" s="317"/>
      <c r="U840" s="318"/>
      <c r="V840" s="88"/>
      <c r="W840" s="317"/>
      <c r="X840" s="311"/>
      <c r="Y840" s="143"/>
      <c r="Z840" s="143"/>
      <c r="AA840" s="143"/>
      <c r="AB840" s="17"/>
      <c r="AC840" s="17"/>
      <c r="AD840" s="17"/>
      <c r="AE840" s="17"/>
    </row>
    <row r="841">
      <c r="A841" s="88"/>
      <c r="B841" s="121"/>
      <c r="C841" s="311"/>
      <c r="D841" s="88"/>
      <c r="E841" s="121"/>
      <c r="F841" s="311"/>
      <c r="G841" s="88"/>
      <c r="H841" s="121"/>
      <c r="I841" s="311"/>
      <c r="J841" s="88"/>
      <c r="K841" s="121"/>
      <c r="L841" s="311"/>
      <c r="M841" s="316"/>
      <c r="N841" s="317"/>
      <c r="O841" s="318"/>
      <c r="P841" s="316"/>
      <c r="Q841" s="317"/>
      <c r="R841" s="318"/>
      <c r="S841" s="316"/>
      <c r="T841" s="317"/>
      <c r="U841" s="318"/>
      <c r="V841" s="88"/>
      <c r="W841" s="317"/>
      <c r="X841" s="311"/>
      <c r="Y841" s="143"/>
      <c r="Z841" s="143"/>
      <c r="AA841" s="143"/>
      <c r="AB841" s="17"/>
      <c r="AC841" s="17"/>
      <c r="AD841" s="17"/>
      <c r="AE841" s="17"/>
    </row>
    <row r="842">
      <c r="A842" s="88"/>
      <c r="B842" s="121"/>
      <c r="C842" s="311"/>
      <c r="D842" s="88"/>
      <c r="E842" s="121"/>
      <c r="F842" s="311"/>
      <c r="G842" s="88"/>
      <c r="H842" s="121"/>
      <c r="I842" s="311"/>
      <c r="J842" s="88"/>
      <c r="K842" s="121"/>
      <c r="L842" s="311"/>
      <c r="M842" s="316"/>
      <c r="N842" s="317"/>
      <c r="O842" s="318"/>
      <c r="P842" s="316"/>
      <c r="Q842" s="317"/>
      <c r="R842" s="318"/>
      <c r="S842" s="316"/>
      <c r="T842" s="317"/>
      <c r="U842" s="318"/>
      <c r="V842" s="88"/>
      <c r="W842" s="317"/>
      <c r="X842" s="311"/>
      <c r="Y842" s="143"/>
      <c r="Z842" s="143"/>
      <c r="AA842" s="143"/>
      <c r="AB842" s="17"/>
      <c r="AC842" s="17"/>
      <c r="AD842" s="17"/>
      <c r="AE842" s="17"/>
    </row>
    <row r="843">
      <c r="A843" s="88"/>
      <c r="B843" s="121"/>
      <c r="C843" s="311"/>
      <c r="D843" s="88"/>
      <c r="E843" s="121"/>
      <c r="F843" s="311"/>
      <c r="G843" s="88"/>
      <c r="H843" s="121"/>
      <c r="I843" s="311"/>
      <c r="J843" s="88"/>
      <c r="K843" s="121"/>
      <c r="L843" s="311"/>
      <c r="M843" s="316"/>
      <c r="N843" s="317"/>
      <c r="O843" s="318"/>
      <c r="P843" s="316"/>
      <c r="Q843" s="317"/>
      <c r="R843" s="318"/>
      <c r="S843" s="316"/>
      <c r="T843" s="317"/>
      <c r="U843" s="318"/>
      <c r="V843" s="88"/>
      <c r="W843" s="317"/>
      <c r="X843" s="311"/>
      <c r="Y843" s="143"/>
      <c r="Z843" s="143"/>
      <c r="AA843" s="143"/>
      <c r="AB843" s="17"/>
      <c r="AC843" s="17"/>
      <c r="AD843" s="17"/>
      <c r="AE843" s="17"/>
    </row>
    <row r="844">
      <c r="A844" s="88"/>
      <c r="B844" s="121"/>
      <c r="C844" s="311"/>
      <c r="D844" s="88"/>
      <c r="E844" s="121"/>
      <c r="F844" s="311"/>
      <c r="G844" s="88"/>
      <c r="H844" s="121"/>
      <c r="I844" s="311"/>
      <c r="J844" s="88"/>
      <c r="K844" s="121"/>
      <c r="L844" s="311"/>
      <c r="M844" s="316"/>
      <c r="N844" s="317"/>
      <c r="O844" s="318"/>
      <c r="P844" s="316"/>
      <c r="Q844" s="317"/>
      <c r="R844" s="318"/>
      <c r="S844" s="316"/>
      <c r="T844" s="317"/>
      <c r="U844" s="318"/>
      <c r="V844" s="88"/>
      <c r="W844" s="317"/>
      <c r="X844" s="311"/>
      <c r="Y844" s="143"/>
      <c r="Z844" s="143"/>
      <c r="AA844" s="143"/>
      <c r="AB844" s="17"/>
      <c r="AC844" s="17"/>
      <c r="AD844" s="17"/>
      <c r="AE844" s="17"/>
    </row>
    <row r="845">
      <c r="A845" s="88"/>
      <c r="B845" s="121"/>
      <c r="C845" s="311"/>
      <c r="D845" s="88"/>
      <c r="E845" s="121"/>
      <c r="F845" s="311"/>
      <c r="G845" s="88"/>
      <c r="H845" s="121"/>
      <c r="I845" s="311"/>
      <c r="J845" s="88"/>
      <c r="K845" s="121"/>
      <c r="L845" s="311"/>
      <c r="M845" s="316"/>
      <c r="N845" s="317"/>
      <c r="O845" s="318"/>
      <c r="P845" s="316"/>
      <c r="Q845" s="317"/>
      <c r="R845" s="318"/>
      <c r="S845" s="316"/>
      <c r="T845" s="317"/>
      <c r="U845" s="318"/>
      <c r="V845" s="88"/>
      <c r="W845" s="317"/>
      <c r="X845" s="311"/>
      <c r="Y845" s="143"/>
      <c r="Z845" s="143"/>
      <c r="AA845" s="143"/>
      <c r="AB845" s="17"/>
      <c r="AC845" s="17"/>
      <c r="AD845" s="17"/>
      <c r="AE845" s="17"/>
    </row>
    <row r="846">
      <c r="A846" s="88"/>
      <c r="B846" s="121"/>
      <c r="C846" s="311"/>
      <c r="D846" s="88"/>
      <c r="E846" s="121"/>
      <c r="F846" s="311"/>
      <c r="G846" s="88"/>
      <c r="H846" s="121"/>
      <c r="I846" s="311"/>
      <c r="J846" s="88"/>
      <c r="K846" s="121"/>
      <c r="L846" s="311"/>
      <c r="M846" s="316"/>
      <c r="N846" s="317"/>
      <c r="O846" s="318"/>
      <c r="P846" s="316"/>
      <c r="Q846" s="317"/>
      <c r="R846" s="318"/>
      <c r="S846" s="316"/>
      <c r="T846" s="317"/>
      <c r="U846" s="318"/>
      <c r="V846" s="88"/>
      <c r="W846" s="317"/>
      <c r="X846" s="311"/>
      <c r="Y846" s="143"/>
      <c r="Z846" s="143"/>
      <c r="AA846" s="143"/>
      <c r="AB846" s="17"/>
      <c r="AC846" s="17"/>
      <c r="AD846" s="17"/>
      <c r="AE846" s="17"/>
    </row>
    <row r="847">
      <c r="A847" s="88"/>
      <c r="B847" s="121"/>
      <c r="C847" s="311"/>
      <c r="D847" s="88"/>
      <c r="E847" s="121"/>
      <c r="F847" s="311"/>
      <c r="G847" s="88"/>
      <c r="H847" s="121"/>
      <c r="I847" s="311"/>
      <c r="J847" s="88"/>
      <c r="K847" s="121"/>
      <c r="L847" s="311"/>
      <c r="M847" s="316"/>
      <c r="N847" s="317"/>
      <c r="O847" s="318"/>
      <c r="P847" s="316"/>
      <c r="Q847" s="317"/>
      <c r="R847" s="318"/>
      <c r="S847" s="316"/>
      <c r="T847" s="317"/>
      <c r="U847" s="318"/>
      <c r="V847" s="88"/>
      <c r="W847" s="317"/>
      <c r="X847" s="311"/>
      <c r="Y847" s="143"/>
      <c r="Z847" s="143"/>
      <c r="AA847" s="143"/>
      <c r="AB847" s="17"/>
      <c r="AC847" s="17"/>
      <c r="AD847" s="17"/>
      <c r="AE847" s="17"/>
    </row>
    <row r="848">
      <c r="A848" s="88"/>
      <c r="B848" s="121"/>
      <c r="C848" s="311"/>
      <c r="D848" s="88"/>
      <c r="E848" s="121"/>
      <c r="F848" s="311"/>
      <c r="G848" s="88"/>
      <c r="H848" s="121"/>
      <c r="I848" s="311"/>
      <c r="J848" s="88"/>
      <c r="K848" s="121"/>
      <c r="L848" s="311"/>
      <c r="M848" s="316"/>
      <c r="N848" s="317"/>
      <c r="O848" s="318"/>
      <c r="P848" s="316"/>
      <c r="Q848" s="317"/>
      <c r="R848" s="318"/>
      <c r="S848" s="316"/>
      <c r="T848" s="317"/>
      <c r="U848" s="318"/>
      <c r="V848" s="88"/>
      <c r="W848" s="317"/>
      <c r="X848" s="311"/>
      <c r="Y848" s="143"/>
      <c r="Z848" s="143"/>
      <c r="AA848" s="143"/>
      <c r="AB848" s="17"/>
      <c r="AC848" s="17"/>
      <c r="AD848" s="17"/>
      <c r="AE848" s="17"/>
    </row>
    <row r="849">
      <c r="A849" s="88"/>
      <c r="B849" s="121"/>
      <c r="C849" s="311"/>
      <c r="D849" s="88"/>
      <c r="E849" s="121"/>
      <c r="F849" s="311"/>
      <c r="G849" s="88"/>
      <c r="H849" s="121"/>
      <c r="I849" s="311"/>
      <c r="J849" s="88"/>
      <c r="K849" s="121"/>
      <c r="L849" s="311"/>
      <c r="M849" s="316"/>
      <c r="N849" s="317"/>
      <c r="O849" s="318"/>
      <c r="P849" s="316"/>
      <c r="Q849" s="317"/>
      <c r="R849" s="318"/>
      <c r="S849" s="316"/>
      <c r="T849" s="317"/>
      <c r="U849" s="318"/>
      <c r="V849" s="88"/>
      <c r="W849" s="317"/>
      <c r="X849" s="311"/>
      <c r="Y849" s="143"/>
      <c r="Z849" s="143"/>
      <c r="AA849" s="143"/>
      <c r="AB849" s="17"/>
      <c r="AC849" s="17"/>
      <c r="AD849" s="17"/>
      <c r="AE849" s="17"/>
    </row>
    <row r="850">
      <c r="A850" s="88"/>
      <c r="B850" s="121"/>
      <c r="C850" s="311"/>
      <c r="D850" s="88"/>
      <c r="E850" s="121"/>
      <c r="F850" s="311"/>
      <c r="G850" s="88"/>
      <c r="H850" s="121"/>
      <c r="I850" s="311"/>
      <c r="J850" s="88"/>
      <c r="K850" s="121"/>
      <c r="L850" s="311"/>
      <c r="M850" s="316"/>
      <c r="N850" s="317"/>
      <c r="O850" s="318"/>
      <c r="P850" s="316"/>
      <c r="Q850" s="317"/>
      <c r="R850" s="318"/>
      <c r="S850" s="316"/>
      <c r="T850" s="317"/>
      <c r="U850" s="318"/>
      <c r="V850" s="88"/>
      <c r="W850" s="317"/>
      <c r="X850" s="311"/>
      <c r="Y850" s="143"/>
      <c r="Z850" s="143"/>
      <c r="AA850" s="143"/>
      <c r="AB850" s="17"/>
      <c r="AC850" s="17"/>
      <c r="AD850" s="17"/>
      <c r="AE850" s="17"/>
    </row>
    <row r="851">
      <c r="A851" s="88"/>
      <c r="B851" s="121"/>
      <c r="C851" s="311"/>
      <c r="D851" s="88"/>
      <c r="E851" s="121"/>
      <c r="F851" s="311"/>
      <c r="G851" s="88"/>
      <c r="H851" s="121"/>
      <c r="I851" s="311"/>
      <c r="J851" s="88"/>
      <c r="K851" s="121"/>
      <c r="L851" s="311"/>
      <c r="M851" s="316"/>
      <c r="N851" s="317"/>
      <c r="O851" s="318"/>
      <c r="P851" s="316"/>
      <c r="Q851" s="317"/>
      <c r="R851" s="318"/>
      <c r="S851" s="316"/>
      <c r="T851" s="317"/>
      <c r="U851" s="318"/>
      <c r="V851" s="88"/>
      <c r="W851" s="317"/>
      <c r="X851" s="311"/>
      <c r="Y851" s="143"/>
      <c r="Z851" s="143"/>
      <c r="AA851" s="143"/>
      <c r="AB851" s="17"/>
      <c r="AC851" s="17"/>
      <c r="AD851" s="17"/>
      <c r="AE851" s="17"/>
    </row>
    <row r="852">
      <c r="A852" s="88"/>
      <c r="B852" s="121"/>
      <c r="C852" s="311"/>
      <c r="D852" s="88"/>
      <c r="E852" s="121"/>
      <c r="F852" s="311"/>
      <c r="G852" s="88"/>
      <c r="H852" s="121"/>
      <c r="I852" s="311"/>
      <c r="J852" s="88"/>
      <c r="K852" s="121"/>
      <c r="L852" s="311"/>
      <c r="M852" s="316"/>
      <c r="N852" s="317"/>
      <c r="O852" s="318"/>
      <c r="P852" s="316"/>
      <c r="Q852" s="317"/>
      <c r="R852" s="318"/>
      <c r="S852" s="316"/>
      <c r="T852" s="317"/>
      <c r="U852" s="318"/>
      <c r="V852" s="88"/>
      <c r="W852" s="317"/>
      <c r="X852" s="311"/>
      <c r="Y852" s="143"/>
      <c r="Z852" s="143"/>
      <c r="AA852" s="143"/>
      <c r="AB852" s="17"/>
      <c r="AC852" s="17"/>
      <c r="AD852" s="17"/>
      <c r="AE852" s="17"/>
    </row>
    <row r="853">
      <c r="A853" s="88"/>
      <c r="B853" s="121"/>
      <c r="C853" s="311"/>
      <c r="D853" s="88"/>
      <c r="E853" s="121"/>
      <c r="F853" s="311"/>
      <c r="G853" s="88"/>
      <c r="H853" s="121"/>
      <c r="I853" s="311"/>
      <c r="J853" s="88"/>
      <c r="K853" s="121"/>
      <c r="L853" s="311"/>
      <c r="M853" s="316"/>
      <c r="N853" s="317"/>
      <c r="O853" s="318"/>
      <c r="P853" s="316"/>
      <c r="Q853" s="317"/>
      <c r="R853" s="318"/>
      <c r="S853" s="316"/>
      <c r="T853" s="317"/>
      <c r="U853" s="318"/>
      <c r="V853" s="88"/>
      <c r="W853" s="317"/>
      <c r="X853" s="311"/>
      <c r="Y853" s="143"/>
      <c r="Z853" s="143"/>
      <c r="AA853" s="143"/>
      <c r="AB853" s="17"/>
      <c r="AC853" s="17"/>
      <c r="AD853" s="17"/>
      <c r="AE853" s="17"/>
    </row>
    <row r="854">
      <c r="A854" s="88"/>
      <c r="B854" s="121"/>
      <c r="C854" s="311"/>
      <c r="D854" s="88"/>
      <c r="E854" s="121"/>
      <c r="F854" s="311"/>
      <c r="G854" s="88"/>
      <c r="H854" s="121"/>
      <c r="I854" s="311"/>
      <c r="J854" s="88"/>
      <c r="K854" s="121"/>
      <c r="L854" s="311"/>
      <c r="M854" s="316"/>
      <c r="N854" s="317"/>
      <c r="O854" s="318"/>
      <c r="P854" s="316"/>
      <c r="Q854" s="317"/>
      <c r="R854" s="318"/>
      <c r="S854" s="316"/>
      <c r="T854" s="317"/>
      <c r="U854" s="318"/>
      <c r="V854" s="88"/>
      <c r="W854" s="317"/>
      <c r="X854" s="311"/>
      <c r="Y854" s="143"/>
      <c r="Z854" s="143"/>
      <c r="AA854" s="143"/>
      <c r="AB854" s="17"/>
      <c r="AC854" s="17"/>
      <c r="AD854" s="17"/>
      <c r="AE854" s="17"/>
    </row>
    <row r="855">
      <c r="A855" s="88"/>
      <c r="B855" s="121"/>
      <c r="C855" s="311"/>
      <c r="D855" s="88"/>
      <c r="E855" s="121"/>
      <c r="F855" s="311"/>
      <c r="G855" s="88"/>
      <c r="H855" s="121"/>
      <c r="I855" s="311"/>
      <c r="J855" s="88"/>
      <c r="K855" s="121"/>
      <c r="L855" s="311"/>
      <c r="M855" s="316"/>
      <c r="N855" s="317"/>
      <c r="O855" s="318"/>
      <c r="P855" s="316"/>
      <c r="Q855" s="317"/>
      <c r="R855" s="318"/>
      <c r="S855" s="316"/>
      <c r="T855" s="317"/>
      <c r="U855" s="318"/>
      <c r="V855" s="88"/>
      <c r="W855" s="317"/>
      <c r="X855" s="311"/>
      <c r="Y855" s="143"/>
      <c r="Z855" s="143"/>
      <c r="AA855" s="143"/>
      <c r="AB855" s="17"/>
      <c r="AC855" s="17"/>
      <c r="AD855" s="17"/>
      <c r="AE855" s="17"/>
    </row>
    <row r="856">
      <c r="A856" s="88"/>
      <c r="B856" s="121"/>
      <c r="C856" s="311"/>
      <c r="D856" s="88"/>
      <c r="E856" s="121"/>
      <c r="F856" s="311"/>
      <c r="G856" s="88"/>
      <c r="H856" s="121"/>
      <c r="I856" s="311"/>
      <c r="J856" s="88"/>
      <c r="K856" s="121"/>
      <c r="L856" s="311"/>
      <c r="M856" s="316"/>
      <c r="N856" s="317"/>
      <c r="O856" s="318"/>
      <c r="P856" s="316"/>
      <c r="Q856" s="317"/>
      <c r="R856" s="318"/>
      <c r="S856" s="316"/>
      <c r="T856" s="317"/>
      <c r="U856" s="318"/>
      <c r="V856" s="88"/>
      <c r="W856" s="317"/>
      <c r="X856" s="311"/>
      <c r="Y856" s="143"/>
      <c r="Z856" s="143"/>
      <c r="AA856" s="143"/>
      <c r="AB856" s="17"/>
      <c r="AC856" s="17"/>
      <c r="AD856" s="17"/>
      <c r="AE856" s="17"/>
    </row>
    <row r="857">
      <c r="A857" s="88"/>
      <c r="B857" s="121"/>
      <c r="C857" s="311"/>
      <c r="D857" s="88"/>
      <c r="E857" s="121"/>
      <c r="F857" s="311"/>
      <c r="G857" s="88"/>
      <c r="H857" s="121"/>
      <c r="I857" s="311"/>
      <c r="J857" s="88"/>
      <c r="K857" s="121"/>
      <c r="L857" s="311"/>
      <c r="M857" s="316"/>
      <c r="N857" s="317"/>
      <c r="O857" s="318"/>
      <c r="P857" s="316"/>
      <c r="Q857" s="317"/>
      <c r="R857" s="318"/>
      <c r="S857" s="316"/>
      <c r="T857" s="317"/>
      <c r="U857" s="318"/>
      <c r="V857" s="88"/>
      <c r="W857" s="317"/>
      <c r="X857" s="311"/>
      <c r="Y857" s="143"/>
      <c r="Z857" s="143"/>
      <c r="AA857" s="143"/>
      <c r="AB857" s="17"/>
      <c r="AC857" s="17"/>
      <c r="AD857" s="17"/>
      <c r="AE857" s="17"/>
    </row>
    <row r="858">
      <c r="A858" s="88"/>
      <c r="B858" s="121"/>
      <c r="C858" s="311"/>
      <c r="D858" s="88"/>
      <c r="E858" s="121"/>
      <c r="F858" s="311"/>
      <c r="G858" s="88"/>
      <c r="H858" s="121"/>
      <c r="I858" s="311"/>
      <c r="J858" s="88"/>
      <c r="K858" s="121"/>
      <c r="L858" s="311"/>
      <c r="M858" s="316"/>
      <c r="N858" s="317"/>
      <c r="O858" s="318"/>
      <c r="P858" s="316"/>
      <c r="Q858" s="317"/>
      <c r="R858" s="318"/>
      <c r="S858" s="316"/>
      <c r="T858" s="317"/>
      <c r="U858" s="318"/>
      <c r="V858" s="88"/>
      <c r="W858" s="317"/>
      <c r="X858" s="311"/>
      <c r="Y858" s="143"/>
      <c r="Z858" s="143"/>
      <c r="AA858" s="143"/>
      <c r="AB858" s="17"/>
      <c r="AC858" s="17"/>
      <c r="AD858" s="17"/>
      <c r="AE858" s="17"/>
    </row>
    <row r="859">
      <c r="A859" s="88"/>
      <c r="B859" s="121"/>
      <c r="C859" s="311"/>
      <c r="D859" s="88"/>
      <c r="E859" s="121"/>
      <c r="F859" s="311"/>
      <c r="G859" s="88"/>
      <c r="H859" s="121"/>
      <c r="I859" s="311"/>
      <c r="J859" s="88"/>
      <c r="K859" s="121"/>
      <c r="L859" s="311"/>
      <c r="M859" s="316"/>
      <c r="N859" s="317"/>
      <c r="O859" s="318"/>
      <c r="P859" s="316"/>
      <c r="Q859" s="317"/>
      <c r="R859" s="318"/>
      <c r="S859" s="316"/>
      <c r="T859" s="317"/>
      <c r="U859" s="318"/>
      <c r="V859" s="88"/>
      <c r="W859" s="317"/>
      <c r="X859" s="311"/>
      <c r="Y859" s="143"/>
      <c r="Z859" s="143"/>
      <c r="AA859" s="143"/>
      <c r="AB859" s="17"/>
      <c r="AC859" s="17"/>
      <c r="AD859" s="17"/>
      <c r="AE859" s="17"/>
    </row>
    <row r="860">
      <c r="A860" s="88"/>
      <c r="B860" s="121"/>
      <c r="C860" s="311"/>
      <c r="D860" s="88"/>
      <c r="E860" s="121"/>
      <c r="F860" s="311"/>
      <c r="G860" s="88"/>
      <c r="H860" s="121"/>
      <c r="I860" s="311"/>
      <c r="J860" s="88"/>
      <c r="K860" s="121"/>
      <c r="L860" s="311"/>
      <c r="M860" s="316"/>
      <c r="N860" s="317"/>
      <c r="O860" s="318"/>
      <c r="P860" s="316"/>
      <c r="Q860" s="317"/>
      <c r="R860" s="318"/>
      <c r="S860" s="316"/>
      <c r="T860" s="317"/>
      <c r="U860" s="318"/>
      <c r="V860" s="88"/>
      <c r="W860" s="317"/>
      <c r="X860" s="311"/>
      <c r="Y860" s="143"/>
      <c r="Z860" s="143"/>
      <c r="AA860" s="143"/>
      <c r="AB860" s="17"/>
      <c r="AC860" s="17"/>
      <c r="AD860" s="17"/>
      <c r="AE860" s="17"/>
    </row>
    <row r="861">
      <c r="A861" s="88"/>
      <c r="B861" s="121"/>
      <c r="C861" s="311"/>
      <c r="D861" s="88"/>
      <c r="E861" s="121"/>
      <c r="F861" s="311"/>
      <c r="G861" s="88"/>
      <c r="H861" s="121"/>
      <c r="I861" s="311"/>
      <c r="J861" s="88"/>
      <c r="K861" s="121"/>
      <c r="L861" s="311"/>
      <c r="M861" s="316"/>
      <c r="N861" s="317"/>
      <c r="O861" s="318"/>
      <c r="P861" s="316"/>
      <c r="Q861" s="317"/>
      <c r="R861" s="318"/>
      <c r="S861" s="316"/>
      <c r="T861" s="317"/>
      <c r="U861" s="318"/>
      <c r="V861" s="88"/>
      <c r="W861" s="317"/>
      <c r="X861" s="311"/>
      <c r="Y861" s="143"/>
      <c r="Z861" s="143"/>
      <c r="AA861" s="143"/>
      <c r="AB861" s="17"/>
      <c r="AC861" s="17"/>
      <c r="AD861" s="17"/>
      <c r="AE861" s="17"/>
    </row>
    <row r="862">
      <c r="A862" s="88"/>
      <c r="B862" s="121"/>
      <c r="C862" s="311"/>
      <c r="D862" s="88"/>
      <c r="E862" s="121"/>
      <c r="F862" s="311"/>
      <c r="G862" s="88"/>
      <c r="H862" s="121"/>
      <c r="I862" s="311"/>
      <c r="J862" s="88"/>
      <c r="K862" s="121"/>
      <c r="L862" s="311"/>
      <c r="M862" s="316"/>
      <c r="N862" s="317"/>
      <c r="O862" s="318"/>
      <c r="P862" s="316"/>
      <c r="Q862" s="317"/>
      <c r="R862" s="318"/>
      <c r="S862" s="316"/>
      <c r="T862" s="317"/>
      <c r="U862" s="318"/>
      <c r="V862" s="88"/>
      <c r="W862" s="317"/>
      <c r="X862" s="311"/>
      <c r="Y862" s="143"/>
      <c r="Z862" s="143"/>
      <c r="AA862" s="143"/>
      <c r="AB862" s="17"/>
      <c r="AC862" s="17"/>
      <c r="AD862" s="17"/>
      <c r="AE862" s="17"/>
    </row>
    <row r="863">
      <c r="A863" s="88"/>
      <c r="B863" s="121"/>
      <c r="C863" s="311"/>
      <c r="D863" s="88"/>
      <c r="E863" s="121"/>
      <c r="F863" s="311"/>
      <c r="G863" s="88"/>
      <c r="H863" s="121"/>
      <c r="I863" s="311"/>
      <c r="J863" s="88"/>
      <c r="K863" s="121"/>
      <c r="L863" s="311"/>
      <c r="M863" s="316"/>
      <c r="N863" s="317"/>
      <c r="O863" s="318"/>
      <c r="P863" s="316"/>
      <c r="Q863" s="317"/>
      <c r="R863" s="318"/>
      <c r="S863" s="316"/>
      <c r="T863" s="317"/>
      <c r="U863" s="318"/>
      <c r="V863" s="88"/>
      <c r="W863" s="317"/>
      <c r="X863" s="311"/>
      <c r="Y863" s="143"/>
      <c r="Z863" s="143"/>
      <c r="AA863" s="143"/>
      <c r="AB863" s="17"/>
      <c r="AC863" s="17"/>
      <c r="AD863" s="17"/>
      <c r="AE863" s="17"/>
    </row>
    <row r="864">
      <c r="A864" s="88"/>
      <c r="B864" s="121"/>
      <c r="C864" s="311"/>
      <c r="D864" s="88"/>
      <c r="E864" s="121"/>
      <c r="F864" s="311"/>
      <c r="G864" s="88"/>
      <c r="H864" s="121"/>
      <c r="I864" s="311"/>
      <c r="J864" s="88"/>
      <c r="K864" s="121"/>
      <c r="L864" s="311"/>
      <c r="M864" s="316"/>
      <c r="N864" s="317"/>
      <c r="O864" s="318"/>
      <c r="P864" s="316"/>
      <c r="Q864" s="317"/>
      <c r="R864" s="318"/>
      <c r="S864" s="316"/>
      <c r="T864" s="317"/>
      <c r="U864" s="318"/>
      <c r="V864" s="88"/>
      <c r="W864" s="317"/>
      <c r="X864" s="311"/>
      <c r="Y864" s="143"/>
      <c r="Z864" s="143"/>
      <c r="AA864" s="143"/>
      <c r="AB864" s="17"/>
      <c r="AC864" s="17"/>
      <c r="AD864" s="17"/>
      <c r="AE864" s="17"/>
    </row>
    <row r="865">
      <c r="A865" s="88"/>
      <c r="B865" s="121"/>
      <c r="C865" s="311"/>
      <c r="D865" s="88"/>
      <c r="E865" s="121"/>
      <c r="F865" s="311"/>
      <c r="G865" s="88"/>
      <c r="H865" s="121"/>
      <c r="I865" s="311"/>
      <c r="J865" s="88"/>
      <c r="K865" s="121"/>
      <c r="L865" s="311"/>
      <c r="M865" s="316"/>
      <c r="N865" s="317"/>
      <c r="O865" s="318"/>
      <c r="P865" s="316"/>
      <c r="Q865" s="317"/>
      <c r="R865" s="318"/>
      <c r="S865" s="316"/>
      <c r="T865" s="317"/>
      <c r="U865" s="318"/>
      <c r="V865" s="88"/>
      <c r="W865" s="317"/>
      <c r="X865" s="311"/>
      <c r="Y865" s="143"/>
      <c r="Z865" s="143"/>
      <c r="AA865" s="143"/>
      <c r="AB865" s="17"/>
      <c r="AC865" s="17"/>
      <c r="AD865" s="17"/>
      <c r="AE865" s="17"/>
    </row>
    <row r="866">
      <c r="A866" s="88"/>
      <c r="B866" s="121"/>
      <c r="C866" s="311"/>
      <c r="D866" s="88"/>
      <c r="E866" s="121"/>
      <c r="F866" s="311"/>
      <c r="G866" s="88"/>
      <c r="H866" s="121"/>
      <c r="I866" s="311"/>
      <c r="J866" s="88"/>
      <c r="K866" s="121"/>
      <c r="L866" s="311"/>
      <c r="M866" s="316"/>
      <c r="N866" s="317"/>
      <c r="O866" s="318"/>
      <c r="P866" s="316"/>
      <c r="Q866" s="317"/>
      <c r="R866" s="318"/>
      <c r="S866" s="316"/>
      <c r="T866" s="317"/>
      <c r="U866" s="318"/>
      <c r="V866" s="88"/>
      <c r="W866" s="317"/>
      <c r="X866" s="311"/>
      <c r="Y866" s="143"/>
      <c r="Z866" s="143"/>
      <c r="AA866" s="143"/>
      <c r="AB866" s="17"/>
      <c r="AC866" s="17"/>
      <c r="AD866" s="17"/>
      <c r="AE866" s="17"/>
    </row>
    <row r="867">
      <c r="A867" s="88"/>
      <c r="B867" s="121"/>
      <c r="C867" s="311"/>
      <c r="D867" s="88"/>
      <c r="E867" s="121"/>
      <c r="F867" s="311"/>
      <c r="G867" s="88"/>
      <c r="H867" s="121"/>
      <c r="I867" s="311"/>
      <c r="J867" s="88"/>
      <c r="K867" s="121"/>
      <c r="L867" s="311"/>
      <c r="M867" s="316"/>
      <c r="N867" s="317"/>
      <c r="O867" s="318"/>
      <c r="P867" s="316"/>
      <c r="Q867" s="317"/>
      <c r="R867" s="318"/>
      <c r="S867" s="316"/>
      <c r="T867" s="317"/>
      <c r="U867" s="318"/>
      <c r="V867" s="88"/>
      <c r="W867" s="317"/>
      <c r="X867" s="311"/>
      <c r="Y867" s="143"/>
      <c r="Z867" s="143"/>
      <c r="AA867" s="143"/>
      <c r="AB867" s="17"/>
      <c r="AC867" s="17"/>
      <c r="AD867" s="17"/>
      <c r="AE867" s="17"/>
    </row>
    <row r="868">
      <c r="A868" s="88"/>
      <c r="B868" s="121"/>
      <c r="C868" s="311"/>
      <c r="D868" s="88"/>
      <c r="E868" s="121"/>
      <c r="F868" s="311"/>
      <c r="G868" s="88"/>
      <c r="H868" s="121"/>
      <c r="I868" s="311"/>
      <c r="J868" s="88"/>
      <c r="K868" s="121"/>
      <c r="L868" s="311"/>
      <c r="M868" s="316"/>
      <c r="N868" s="317"/>
      <c r="O868" s="318"/>
      <c r="P868" s="316"/>
      <c r="Q868" s="317"/>
      <c r="R868" s="318"/>
      <c r="S868" s="316"/>
      <c r="T868" s="317"/>
      <c r="U868" s="318"/>
      <c r="V868" s="88"/>
      <c r="W868" s="317"/>
      <c r="X868" s="311"/>
      <c r="Y868" s="143"/>
      <c r="Z868" s="143"/>
      <c r="AA868" s="143"/>
      <c r="AB868" s="17"/>
      <c r="AC868" s="17"/>
      <c r="AD868" s="17"/>
      <c r="AE868" s="17"/>
    </row>
    <row r="869">
      <c r="A869" s="88"/>
      <c r="B869" s="121"/>
      <c r="C869" s="311"/>
      <c r="D869" s="88"/>
      <c r="E869" s="121"/>
      <c r="F869" s="311"/>
      <c r="G869" s="88"/>
      <c r="H869" s="121"/>
      <c r="I869" s="311"/>
      <c r="J869" s="88"/>
      <c r="K869" s="121"/>
      <c r="L869" s="311"/>
      <c r="M869" s="316"/>
      <c r="N869" s="317"/>
      <c r="O869" s="318"/>
      <c r="P869" s="316"/>
      <c r="Q869" s="317"/>
      <c r="R869" s="318"/>
      <c r="S869" s="316"/>
      <c r="T869" s="317"/>
      <c r="U869" s="318"/>
      <c r="V869" s="88"/>
      <c r="W869" s="317"/>
      <c r="X869" s="311"/>
      <c r="Y869" s="143"/>
      <c r="Z869" s="143"/>
      <c r="AA869" s="143"/>
      <c r="AB869" s="17"/>
      <c r="AC869" s="17"/>
      <c r="AD869" s="17"/>
      <c r="AE869" s="17"/>
    </row>
    <row r="870">
      <c r="A870" s="88"/>
      <c r="B870" s="121"/>
      <c r="C870" s="311"/>
      <c r="D870" s="88"/>
      <c r="E870" s="121"/>
      <c r="F870" s="311"/>
      <c r="G870" s="88"/>
      <c r="H870" s="121"/>
      <c r="I870" s="311"/>
      <c r="J870" s="88"/>
      <c r="K870" s="121"/>
      <c r="L870" s="311"/>
      <c r="M870" s="316"/>
      <c r="N870" s="317"/>
      <c r="O870" s="318"/>
      <c r="P870" s="316"/>
      <c r="Q870" s="317"/>
      <c r="R870" s="318"/>
      <c r="S870" s="316"/>
      <c r="T870" s="317"/>
      <c r="U870" s="318"/>
      <c r="V870" s="88"/>
      <c r="W870" s="317"/>
      <c r="X870" s="311"/>
      <c r="Y870" s="143"/>
      <c r="Z870" s="143"/>
      <c r="AA870" s="143"/>
      <c r="AB870" s="17"/>
      <c r="AC870" s="17"/>
      <c r="AD870" s="17"/>
      <c r="AE870" s="17"/>
    </row>
    <row r="871">
      <c r="A871" s="88"/>
      <c r="B871" s="121"/>
      <c r="C871" s="311"/>
      <c r="D871" s="88"/>
      <c r="E871" s="121"/>
      <c r="F871" s="311"/>
      <c r="G871" s="88"/>
      <c r="H871" s="121"/>
      <c r="I871" s="311"/>
      <c r="J871" s="88"/>
      <c r="K871" s="121"/>
      <c r="L871" s="311"/>
      <c r="M871" s="316"/>
      <c r="N871" s="317"/>
      <c r="O871" s="318"/>
      <c r="P871" s="316"/>
      <c r="Q871" s="317"/>
      <c r="R871" s="318"/>
      <c r="S871" s="316"/>
      <c r="T871" s="317"/>
      <c r="U871" s="318"/>
      <c r="V871" s="88"/>
      <c r="W871" s="317"/>
      <c r="X871" s="311"/>
      <c r="Y871" s="143"/>
      <c r="Z871" s="143"/>
      <c r="AA871" s="143"/>
      <c r="AB871" s="17"/>
      <c r="AC871" s="17"/>
      <c r="AD871" s="17"/>
      <c r="AE871" s="17"/>
    </row>
    <row r="872">
      <c r="A872" s="88"/>
      <c r="B872" s="121"/>
      <c r="C872" s="311"/>
      <c r="D872" s="88"/>
      <c r="E872" s="121"/>
      <c r="F872" s="311"/>
      <c r="G872" s="88"/>
      <c r="H872" s="121"/>
      <c r="I872" s="311"/>
      <c r="J872" s="88"/>
      <c r="K872" s="121"/>
      <c r="L872" s="311"/>
      <c r="M872" s="316"/>
      <c r="N872" s="317"/>
      <c r="O872" s="318"/>
      <c r="P872" s="316"/>
      <c r="Q872" s="317"/>
      <c r="R872" s="318"/>
      <c r="S872" s="316"/>
      <c r="T872" s="317"/>
      <c r="U872" s="318"/>
      <c r="V872" s="88"/>
      <c r="W872" s="317"/>
      <c r="X872" s="311"/>
      <c r="Y872" s="143"/>
      <c r="Z872" s="143"/>
      <c r="AA872" s="143"/>
      <c r="AB872" s="17"/>
      <c r="AC872" s="17"/>
      <c r="AD872" s="17"/>
      <c r="AE872" s="17"/>
    </row>
    <row r="873">
      <c r="A873" s="88"/>
      <c r="B873" s="121"/>
      <c r="C873" s="311"/>
      <c r="D873" s="88"/>
      <c r="E873" s="121"/>
      <c r="F873" s="311"/>
      <c r="G873" s="88"/>
      <c r="H873" s="121"/>
      <c r="I873" s="311"/>
      <c r="J873" s="88"/>
      <c r="K873" s="121"/>
      <c r="L873" s="311"/>
      <c r="M873" s="316"/>
      <c r="N873" s="317"/>
      <c r="O873" s="318"/>
      <c r="P873" s="316"/>
      <c r="Q873" s="317"/>
      <c r="R873" s="318"/>
      <c r="S873" s="316"/>
      <c r="T873" s="317"/>
      <c r="U873" s="318"/>
      <c r="V873" s="88"/>
      <c r="W873" s="317"/>
      <c r="X873" s="311"/>
      <c r="Y873" s="143"/>
      <c r="Z873" s="143"/>
      <c r="AA873" s="143"/>
      <c r="AB873" s="17"/>
      <c r="AC873" s="17"/>
      <c r="AD873" s="17"/>
      <c r="AE873" s="17"/>
    </row>
    <row r="874">
      <c r="A874" s="88"/>
      <c r="B874" s="121"/>
      <c r="C874" s="311"/>
      <c r="D874" s="88"/>
      <c r="E874" s="121"/>
      <c r="F874" s="311"/>
      <c r="G874" s="88"/>
      <c r="H874" s="121"/>
      <c r="I874" s="311"/>
      <c r="J874" s="88"/>
      <c r="K874" s="121"/>
      <c r="L874" s="311"/>
      <c r="M874" s="316"/>
      <c r="N874" s="317"/>
      <c r="O874" s="318"/>
      <c r="P874" s="316"/>
      <c r="Q874" s="317"/>
      <c r="R874" s="318"/>
      <c r="S874" s="316"/>
      <c r="T874" s="317"/>
      <c r="U874" s="318"/>
      <c r="V874" s="88"/>
      <c r="W874" s="317"/>
      <c r="X874" s="311"/>
      <c r="Y874" s="143"/>
      <c r="Z874" s="143"/>
      <c r="AA874" s="143"/>
      <c r="AB874" s="17"/>
      <c r="AC874" s="17"/>
      <c r="AD874" s="17"/>
      <c r="AE874" s="17"/>
    </row>
    <row r="875">
      <c r="A875" s="88"/>
      <c r="B875" s="121"/>
      <c r="C875" s="311"/>
      <c r="D875" s="88"/>
      <c r="E875" s="121"/>
      <c r="F875" s="311"/>
      <c r="G875" s="88"/>
      <c r="H875" s="121"/>
      <c r="I875" s="311"/>
      <c r="J875" s="88"/>
      <c r="K875" s="121"/>
      <c r="L875" s="311"/>
      <c r="M875" s="316"/>
      <c r="N875" s="317"/>
      <c r="O875" s="318"/>
      <c r="P875" s="316"/>
      <c r="Q875" s="317"/>
      <c r="R875" s="318"/>
      <c r="S875" s="316"/>
      <c r="T875" s="317"/>
      <c r="U875" s="318"/>
      <c r="V875" s="88"/>
      <c r="W875" s="317"/>
      <c r="X875" s="311"/>
      <c r="Y875" s="143"/>
      <c r="Z875" s="143"/>
      <c r="AA875" s="143"/>
      <c r="AB875" s="17"/>
      <c r="AC875" s="17"/>
      <c r="AD875" s="17"/>
      <c r="AE875" s="17"/>
    </row>
    <row r="876">
      <c r="A876" s="88"/>
      <c r="B876" s="121"/>
      <c r="C876" s="311"/>
      <c r="D876" s="88"/>
      <c r="E876" s="121"/>
      <c r="F876" s="311"/>
      <c r="G876" s="88"/>
      <c r="H876" s="121"/>
      <c r="I876" s="311"/>
      <c r="J876" s="88"/>
      <c r="K876" s="121"/>
      <c r="L876" s="311"/>
      <c r="M876" s="316"/>
      <c r="N876" s="317"/>
      <c r="O876" s="318"/>
      <c r="P876" s="316"/>
      <c r="Q876" s="317"/>
      <c r="R876" s="318"/>
      <c r="S876" s="316"/>
      <c r="T876" s="317"/>
      <c r="U876" s="318"/>
      <c r="V876" s="88"/>
      <c r="W876" s="317"/>
      <c r="X876" s="311"/>
      <c r="Y876" s="143"/>
      <c r="Z876" s="143"/>
      <c r="AA876" s="143"/>
      <c r="AB876" s="17"/>
      <c r="AC876" s="17"/>
      <c r="AD876" s="17"/>
      <c r="AE876" s="17"/>
    </row>
    <row r="877">
      <c r="A877" s="88"/>
      <c r="B877" s="121"/>
      <c r="C877" s="311"/>
      <c r="D877" s="88"/>
      <c r="E877" s="121"/>
      <c r="F877" s="311"/>
      <c r="G877" s="88"/>
      <c r="H877" s="121"/>
      <c r="I877" s="311"/>
      <c r="J877" s="88"/>
      <c r="K877" s="121"/>
      <c r="L877" s="311"/>
      <c r="M877" s="316"/>
      <c r="N877" s="317"/>
      <c r="O877" s="318"/>
      <c r="P877" s="316"/>
      <c r="Q877" s="317"/>
      <c r="R877" s="318"/>
      <c r="S877" s="316"/>
      <c r="T877" s="317"/>
      <c r="U877" s="318"/>
      <c r="V877" s="88"/>
      <c r="W877" s="317"/>
      <c r="X877" s="311"/>
      <c r="Y877" s="143"/>
      <c r="Z877" s="143"/>
      <c r="AA877" s="143"/>
      <c r="AB877" s="17"/>
      <c r="AC877" s="17"/>
      <c r="AD877" s="17"/>
      <c r="AE877" s="17"/>
    </row>
    <row r="878">
      <c r="A878" s="88"/>
      <c r="B878" s="121"/>
      <c r="C878" s="311"/>
      <c r="D878" s="88"/>
      <c r="E878" s="121"/>
      <c r="F878" s="311"/>
      <c r="G878" s="88"/>
      <c r="H878" s="121"/>
      <c r="I878" s="311"/>
      <c r="J878" s="88"/>
      <c r="K878" s="121"/>
      <c r="L878" s="311"/>
      <c r="M878" s="316"/>
      <c r="N878" s="317"/>
      <c r="O878" s="318"/>
      <c r="P878" s="316"/>
      <c r="Q878" s="317"/>
      <c r="R878" s="318"/>
      <c r="S878" s="316"/>
      <c r="T878" s="317"/>
      <c r="U878" s="318"/>
      <c r="V878" s="88"/>
      <c r="W878" s="317"/>
      <c r="X878" s="311"/>
      <c r="Y878" s="143"/>
      <c r="Z878" s="143"/>
      <c r="AA878" s="143"/>
      <c r="AB878" s="17"/>
      <c r="AC878" s="17"/>
      <c r="AD878" s="17"/>
      <c r="AE878" s="17"/>
    </row>
    <row r="879">
      <c r="A879" s="88"/>
      <c r="B879" s="121"/>
      <c r="C879" s="311"/>
      <c r="D879" s="88"/>
      <c r="E879" s="121"/>
      <c r="F879" s="311"/>
      <c r="G879" s="88"/>
      <c r="H879" s="121"/>
      <c r="I879" s="311"/>
      <c r="J879" s="88"/>
      <c r="K879" s="121"/>
      <c r="L879" s="311"/>
      <c r="M879" s="316"/>
      <c r="N879" s="317"/>
      <c r="O879" s="318"/>
      <c r="P879" s="316"/>
      <c r="Q879" s="317"/>
      <c r="R879" s="318"/>
      <c r="S879" s="316"/>
      <c r="T879" s="317"/>
      <c r="U879" s="318"/>
      <c r="V879" s="88"/>
      <c r="W879" s="317"/>
      <c r="X879" s="311"/>
      <c r="Y879" s="143"/>
      <c r="Z879" s="143"/>
      <c r="AA879" s="143"/>
      <c r="AB879" s="17"/>
      <c r="AC879" s="17"/>
      <c r="AD879" s="17"/>
      <c r="AE879" s="17"/>
    </row>
    <row r="880">
      <c r="A880" s="88"/>
      <c r="B880" s="121"/>
      <c r="C880" s="311"/>
      <c r="D880" s="88"/>
      <c r="E880" s="121"/>
      <c r="F880" s="311"/>
      <c r="G880" s="88"/>
      <c r="H880" s="121"/>
      <c r="I880" s="311"/>
      <c r="J880" s="88"/>
      <c r="K880" s="121"/>
      <c r="L880" s="311"/>
      <c r="M880" s="316"/>
      <c r="N880" s="317"/>
      <c r="O880" s="318"/>
      <c r="P880" s="316"/>
      <c r="Q880" s="317"/>
      <c r="R880" s="318"/>
      <c r="S880" s="316"/>
      <c r="T880" s="317"/>
      <c r="U880" s="318"/>
      <c r="V880" s="88"/>
      <c r="W880" s="317"/>
      <c r="X880" s="311"/>
      <c r="Y880" s="143"/>
      <c r="Z880" s="143"/>
      <c r="AA880" s="143"/>
      <c r="AB880" s="17"/>
      <c r="AC880" s="17"/>
      <c r="AD880" s="17"/>
      <c r="AE880" s="17"/>
    </row>
    <row r="881">
      <c r="A881" s="88"/>
      <c r="B881" s="121"/>
      <c r="C881" s="311"/>
      <c r="D881" s="88"/>
      <c r="E881" s="121"/>
      <c r="F881" s="311"/>
      <c r="G881" s="88"/>
      <c r="H881" s="121"/>
      <c r="I881" s="311"/>
      <c r="J881" s="88"/>
      <c r="K881" s="121"/>
      <c r="L881" s="311"/>
      <c r="M881" s="316"/>
      <c r="N881" s="317"/>
      <c r="O881" s="318"/>
      <c r="P881" s="316"/>
      <c r="Q881" s="317"/>
      <c r="R881" s="318"/>
      <c r="S881" s="316"/>
      <c r="T881" s="317"/>
      <c r="U881" s="318"/>
      <c r="V881" s="88"/>
      <c r="W881" s="317"/>
      <c r="X881" s="311"/>
      <c r="Y881" s="143"/>
      <c r="Z881" s="143"/>
      <c r="AA881" s="143"/>
      <c r="AB881" s="17"/>
      <c r="AC881" s="17"/>
      <c r="AD881" s="17"/>
      <c r="AE881" s="17"/>
    </row>
    <row r="882">
      <c r="A882" s="88"/>
      <c r="B882" s="121"/>
      <c r="C882" s="311"/>
      <c r="D882" s="88"/>
      <c r="E882" s="121"/>
      <c r="F882" s="311"/>
      <c r="G882" s="88"/>
      <c r="H882" s="121"/>
      <c r="I882" s="311"/>
      <c r="J882" s="88"/>
      <c r="K882" s="121"/>
      <c r="L882" s="311"/>
      <c r="M882" s="316"/>
      <c r="N882" s="317"/>
      <c r="O882" s="318"/>
      <c r="P882" s="316"/>
      <c r="Q882" s="317"/>
      <c r="R882" s="318"/>
      <c r="S882" s="316"/>
      <c r="T882" s="317"/>
      <c r="U882" s="318"/>
      <c r="V882" s="88"/>
      <c r="W882" s="317"/>
      <c r="X882" s="311"/>
      <c r="Y882" s="143"/>
      <c r="Z882" s="143"/>
      <c r="AA882" s="143"/>
      <c r="AB882" s="17"/>
      <c r="AC882" s="17"/>
      <c r="AD882" s="17"/>
      <c r="AE882" s="17"/>
    </row>
    <row r="883">
      <c r="A883" s="88"/>
      <c r="B883" s="121"/>
      <c r="C883" s="311"/>
      <c r="D883" s="88"/>
      <c r="E883" s="121"/>
      <c r="F883" s="311"/>
      <c r="G883" s="88"/>
      <c r="H883" s="121"/>
      <c r="I883" s="311"/>
      <c r="J883" s="88"/>
      <c r="K883" s="121"/>
      <c r="L883" s="311"/>
      <c r="M883" s="316"/>
      <c r="N883" s="317"/>
      <c r="O883" s="318"/>
      <c r="P883" s="316"/>
      <c r="Q883" s="317"/>
      <c r="R883" s="318"/>
      <c r="S883" s="316"/>
      <c r="T883" s="317"/>
      <c r="U883" s="318"/>
      <c r="V883" s="88"/>
      <c r="W883" s="317"/>
      <c r="X883" s="311"/>
      <c r="Y883" s="143"/>
      <c r="Z883" s="143"/>
      <c r="AA883" s="143"/>
      <c r="AB883" s="17"/>
      <c r="AC883" s="17"/>
      <c r="AD883" s="17"/>
      <c r="AE883" s="17"/>
    </row>
    <row r="884">
      <c r="A884" s="88"/>
      <c r="B884" s="121"/>
      <c r="C884" s="311"/>
      <c r="D884" s="88"/>
      <c r="E884" s="121"/>
      <c r="F884" s="311"/>
      <c r="G884" s="88"/>
      <c r="H884" s="121"/>
      <c r="I884" s="311"/>
      <c r="J884" s="88"/>
      <c r="K884" s="121"/>
      <c r="L884" s="311"/>
      <c r="M884" s="316"/>
      <c r="N884" s="317"/>
      <c r="O884" s="318"/>
      <c r="P884" s="316"/>
      <c r="Q884" s="317"/>
      <c r="R884" s="318"/>
      <c r="S884" s="316"/>
      <c r="T884" s="317"/>
      <c r="U884" s="318"/>
      <c r="V884" s="88"/>
      <c r="W884" s="317"/>
      <c r="X884" s="311"/>
      <c r="Y884" s="143"/>
      <c r="Z884" s="143"/>
      <c r="AA884" s="143"/>
      <c r="AB884" s="17"/>
      <c r="AC884" s="17"/>
      <c r="AD884" s="17"/>
      <c r="AE884" s="17"/>
    </row>
    <row r="885">
      <c r="A885" s="88"/>
      <c r="B885" s="121"/>
      <c r="C885" s="311"/>
      <c r="D885" s="88"/>
      <c r="E885" s="121"/>
      <c r="F885" s="311"/>
      <c r="G885" s="88"/>
      <c r="H885" s="121"/>
      <c r="I885" s="311"/>
      <c r="J885" s="88"/>
      <c r="K885" s="121"/>
      <c r="L885" s="311"/>
      <c r="M885" s="316"/>
      <c r="N885" s="317"/>
      <c r="O885" s="318"/>
      <c r="P885" s="316"/>
      <c r="Q885" s="317"/>
      <c r="R885" s="318"/>
      <c r="S885" s="316"/>
      <c r="T885" s="317"/>
      <c r="U885" s="318"/>
      <c r="V885" s="88"/>
      <c r="W885" s="317"/>
      <c r="X885" s="311"/>
      <c r="Y885" s="143"/>
      <c r="Z885" s="143"/>
      <c r="AA885" s="143"/>
      <c r="AB885" s="17"/>
      <c r="AC885" s="17"/>
      <c r="AD885" s="17"/>
      <c r="AE885" s="17"/>
    </row>
    <row r="886">
      <c r="A886" s="88"/>
      <c r="B886" s="121"/>
      <c r="C886" s="311"/>
      <c r="D886" s="88"/>
      <c r="E886" s="121"/>
      <c r="F886" s="311"/>
      <c r="G886" s="88"/>
      <c r="H886" s="121"/>
      <c r="I886" s="311"/>
      <c r="J886" s="88"/>
      <c r="K886" s="121"/>
      <c r="L886" s="311"/>
      <c r="M886" s="316"/>
      <c r="N886" s="317"/>
      <c r="O886" s="318"/>
      <c r="P886" s="316"/>
      <c r="Q886" s="317"/>
      <c r="R886" s="318"/>
      <c r="S886" s="316"/>
      <c r="T886" s="317"/>
      <c r="U886" s="318"/>
      <c r="V886" s="88"/>
      <c r="W886" s="317"/>
      <c r="X886" s="311"/>
      <c r="Y886" s="143"/>
      <c r="Z886" s="143"/>
      <c r="AA886" s="143"/>
      <c r="AB886" s="17"/>
      <c r="AC886" s="17"/>
      <c r="AD886" s="17"/>
      <c r="AE886" s="17"/>
    </row>
    <row r="887">
      <c r="A887" s="88"/>
      <c r="B887" s="121"/>
      <c r="C887" s="311"/>
      <c r="D887" s="88"/>
      <c r="E887" s="121"/>
      <c r="F887" s="311"/>
      <c r="G887" s="88"/>
      <c r="H887" s="121"/>
      <c r="I887" s="311"/>
      <c r="J887" s="88"/>
      <c r="K887" s="121"/>
      <c r="L887" s="311"/>
      <c r="M887" s="316"/>
      <c r="N887" s="317"/>
      <c r="O887" s="318"/>
      <c r="P887" s="316"/>
      <c r="Q887" s="317"/>
      <c r="R887" s="318"/>
      <c r="S887" s="316"/>
      <c r="T887" s="317"/>
      <c r="U887" s="318"/>
      <c r="V887" s="88"/>
      <c r="W887" s="317"/>
      <c r="X887" s="311"/>
      <c r="Y887" s="143"/>
      <c r="Z887" s="143"/>
      <c r="AA887" s="143"/>
      <c r="AB887" s="17"/>
      <c r="AC887" s="17"/>
      <c r="AD887" s="17"/>
      <c r="AE887" s="17"/>
    </row>
    <row r="888">
      <c r="A888" s="88"/>
      <c r="B888" s="121"/>
      <c r="C888" s="311"/>
      <c r="D888" s="88"/>
      <c r="E888" s="121"/>
      <c r="F888" s="311"/>
      <c r="G888" s="88"/>
      <c r="H888" s="121"/>
      <c r="I888" s="311"/>
      <c r="J888" s="88"/>
      <c r="K888" s="121"/>
      <c r="L888" s="311"/>
      <c r="M888" s="316"/>
      <c r="N888" s="317"/>
      <c r="O888" s="318"/>
      <c r="P888" s="316"/>
      <c r="Q888" s="317"/>
      <c r="R888" s="318"/>
      <c r="S888" s="316"/>
      <c r="T888" s="317"/>
      <c r="U888" s="318"/>
      <c r="V888" s="88"/>
      <c r="W888" s="317"/>
      <c r="X888" s="311"/>
      <c r="Y888" s="143"/>
      <c r="Z888" s="143"/>
      <c r="AA888" s="143"/>
      <c r="AB888" s="17"/>
      <c r="AC888" s="17"/>
      <c r="AD888" s="17"/>
      <c r="AE888" s="17"/>
    </row>
    <row r="889">
      <c r="A889" s="88"/>
      <c r="B889" s="121"/>
      <c r="C889" s="311"/>
      <c r="D889" s="88"/>
      <c r="E889" s="121"/>
      <c r="F889" s="311"/>
      <c r="G889" s="88"/>
      <c r="H889" s="121"/>
      <c r="I889" s="311"/>
      <c r="J889" s="88"/>
      <c r="K889" s="121"/>
      <c r="L889" s="311"/>
      <c r="M889" s="316"/>
      <c r="N889" s="317"/>
      <c r="O889" s="318"/>
      <c r="P889" s="316"/>
      <c r="Q889" s="317"/>
      <c r="R889" s="318"/>
      <c r="S889" s="316"/>
      <c r="T889" s="317"/>
      <c r="U889" s="318"/>
      <c r="V889" s="88"/>
      <c r="W889" s="317"/>
      <c r="X889" s="311"/>
      <c r="Y889" s="143"/>
      <c r="Z889" s="143"/>
      <c r="AA889" s="143"/>
      <c r="AB889" s="17"/>
      <c r="AC889" s="17"/>
      <c r="AD889" s="17"/>
      <c r="AE889" s="17"/>
    </row>
    <row r="890">
      <c r="A890" s="88"/>
      <c r="B890" s="121"/>
      <c r="C890" s="311"/>
      <c r="D890" s="88"/>
      <c r="E890" s="121"/>
      <c r="F890" s="311"/>
      <c r="G890" s="88"/>
      <c r="H890" s="121"/>
      <c r="I890" s="311"/>
      <c r="J890" s="88"/>
      <c r="K890" s="121"/>
      <c r="L890" s="311"/>
      <c r="M890" s="316"/>
      <c r="N890" s="317"/>
      <c r="O890" s="318"/>
      <c r="P890" s="316"/>
      <c r="Q890" s="317"/>
      <c r="R890" s="318"/>
      <c r="S890" s="316"/>
      <c r="T890" s="317"/>
      <c r="U890" s="318"/>
      <c r="V890" s="88"/>
      <c r="W890" s="317"/>
      <c r="X890" s="311"/>
      <c r="Y890" s="143"/>
      <c r="Z890" s="143"/>
      <c r="AA890" s="143"/>
      <c r="AB890" s="17"/>
      <c r="AC890" s="17"/>
      <c r="AD890" s="17"/>
      <c r="AE890" s="17"/>
    </row>
    <row r="891">
      <c r="A891" s="88"/>
      <c r="B891" s="121"/>
      <c r="C891" s="311"/>
      <c r="D891" s="88"/>
      <c r="E891" s="121"/>
      <c r="F891" s="311"/>
      <c r="G891" s="88"/>
      <c r="H891" s="121"/>
      <c r="I891" s="311"/>
      <c r="J891" s="88"/>
      <c r="K891" s="121"/>
      <c r="L891" s="311"/>
      <c r="M891" s="316"/>
      <c r="N891" s="317"/>
      <c r="O891" s="318"/>
      <c r="P891" s="316"/>
      <c r="Q891" s="317"/>
      <c r="R891" s="318"/>
      <c r="S891" s="316"/>
      <c r="T891" s="317"/>
      <c r="U891" s="318"/>
      <c r="V891" s="88"/>
      <c r="W891" s="317"/>
      <c r="X891" s="311"/>
      <c r="Y891" s="143"/>
      <c r="Z891" s="143"/>
      <c r="AA891" s="143"/>
      <c r="AB891" s="17"/>
      <c r="AC891" s="17"/>
      <c r="AD891" s="17"/>
      <c r="AE891" s="17"/>
    </row>
    <row r="892">
      <c r="A892" s="88"/>
      <c r="B892" s="121"/>
      <c r="C892" s="311"/>
      <c r="D892" s="88"/>
      <c r="E892" s="121"/>
      <c r="F892" s="311"/>
      <c r="G892" s="88"/>
      <c r="H892" s="121"/>
      <c r="I892" s="311"/>
      <c r="J892" s="88"/>
      <c r="K892" s="121"/>
      <c r="L892" s="311"/>
      <c r="M892" s="316"/>
      <c r="N892" s="317"/>
      <c r="O892" s="318"/>
      <c r="P892" s="316"/>
      <c r="Q892" s="317"/>
      <c r="R892" s="318"/>
      <c r="S892" s="316"/>
      <c r="T892" s="317"/>
      <c r="U892" s="318"/>
      <c r="V892" s="88"/>
      <c r="W892" s="317"/>
      <c r="X892" s="311"/>
      <c r="Y892" s="143"/>
      <c r="Z892" s="143"/>
      <c r="AA892" s="143"/>
      <c r="AB892" s="17"/>
      <c r="AC892" s="17"/>
      <c r="AD892" s="17"/>
      <c r="AE892" s="17"/>
    </row>
    <row r="893">
      <c r="A893" s="88"/>
      <c r="B893" s="121"/>
      <c r="C893" s="311"/>
      <c r="D893" s="88"/>
      <c r="E893" s="121"/>
      <c r="F893" s="311"/>
      <c r="G893" s="88"/>
      <c r="H893" s="121"/>
      <c r="I893" s="311"/>
      <c r="J893" s="88"/>
      <c r="K893" s="121"/>
      <c r="L893" s="311"/>
      <c r="M893" s="316"/>
      <c r="N893" s="317"/>
      <c r="O893" s="318"/>
      <c r="P893" s="316"/>
      <c r="Q893" s="317"/>
      <c r="R893" s="318"/>
      <c r="S893" s="316"/>
      <c r="T893" s="317"/>
      <c r="U893" s="318"/>
      <c r="V893" s="88"/>
      <c r="W893" s="317"/>
      <c r="X893" s="311"/>
      <c r="Y893" s="143"/>
      <c r="Z893" s="143"/>
      <c r="AA893" s="143"/>
      <c r="AB893" s="17"/>
      <c r="AC893" s="17"/>
      <c r="AD893" s="17"/>
      <c r="AE893" s="17"/>
    </row>
    <row r="894">
      <c r="A894" s="88"/>
      <c r="B894" s="121"/>
      <c r="C894" s="311"/>
      <c r="D894" s="88"/>
      <c r="E894" s="121"/>
      <c r="F894" s="311"/>
      <c r="G894" s="88"/>
      <c r="H894" s="121"/>
      <c r="I894" s="311"/>
      <c r="J894" s="88"/>
      <c r="K894" s="121"/>
      <c r="L894" s="311"/>
      <c r="M894" s="316"/>
      <c r="N894" s="317"/>
      <c r="O894" s="318"/>
      <c r="P894" s="316"/>
      <c r="Q894" s="317"/>
      <c r="R894" s="318"/>
      <c r="S894" s="316"/>
      <c r="T894" s="317"/>
      <c r="U894" s="318"/>
      <c r="V894" s="88"/>
      <c r="W894" s="317"/>
      <c r="X894" s="311"/>
      <c r="Y894" s="143"/>
      <c r="Z894" s="143"/>
      <c r="AA894" s="143"/>
      <c r="AB894" s="17"/>
      <c r="AC894" s="17"/>
      <c r="AD894" s="17"/>
      <c r="AE894" s="17"/>
    </row>
    <row r="895">
      <c r="A895" s="88"/>
      <c r="B895" s="121"/>
      <c r="C895" s="311"/>
      <c r="D895" s="88"/>
      <c r="E895" s="121"/>
      <c r="F895" s="311"/>
      <c r="G895" s="88"/>
      <c r="H895" s="121"/>
      <c r="I895" s="311"/>
      <c r="J895" s="88"/>
      <c r="K895" s="121"/>
      <c r="L895" s="311"/>
      <c r="M895" s="316"/>
      <c r="N895" s="317"/>
      <c r="O895" s="318"/>
      <c r="P895" s="316"/>
      <c r="Q895" s="317"/>
      <c r="R895" s="318"/>
      <c r="S895" s="316"/>
      <c r="T895" s="317"/>
      <c r="U895" s="318"/>
      <c r="V895" s="88"/>
      <c r="W895" s="317"/>
      <c r="X895" s="311"/>
      <c r="Y895" s="143"/>
      <c r="Z895" s="143"/>
      <c r="AA895" s="143"/>
      <c r="AB895" s="17"/>
      <c r="AC895" s="17"/>
      <c r="AD895" s="17"/>
      <c r="AE895" s="17"/>
    </row>
    <row r="896">
      <c r="A896" s="88"/>
      <c r="B896" s="121"/>
      <c r="C896" s="311"/>
      <c r="D896" s="88"/>
      <c r="E896" s="121"/>
      <c r="F896" s="311"/>
      <c r="G896" s="88"/>
      <c r="H896" s="121"/>
      <c r="I896" s="311"/>
      <c r="J896" s="88"/>
      <c r="K896" s="121"/>
      <c r="L896" s="311"/>
      <c r="M896" s="316"/>
      <c r="N896" s="317"/>
      <c r="O896" s="318"/>
      <c r="P896" s="316"/>
      <c r="Q896" s="317"/>
      <c r="R896" s="318"/>
      <c r="S896" s="316"/>
      <c r="T896" s="317"/>
      <c r="U896" s="318"/>
      <c r="V896" s="88"/>
      <c r="W896" s="317"/>
      <c r="X896" s="311"/>
      <c r="Y896" s="143"/>
      <c r="Z896" s="143"/>
      <c r="AA896" s="143"/>
      <c r="AB896" s="17"/>
      <c r="AC896" s="17"/>
      <c r="AD896" s="17"/>
      <c r="AE896" s="17"/>
    </row>
    <row r="897">
      <c r="A897" s="88"/>
      <c r="B897" s="121"/>
      <c r="C897" s="311"/>
      <c r="D897" s="88"/>
      <c r="E897" s="121"/>
      <c r="F897" s="311"/>
      <c r="G897" s="88"/>
      <c r="H897" s="121"/>
      <c r="I897" s="311"/>
      <c r="J897" s="88"/>
      <c r="K897" s="121"/>
      <c r="L897" s="311"/>
      <c r="M897" s="316"/>
      <c r="N897" s="317"/>
      <c r="O897" s="318"/>
      <c r="P897" s="316"/>
      <c r="Q897" s="317"/>
      <c r="R897" s="318"/>
      <c r="S897" s="316"/>
      <c r="T897" s="317"/>
      <c r="U897" s="318"/>
      <c r="V897" s="88"/>
      <c r="W897" s="317"/>
      <c r="X897" s="311"/>
      <c r="Y897" s="143"/>
      <c r="Z897" s="143"/>
      <c r="AA897" s="143"/>
      <c r="AB897" s="17"/>
      <c r="AC897" s="17"/>
      <c r="AD897" s="17"/>
      <c r="AE897" s="17"/>
    </row>
    <row r="898">
      <c r="A898" s="88"/>
      <c r="B898" s="121"/>
      <c r="C898" s="311"/>
      <c r="D898" s="88"/>
      <c r="E898" s="121"/>
      <c r="F898" s="311"/>
      <c r="G898" s="88"/>
      <c r="H898" s="121"/>
      <c r="I898" s="311"/>
      <c r="J898" s="88"/>
      <c r="K898" s="121"/>
      <c r="L898" s="311"/>
      <c r="M898" s="316"/>
      <c r="N898" s="317"/>
      <c r="O898" s="318"/>
      <c r="P898" s="316"/>
      <c r="Q898" s="317"/>
      <c r="R898" s="318"/>
      <c r="S898" s="316"/>
      <c r="T898" s="317"/>
      <c r="U898" s="318"/>
      <c r="V898" s="88"/>
      <c r="W898" s="317"/>
      <c r="X898" s="311"/>
      <c r="Y898" s="143"/>
      <c r="Z898" s="143"/>
      <c r="AA898" s="143"/>
      <c r="AB898" s="17"/>
      <c r="AC898" s="17"/>
      <c r="AD898" s="17"/>
      <c r="AE898" s="17"/>
    </row>
    <row r="899">
      <c r="A899" s="88"/>
      <c r="B899" s="121"/>
      <c r="C899" s="311"/>
      <c r="D899" s="88"/>
      <c r="E899" s="121"/>
      <c r="F899" s="311"/>
      <c r="G899" s="88"/>
      <c r="H899" s="121"/>
      <c r="I899" s="311"/>
      <c r="J899" s="88"/>
      <c r="K899" s="121"/>
      <c r="L899" s="311"/>
      <c r="M899" s="316"/>
      <c r="N899" s="317"/>
      <c r="O899" s="318"/>
      <c r="P899" s="316"/>
      <c r="Q899" s="317"/>
      <c r="R899" s="318"/>
      <c r="S899" s="316"/>
      <c r="T899" s="317"/>
      <c r="U899" s="318"/>
      <c r="V899" s="88"/>
      <c r="W899" s="317"/>
      <c r="X899" s="311"/>
      <c r="Y899" s="143"/>
      <c r="Z899" s="143"/>
      <c r="AA899" s="143"/>
      <c r="AB899" s="17"/>
      <c r="AC899" s="17"/>
      <c r="AD899" s="17"/>
      <c r="AE899" s="17"/>
    </row>
    <row r="900">
      <c r="A900" s="88"/>
      <c r="B900" s="121"/>
      <c r="C900" s="311"/>
      <c r="D900" s="88"/>
      <c r="E900" s="121"/>
      <c r="F900" s="311"/>
      <c r="G900" s="88"/>
      <c r="H900" s="121"/>
      <c r="I900" s="311"/>
      <c r="J900" s="88"/>
      <c r="K900" s="121"/>
      <c r="L900" s="311"/>
      <c r="M900" s="316"/>
      <c r="N900" s="317"/>
      <c r="O900" s="318"/>
      <c r="P900" s="316"/>
      <c r="Q900" s="317"/>
      <c r="R900" s="318"/>
      <c r="S900" s="316"/>
      <c r="T900" s="317"/>
      <c r="U900" s="318"/>
      <c r="V900" s="88"/>
      <c r="W900" s="317"/>
      <c r="X900" s="311"/>
      <c r="Y900" s="143"/>
      <c r="Z900" s="143"/>
      <c r="AA900" s="143"/>
      <c r="AB900" s="17"/>
      <c r="AC900" s="17"/>
      <c r="AD900" s="17"/>
      <c r="AE900" s="17"/>
    </row>
    <row r="901">
      <c r="A901" s="88"/>
      <c r="B901" s="121"/>
      <c r="C901" s="311"/>
      <c r="D901" s="88"/>
      <c r="E901" s="121"/>
      <c r="F901" s="311"/>
      <c r="G901" s="88"/>
      <c r="H901" s="121"/>
      <c r="I901" s="311"/>
      <c r="J901" s="88"/>
      <c r="K901" s="121"/>
      <c r="L901" s="311"/>
      <c r="M901" s="316"/>
      <c r="N901" s="317"/>
      <c r="O901" s="318"/>
      <c r="P901" s="316"/>
      <c r="Q901" s="317"/>
      <c r="R901" s="318"/>
      <c r="S901" s="316"/>
      <c r="T901" s="317"/>
      <c r="U901" s="318"/>
      <c r="V901" s="88"/>
      <c r="W901" s="317"/>
      <c r="X901" s="311"/>
      <c r="Y901" s="143"/>
      <c r="Z901" s="143"/>
      <c r="AA901" s="143"/>
      <c r="AB901" s="17"/>
      <c r="AC901" s="17"/>
      <c r="AD901" s="17"/>
      <c r="AE901" s="17"/>
    </row>
    <row r="902">
      <c r="A902" s="88"/>
      <c r="B902" s="121"/>
      <c r="C902" s="311"/>
      <c r="D902" s="88"/>
      <c r="E902" s="121"/>
      <c r="F902" s="311"/>
      <c r="G902" s="88"/>
      <c r="H902" s="121"/>
      <c r="I902" s="311"/>
      <c r="J902" s="88"/>
      <c r="K902" s="121"/>
      <c r="L902" s="311"/>
      <c r="M902" s="316"/>
      <c r="N902" s="317"/>
      <c r="O902" s="318"/>
      <c r="P902" s="316"/>
      <c r="Q902" s="317"/>
      <c r="R902" s="318"/>
      <c r="S902" s="316"/>
      <c r="T902" s="317"/>
      <c r="U902" s="318"/>
      <c r="V902" s="88"/>
      <c r="W902" s="317"/>
      <c r="X902" s="311"/>
      <c r="Y902" s="143"/>
      <c r="Z902" s="143"/>
      <c r="AA902" s="143"/>
      <c r="AB902" s="17"/>
      <c r="AC902" s="17"/>
      <c r="AD902" s="17"/>
      <c r="AE902" s="17"/>
    </row>
    <row r="903">
      <c r="A903" s="88"/>
      <c r="B903" s="121"/>
      <c r="C903" s="311"/>
      <c r="D903" s="88"/>
      <c r="E903" s="121"/>
      <c r="F903" s="311"/>
      <c r="G903" s="88"/>
      <c r="H903" s="121"/>
      <c r="I903" s="311"/>
      <c r="J903" s="88"/>
      <c r="K903" s="121"/>
      <c r="L903" s="311"/>
      <c r="M903" s="316"/>
      <c r="N903" s="317"/>
      <c r="O903" s="318"/>
      <c r="P903" s="316"/>
      <c r="Q903" s="317"/>
      <c r="R903" s="318"/>
      <c r="S903" s="316"/>
      <c r="T903" s="317"/>
      <c r="U903" s="318"/>
      <c r="V903" s="88"/>
      <c r="W903" s="317"/>
      <c r="X903" s="311"/>
      <c r="Y903" s="143"/>
      <c r="Z903" s="143"/>
      <c r="AA903" s="143"/>
      <c r="AB903" s="17"/>
      <c r="AC903" s="17"/>
      <c r="AD903" s="17"/>
      <c r="AE903" s="17"/>
    </row>
    <row r="904">
      <c r="A904" s="88"/>
      <c r="B904" s="121"/>
      <c r="C904" s="311"/>
      <c r="D904" s="88"/>
      <c r="E904" s="121"/>
      <c r="F904" s="311"/>
      <c r="G904" s="88"/>
      <c r="H904" s="121"/>
      <c r="I904" s="311"/>
      <c r="J904" s="88"/>
      <c r="K904" s="121"/>
      <c r="L904" s="311"/>
      <c r="M904" s="316"/>
      <c r="N904" s="317"/>
      <c r="O904" s="318"/>
      <c r="P904" s="316"/>
      <c r="Q904" s="317"/>
      <c r="R904" s="318"/>
      <c r="S904" s="316"/>
      <c r="T904" s="317"/>
      <c r="U904" s="318"/>
      <c r="V904" s="88"/>
      <c r="W904" s="317"/>
      <c r="X904" s="311"/>
      <c r="Y904" s="143"/>
      <c r="Z904" s="143"/>
      <c r="AA904" s="143"/>
      <c r="AB904" s="17"/>
      <c r="AC904" s="17"/>
      <c r="AD904" s="17"/>
      <c r="AE904" s="17"/>
    </row>
    <row r="905">
      <c r="A905" s="88"/>
      <c r="B905" s="121"/>
      <c r="C905" s="311"/>
      <c r="D905" s="88"/>
      <c r="E905" s="121"/>
      <c r="F905" s="311"/>
      <c r="G905" s="88"/>
      <c r="H905" s="121"/>
      <c r="I905" s="311"/>
      <c r="J905" s="88"/>
      <c r="K905" s="121"/>
      <c r="L905" s="311"/>
      <c r="M905" s="316"/>
      <c r="N905" s="317"/>
      <c r="O905" s="318"/>
      <c r="P905" s="316"/>
      <c r="Q905" s="317"/>
      <c r="R905" s="318"/>
      <c r="S905" s="316"/>
      <c r="T905" s="317"/>
      <c r="U905" s="318"/>
      <c r="V905" s="88"/>
      <c r="W905" s="317"/>
      <c r="X905" s="311"/>
      <c r="Y905" s="143"/>
      <c r="Z905" s="143"/>
      <c r="AA905" s="143"/>
      <c r="AB905" s="17"/>
      <c r="AC905" s="17"/>
      <c r="AD905" s="17"/>
      <c r="AE905" s="17"/>
    </row>
    <row r="906">
      <c r="A906" s="88"/>
      <c r="B906" s="121"/>
      <c r="C906" s="311"/>
      <c r="D906" s="88"/>
      <c r="E906" s="121"/>
      <c r="F906" s="311"/>
      <c r="G906" s="88"/>
      <c r="H906" s="121"/>
      <c r="I906" s="311"/>
      <c r="J906" s="88"/>
      <c r="K906" s="121"/>
      <c r="L906" s="311"/>
      <c r="M906" s="316"/>
      <c r="N906" s="317"/>
      <c r="O906" s="318"/>
      <c r="P906" s="316"/>
      <c r="Q906" s="317"/>
      <c r="R906" s="318"/>
      <c r="S906" s="316"/>
      <c r="T906" s="317"/>
      <c r="U906" s="318"/>
      <c r="V906" s="88"/>
      <c r="W906" s="317"/>
      <c r="X906" s="311"/>
      <c r="Y906" s="143"/>
      <c r="Z906" s="143"/>
      <c r="AA906" s="143"/>
      <c r="AB906" s="17"/>
      <c r="AC906" s="17"/>
      <c r="AD906" s="17"/>
      <c r="AE906" s="17"/>
    </row>
    <row r="907">
      <c r="A907" s="88"/>
      <c r="B907" s="121"/>
      <c r="C907" s="311"/>
      <c r="D907" s="88"/>
      <c r="E907" s="121"/>
      <c r="F907" s="311"/>
      <c r="G907" s="88"/>
      <c r="H907" s="121"/>
      <c r="I907" s="311"/>
      <c r="J907" s="88"/>
      <c r="K907" s="121"/>
      <c r="L907" s="311"/>
      <c r="M907" s="316"/>
      <c r="N907" s="317"/>
      <c r="O907" s="318"/>
      <c r="P907" s="316"/>
      <c r="Q907" s="317"/>
      <c r="R907" s="318"/>
      <c r="S907" s="316"/>
      <c r="T907" s="317"/>
      <c r="U907" s="318"/>
      <c r="V907" s="88"/>
      <c r="W907" s="317"/>
      <c r="X907" s="311"/>
      <c r="Y907" s="143"/>
      <c r="Z907" s="143"/>
      <c r="AA907" s="143"/>
      <c r="AB907" s="17"/>
      <c r="AC907" s="17"/>
      <c r="AD907" s="17"/>
      <c r="AE907" s="17"/>
    </row>
    <row r="908">
      <c r="A908" s="88"/>
      <c r="B908" s="121"/>
      <c r="C908" s="311"/>
      <c r="D908" s="88"/>
      <c r="E908" s="121"/>
      <c r="F908" s="311"/>
      <c r="G908" s="88"/>
      <c r="H908" s="121"/>
      <c r="I908" s="311"/>
      <c r="J908" s="88"/>
      <c r="K908" s="121"/>
      <c r="L908" s="311"/>
      <c r="M908" s="316"/>
      <c r="N908" s="317"/>
      <c r="O908" s="318"/>
      <c r="P908" s="316"/>
      <c r="Q908" s="317"/>
      <c r="R908" s="318"/>
      <c r="S908" s="316"/>
      <c r="T908" s="317"/>
      <c r="U908" s="318"/>
      <c r="V908" s="88"/>
      <c r="W908" s="317"/>
      <c r="X908" s="311"/>
      <c r="Y908" s="143"/>
      <c r="Z908" s="143"/>
      <c r="AA908" s="143"/>
      <c r="AB908" s="17"/>
      <c r="AC908" s="17"/>
      <c r="AD908" s="17"/>
      <c r="AE908" s="17"/>
    </row>
    <row r="909">
      <c r="A909" s="88"/>
      <c r="B909" s="121"/>
      <c r="C909" s="311"/>
      <c r="D909" s="88"/>
      <c r="E909" s="121"/>
      <c r="F909" s="311"/>
      <c r="G909" s="88"/>
      <c r="H909" s="121"/>
      <c r="I909" s="311"/>
      <c r="J909" s="88"/>
      <c r="K909" s="121"/>
      <c r="L909" s="311"/>
      <c r="M909" s="316"/>
      <c r="N909" s="317"/>
      <c r="O909" s="318"/>
      <c r="P909" s="316"/>
      <c r="Q909" s="317"/>
      <c r="R909" s="318"/>
      <c r="S909" s="316"/>
      <c r="T909" s="317"/>
      <c r="U909" s="318"/>
      <c r="V909" s="88"/>
      <c r="W909" s="317"/>
      <c r="X909" s="311"/>
      <c r="Y909" s="143"/>
      <c r="Z909" s="143"/>
      <c r="AA909" s="143"/>
      <c r="AB909" s="17"/>
      <c r="AC909" s="17"/>
      <c r="AD909" s="17"/>
      <c r="AE909" s="17"/>
    </row>
    <row r="910">
      <c r="A910" s="88"/>
      <c r="B910" s="121"/>
      <c r="C910" s="311"/>
      <c r="D910" s="88"/>
      <c r="E910" s="121"/>
      <c r="F910" s="311"/>
      <c r="G910" s="88"/>
      <c r="H910" s="121"/>
      <c r="I910" s="311"/>
      <c r="J910" s="88"/>
      <c r="K910" s="121"/>
      <c r="L910" s="311"/>
      <c r="M910" s="316"/>
      <c r="N910" s="317"/>
      <c r="O910" s="318"/>
      <c r="P910" s="316"/>
      <c r="Q910" s="317"/>
      <c r="R910" s="318"/>
      <c r="S910" s="316"/>
      <c r="T910" s="317"/>
      <c r="U910" s="318"/>
      <c r="V910" s="88"/>
      <c r="W910" s="317"/>
      <c r="X910" s="311"/>
      <c r="Y910" s="143"/>
      <c r="Z910" s="143"/>
      <c r="AA910" s="143"/>
      <c r="AB910" s="17"/>
      <c r="AC910" s="17"/>
      <c r="AD910" s="17"/>
      <c r="AE910" s="17"/>
    </row>
    <row r="911">
      <c r="A911" s="88"/>
      <c r="B911" s="121"/>
      <c r="C911" s="311"/>
      <c r="D911" s="88"/>
      <c r="E911" s="121"/>
      <c r="F911" s="311"/>
      <c r="G911" s="88"/>
      <c r="H911" s="121"/>
      <c r="I911" s="311"/>
      <c r="J911" s="88"/>
      <c r="K911" s="121"/>
      <c r="L911" s="311"/>
      <c r="M911" s="316"/>
      <c r="N911" s="317"/>
      <c r="O911" s="318"/>
      <c r="P911" s="316"/>
      <c r="Q911" s="317"/>
      <c r="R911" s="318"/>
      <c r="S911" s="316"/>
      <c r="T911" s="317"/>
      <c r="U911" s="318"/>
      <c r="V911" s="88"/>
      <c r="W911" s="317"/>
      <c r="X911" s="311"/>
      <c r="Y911" s="143"/>
      <c r="Z911" s="143"/>
      <c r="AA911" s="143"/>
      <c r="AB911" s="17"/>
      <c r="AC911" s="17"/>
      <c r="AD911" s="17"/>
      <c r="AE911" s="17"/>
    </row>
    <row r="912">
      <c r="A912" s="88"/>
      <c r="B912" s="121"/>
      <c r="C912" s="311"/>
      <c r="D912" s="88"/>
      <c r="E912" s="121"/>
      <c r="F912" s="311"/>
      <c r="G912" s="88"/>
      <c r="H912" s="121"/>
      <c r="I912" s="311"/>
      <c r="J912" s="88"/>
      <c r="K912" s="121"/>
      <c r="L912" s="311"/>
      <c r="M912" s="316"/>
      <c r="N912" s="317"/>
      <c r="O912" s="318"/>
      <c r="P912" s="316"/>
      <c r="Q912" s="317"/>
      <c r="R912" s="318"/>
      <c r="S912" s="316"/>
      <c r="T912" s="317"/>
      <c r="U912" s="318"/>
      <c r="V912" s="88"/>
      <c r="W912" s="317"/>
      <c r="X912" s="311"/>
      <c r="Y912" s="143"/>
      <c r="Z912" s="143"/>
      <c r="AA912" s="143"/>
      <c r="AB912" s="17"/>
      <c r="AC912" s="17"/>
      <c r="AD912" s="17"/>
      <c r="AE912" s="17"/>
    </row>
    <row r="913">
      <c r="A913" s="88"/>
      <c r="B913" s="121"/>
      <c r="C913" s="311"/>
      <c r="D913" s="88"/>
      <c r="E913" s="121"/>
      <c r="F913" s="311"/>
      <c r="G913" s="88"/>
      <c r="H913" s="121"/>
      <c r="I913" s="311"/>
      <c r="J913" s="88"/>
      <c r="K913" s="121"/>
      <c r="L913" s="311"/>
      <c r="M913" s="316"/>
      <c r="N913" s="317"/>
      <c r="O913" s="318"/>
      <c r="P913" s="316"/>
      <c r="Q913" s="317"/>
      <c r="R913" s="318"/>
      <c r="S913" s="316"/>
      <c r="T913" s="317"/>
      <c r="U913" s="318"/>
      <c r="V913" s="88"/>
      <c r="W913" s="317"/>
      <c r="X913" s="311"/>
      <c r="Y913" s="143"/>
      <c r="Z913" s="143"/>
      <c r="AA913" s="143"/>
      <c r="AB913" s="17"/>
      <c r="AC913" s="17"/>
      <c r="AD913" s="17"/>
      <c r="AE913" s="17"/>
    </row>
    <row r="914">
      <c r="A914" s="88"/>
      <c r="B914" s="121"/>
      <c r="C914" s="311"/>
      <c r="D914" s="88"/>
      <c r="E914" s="121"/>
      <c r="F914" s="311"/>
      <c r="G914" s="88"/>
      <c r="H914" s="121"/>
      <c r="I914" s="311"/>
      <c r="J914" s="88"/>
      <c r="K914" s="121"/>
      <c r="L914" s="311"/>
      <c r="M914" s="316"/>
      <c r="N914" s="317"/>
      <c r="O914" s="318"/>
      <c r="P914" s="316"/>
      <c r="Q914" s="317"/>
      <c r="R914" s="318"/>
      <c r="S914" s="316"/>
      <c r="T914" s="317"/>
      <c r="U914" s="318"/>
      <c r="V914" s="88"/>
      <c r="W914" s="317"/>
      <c r="X914" s="311"/>
      <c r="Y914" s="143"/>
      <c r="Z914" s="143"/>
      <c r="AA914" s="143"/>
      <c r="AB914" s="17"/>
      <c r="AC914" s="17"/>
      <c r="AD914" s="17"/>
      <c r="AE914" s="17"/>
    </row>
    <row r="915">
      <c r="A915" s="88"/>
      <c r="B915" s="121"/>
      <c r="C915" s="311"/>
      <c r="D915" s="88"/>
      <c r="E915" s="121"/>
      <c r="F915" s="311"/>
      <c r="G915" s="88"/>
      <c r="H915" s="121"/>
      <c r="I915" s="311"/>
      <c r="J915" s="88"/>
      <c r="K915" s="121"/>
      <c r="L915" s="311"/>
      <c r="M915" s="316"/>
      <c r="N915" s="317"/>
      <c r="O915" s="318"/>
      <c r="P915" s="316"/>
      <c r="Q915" s="317"/>
      <c r="R915" s="318"/>
      <c r="S915" s="316"/>
      <c r="T915" s="317"/>
      <c r="U915" s="318"/>
      <c r="V915" s="88"/>
      <c r="W915" s="317"/>
      <c r="X915" s="311"/>
      <c r="Y915" s="143"/>
      <c r="Z915" s="143"/>
      <c r="AA915" s="143"/>
      <c r="AB915" s="17"/>
      <c r="AC915" s="17"/>
      <c r="AD915" s="17"/>
      <c r="AE915" s="17"/>
    </row>
    <row r="916">
      <c r="A916" s="88"/>
      <c r="B916" s="121"/>
      <c r="C916" s="311"/>
      <c r="D916" s="88"/>
      <c r="E916" s="121"/>
      <c r="F916" s="311"/>
      <c r="G916" s="88"/>
      <c r="H916" s="121"/>
      <c r="I916" s="311"/>
      <c r="J916" s="88"/>
      <c r="K916" s="121"/>
      <c r="L916" s="311"/>
      <c r="M916" s="316"/>
      <c r="N916" s="317"/>
      <c r="O916" s="318"/>
      <c r="P916" s="316"/>
      <c r="Q916" s="317"/>
      <c r="R916" s="318"/>
      <c r="S916" s="316"/>
      <c r="T916" s="317"/>
      <c r="U916" s="318"/>
      <c r="V916" s="88"/>
      <c r="W916" s="317"/>
      <c r="X916" s="311"/>
      <c r="Y916" s="143"/>
      <c r="Z916" s="143"/>
      <c r="AA916" s="143"/>
      <c r="AB916" s="17"/>
      <c r="AC916" s="17"/>
      <c r="AD916" s="17"/>
      <c r="AE916" s="17"/>
    </row>
    <row r="917">
      <c r="A917" s="88"/>
      <c r="B917" s="121"/>
      <c r="C917" s="311"/>
      <c r="D917" s="88"/>
      <c r="E917" s="121"/>
      <c r="F917" s="311"/>
      <c r="G917" s="88"/>
      <c r="H917" s="121"/>
      <c r="I917" s="311"/>
      <c r="J917" s="88"/>
      <c r="K917" s="121"/>
      <c r="L917" s="311"/>
      <c r="M917" s="316"/>
      <c r="N917" s="317"/>
      <c r="O917" s="318"/>
      <c r="P917" s="316"/>
      <c r="Q917" s="317"/>
      <c r="R917" s="318"/>
      <c r="S917" s="316"/>
      <c r="T917" s="317"/>
      <c r="U917" s="318"/>
      <c r="V917" s="88"/>
      <c r="W917" s="317"/>
      <c r="X917" s="311"/>
      <c r="Y917" s="143"/>
      <c r="Z917" s="143"/>
      <c r="AA917" s="143"/>
      <c r="AB917" s="17"/>
      <c r="AC917" s="17"/>
      <c r="AD917" s="17"/>
      <c r="AE917" s="17"/>
    </row>
    <row r="918">
      <c r="A918" s="88"/>
      <c r="B918" s="121"/>
      <c r="C918" s="311"/>
      <c r="D918" s="88"/>
      <c r="E918" s="121"/>
      <c r="F918" s="311"/>
      <c r="G918" s="88"/>
      <c r="H918" s="121"/>
      <c r="I918" s="311"/>
      <c r="J918" s="88"/>
      <c r="K918" s="121"/>
      <c r="L918" s="311"/>
      <c r="M918" s="316"/>
      <c r="N918" s="317"/>
      <c r="O918" s="318"/>
      <c r="P918" s="316"/>
      <c r="Q918" s="317"/>
      <c r="R918" s="318"/>
      <c r="S918" s="316"/>
      <c r="T918" s="317"/>
      <c r="U918" s="318"/>
      <c r="V918" s="88"/>
      <c r="W918" s="317"/>
      <c r="X918" s="311"/>
      <c r="Y918" s="143"/>
      <c r="Z918" s="143"/>
      <c r="AA918" s="143"/>
      <c r="AB918" s="17"/>
      <c r="AC918" s="17"/>
      <c r="AD918" s="17"/>
      <c r="AE918" s="17"/>
    </row>
    <row r="919">
      <c r="A919" s="88"/>
      <c r="B919" s="121"/>
      <c r="C919" s="311"/>
      <c r="D919" s="88"/>
      <c r="E919" s="121"/>
      <c r="F919" s="311"/>
      <c r="G919" s="88"/>
      <c r="H919" s="121"/>
      <c r="I919" s="311"/>
      <c r="J919" s="88"/>
      <c r="K919" s="121"/>
      <c r="L919" s="311"/>
      <c r="M919" s="316"/>
      <c r="N919" s="317"/>
      <c r="O919" s="318"/>
      <c r="P919" s="316"/>
      <c r="Q919" s="317"/>
      <c r="R919" s="318"/>
      <c r="S919" s="316"/>
      <c r="T919" s="317"/>
      <c r="U919" s="318"/>
      <c r="V919" s="88"/>
      <c r="W919" s="317"/>
      <c r="X919" s="311"/>
      <c r="Y919" s="143"/>
      <c r="Z919" s="143"/>
      <c r="AA919" s="143"/>
      <c r="AB919" s="17"/>
      <c r="AC919" s="17"/>
      <c r="AD919" s="17"/>
      <c r="AE919" s="17"/>
    </row>
    <row r="920">
      <c r="A920" s="88"/>
      <c r="B920" s="121"/>
      <c r="C920" s="311"/>
      <c r="D920" s="88"/>
      <c r="E920" s="121"/>
      <c r="F920" s="311"/>
      <c r="G920" s="88"/>
      <c r="H920" s="121"/>
      <c r="I920" s="311"/>
      <c r="J920" s="88"/>
      <c r="K920" s="121"/>
      <c r="L920" s="311"/>
      <c r="M920" s="316"/>
      <c r="N920" s="317"/>
      <c r="O920" s="318"/>
      <c r="P920" s="316"/>
      <c r="Q920" s="317"/>
      <c r="R920" s="318"/>
      <c r="S920" s="316"/>
      <c r="T920" s="317"/>
      <c r="U920" s="318"/>
      <c r="V920" s="88"/>
      <c r="W920" s="317"/>
      <c r="X920" s="311"/>
      <c r="Y920" s="143"/>
      <c r="Z920" s="143"/>
      <c r="AA920" s="143"/>
      <c r="AB920" s="17"/>
      <c r="AC920" s="17"/>
      <c r="AD920" s="17"/>
      <c r="AE920" s="17"/>
    </row>
    <row r="921">
      <c r="A921" s="88"/>
      <c r="B921" s="121"/>
      <c r="C921" s="311"/>
      <c r="D921" s="88"/>
      <c r="E921" s="121"/>
      <c r="F921" s="311"/>
      <c r="G921" s="88"/>
      <c r="H921" s="121"/>
      <c r="I921" s="311"/>
      <c r="J921" s="88"/>
      <c r="K921" s="121"/>
      <c r="L921" s="311"/>
      <c r="M921" s="316"/>
      <c r="N921" s="317"/>
      <c r="O921" s="318"/>
      <c r="P921" s="316"/>
      <c r="Q921" s="317"/>
      <c r="R921" s="318"/>
      <c r="S921" s="316"/>
      <c r="T921" s="317"/>
      <c r="U921" s="318"/>
      <c r="V921" s="88"/>
      <c r="W921" s="317"/>
      <c r="X921" s="311"/>
      <c r="Y921" s="143"/>
      <c r="Z921" s="143"/>
      <c r="AA921" s="143"/>
      <c r="AB921" s="17"/>
      <c r="AC921" s="17"/>
      <c r="AD921" s="17"/>
      <c r="AE921" s="17"/>
    </row>
    <row r="922">
      <c r="A922" s="88"/>
      <c r="B922" s="121"/>
      <c r="C922" s="311"/>
      <c r="D922" s="88"/>
      <c r="E922" s="121"/>
      <c r="F922" s="311"/>
      <c r="G922" s="88"/>
      <c r="H922" s="121"/>
      <c r="I922" s="311"/>
      <c r="J922" s="88"/>
      <c r="K922" s="121"/>
      <c r="L922" s="311"/>
      <c r="M922" s="316"/>
      <c r="N922" s="317"/>
      <c r="O922" s="318"/>
      <c r="P922" s="316"/>
      <c r="Q922" s="317"/>
      <c r="R922" s="318"/>
      <c r="S922" s="316"/>
      <c r="T922" s="317"/>
      <c r="U922" s="318"/>
      <c r="V922" s="88"/>
      <c r="W922" s="317"/>
      <c r="X922" s="311"/>
      <c r="Y922" s="143"/>
      <c r="Z922" s="143"/>
      <c r="AA922" s="143"/>
      <c r="AB922" s="17"/>
      <c r="AC922" s="17"/>
      <c r="AD922" s="17"/>
      <c r="AE922" s="17"/>
    </row>
    <row r="923">
      <c r="A923" s="88"/>
      <c r="B923" s="121"/>
      <c r="C923" s="311"/>
      <c r="D923" s="88"/>
      <c r="E923" s="121"/>
      <c r="F923" s="311"/>
      <c r="G923" s="88"/>
      <c r="H923" s="121"/>
      <c r="I923" s="311"/>
      <c r="J923" s="88"/>
      <c r="K923" s="121"/>
      <c r="L923" s="311"/>
      <c r="M923" s="316"/>
      <c r="N923" s="317"/>
      <c r="O923" s="318"/>
      <c r="P923" s="316"/>
      <c r="Q923" s="317"/>
      <c r="R923" s="318"/>
      <c r="S923" s="316"/>
      <c r="T923" s="317"/>
      <c r="U923" s="318"/>
      <c r="V923" s="88"/>
      <c r="W923" s="317"/>
      <c r="X923" s="311"/>
      <c r="Y923" s="143"/>
      <c r="Z923" s="143"/>
      <c r="AA923" s="143"/>
      <c r="AB923" s="17"/>
      <c r="AC923" s="17"/>
      <c r="AD923" s="17"/>
      <c r="AE923" s="17"/>
    </row>
    <row r="924">
      <c r="A924" s="88"/>
      <c r="B924" s="121"/>
      <c r="C924" s="311"/>
      <c r="D924" s="88"/>
      <c r="E924" s="121"/>
      <c r="F924" s="311"/>
      <c r="G924" s="88"/>
      <c r="H924" s="121"/>
      <c r="I924" s="311"/>
      <c r="J924" s="88"/>
      <c r="K924" s="121"/>
      <c r="L924" s="311"/>
      <c r="M924" s="316"/>
      <c r="N924" s="317"/>
      <c r="O924" s="318"/>
      <c r="P924" s="316"/>
      <c r="Q924" s="317"/>
      <c r="R924" s="318"/>
      <c r="S924" s="316"/>
      <c r="T924" s="317"/>
      <c r="U924" s="318"/>
      <c r="V924" s="88"/>
      <c r="W924" s="317"/>
      <c r="X924" s="311"/>
      <c r="Y924" s="143"/>
      <c r="Z924" s="143"/>
      <c r="AA924" s="143"/>
      <c r="AB924" s="17"/>
      <c r="AC924" s="17"/>
      <c r="AD924" s="17"/>
      <c r="AE924" s="17"/>
    </row>
    <row r="925">
      <c r="A925" s="88"/>
      <c r="B925" s="121"/>
      <c r="C925" s="311"/>
      <c r="D925" s="88"/>
      <c r="E925" s="121"/>
      <c r="F925" s="311"/>
      <c r="G925" s="88"/>
      <c r="H925" s="121"/>
      <c r="I925" s="311"/>
      <c r="J925" s="88"/>
      <c r="K925" s="121"/>
      <c r="L925" s="311"/>
      <c r="M925" s="316"/>
      <c r="N925" s="317"/>
      <c r="O925" s="318"/>
      <c r="P925" s="316"/>
      <c r="Q925" s="317"/>
      <c r="R925" s="318"/>
      <c r="S925" s="316"/>
      <c r="T925" s="317"/>
      <c r="U925" s="318"/>
      <c r="V925" s="88"/>
      <c r="W925" s="317"/>
      <c r="X925" s="311"/>
      <c r="Y925" s="143"/>
      <c r="Z925" s="143"/>
      <c r="AA925" s="143"/>
      <c r="AB925" s="17"/>
      <c r="AC925" s="17"/>
      <c r="AD925" s="17"/>
      <c r="AE925" s="17"/>
    </row>
    <row r="926">
      <c r="A926" s="88"/>
      <c r="B926" s="121"/>
      <c r="C926" s="311"/>
      <c r="D926" s="88"/>
      <c r="E926" s="121"/>
      <c r="F926" s="311"/>
      <c r="G926" s="88"/>
      <c r="H926" s="121"/>
      <c r="I926" s="311"/>
      <c r="J926" s="88"/>
      <c r="K926" s="121"/>
      <c r="L926" s="311"/>
      <c r="M926" s="316"/>
      <c r="N926" s="317"/>
      <c r="O926" s="318"/>
      <c r="P926" s="316"/>
      <c r="Q926" s="317"/>
      <c r="R926" s="318"/>
      <c r="S926" s="316"/>
      <c r="T926" s="317"/>
      <c r="U926" s="318"/>
      <c r="V926" s="88"/>
      <c r="W926" s="317"/>
      <c r="X926" s="311"/>
      <c r="Y926" s="143"/>
      <c r="Z926" s="143"/>
      <c r="AA926" s="143"/>
      <c r="AB926" s="17"/>
      <c r="AC926" s="17"/>
      <c r="AD926" s="17"/>
      <c r="AE926" s="17"/>
    </row>
    <row r="927">
      <c r="A927" s="88"/>
      <c r="B927" s="121"/>
      <c r="C927" s="311"/>
      <c r="D927" s="88"/>
      <c r="E927" s="121"/>
      <c r="F927" s="311"/>
      <c r="G927" s="88"/>
      <c r="H927" s="121"/>
      <c r="I927" s="311"/>
      <c r="J927" s="88"/>
      <c r="K927" s="121"/>
      <c r="L927" s="311"/>
      <c r="M927" s="316"/>
      <c r="N927" s="317"/>
      <c r="O927" s="318"/>
      <c r="P927" s="316"/>
      <c r="Q927" s="317"/>
      <c r="R927" s="318"/>
      <c r="S927" s="316"/>
      <c r="T927" s="317"/>
      <c r="U927" s="318"/>
      <c r="V927" s="88"/>
      <c r="W927" s="317"/>
      <c r="X927" s="311"/>
      <c r="Y927" s="143"/>
      <c r="Z927" s="143"/>
      <c r="AA927" s="143"/>
      <c r="AB927" s="17"/>
      <c r="AC927" s="17"/>
      <c r="AD927" s="17"/>
      <c r="AE927" s="17"/>
    </row>
    <row r="928">
      <c r="A928" s="88"/>
      <c r="B928" s="121"/>
      <c r="C928" s="311"/>
      <c r="D928" s="88"/>
      <c r="E928" s="121"/>
      <c r="F928" s="311"/>
      <c r="G928" s="88"/>
      <c r="H928" s="121"/>
      <c r="I928" s="311"/>
      <c r="J928" s="88"/>
      <c r="K928" s="121"/>
      <c r="L928" s="311"/>
      <c r="M928" s="316"/>
      <c r="N928" s="317"/>
      <c r="O928" s="318"/>
      <c r="P928" s="316"/>
      <c r="Q928" s="317"/>
      <c r="R928" s="318"/>
      <c r="S928" s="316"/>
      <c r="T928" s="317"/>
      <c r="U928" s="318"/>
      <c r="V928" s="88"/>
      <c r="W928" s="317"/>
      <c r="X928" s="311"/>
      <c r="Y928" s="143"/>
      <c r="Z928" s="143"/>
      <c r="AA928" s="143"/>
      <c r="AB928" s="17"/>
      <c r="AC928" s="17"/>
      <c r="AD928" s="17"/>
      <c r="AE928" s="17"/>
    </row>
    <row r="929">
      <c r="A929" s="88"/>
      <c r="B929" s="121"/>
      <c r="C929" s="311"/>
      <c r="D929" s="88"/>
      <c r="E929" s="121"/>
      <c r="F929" s="311"/>
      <c r="G929" s="88"/>
      <c r="H929" s="121"/>
      <c r="I929" s="311"/>
      <c r="J929" s="88"/>
      <c r="K929" s="121"/>
      <c r="L929" s="311"/>
      <c r="M929" s="316"/>
      <c r="N929" s="317"/>
      <c r="O929" s="318"/>
      <c r="P929" s="316"/>
      <c r="Q929" s="317"/>
      <c r="R929" s="318"/>
      <c r="S929" s="316"/>
      <c r="T929" s="317"/>
      <c r="U929" s="318"/>
      <c r="V929" s="88"/>
      <c r="W929" s="317"/>
      <c r="X929" s="311"/>
      <c r="Y929" s="143"/>
      <c r="Z929" s="143"/>
      <c r="AA929" s="143"/>
      <c r="AB929" s="17"/>
      <c r="AC929" s="17"/>
      <c r="AD929" s="17"/>
      <c r="AE929" s="17"/>
    </row>
    <row r="930">
      <c r="A930" s="88"/>
      <c r="B930" s="121"/>
      <c r="C930" s="311"/>
      <c r="D930" s="88"/>
      <c r="E930" s="121"/>
      <c r="F930" s="311"/>
      <c r="G930" s="88"/>
      <c r="H930" s="121"/>
      <c r="I930" s="311"/>
      <c r="J930" s="88"/>
      <c r="K930" s="121"/>
      <c r="L930" s="311"/>
      <c r="M930" s="316"/>
      <c r="N930" s="317"/>
      <c r="O930" s="318"/>
      <c r="P930" s="316"/>
      <c r="Q930" s="317"/>
      <c r="R930" s="318"/>
      <c r="S930" s="316"/>
      <c r="T930" s="317"/>
      <c r="U930" s="318"/>
      <c r="V930" s="88"/>
      <c r="W930" s="317"/>
      <c r="X930" s="311"/>
      <c r="Y930" s="143"/>
      <c r="Z930" s="143"/>
      <c r="AA930" s="143"/>
      <c r="AB930" s="17"/>
      <c r="AC930" s="17"/>
      <c r="AD930" s="17"/>
      <c r="AE930" s="17"/>
    </row>
    <row r="931">
      <c r="A931" s="88"/>
      <c r="B931" s="121"/>
      <c r="C931" s="311"/>
      <c r="D931" s="88"/>
      <c r="E931" s="121"/>
      <c r="F931" s="311"/>
      <c r="G931" s="88"/>
      <c r="H931" s="121"/>
      <c r="I931" s="311"/>
      <c r="J931" s="88"/>
      <c r="K931" s="121"/>
      <c r="L931" s="311"/>
      <c r="M931" s="316"/>
      <c r="N931" s="317"/>
      <c r="O931" s="318"/>
      <c r="P931" s="316"/>
      <c r="Q931" s="317"/>
      <c r="R931" s="318"/>
      <c r="S931" s="316"/>
      <c r="T931" s="317"/>
      <c r="U931" s="318"/>
      <c r="V931" s="88"/>
      <c r="W931" s="317"/>
      <c r="X931" s="311"/>
      <c r="Y931" s="143"/>
      <c r="Z931" s="143"/>
      <c r="AA931" s="143"/>
      <c r="AB931" s="17"/>
      <c r="AC931" s="17"/>
      <c r="AD931" s="17"/>
      <c r="AE931" s="17"/>
    </row>
    <row r="932">
      <c r="A932" s="88"/>
      <c r="B932" s="121"/>
      <c r="C932" s="311"/>
      <c r="D932" s="88"/>
      <c r="E932" s="121"/>
      <c r="F932" s="311"/>
      <c r="G932" s="88"/>
      <c r="H932" s="121"/>
      <c r="I932" s="311"/>
      <c r="J932" s="88"/>
      <c r="K932" s="121"/>
      <c r="L932" s="311"/>
      <c r="M932" s="316"/>
      <c r="N932" s="317"/>
      <c r="O932" s="318"/>
      <c r="P932" s="316"/>
      <c r="Q932" s="317"/>
      <c r="R932" s="318"/>
      <c r="S932" s="316"/>
      <c r="T932" s="317"/>
      <c r="U932" s="318"/>
      <c r="V932" s="88"/>
      <c r="W932" s="317"/>
      <c r="X932" s="311"/>
      <c r="Y932" s="143"/>
      <c r="Z932" s="143"/>
      <c r="AA932" s="143"/>
      <c r="AB932" s="17"/>
      <c r="AC932" s="17"/>
      <c r="AD932" s="17"/>
      <c r="AE932" s="17"/>
    </row>
    <row r="933">
      <c r="A933" s="88"/>
      <c r="B933" s="121"/>
      <c r="C933" s="311"/>
      <c r="D933" s="88"/>
      <c r="E933" s="121"/>
      <c r="F933" s="311"/>
      <c r="G933" s="88"/>
      <c r="H933" s="121"/>
      <c r="I933" s="311"/>
      <c r="J933" s="88"/>
      <c r="K933" s="121"/>
      <c r="L933" s="311"/>
      <c r="M933" s="316"/>
      <c r="N933" s="317"/>
      <c r="O933" s="318"/>
      <c r="P933" s="316"/>
      <c r="Q933" s="317"/>
      <c r="R933" s="318"/>
      <c r="S933" s="316"/>
      <c r="T933" s="317"/>
      <c r="U933" s="318"/>
      <c r="V933" s="88"/>
      <c r="W933" s="317"/>
      <c r="X933" s="311"/>
      <c r="Y933" s="143"/>
      <c r="Z933" s="143"/>
      <c r="AA933" s="143"/>
      <c r="AB933" s="17"/>
      <c r="AC933" s="17"/>
      <c r="AD933" s="17"/>
      <c r="AE933" s="17"/>
    </row>
    <row r="934">
      <c r="A934" s="88"/>
      <c r="B934" s="121"/>
      <c r="C934" s="311"/>
      <c r="D934" s="88"/>
      <c r="E934" s="121"/>
      <c r="F934" s="311"/>
      <c r="G934" s="88"/>
      <c r="H934" s="121"/>
      <c r="I934" s="311"/>
      <c r="J934" s="88"/>
      <c r="K934" s="121"/>
      <c r="L934" s="311"/>
      <c r="M934" s="316"/>
      <c r="N934" s="317"/>
      <c r="O934" s="318"/>
      <c r="P934" s="316"/>
      <c r="Q934" s="317"/>
      <c r="R934" s="318"/>
      <c r="S934" s="316"/>
      <c r="T934" s="317"/>
      <c r="U934" s="318"/>
      <c r="V934" s="88"/>
      <c r="W934" s="317"/>
      <c r="X934" s="311"/>
      <c r="Y934" s="143"/>
      <c r="Z934" s="143"/>
      <c r="AA934" s="143"/>
      <c r="AB934" s="17"/>
      <c r="AC934" s="17"/>
      <c r="AD934" s="17"/>
      <c r="AE934" s="17"/>
    </row>
    <row r="935">
      <c r="A935" s="88"/>
      <c r="B935" s="121"/>
      <c r="C935" s="311"/>
      <c r="D935" s="88"/>
      <c r="E935" s="121"/>
      <c r="F935" s="311"/>
      <c r="G935" s="88"/>
      <c r="H935" s="121"/>
      <c r="I935" s="311"/>
      <c r="J935" s="88"/>
      <c r="K935" s="121"/>
      <c r="L935" s="311"/>
      <c r="M935" s="316"/>
      <c r="N935" s="317"/>
      <c r="O935" s="318"/>
      <c r="P935" s="316"/>
      <c r="Q935" s="317"/>
      <c r="R935" s="318"/>
      <c r="S935" s="316"/>
      <c r="T935" s="317"/>
      <c r="U935" s="318"/>
      <c r="V935" s="88"/>
      <c r="W935" s="317"/>
      <c r="X935" s="311"/>
      <c r="Y935" s="143"/>
      <c r="Z935" s="143"/>
      <c r="AA935" s="143"/>
      <c r="AB935" s="17"/>
      <c r="AC935" s="17"/>
      <c r="AD935" s="17"/>
      <c r="AE935" s="17"/>
    </row>
    <row r="936">
      <c r="A936" s="88"/>
      <c r="B936" s="121"/>
      <c r="C936" s="311"/>
      <c r="D936" s="88"/>
      <c r="E936" s="121"/>
      <c r="F936" s="311"/>
      <c r="G936" s="88"/>
      <c r="H936" s="121"/>
      <c r="I936" s="311"/>
      <c r="J936" s="88"/>
      <c r="K936" s="121"/>
      <c r="L936" s="311"/>
      <c r="M936" s="316"/>
      <c r="N936" s="317"/>
      <c r="O936" s="318"/>
      <c r="P936" s="316"/>
      <c r="Q936" s="317"/>
      <c r="R936" s="318"/>
      <c r="S936" s="316"/>
      <c r="T936" s="317"/>
      <c r="U936" s="318"/>
      <c r="V936" s="88"/>
      <c r="W936" s="317"/>
      <c r="X936" s="311"/>
      <c r="Y936" s="143"/>
      <c r="Z936" s="143"/>
      <c r="AA936" s="143"/>
      <c r="AB936" s="17"/>
      <c r="AC936" s="17"/>
      <c r="AD936" s="17"/>
      <c r="AE936" s="17"/>
    </row>
    <row r="937">
      <c r="A937" s="88"/>
      <c r="B937" s="121"/>
      <c r="C937" s="311"/>
      <c r="D937" s="88"/>
      <c r="E937" s="121"/>
      <c r="F937" s="311"/>
      <c r="G937" s="88"/>
      <c r="H937" s="121"/>
      <c r="I937" s="311"/>
      <c r="J937" s="88"/>
      <c r="K937" s="121"/>
      <c r="L937" s="311"/>
      <c r="M937" s="316"/>
      <c r="N937" s="317"/>
      <c r="O937" s="318"/>
      <c r="P937" s="316"/>
      <c r="Q937" s="317"/>
      <c r="R937" s="318"/>
      <c r="S937" s="316"/>
      <c r="T937" s="317"/>
      <c r="U937" s="318"/>
      <c r="V937" s="88"/>
      <c r="W937" s="317"/>
      <c r="X937" s="311"/>
      <c r="Y937" s="143"/>
      <c r="Z937" s="143"/>
      <c r="AA937" s="143"/>
      <c r="AB937" s="17"/>
      <c r="AC937" s="17"/>
      <c r="AD937" s="17"/>
      <c r="AE937" s="17"/>
    </row>
    <row r="938">
      <c r="A938" s="88"/>
      <c r="B938" s="121"/>
      <c r="C938" s="311"/>
      <c r="D938" s="88"/>
      <c r="E938" s="121"/>
      <c r="F938" s="311"/>
      <c r="G938" s="88"/>
      <c r="H938" s="121"/>
      <c r="I938" s="311"/>
      <c r="J938" s="88"/>
      <c r="K938" s="121"/>
      <c r="L938" s="311"/>
      <c r="M938" s="316"/>
      <c r="N938" s="317"/>
      <c r="O938" s="318"/>
      <c r="P938" s="316"/>
      <c r="Q938" s="317"/>
      <c r="R938" s="318"/>
      <c r="S938" s="316"/>
      <c r="T938" s="317"/>
      <c r="U938" s="318"/>
      <c r="V938" s="88"/>
      <c r="W938" s="317"/>
      <c r="X938" s="311"/>
      <c r="Y938" s="143"/>
      <c r="Z938" s="143"/>
      <c r="AA938" s="143"/>
      <c r="AB938" s="17"/>
      <c r="AC938" s="17"/>
      <c r="AD938" s="17"/>
      <c r="AE938" s="17"/>
    </row>
    <row r="939">
      <c r="A939" s="88"/>
      <c r="B939" s="121"/>
      <c r="C939" s="311"/>
      <c r="D939" s="88"/>
      <c r="E939" s="121"/>
      <c r="F939" s="311"/>
      <c r="G939" s="88"/>
      <c r="H939" s="121"/>
      <c r="I939" s="311"/>
      <c r="J939" s="88"/>
      <c r="K939" s="121"/>
      <c r="L939" s="311"/>
      <c r="M939" s="316"/>
      <c r="N939" s="317"/>
      <c r="O939" s="318"/>
      <c r="P939" s="316"/>
      <c r="Q939" s="317"/>
      <c r="R939" s="318"/>
      <c r="S939" s="316"/>
      <c r="T939" s="317"/>
      <c r="U939" s="318"/>
      <c r="V939" s="88"/>
      <c r="W939" s="317"/>
      <c r="X939" s="311"/>
      <c r="Y939" s="143"/>
      <c r="Z939" s="143"/>
      <c r="AA939" s="143"/>
      <c r="AB939" s="17"/>
      <c r="AC939" s="17"/>
      <c r="AD939" s="17"/>
      <c r="AE939" s="17"/>
    </row>
    <row r="940">
      <c r="A940" s="88"/>
      <c r="B940" s="121"/>
      <c r="C940" s="311"/>
      <c r="D940" s="88"/>
      <c r="E940" s="121"/>
      <c r="F940" s="311"/>
      <c r="G940" s="88"/>
      <c r="H940" s="121"/>
      <c r="I940" s="311"/>
      <c r="J940" s="88"/>
      <c r="K940" s="121"/>
      <c r="L940" s="311"/>
      <c r="M940" s="316"/>
      <c r="N940" s="317"/>
      <c r="O940" s="318"/>
      <c r="P940" s="316"/>
      <c r="Q940" s="317"/>
      <c r="R940" s="318"/>
      <c r="S940" s="316"/>
      <c r="T940" s="317"/>
      <c r="U940" s="318"/>
      <c r="V940" s="88"/>
      <c r="W940" s="317"/>
      <c r="X940" s="311"/>
      <c r="Y940" s="143"/>
      <c r="Z940" s="143"/>
      <c r="AA940" s="143"/>
      <c r="AB940" s="17"/>
      <c r="AC940" s="17"/>
      <c r="AD940" s="17"/>
      <c r="AE940" s="17"/>
    </row>
    <row r="941">
      <c r="A941" s="88"/>
      <c r="B941" s="121"/>
      <c r="C941" s="311"/>
      <c r="D941" s="88"/>
      <c r="E941" s="121"/>
      <c r="F941" s="311"/>
      <c r="G941" s="88"/>
      <c r="H941" s="121"/>
      <c r="I941" s="311"/>
      <c r="J941" s="88"/>
      <c r="K941" s="121"/>
      <c r="L941" s="311"/>
      <c r="M941" s="316"/>
      <c r="N941" s="317"/>
      <c r="O941" s="318"/>
      <c r="P941" s="316"/>
      <c r="Q941" s="317"/>
      <c r="R941" s="318"/>
      <c r="S941" s="316"/>
      <c r="T941" s="317"/>
      <c r="U941" s="318"/>
      <c r="V941" s="88"/>
      <c r="W941" s="317"/>
      <c r="X941" s="311"/>
      <c r="Y941" s="143"/>
      <c r="Z941" s="143"/>
      <c r="AA941" s="143"/>
      <c r="AB941" s="17"/>
      <c r="AC941" s="17"/>
      <c r="AD941" s="17"/>
      <c r="AE941" s="17"/>
    </row>
    <row r="942">
      <c r="A942" s="88"/>
      <c r="B942" s="121"/>
      <c r="C942" s="311"/>
      <c r="D942" s="88"/>
      <c r="E942" s="121"/>
      <c r="F942" s="311"/>
      <c r="G942" s="88"/>
      <c r="H942" s="121"/>
      <c r="I942" s="311"/>
      <c r="J942" s="88"/>
      <c r="K942" s="121"/>
      <c r="L942" s="311"/>
      <c r="M942" s="316"/>
      <c r="N942" s="317"/>
      <c r="O942" s="318"/>
      <c r="P942" s="316"/>
      <c r="Q942" s="317"/>
      <c r="R942" s="318"/>
      <c r="S942" s="316"/>
      <c r="T942" s="317"/>
      <c r="U942" s="318"/>
      <c r="V942" s="88"/>
      <c r="W942" s="317"/>
      <c r="X942" s="311"/>
      <c r="Y942" s="143"/>
      <c r="Z942" s="143"/>
      <c r="AA942" s="143"/>
      <c r="AB942" s="17"/>
      <c r="AC942" s="17"/>
      <c r="AD942" s="17"/>
      <c r="AE942" s="17"/>
    </row>
    <row r="943">
      <c r="A943" s="88"/>
      <c r="B943" s="121"/>
      <c r="C943" s="311"/>
      <c r="D943" s="88"/>
      <c r="E943" s="121"/>
      <c r="F943" s="311"/>
      <c r="G943" s="88"/>
      <c r="H943" s="121"/>
      <c r="I943" s="311"/>
      <c r="J943" s="88"/>
      <c r="K943" s="121"/>
      <c r="L943" s="311"/>
      <c r="M943" s="316"/>
      <c r="N943" s="317"/>
      <c r="O943" s="318"/>
      <c r="P943" s="316"/>
      <c r="Q943" s="317"/>
      <c r="R943" s="318"/>
      <c r="S943" s="316"/>
      <c r="T943" s="317"/>
      <c r="U943" s="318"/>
      <c r="V943" s="88"/>
      <c r="W943" s="317"/>
      <c r="X943" s="311"/>
      <c r="Y943" s="143"/>
      <c r="Z943" s="143"/>
      <c r="AA943" s="143"/>
      <c r="AB943" s="17"/>
      <c r="AC943" s="17"/>
      <c r="AD943" s="17"/>
      <c r="AE943" s="17"/>
    </row>
    <row r="944">
      <c r="A944" s="88"/>
      <c r="B944" s="121"/>
      <c r="C944" s="311"/>
      <c r="D944" s="88"/>
      <c r="E944" s="121"/>
      <c r="F944" s="311"/>
      <c r="G944" s="88"/>
      <c r="H944" s="121"/>
      <c r="I944" s="311"/>
      <c r="J944" s="88"/>
      <c r="K944" s="121"/>
      <c r="L944" s="311"/>
      <c r="M944" s="316"/>
      <c r="N944" s="317"/>
      <c r="O944" s="318"/>
      <c r="P944" s="316"/>
      <c r="Q944" s="317"/>
      <c r="R944" s="318"/>
      <c r="S944" s="316"/>
      <c r="T944" s="317"/>
      <c r="U944" s="318"/>
      <c r="V944" s="88"/>
      <c r="W944" s="317"/>
      <c r="X944" s="311"/>
      <c r="Y944" s="143"/>
      <c r="Z944" s="143"/>
      <c r="AA944" s="143"/>
      <c r="AB944" s="17"/>
      <c r="AC944" s="17"/>
      <c r="AD944" s="17"/>
      <c r="AE944" s="17"/>
    </row>
    <row r="945">
      <c r="A945" s="88"/>
      <c r="B945" s="121"/>
      <c r="C945" s="311"/>
      <c r="D945" s="88"/>
      <c r="E945" s="121"/>
      <c r="F945" s="311"/>
      <c r="G945" s="88"/>
      <c r="H945" s="121"/>
      <c r="I945" s="311"/>
      <c r="J945" s="88"/>
      <c r="K945" s="121"/>
      <c r="L945" s="311"/>
      <c r="M945" s="316"/>
      <c r="N945" s="317"/>
      <c r="O945" s="318"/>
      <c r="P945" s="316"/>
      <c r="Q945" s="317"/>
      <c r="R945" s="318"/>
      <c r="S945" s="316"/>
      <c r="T945" s="317"/>
      <c r="U945" s="318"/>
      <c r="V945" s="88"/>
      <c r="W945" s="317"/>
      <c r="X945" s="311"/>
      <c r="Y945" s="143"/>
      <c r="Z945" s="143"/>
      <c r="AA945" s="143"/>
      <c r="AB945" s="17"/>
      <c r="AC945" s="17"/>
      <c r="AD945" s="17"/>
      <c r="AE945" s="17"/>
    </row>
    <row r="946">
      <c r="A946" s="88"/>
      <c r="B946" s="121"/>
      <c r="C946" s="311"/>
      <c r="D946" s="88"/>
      <c r="E946" s="121"/>
      <c r="F946" s="311"/>
      <c r="G946" s="88"/>
      <c r="H946" s="121"/>
      <c r="I946" s="311"/>
      <c r="J946" s="88"/>
      <c r="K946" s="121"/>
      <c r="L946" s="311"/>
      <c r="M946" s="316"/>
      <c r="N946" s="317"/>
      <c r="O946" s="318"/>
      <c r="P946" s="316"/>
      <c r="Q946" s="317"/>
      <c r="R946" s="318"/>
      <c r="S946" s="316"/>
      <c r="T946" s="317"/>
      <c r="U946" s="318"/>
      <c r="V946" s="88"/>
      <c r="W946" s="317"/>
      <c r="X946" s="311"/>
      <c r="Y946" s="143"/>
      <c r="Z946" s="143"/>
      <c r="AA946" s="143"/>
      <c r="AB946" s="17"/>
      <c r="AC946" s="17"/>
      <c r="AD946" s="17"/>
      <c r="AE946" s="17"/>
    </row>
    <row r="947">
      <c r="A947" s="88"/>
      <c r="B947" s="121"/>
      <c r="C947" s="311"/>
      <c r="D947" s="88"/>
      <c r="E947" s="121"/>
      <c r="F947" s="311"/>
      <c r="G947" s="88"/>
      <c r="H947" s="121"/>
      <c r="I947" s="311"/>
      <c r="J947" s="88"/>
      <c r="K947" s="121"/>
      <c r="L947" s="311"/>
      <c r="M947" s="316"/>
      <c r="N947" s="317"/>
      <c r="O947" s="318"/>
      <c r="P947" s="316"/>
      <c r="Q947" s="317"/>
      <c r="R947" s="318"/>
      <c r="S947" s="316"/>
      <c r="T947" s="317"/>
      <c r="U947" s="318"/>
      <c r="V947" s="88"/>
      <c r="W947" s="317"/>
      <c r="X947" s="311"/>
      <c r="Y947" s="143"/>
      <c r="Z947" s="143"/>
      <c r="AA947" s="143"/>
      <c r="AB947" s="17"/>
      <c r="AC947" s="17"/>
      <c r="AD947" s="17"/>
      <c r="AE947" s="17"/>
    </row>
    <row r="948">
      <c r="A948" s="88"/>
      <c r="B948" s="121"/>
      <c r="C948" s="311"/>
      <c r="D948" s="88"/>
      <c r="E948" s="121"/>
      <c r="F948" s="311"/>
      <c r="G948" s="88"/>
      <c r="H948" s="121"/>
      <c r="I948" s="311"/>
      <c r="J948" s="88"/>
      <c r="K948" s="121"/>
      <c r="L948" s="311"/>
      <c r="M948" s="316"/>
      <c r="N948" s="317"/>
      <c r="O948" s="318"/>
      <c r="P948" s="316"/>
      <c r="Q948" s="317"/>
      <c r="R948" s="318"/>
      <c r="S948" s="316"/>
      <c r="T948" s="317"/>
      <c r="U948" s="318"/>
      <c r="V948" s="88"/>
      <c r="W948" s="317"/>
      <c r="X948" s="311"/>
      <c r="Y948" s="143"/>
      <c r="Z948" s="143"/>
      <c r="AA948" s="143"/>
      <c r="AB948" s="17"/>
      <c r="AC948" s="17"/>
      <c r="AD948" s="17"/>
      <c r="AE948" s="17"/>
    </row>
    <row r="949">
      <c r="A949" s="88"/>
      <c r="B949" s="121"/>
      <c r="C949" s="311"/>
      <c r="D949" s="88"/>
      <c r="E949" s="121"/>
      <c r="F949" s="311"/>
      <c r="G949" s="88"/>
      <c r="H949" s="121"/>
      <c r="I949" s="311"/>
      <c r="J949" s="88"/>
      <c r="K949" s="121"/>
      <c r="L949" s="311"/>
      <c r="M949" s="316"/>
      <c r="N949" s="317"/>
      <c r="O949" s="318"/>
      <c r="P949" s="316"/>
      <c r="Q949" s="317"/>
      <c r="R949" s="318"/>
      <c r="S949" s="316"/>
      <c r="T949" s="317"/>
      <c r="U949" s="318"/>
      <c r="V949" s="88"/>
      <c r="W949" s="317"/>
      <c r="X949" s="311"/>
      <c r="Y949" s="143"/>
      <c r="Z949" s="143"/>
      <c r="AA949" s="143"/>
      <c r="AB949" s="17"/>
      <c r="AC949" s="17"/>
      <c r="AD949" s="17"/>
      <c r="AE949" s="17"/>
    </row>
    <row r="950">
      <c r="A950" s="88"/>
      <c r="B950" s="121"/>
      <c r="C950" s="311"/>
      <c r="D950" s="88"/>
      <c r="E950" s="121"/>
      <c r="F950" s="311"/>
      <c r="G950" s="88"/>
      <c r="H950" s="121"/>
      <c r="I950" s="311"/>
      <c r="J950" s="88"/>
      <c r="K950" s="121"/>
      <c r="L950" s="311"/>
      <c r="M950" s="316"/>
      <c r="N950" s="317"/>
      <c r="O950" s="318"/>
      <c r="P950" s="316"/>
      <c r="Q950" s="317"/>
      <c r="R950" s="318"/>
      <c r="S950" s="316"/>
      <c r="T950" s="317"/>
      <c r="U950" s="318"/>
      <c r="V950" s="88"/>
      <c r="W950" s="317"/>
      <c r="X950" s="311"/>
      <c r="Y950" s="143"/>
      <c r="Z950" s="143"/>
      <c r="AA950" s="143"/>
      <c r="AB950" s="17"/>
      <c r="AC950" s="17"/>
      <c r="AD950" s="17"/>
      <c r="AE950" s="17"/>
    </row>
    <row r="951">
      <c r="A951" s="88"/>
      <c r="B951" s="121"/>
      <c r="C951" s="311"/>
      <c r="D951" s="88"/>
      <c r="E951" s="121"/>
      <c r="F951" s="311"/>
      <c r="G951" s="88"/>
      <c r="H951" s="121"/>
      <c r="I951" s="311"/>
      <c r="J951" s="88"/>
      <c r="K951" s="121"/>
      <c r="L951" s="311"/>
      <c r="M951" s="316"/>
      <c r="N951" s="317"/>
      <c r="O951" s="318"/>
      <c r="P951" s="316"/>
      <c r="Q951" s="317"/>
      <c r="R951" s="318"/>
      <c r="S951" s="316"/>
      <c r="T951" s="317"/>
      <c r="U951" s="318"/>
      <c r="V951" s="88"/>
      <c r="W951" s="317"/>
      <c r="X951" s="311"/>
      <c r="Y951" s="143"/>
      <c r="Z951" s="143"/>
      <c r="AA951" s="143"/>
      <c r="AB951" s="17"/>
      <c r="AC951" s="17"/>
      <c r="AD951" s="17"/>
      <c r="AE951" s="17"/>
    </row>
    <row r="952">
      <c r="A952" s="88"/>
      <c r="B952" s="121"/>
      <c r="C952" s="311"/>
      <c r="D952" s="88"/>
      <c r="E952" s="121"/>
      <c r="F952" s="311"/>
      <c r="G952" s="88"/>
      <c r="H952" s="121"/>
      <c r="I952" s="311"/>
      <c r="J952" s="88"/>
      <c r="K952" s="121"/>
      <c r="L952" s="311"/>
      <c r="M952" s="316"/>
      <c r="N952" s="317"/>
      <c r="O952" s="318"/>
      <c r="P952" s="316"/>
      <c r="Q952" s="317"/>
      <c r="R952" s="318"/>
      <c r="S952" s="316"/>
      <c r="T952" s="317"/>
      <c r="U952" s="318"/>
      <c r="V952" s="88"/>
      <c r="W952" s="317"/>
      <c r="X952" s="311"/>
      <c r="Y952" s="143"/>
      <c r="Z952" s="143"/>
      <c r="AA952" s="143"/>
      <c r="AB952" s="17"/>
      <c r="AC952" s="17"/>
      <c r="AD952" s="17"/>
      <c r="AE952" s="17"/>
    </row>
    <row r="953">
      <c r="A953" s="88"/>
      <c r="B953" s="121"/>
      <c r="C953" s="311"/>
      <c r="D953" s="88"/>
      <c r="E953" s="121"/>
      <c r="F953" s="311"/>
      <c r="G953" s="88"/>
      <c r="H953" s="121"/>
      <c r="I953" s="311"/>
      <c r="J953" s="88"/>
      <c r="K953" s="121"/>
      <c r="L953" s="311"/>
      <c r="M953" s="316"/>
      <c r="N953" s="317"/>
      <c r="O953" s="318"/>
      <c r="P953" s="316"/>
      <c r="Q953" s="317"/>
      <c r="R953" s="318"/>
      <c r="S953" s="316"/>
      <c r="T953" s="317"/>
      <c r="U953" s="318"/>
      <c r="V953" s="88"/>
      <c r="W953" s="317"/>
      <c r="X953" s="311"/>
      <c r="Y953" s="143"/>
      <c r="Z953" s="143"/>
      <c r="AA953" s="143"/>
      <c r="AB953" s="17"/>
      <c r="AC953" s="17"/>
      <c r="AD953" s="17"/>
      <c r="AE953" s="17"/>
    </row>
    <row r="954">
      <c r="A954" s="88"/>
      <c r="B954" s="121"/>
      <c r="C954" s="311"/>
      <c r="D954" s="88"/>
      <c r="E954" s="121"/>
      <c r="F954" s="311"/>
      <c r="G954" s="88"/>
      <c r="H954" s="121"/>
      <c r="I954" s="311"/>
      <c r="J954" s="88"/>
      <c r="K954" s="121"/>
      <c r="L954" s="311"/>
      <c r="M954" s="316"/>
      <c r="N954" s="317"/>
      <c r="O954" s="318"/>
      <c r="P954" s="316"/>
      <c r="Q954" s="317"/>
      <c r="R954" s="318"/>
      <c r="S954" s="316"/>
      <c r="T954" s="317"/>
      <c r="U954" s="318"/>
      <c r="V954" s="88"/>
      <c r="W954" s="317"/>
      <c r="X954" s="311"/>
      <c r="Y954" s="143"/>
      <c r="Z954" s="143"/>
      <c r="AA954" s="143"/>
      <c r="AB954" s="17"/>
      <c r="AC954" s="17"/>
      <c r="AD954" s="17"/>
      <c r="AE954" s="17"/>
    </row>
    <row r="955">
      <c r="A955" s="88"/>
      <c r="B955" s="121"/>
      <c r="C955" s="311"/>
      <c r="D955" s="88"/>
      <c r="E955" s="121"/>
      <c r="F955" s="311"/>
      <c r="G955" s="88"/>
      <c r="H955" s="121"/>
      <c r="I955" s="311"/>
      <c r="J955" s="88"/>
      <c r="K955" s="121"/>
      <c r="L955" s="311"/>
      <c r="M955" s="316"/>
      <c r="N955" s="317"/>
      <c r="O955" s="318"/>
      <c r="P955" s="316"/>
      <c r="Q955" s="317"/>
      <c r="R955" s="318"/>
      <c r="S955" s="316"/>
      <c r="T955" s="317"/>
      <c r="U955" s="318"/>
      <c r="V955" s="88"/>
      <c r="W955" s="317"/>
      <c r="X955" s="311"/>
      <c r="Y955" s="143"/>
      <c r="Z955" s="143"/>
      <c r="AA955" s="143"/>
      <c r="AB955" s="17"/>
      <c r="AC955" s="17"/>
      <c r="AD955" s="17"/>
      <c r="AE955" s="17"/>
    </row>
    <row r="956">
      <c r="A956" s="88"/>
      <c r="B956" s="121"/>
      <c r="C956" s="311"/>
      <c r="D956" s="88"/>
      <c r="E956" s="121"/>
      <c r="F956" s="311"/>
      <c r="G956" s="88"/>
      <c r="H956" s="121"/>
      <c r="I956" s="311"/>
      <c r="J956" s="88"/>
      <c r="K956" s="121"/>
      <c r="L956" s="311"/>
      <c r="M956" s="316"/>
      <c r="N956" s="317"/>
      <c r="O956" s="318"/>
      <c r="P956" s="316"/>
      <c r="Q956" s="317"/>
      <c r="R956" s="318"/>
      <c r="S956" s="316"/>
      <c r="T956" s="317"/>
      <c r="U956" s="318"/>
      <c r="V956" s="88"/>
      <c r="W956" s="317"/>
      <c r="X956" s="311"/>
      <c r="Y956" s="143"/>
      <c r="Z956" s="143"/>
      <c r="AA956" s="143"/>
      <c r="AB956" s="17"/>
      <c r="AC956" s="17"/>
      <c r="AD956" s="17"/>
      <c r="AE956" s="17"/>
    </row>
    <row r="957">
      <c r="A957" s="88"/>
      <c r="B957" s="121"/>
      <c r="C957" s="311"/>
      <c r="D957" s="88"/>
      <c r="E957" s="121"/>
      <c r="F957" s="311"/>
      <c r="G957" s="88"/>
      <c r="H957" s="121"/>
      <c r="I957" s="311"/>
      <c r="J957" s="88"/>
      <c r="K957" s="121"/>
      <c r="L957" s="311"/>
      <c r="M957" s="316"/>
      <c r="N957" s="317"/>
      <c r="O957" s="318"/>
      <c r="P957" s="316"/>
      <c r="Q957" s="317"/>
      <c r="R957" s="318"/>
      <c r="S957" s="316"/>
      <c r="T957" s="317"/>
      <c r="U957" s="318"/>
      <c r="V957" s="88"/>
      <c r="W957" s="317"/>
      <c r="X957" s="311"/>
      <c r="Y957" s="143"/>
      <c r="Z957" s="143"/>
      <c r="AA957" s="143"/>
      <c r="AB957" s="17"/>
      <c r="AC957" s="17"/>
      <c r="AD957" s="17"/>
      <c r="AE957" s="17"/>
    </row>
    <row r="958">
      <c r="A958" s="88"/>
      <c r="B958" s="121"/>
      <c r="C958" s="311"/>
      <c r="D958" s="88"/>
      <c r="E958" s="121"/>
      <c r="F958" s="311"/>
      <c r="G958" s="88"/>
      <c r="H958" s="121"/>
      <c r="I958" s="311"/>
      <c r="J958" s="88"/>
      <c r="K958" s="121"/>
      <c r="L958" s="311"/>
      <c r="M958" s="316"/>
      <c r="N958" s="317"/>
      <c r="O958" s="318"/>
      <c r="P958" s="316"/>
      <c r="Q958" s="317"/>
      <c r="R958" s="318"/>
      <c r="S958" s="316"/>
      <c r="T958" s="317"/>
      <c r="U958" s="318"/>
      <c r="V958" s="88"/>
      <c r="W958" s="317"/>
      <c r="X958" s="311"/>
      <c r="Y958" s="143"/>
      <c r="Z958" s="143"/>
      <c r="AA958" s="143"/>
      <c r="AB958" s="17"/>
      <c r="AC958" s="17"/>
      <c r="AD958" s="17"/>
      <c r="AE958" s="17"/>
    </row>
    <row r="959">
      <c r="A959" s="88"/>
      <c r="B959" s="121"/>
      <c r="C959" s="311"/>
      <c r="D959" s="88"/>
      <c r="E959" s="121"/>
      <c r="F959" s="311"/>
      <c r="G959" s="88"/>
      <c r="H959" s="121"/>
      <c r="I959" s="311"/>
      <c r="J959" s="88"/>
      <c r="K959" s="121"/>
      <c r="L959" s="311"/>
      <c r="M959" s="316"/>
      <c r="N959" s="317"/>
      <c r="O959" s="318"/>
      <c r="P959" s="316"/>
      <c r="Q959" s="317"/>
      <c r="R959" s="318"/>
      <c r="S959" s="316"/>
      <c r="T959" s="317"/>
      <c r="U959" s="318"/>
      <c r="V959" s="88"/>
      <c r="W959" s="317"/>
      <c r="X959" s="311"/>
      <c r="Y959" s="143"/>
      <c r="Z959" s="143"/>
      <c r="AA959" s="143"/>
      <c r="AB959" s="17"/>
      <c r="AC959" s="17"/>
      <c r="AD959" s="17"/>
      <c r="AE959" s="17"/>
    </row>
    <row r="960">
      <c r="A960" s="88"/>
      <c r="B960" s="121"/>
      <c r="C960" s="311"/>
      <c r="D960" s="88"/>
      <c r="E960" s="121"/>
      <c r="F960" s="311"/>
      <c r="G960" s="88"/>
      <c r="H960" s="121"/>
      <c r="I960" s="311"/>
      <c r="J960" s="88"/>
      <c r="K960" s="121"/>
      <c r="L960" s="311"/>
      <c r="M960" s="316"/>
      <c r="N960" s="317"/>
      <c r="O960" s="318"/>
      <c r="P960" s="316"/>
      <c r="Q960" s="317"/>
      <c r="R960" s="318"/>
      <c r="S960" s="316"/>
      <c r="T960" s="317"/>
      <c r="U960" s="318"/>
      <c r="V960" s="88"/>
      <c r="W960" s="317"/>
      <c r="X960" s="311"/>
      <c r="Y960" s="143"/>
      <c r="Z960" s="143"/>
      <c r="AA960" s="143"/>
      <c r="AB960" s="17"/>
      <c r="AC960" s="17"/>
      <c r="AD960" s="17"/>
      <c r="AE960" s="17"/>
    </row>
    <row r="961">
      <c r="A961" s="88"/>
      <c r="B961" s="121"/>
      <c r="C961" s="311"/>
      <c r="D961" s="88"/>
      <c r="E961" s="121"/>
      <c r="F961" s="311"/>
      <c r="G961" s="88"/>
      <c r="H961" s="121"/>
      <c r="I961" s="311"/>
      <c r="J961" s="88"/>
      <c r="K961" s="121"/>
      <c r="L961" s="311"/>
      <c r="M961" s="316"/>
      <c r="N961" s="317"/>
      <c r="O961" s="318"/>
      <c r="P961" s="316"/>
      <c r="Q961" s="317"/>
      <c r="R961" s="318"/>
      <c r="S961" s="316"/>
      <c r="T961" s="317"/>
      <c r="U961" s="318"/>
      <c r="V961" s="88"/>
      <c r="W961" s="317"/>
      <c r="X961" s="311"/>
      <c r="Y961" s="143"/>
      <c r="Z961" s="143"/>
      <c r="AA961" s="143"/>
      <c r="AB961" s="17"/>
      <c r="AC961" s="17"/>
      <c r="AD961" s="17"/>
      <c r="AE961" s="17"/>
    </row>
    <row r="962">
      <c r="A962" s="88"/>
      <c r="B962" s="121"/>
      <c r="C962" s="311"/>
      <c r="D962" s="88"/>
      <c r="E962" s="121"/>
      <c r="F962" s="311"/>
      <c r="G962" s="88"/>
      <c r="H962" s="121"/>
      <c r="I962" s="311"/>
      <c r="J962" s="88"/>
      <c r="K962" s="121"/>
      <c r="L962" s="311"/>
      <c r="M962" s="316"/>
      <c r="N962" s="317"/>
      <c r="O962" s="318"/>
      <c r="P962" s="316"/>
      <c r="Q962" s="317"/>
      <c r="R962" s="318"/>
      <c r="S962" s="316"/>
      <c r="T962" s="317"/>
      <c r="U962" s="318"/>
      <c r="V962" s="88"/>
      <c r="W962" s="317"/>
      <c r="X962" s="311"/>
      <c r="Y962" s="143"/>
      <c r="Z962" s="143"/>
      <c r="AA962" s="143"/>
      <c r="AB962" s="17"/>
      <c r="AC962" s="17"/>
      <c r="AD962" s="17"/>
      <c r="AE962" s="17"/>
    </row>
    <row r="963">
      <c r="A963" s="88"/>
      <c r="B963" s="121"/>
      <c r="C963" s="311"/>
      <c r="D963" s="88"/>
      <c r="E963" s="121"/>
      <c r="F963" s="311"/>
      <c r="G963" s="88"/>
      <c r="H963" s="121"/>
      <c r="I963" s="311"/>
      <c r="J963" s="88"/>
      <c r="K963" s="121"/>
      <c r="L963" s="311"/>
      <c r="M963" s="316"/>
      <c r="N963" s="317"/>
      <c r="O963" s="318"/>
      <c r="P963" s="316"/>
      <c r="Q963" s="317"/>
      <c r="R963" s="318"/>
      <c r="S963" s="316"/>
      <c r="T963" s="317"/>
      <c r="U963" s="318"/>
      <c r="V963" s="88"/>
      <c r="W963" s="317"/>
      <c r="X963" s="311"/>
      <c r="Y963" s="143"/>
      <c r="Z963" s="143"/>
      <c r="AA963" s="143"/>
      <c r="AB963" s="17"/>
      <c r="AC963" s="17"/>
      <c r="AD963" s="17"/>
      <c r="AE963" s="17"/>
    </row>
    <row r="964">
      <c r="A964" s="88"/>
      <c r="B964" s="121"/>
      <c r="C964" s="311"/>
      <c r="D964" s="88"/>
      <c r="E964" s="121"/>
      <c r="F964" s="311"/>
      <c r="G964" s="88"/>
      <c r="H964" s="121"/>
      <c r="I964" s="311"/>
      <c r="J964" s="88"/>
      <c r="K964" s="121"/>
      <c r="L964" s="311"/>
      <c r="M964" s="316"/>
      <c r="N964" s="317"/>
      <c r="O964" s="318"/>
      <c r="P964" s="316"/>
      <c r="Q964" s="317"/>
      <c r="R964" s="318"/>
      <c r="S964" s="316"/>
      <c r="T964" s="317"/>
      <c r="U964" s="318"/>
      <c r="V964" s="88"/>
      <c r="W964" s="317"/>
      <c r="X964" s="311"/>
      <c r="Y964" s="143"/>
      <c r="Z964" s="143"/>
      <c r="AA964" s="143"/>
      <c r="AB964" s="17"/>
      <c r="AC964" s="17"/>
      <c r="AD964" s="17"/>
      <c r="AE964" s="17"/>
    </row>
    <row r="965">
      <c r="A965" s="88"/>
      <c r="B965" s="121"/>
      <c r="C965" s="311"/>
      <c r="D965" s="88"/>
      <c r="E965" s="121"/>
      <c r="F965" s="311"/>
      <c r="G965" s="88"/>
      <c r="H965" s="121"/>
      <c r="I965" s="311"/>
      <c r="J965" s="88"/>
      <c r="K965" s="121"/>
      <c r="L965" s="311"/>
      <c r="M965" s="316"/>
      <c r="N965" s="317"/>
      <c r="O965" s="318"/>
      <c r="P965" s="316"/>
      <c r="Q965" s="317"/>
      <c r="R965" s="318"/>
      <c r="S965" s="316"/>
      <c r="T965" s="317"/>
      <c r="U965" s="318"/>
      <c r="V965" s="88"/>
      <c r="W965" s="317"/>
      <c r="X965" s="311"/>
      <c r="Y965" s="143"/>
      <c r="Z965" s="143"/>
      <c r="AA965" s="143"/>
      <c r="AB965" s="17"/>
      <c r="AC965" s="17"/>
      <c r="AD965" s="17"/>
      <c r="AE965" s="17"/>
    </row>
    <row r="966">
      <c r="A966" s="88"/>
      <c r="B966" s="121"/>
      <c r="C966" s="311"/>
      <c r="D966" s="88"/>
      <c r="E966" s="121"/>
      <c r="F966" s="311"/>
      <c r="G966" s="88"/>
      <c r="H966" s="121"/>
      <c r="I966" s="311"/>
      <c r="J966" s="88"/>
      <c r="K966" s="121"/>
      <c r="L966" s="311"/>
      <c r="M966" s="316"/>
      <c r="N966" s="317"/>
      <c r="O966" s="318"/>
      <c r="P966" s="316"/>
      <c r="Q966" s="317"/>
      <c r="R966" s="318"/>
      <c r="S966" s="316"/>
      <c r="T966" s="317"/>
      <c r="U966" s="318"/>
      <c r="V966" s="88"/>
      <c r="W966" s="317"/>
      <c r="X966" s="311"/>
      <c r="Y966" s="143"/>
      <c r="Z966" s="143"/>
      <c r="AA966" s="143"/>
      <c r="AB966" s="17"/>
      <c r="AC966" s="17"/>
      <c r="AD966" s="17"/>
      <c r="AE966" s="17"/>
    </row>
    <row r="967">
      <c r="A967" s="88"/>
      <c r="B967" s="121"/>
      <c r="C967" s="311"/>
      <c r="D967" s="88"/>
      <c r="E967" s="121"/>
      <c r="F967" s="311"/>
      <c r="G967" s="88"/>
      <c r="H967" s="121"/>
      <c r="I967" s="311"/>
      <c r="J967" s="88"/>
      <c r="K967" s="121"/>
      <c r="L967" s="311"/>
      <c r="M967" s="316"/>
      <c r="N967" s="317"/>
      <c r="O967" s="318"/>
      <c r="P967" s="316"/>
      <c r="Q967" s="317"/>
      <c r="R967" s="318"/>
      <c r="S967" s="316"/>
      <c r="T967" s="317"/>
      <c r="U967" s="318"/>
      <c r="V967" s="88"/>
      <c r="W967" s="317"/>
      <c r="X967" s="311"/>
      <c r="Y967" s="143"/>
      <c r="Z967" s="143"/>
      <c r="AA967" s="143"/>
      <c r="AB967" s="17"/>
      <c r="AC967" s="17"/>
      <c r="AD967" s="17"/>
      <c r="AE967" s="17"/>
    </row>
    <row r="968">
      <c r="A968" s="88"/>
      <c r="B968" s="121"/>
      <c r="C968" s="311"/>
      <c r="D968" s="88"/>
      <c r="E968" s="121"/>
      <c r="F968" s="311"/>
      <c r="G968" s="88"/>
      <c r="H968" s="121"/>
      <c r="I968" s="311"/>
      <c r="J968" s="88"/>
      <c r="K968" s="121"/>
      <c r="L968" s="311"/>
      <c r="M968" s="316"/>
      <c r="N968" s="317"/>
      <c r="O968" s="318"/>
      <c r="P968" s="316"/>
      <c r="Q968" s="317"/>
      <c r="R968" s="318"/>
      <c r="S968" s="316"/>
      <c r="T968" s="317"/>
      <c r="U968" s="318"/>
      <c r="V968" s="88"/>
      <c r="W968" s="317"/>
      <c r="X968" s="311"/>
      <c r="Y968" s="143"/>
      <c r="Z968" s="143"/>
      <c r="AA968" s="143"/>
      <c r="AB968" s="17"/>
      <c r="AC968" s="17"/>
      <c r="AD968" s="17"/>
      <c r="AE968" s="17"/>
    </row>
    <row r="969">
      <c r="A969" s="88"/>
      <c r="B969" s="121"/>
      <c r="C969" s="311"/>
      <c r="D969" s="88"/>
      <c r="E969" s="121"/>
      <c r="F969" s="311"/>
      <c r="G969" s="88"/>
      <c r="H969" s="121"/>
      <c r="I969" s="311"/>
      <c r="J969" s="88"/>
      <c r="K969" s="121"/>
      <c r="L969" s="311"/>
      <c r="M969" s="316"/>
      <c r="N969" s="317"/>
      <c r="O969" s="318"/>
      <c r="P969" s="316"/>
      <c r="Q969" s="317"/>
      <c r="R969" s="318"/>
      <c r="S969" s="316"/>
      <c r="T969" s="317"/>
      <c r="U969" s="318"/>
      <c r="V969" s="88"/>
      <c r="W969" s="317"/>
      <c r="X969" s="311"/>
      <c r="Y969" s="143"/>
      <c r="Z969" s="143"/>
      <c r="AA969" s="143"/>
      <c r="AB969" s="17"/>
      <c r="AC969" s="17"/>
      <c r="AD969" s="17"/>
      <c r="AE969" s="17"/>
    </row>
    <row r="970">
      <c r="A970" s="88"/>
      <c r="B970" s="121"/>
      <c r="C970" s="311"/>
      <c r="D970" s="88"/>
      <c r="E970" s="121"/>
      <c r="F970" s="311"/>
      <c r="G970" s="88"/>
      <c r="H970" s="121"/>
      <c r="I970" s="311"/>
      <c r="J970" s="88"/>
      <c r="K970" s="121"/>
      <c r="L970" s="311"/>
      <c r="M970" s="316"/>
      <c r="N970" s="317"/>
      <c r="O970" s="318"/>
      <c r="P970" s="316"/>
      <c r="Q970" s="317"/>
      <c r="R970" s="318"/>
      <c r="S970" s="316"/>
      <c r="T970" s="317"/>
      <c r="U970" s="318"/>
      <c r="V970" s="88"/>
      <c r="W970" s="317"/>
      <c r="X970" s="311"/>
      <c r="Y970" s="143"/>
      <c r="Z970" s="143"/>
      <c r="AA970" s="143"/>
      <c r="AB970" s="17"/>
      <c r="AC970" s="17"/>
      <c r="AD970" s="17"/>
      <c r="AE970" s="17"/>
    </row>
    <row r="971">
      <c r="A971" s="88"/>
      <c r="B971" s="121"/>
      <c r="C971" s="311"/>
      <c r="D971" s="88"/>
      <c r="E971" s="121"/>
      <c r="F971" s="311"/>
      <c r="G971" s="88"/>
      <c r="H971" s="121"/>
      <c r="I971" s="311"/>
      <c r="J971" s="88"/>
      <c r="K971" s="121"/>
      <c r="L971" s="311"/>
      <c r="M971" s="316"/>
      <c r="N971" s="317"/>
      <c r="O971" s="318"/>
      <c r="P971" s="316"/>
      <c r="Q971" s="317"/>
      <c r="R971" s="318"/>
      <c r="S971" s="316"/>
      <c r="T971" s="317"/>
      <c r="U971" s="318"/>
      <c r="V971" s="88"/>
      <c r="W971" s="317"/>
      <c r="X971" s="311"/>
      <c r="Y971" s="143"/>
      <c r="Z971" s="143"/>
      <c r="AA971" s="143"/>
      <c r="AB971" s="17"/>
      <c r="AC971" s="17"/>
      <c r="AD971" s="17"/>
      <c r="AE971" s="17"/>
    </row>
    <row r="972">
      <c r="A972" s="88"/>
      <c r="B972" s="121"/>
      <c r="C972" s="311"/>
      <c r="D972" s="88"/>
      <c r="E972" s="121"/>
      <c r="F972" s="311"/>
      <c r="G972" s="88"/>
      <c r="H972" s="121"/>
      <c r="I972" s="311"/>
      <c r="J972" s="88"/>
      <c r="K972" s="121"/>
      <c r="L972" s="311"/>
      <c r="M972" s="316"/>
      <c r="N972" s="317"/>
      <c r="O972" s="318"/>
      <c r="P972" s="316"/>
      <c r="Q972" s="317"/>
      <c r="R972" s="318"/>
      <c r="S972" s="316"/>
      <c r="T972" s="317"/>
      <c r="U972" s="318"/>
      <c r="V972" s="88"/>
      <c r="W972" s="317"/>
      <c r="X972" s="311"/>
      <c r="Y972" s="143"/>
      <c r="Z972" s="143"/>
      <c r="AA972" s="143"/>
      <c r="AB972" s="17"/>
      <c r="AC972" s="17"/>
      <c r="AD972" s="17"/>
      <c r="AE972" s="17"/>
    </row>
    <row r="973">
      <c r="A973" s="88"/>
      <c r="B973" s="121"/>
      <c r="C973" s="311"/>
      <c r="D973" s="88"/>
      <c r="E973" s="121"/>
      <c r="F973" s="311"/>
      <c r="G973" s="88"/>
      <c r="H973" s="121"/>
      <c r="I973" s="311"/>
      <c r="J973" s="88"/>
      <c r="K973" s="121"/>
      <c r="L973" s="311"/>
      <c r="M973" s="316"/>
      <c r="N973" s="317"/>
      <c r="O973" s="318"/>
      <c r="P973" s="316"/>
      <c r="Q973" s="317"/>
      <c r="R973" s="318"/>
      <c r="S973" s="316"/>
      <c r="T973" s="317"/>
      <c r="U973" s="318"/>
      <c r="V973" s="88"/>
      <c r="W973" s="317"/>
      <c r="X973" s="311"/>
      <c r="Y973" s="143"/>
      <c r="Z973" s="143"/>
      <c r="AA973" s="143"/>
      <c r="AB973" s="17"/>
      <c r="AC973" s="17"/>
      <c r="AD973" s="17"/>
      <c r="AE973" s="17"/>
    </row>
    <row r="974">
      <c r="A974" s="88"/>
      <c r="B974" s="121"/>
      <c r="C974" s="311"/>
      <c r="D974" s="88"/>
      <c r="E974" s="121"/>
      <c r="F974" s="311"/>
      <c r="G974" s="88"/>
      <c r="H974" s="121"/>
      <c r="I974" s="311"/>
      <c r="J974" s="88"/>
      <c r="K974" s="121"/>
      <c r="L974" s="311"/>
      <c r="M974" s="316"/>
      <c r="N974" s="317"/>
      <c r="O974" s="318"/>
      <c r="P974" s="316"/>
      <c r="Q974" s="317"/>
      <c r="R974" s="318"/>
      <c r="S974" s="316"/>
      <c r="T974" s="317"/>
      <c r="U974" s="318"/>
      <c r="V974" s="88"/>
      <c r="W974" s="317"/>
      <c r="X974" s="311"/>
      <c r="Y974" s="143"/>
      <c r="Z974" s="143"/>
      <c r="AA974" s="143"/>
      <c r="AB974" s="17"/>
      <c r="AC974" s="17"/>
      <c r="AD974" s="17"/>
      <c r="AE974" s="17"/>
    </row>
    <row r="975">
      <c r="A975" s="88"/>
      <c r="B975" s="121"/>
      <c r="C975" s="311"/>
      <c r="D975" s="88"/>
      <c r="E975" s="121"/>
      <c r="F975" s="311"/>
      <c r="G975" s="88"/>
      <c r="H975" s="121"/>
      <c r="I975" s="311"/>
      <c r="J975" s="88"/>
      <c r="K975" s="121"/>
      <c r="L975" s="311"/>
      <c r="M975" s="316"/>
      <c r="N975" s="317"/>
      <c r="O975" s="318"/>
      <c r="P975" s="316"/>
      <c r="Q975" s="317"/>
      <c r="R975" s="318"/>
      <c r="S975" s="316"/>
      <c r="T975" s="317"/>
      <c r="U975" s="318"/>
      <c r="V975" s="88"/>
      <c r="W975" s="317"/>
      <c r="X975" s="311"/>
      <c r="Y975" s="143"/>
      <c r="Z975" s="143"/>
      <c r="AA975" s="143"/>
      <c r="AB975" s="17"/>
      <c r="AC975" s="17"/>
      <c r="AD975" s="17"/>
      <c r="AE975" s="17"/>
    </row>
    <row r="976">
      <c r="A976" s="88"/>
      <c r="B976" s="121"/>
      <c r="C976" s="311"/>
      <c r="D976" s="88"/>
      <c r="E976" s="121"/>
      <c r="F976" s="311"/>
      <c r="G976" s="88"/>
      <c r="H976" s="121"/>
      <c r="I976" s="311"/>
      <c r="J976" s="88"/>
      <c r="K976" s="121"/>
      <c r="L976" s="311"/>
      <c r="M976" s="316"/>
      <c r="N976" s="317"/>
      <c r="O976" s="318"/>
      <c r="P976" s="316"/>
      <c r="Q976" s="317"/>
      <c r="R976" s="318"/>
      <c r="S976" s="316"/>
      <c r="T976" s="317"/>
      <c r="U976" s="318"/>
      <c r="V976" s="88"/>
      <c r="W976" s="317"/>
      <c r="X976" s="311"/>
      <c r="Y976" s="143"/>
      <c r="Z976" s="143"/>
      <c r="AA976" s="143"/>
      <c r="AB976" s="17"/>
      <c r="AC976" s="17"/>
      <c r="AD976" s="17"/>
      <c r="AE976" s="17"/>
    </row>
    <row r="977">
      <c r="A977" s="88"/>
      <c r="B977" s="121"/>
      <c r="C977" s="311"/>
      <c r="D977" s="88"/>
      <c r="E977" s="121"/>
      <c r="F977" s="311"/>
      <c r="G977" s="88"/>
      <c r="H977" s="121"/>
      <c r="I977" s="311"/>
      <c r="J977" s="88"/>
      <c r="K977" s="121"/>
      <c r="L977" s="311"/>
      <c r="M977" s="316"/>
      <c r="N977" s="317"/>
      <c r="O977" s="318"/>
      <c r="P977" s="316"/>
      <c r="Q977" s="317"/>
      <c r="R977" s="318"/>
      <c r="S977" s="316"/>
      <c r="T977" s="317"/>
      <c r="U977" s="318"/>
      <c r="V977" s="88"/>
      <c r="W977" s="317"/>
      <c r="X977" s="311"/>
      <c r="Y977" s="143"/>
      <c r="Z977" s="143"/>
      <c r="AA977" s="143"/>
      <c r="AB977" s="17"/>
      <c r="AC977" s="17"/>
      <c r="AD977" s="17"/>
      <c r="AE977" s="17"/>
    </row>
    <row r="978">
      <c r="A978" s="88"/>
      <c r="B978" s="121"/>
      <c r="C978" s="311"/>
      <c r="D978" s="88"/>
      <c r="E978" s="121"/>
      <c r="F978" s="311"/>
      <c r="G978" s="88"/>
      <c r="H978" s="121"/>
      <c r="I978" s="311"/>
      <c r="J978" s="88"/>
      <c r="K978" s="121"/>
      <c r="L978" s="311"/>
      <c r="M978" s="316"/>
      <c r="N978" s="317"/>
      <c r="O978" s="318"/>
      <c r="P978" s="316"/>
      <c r="Q978" s="317"/>
      <c r="R978" s="318"/>
      <c r="S978" s="316"/>
      <c r="T978" s="317"/>
      <c r="U978" s="318"/>
      <c r="V978" s="88"/>
      <c r="W978" s="317"/>
      <c r="X978" s="311"/>
      <c r="Y978" s="143"/>
      <c r="Z978" s="143"/>
      <c r="AA978" s="143"/>
      <c r="AB978" s="17"/>
      <c r="AC978" s="17"/>
      <c r="AD978" s="17"/>
      <c r="AE978" s="17"/>
    </row>
    <row r="979">
      <c r="A979" s="88"/>
      <c r="B979" s="121"/>
      <c r="C979" s="311"/>
      <c r="D979" s="88"/>
      <c r="E979" s="121"/>
      <c r="F979" s="311"/>
      <c r="G979" s="88"/>
      <c r="H979" s="121"/>
      <c r="I979" s="311"/>
      <c r="J979" s="88"/>
      <c r="K979" s="121"/>
      <c r="L979" s="311"/>
      <c r="M979" s="316"/>
      <c r="N979" s="317"/>
      <c r="O979" s="318"/>
      <c r="P979" s="316"/>
      <c r="Q979" s="317"/>
      <c r="R979" s="318"/>
      <c r="S979" s="316"/>
      <c r="T979" s="317"/>
      <c r="U979" s="318"/>
      <c r="V979" s="88"/>
      <c r="W979" s="317"/>
      <c r="X979" s="311"/>
      <c r="Y979" s="143"/>
      <c r="Z979" s="143"/>
      <c r="AA979" s="143"/>
      <c r="AB979" s="17"/>
      <c r="AC979" s="17"/>
      <c r="AD979" s="17"/>
      <c r="AE979" s="17"/>
    </row>
    <row r="980">
      <c r="A980" s="88"/>
      <c r="B980" s="121"/>
      <c r="C980" s="311"/>
      <c r="D980" s="88"/>
      <c r="E980" s="121"/>
      <c r="F980" s="311"/>
      <c r="G980" s="88"/>
      <c r="H980" s="121"/>
      <c r="I980" s="311"/>
      <c r="J980" s="88"/>
      <c r="K980" s="121"/>
      <c r="L980" s="311"/>
      <c r="M980" s="316"/>
      <c r="N980" s="317"/>
      <c r="O980" s="318"/>
      <c r="P980" s="316"/>
      <c r="Q980" s="317"/>
      <c r="R980" s="318"/>
      <c r="S980" s="316"/>
      <c r="T980" s="317"/>
      <c r="U980" s="318"/>
      <c r="V980" s="88"/>
      <c r="W980" s="317"/>
      <c r="X980" s="311"/>
      <c r="Y980" s="143"/>
      <c r="Z980" s="143"/>
      <c r="AA980" s="143"/>
      <c r="AB980" s="17"/>
      <c r="AC980" s="17"/>
      <c r="AD980" s="17"/>
      <c r="AE980" s="17"/>
    </row>
    <row r="981">
      <c r="A981" s="88"/>
      <c r="B981" s="121"/>
      <c r="C981" s="311"/>
      <c r="D981" s="88"/>
      <c r="E981" s="121"/>
      <c r="F981" s="311"/>
      <c r="G981" s="88"/>
      <c r="H981" s="121"/>
      <c r="I981" s="311"/>
      <c r="J981" s="88"/>
      <c r="K981" s="121"/>
      <c r="L981" s="311"/>
      <c r="M981" s="316"/>
      <c r="N981" s="317"/>
      <c r="O981" s="318"/>
      <c r="P981" s="316"/>
      <c r="Q981" s="317"/>
      <c r="R981" s="318"/>
      <c r="S981" s="316"/>
      <c r="T981" s="317"/>
      <c r="U981" s="318"/>
      <c r="V981" s="88"/>
      <c r="W981" s="317"/>
      <c r="X981" s="311"/>
      <c r="Y981" s="143"/>
      <c r="Z981" s="143"/>
      <c r="AA981" s="143"/>
      <c r="AB981" s="17"/>
      <c r="AC981" s="17"/>
      <c r="AD981" s="17"/>
      <c r="AE981" s="17"/>
    </row>
    <row r="982">
      <c r="A982" s="88"/>
      <c r="B982" s="121"/>
      <c r="C982" s="311"/>
      <c r="D982" s="88"/>
      <c r="E982" s="121"/>
      <c r="F982" s="311"/>
      <c r="G982" s="88"/>
      <c r="H982" s="121"/>
      <c r="I982" s="311"/>
      <c r="J982" s="88"/>
      <c r="K982" s="121"/>
      <c r="L982" s="311"/>
      <c r="M982" s="316"/>
      <c r="N982" s="317"/>
      <c r="O982" s="318"/>
      <c r="P982" s="316"/>
      <c r="Q982" s="317"/>
      <c r="R982" s="318"/>
      <c r="S982" s="316"/>
      <c r="T982" s="317"/>
      <c r="U982" s="318"/>
      <c r="V982" s="88"/>
      <c r="W982" s="317"/>
      <c r="X982" s="311"/>
      <c r="Y982" s="143"/>
      <c r="Z982" s="143"/>
      <c r="AA982" s="143"/>
      <c r="AB982" s="17"/>
      <c r="AC982" s="17"/>
      <c r="AD982" s="17"/>
      <c r="AE982" s="17"/>
    </row>
    <row r="983">
      <c r="A983" s="88"/>
      <c r="B983" s="121"/>
      <c r="C983" s="311"/>
      <c r="D983" s="88"/>
      <c r="E983" s="121"/>
      <c r="F983" s="311"/>
      <c r="G983" s="88"/>
      <c r="H983" s="121"/>
      <c r="I983" s="311"/>
      <c r="J983" s="88"/>
      <c r="K983" s="121"/>
      <c r="L983" s="311"/>
      <c r="M983" s="316"/>
      <c r="N983" s="317"/>
      <c r="O983" s="318"/>
      <c r="P983" s="316"/>
      <c r="Q983" s="317"/>
      <c r="R983" s="318"/>
      <c r="S983" s="316"/>
      <c r="T983" s="317"/>
      <c r="U983" s="318"/>
      <c r="V983" s="88"/>
      <c r="W983" s="317"/>
      <c r="X983" s="311"/>
      <c r="Y983" s="143"/>
      <c r="Z983" s="143"/>
      <c r="AA983" s="143"/>
      <c r="AB983" s="17"/>
      <c r="AC983" s="17"/>
      <c r="AD983" s="17"/>
      <c r="AE983" s="17"/>
    </row>
    <row r="984">
      <c r="A984" s="88"/>
      <c r="B984" s="121"/>
      <c r="C984" s="311"/>
      <c r="D984" s="88"/>
      <c r="E984" s="121"/>
      <c r="F984" s="311"/>
      <c r="G984" s="88"/>
      <c r="H984" s="121"/>
      <c r="I984" s="311"/>
      <c r="J984" s="88"/>
      <c r="K984" s="121"/>
      <c r="L984" s="311"/>
      <c r="M984" s="316"/>
      <c r="N984" s="317"/>
      <c r="O984" s="318"/>
      <c r="P984" s="316"/>
      <c r="Q984" s="317"/>
      <c r="R984" s="318"/>
      <c r="S984" s="316"/>
      <c r="T984" s="317"/>
      <c r="U984" s="318"/>
      <c r="V984" s="88"/>
      <c r="W984" s="317"/>
      <c r="X984" s="311"/>
      <c r="Y984" s="143"/>
      <c r="Z984" s="143"/>
      <c r="AA984" s="143"/>
      <c r="AB984" s="17"/>
      <c r="AC984" s="17"/>
      <c r="AD984" s="17"/>
      <c r="AE984" s="17"/>
    </row>
    <row r="985">
      <c r="A985" s="88"/>
      <c r="B985" s="121"/>
      <c r="C985" s="311"/>
      <c r="D985" s="88"/>
      <c r="E985" s="121"/>
      <c r="F985" s="311"/>
      <c r="G985" s="88"/>
      <c r="H985" s="121"/>
      <c r="I985" s="311"/>
      <c r="J985" s="88"/>
      <c r="K985" s="121"/>
      <c r="L985" s="311"/>
      <c r="M985" s="316"/>
      <c r="N985" s="317"/>
      <c r="O985" s="318"/>
      <c r="P985" s="316"/>
      <c r="Q985" s="317"/>
      <c r="R985" s="318"/>
      <c r="S985" s="316"/>
      <c r="T985" s="317"/>
      <c r="U985" s="318"/>
      <c r="V985" s="88"/>
      <c r="W985" s="317"/>
      <c r="X985" s="311"/>
      <c r="Y985" s="143"/>
      <c r="Z985" s="143"/>
      <c r="AA985" s="143"/>
      <c r="AB985" s="17"/>
      <c r="AC985" s="17"/>
      <c r="AD985" s="17"/>
      <c r="AE985" s="17"/>
    </row>
    <row r="986">
      <c r="A986" s="88"/>
      <c r="B986" s="121"/>
      <c r="C986" s="311"/>
      <c r="D986" s="88"/>
      <c r="E986" s="121"/>
      <c r="F986" s="311"/>
      <c r="G986" s="88"/>
      <c r="H986" s="121"/>
      <c r="I986" s="311"/>
      <c r="J986" s="88"/>
      <c r="K986" s="121"/>
      <c r="L986" s="311"/>
      <c r="M986" s="316"/>
      <c r="N986" s="317"/>
      <c r="O986" s="318"/>
      <c r="P986" s="316"/>
      <c r="Q986" s="317"/>
      <c r="R986" s="318"/>
      <c r="S986" s="316"/>
      <c r="T986" s="317"/>
      <c r="U986" s="318"/>
      <c r="V986" s="88"/>
      <c r="W986" s="317"/>
      <c r="X986" s="311"/>
      <c r="Y986" s="143"/>
      <c r="Z986" s="143"/>
      <c r="AA986" s="143"/>
      <c r="AB986" s="17"/>
      <c r="AC986" s="17"/>
      <c r="AD986" s="17"/>
      <c r="AE986" s="17"/>
    </row>
    <row r="987">
      <c r="A987" s="88"/>
      <c r="B987" s="121"/>
      <c r="C987" s="311"/>
      <c r="D987" s="88"/>
      <c r="E987" s="121"/>
      <c r="F987" s="311"/>
      <c r="G987" s="88"/>
      <c r="H987" s="121"/>
      <c r="I987" s="311"/>
      <c r="J987" s="88"/>
      <c r="K987" s="121"/>
      <c r="L987" s="311"/>
      <c r="M987" s="316"/>
      <c r="N987" s="317"/>
      <c r="O987" s="318"/>
      <c r="P987" s="316"/>
      <c r="Q987" s="317"/>
      <c r="R987" s="318"/>
      <c r="S987" s="316"/>
      <c r="T987" s="317"/>
      <c r="U987" s="318"/>
      <c r="V987" s="88"/>
      <c r="W987" s="317"/>
      <c r="X987" s="311"/>
      <c r="Y987" s="143"/>
      <c r="Z987" s="143"/>
      <c r="AA987" s="143"/>
      <c r="AB987" s="17"/>
      <c r="AC987" s="17"/>
      <c r="AD987" s="17"/>
      <c r="AE987" s="17"/>
    </row>
    <row r="988">
      <c r="A988" s="88"/>
      <c r="B988" s="121"/>
      <c r="C988" s="311"/>
      <c r="D988" s="88"/>
      <c r="E988" s="121"/>
      <c r="F988" s="311"/>
      <c r="G988" s="88"/>
      <c r="H988" s="121"/>
      <c r="I988" s="311"/>
      <c r="J988" s="88"/>
      <c r="K988" s="121"/>
      <c r="L988" s="311"/>
      <c r="M988" s="316"/>
      <c r="N988" s="317"/>
      <c r="O988" s="318"/>
      <c r="P988" s="316"/>
      <c r="Q988" s="317"/>
      <c r="R988" s="318"/>
      <c r="S988" s="316"/>
      <c r="T988" s="317"/>
      <c r="U988" s="318"/>
      <c r="V988" s="88"/>
      <c r="W988" s="317"/>
      <c r="X988" s="311"/>
      <c r="Y988" s="143"/>
      <c r="Z988" s="143"/>
      <c r="AA988" s="143"/>
      <c r="AB988" s="17"/>
      <c r="AC988" s="17"/>
      <c r="AD988" s="17"/>
      <c r="AE988" s="17"/>
    </row>
    <row r="989">
      <c r="A989" s="88"/>
      <c r="B989" s="121"/>
      <c r="C989" s="311"/>
      <c r="D989" s="88"/>
      <c r="E989" s="121"/>
      <c r="F989" s="311"/>
      <c r="G989" s="88"/>
      <c r="H989" s="121"/>
      <c r="I989" s="311"/>
      <c r="J989" s="88"/>
      <c r="K989" s="121"/>
      <c r="L989" s="311"/>
      <c r="M989" s="316"/>
      <c r="N989" s="317"/>
      <c r="O989" s="318"/>
      <c r="P989" s="316"/>
      <c r="Q989" s="317"/>
      <c r="R989" s="318"/>
      <c r="S989" s="316"/>
      <c r="T989" s="317"/>
      <c r="U989" s="318"/>
      <c r="V989" s="88"/>
      <c r="W989" s="317"/>
      <c r="X989" s="311"/>
      <c r="Y989" s="143"/>
      <c r="Z989" s="143"/>
      <c r="AA989" s="143"/>
      <c r="AB989" s="17"/>
      <c r="AC989" s="17"/>
      <c r="AD989" s="17"/>
      <c r="AE989" s="17"/>
    </row>
    <row r="990">
      <c r="A990" s="88"/>
      <c r="B990" s="121"/>
      <c r="C990" s="311"/>
      <c r="D990" s="88"/>
      <c r="E990" s="121"/>
      <c r="F990" s="311"/>
      <c r="G990" s="88"/>
      <c r="H990" s="121"/>
      <c r="I990" s="311"/>
      <c r="J990" s="88"/>
      <c r="K990" s="121"/>
      <c r="L990" s="311"/>
      <c r="M990" s="316"/>
      <c r="N990" s="317"/>
      <c r="O990" s="318"/>
      <c r="P990" s="316"/>
      <c r="Q990" s="317"/>
      <c r="R990" s="318"/>
      <c r="S990" s="316"/>
      <c r="T990" s="317"/>
      <c r="U990" s="318"/>
      <c r="V990" s="88"/>
      <c r="W990" s="317"/>
      <c r="X990" s="311"/>
      <c r="Y990" s="143"/>
      <c r="Z990" s="143"/>
      <c r="AA990" s="143"/>
      <c r="AB990" s="17"/>
      <c r="AC990" s="17"/>
      <c r="AD990" s="17"/>
      <c r="AE990" s="17"/>
    </row>
    <row r="991">
      <c r="A991" s="88"/>
      <c r="B991" s="121"/>
      <c r="C991" s="311"/>
      <c r="D991" s="88"/>
      <c r="E991" s="121"/>
      <c r="F991" s="311"/>
      <c r="G991" s="88"/>
      <c r="H991" s="121"/>
      <c r="I991" s="311"/>
      <c r="J991" s="88"/>
      <c r="K991" s="121"/>
      <c r="L991" s="311"/>
      <c r="M991" s="316"/>
      <c r="N991" s="317"/>
      <c r="O991" s="318"/>
      <c r="P991" s="316"/>
      <c r="Q991" s="317"/>
      <c r="R991" s="318"/>
      <c r="S991" s="316"/>
      <c r="T991" s="317"/>
      <c r="U991" s="318"/>
      <c r="V991" s="88"/>
      <c r="W991" s="317"/>
      <c r="X991" s="311"/>
      <c r="Y991" s="143"/>
      <c r="Z991" s="143"/>
      <c r="AA991" s="143"/>
      <c r="AB991" s="17"/>
      <c r="AC991" s="17"/>
      <c r="AD991" s="17"/>
      <c r="AE991" s="17"/>
    </row>
    <row r="992">
      <c r="A992" s="88"/>
      <c r="B992" s="121"/>
      <c r="C992" s="311"/>
      <c r="D992" s="88"/>
      <c r="E992" s="121"/>
      <c r="F992" s="311"/>
      <c r="G992" s="88"/>
      <c r="H992" s="121"/>
      <c r="I992" s="311"/>
      <c r="J992" s="88"/>
      <c r="K992" s="121"/>
      <c r="L992" s="311"/>
      <c r="M992" s="316"/>
      <c r="N992" s="317"/>
      <c r="O992" s="318"/>
      <c r="P992" s="316"/>
      <c r="Q992" s="317"/>
      <c r="R992" s="318"/>
      <c r="S992" s="316"/>
      <c r="T992" s="317"/>
      <c r="U992" s="318"/>
      <c r="V992" s="88"/>
      <c r="W992" s="317"/>
      <c r="X992" s="311"/>
      <c r="Y992" s="143"/>
      <c r="Z992" s="143"/>
      <c r="AA992" s="143"/>
      <c r="AB992" s="17"/>
      <c r="AC992" s="17"/>
      <c r="AD992" s="17"/>
      <c r="AE992" s="17"/>
    </row>
    <row r="993">
      <c r="A993" s="88"/>
      <c r="B993" s="121"/>
      <c r="C993" s="311"/>
      <c r="D993" s="88"/>
      <c r="E993" s="121"/>
      <c r="F993" s="311"/>
      <c r="G993" s="88"/>
      <c r="H993" s="121"/>
      <c r="I993" s="311"/>
      <c r="J993" s="88"/>
      <c r="K993" s="121"/>
      <c r="L993" s="311"/>
      <c r="M993" s="316"/>
      <c r="N993" s="317"/>
      <c r="O993" s="318"/>
      <c r="P993" s="316"/>
      <c r="Q993" s="317"/>
      <c r="R993" s="318"/>
      <c r="S993" s="316"/>
      <c r="T993" s="317"/>
      <c r="U993" s="318"/>
      <c r="V993" s="88"/>
      <c r="W993" s="317"/>
      <c r="X993" s="311"/>
      <c r="Y993" s="143"/>
      <c r="Z993" s="143"/>
      <c r="AA993" s="143"/>
      <c r="AB993" s="17"/>
      <c r="AC993" s="17"/>
      <c r="AD993" s="17"/>
      <c r="AE993" s="17"/>
    </row>
    <row r="994">
      <c r="A994" s="88"/>
      <c r="B994" s="121"/>
      <c r="C994" s="311"/>
      <c r="D994" s="88"/>
      <c r="E994" s="121"/>
      <c r="F994" s="311"/>
      <c r="G994" s="88"/>
      <c r="H994" s="121"/>
      <c r="I994" s="311"/>
      <c r="J994" s="88"/>
      <c r="K994" s="121"/>
      <c r="L994" s="311"/>
      <c r="M994" s="316"/>
      <c r="N994" s="317"/>
      <c r="O994" s="318"/>
      <c r="P994" s="316"/>
      <c r="Q994" s="317"/>
      <c r="R994" s="318"/>
      <c r="S994" s="316"/>
      <c r="T994" s="317"/>
      <c r="U994" s="318"/>
      <c r="V994" s="88"/>
      <c r="W994" s="317"/>
      <c r="X994" s="311"/>
      <c r="Y994" s="143"/>
      <c r="Z994" s="143"/>
      <c r="AA994" s="143"/>
      <c r="AB994" s="17"/>
      <c r="AC994" s="17"/>
      <c r="AD994" s="17"/>
      <c r="AE994" s="17"/>
    </row>
    <row r="995">
      <c r="A995" s="88"/>
      <c r="B995" s="121"/>
      <c r="C995" s="311"/>
      <c r="D995" s="88"/>
      <c r="E995" s="121"/>
      <c r="F995" s="311"/>
      <c r="G995" s="88"/>
      <c r="H995" s="121"/>
      <c r="I995" s="311"/>
      <c r="J995" s="88"/>
      <c r="K995" s="121"/>
      <c r="L995" s="311"/>
      <c r="M995" s="316"/>
      <c r="N995" s="317"/>
      <c r="O995" s="318"/>
      <c r="P995" s="316"/>
      <c r="Q995" s="317"/>
      <c r="R995" s="318"/>
      <c r="S995" s="316"/>
      <c r="T995" s="317"/>
      <c r="U995" s="318"/>
      <c r="V995" s="88"/>
      <c r="W995" s="317"/>
      <c r="X995" s="311"/>
      <c r="Y995" s="143"/>
      <c r="Z995" s="143"/>
      <c r="AA995" s="143"/>
      <c r="AB995" s="17"/>
      <c r="AC995" s="17"/>
      <c r="AD995" s="17"/>
      <c r="AE995" s="17"/>
    </row>
    <row r="996">
      <c r="A996" s="88"/>
      <c r="B996" s="121"/>
      <c r="C996" s="311"/>
      <c r="D996" s="88"/>
      <c r="E996" s="121"/>
      <c r="F996" s="311"/>
      <c r="G996" s="88"/>
      <c r="H996" s="121"/>
      <c r="I996" s="311"/>
      <c r="J996" s="88"/>
      <c r="K996" s="121"/>
      <c r="L996" s="311"/>
      <c r="M996" s="316"/>
      <c r="N996" s="317"/>
      <c r="O996" s="318"/>
      <c r="P996" s="316"/>
      <c r="Q996" s="317"/>
      <c r="R996" s="318"/>
      <c r="S996" s="316"/>
      <c r="T996" s="317"/>
      <c r="U996" s="318"/>
      <c r="V996" s="88"/>
      <c r="W996" s="317"/>
      <c r="X996" s="311"/>
      <c r="Y996" s="143"/>
      <c r="Z996" s="143"/>
      <c r="AA996" s="143"/>
      <c r="AB996" s="17"/>
      <c r="AC996" s="17"/>
      <c r="AD996" s="17"/>
      <c r="AE996" s="17"/>
    </row>
    <row r="997">
      <c r="A997" s="88"/>
      <c r="B997" s="121"/>
      <c r="C997" s="311"/>
      <c r="D997" s="88"/>
      <c r="E997" s="121"/>
      <c r="F997" s="311"/>
      <c r="G997" s="88"/>
      <c r="H997" s="121"/>
      <c r="I997" s="311"/>
      <c r="J997" s="88"/>
      <c r="K997" s="121"/>
      <c r="L997" s="311"/>
      <c r="M997" s="316"/>
      <c r="N997" s="317"/>
      <c r="O997" s="318"/>
      <c r="P997" s="316"/>
      <c r="Q997" s="317"/>
      <c r="R997" s="318"/>
      <c r="S997" s="316"/>
      <c r="T997" s="317"/>
      <c r="U997" s="318"/>
      <c r="V997" s="88"/>
      <c r="W997" s="317"/>
      <c r="X997" s="311"/>
      <c r="Y997" s="143"/>
      <c r="Z997" s="143"/>
      <c r="AA997" s="143"/>
      <c r="AB997" s="17"/>
      <c r="AC997" s="17"/>
      <c r="AD997" s="17"/>
      <c r="AE997" s="17"/>
    </row>
    <row r="998">
      <c r="A998" s="88"/>
      <c r="B998" s="121"/>
      <c r="C998" s="311"/>
      <c r="D998" s="88"/>
      <c r="E998" s="121"/>
      <c r="F998" s="311"/>
      <c r="G998" s="88"/>
      <c r="H998" s="121"/>
      <c r="I998" s="311"/>
      <c r="J998" s="88"/>
      <c r="K998" s="121"/>
      <c r="L998" s="311"/>
      <c r="M998" s="316"/>
      <c r="N998" s="317"/>
      <c r="O998" s="318"/>
      <c r="P998" s="316"/>
      <c r="Q998" s="317"/>
      <c r="R998" s="318"/>
      <c r="S998" s="316"/>
      <c r="T998" s="317"/>
      <c r="U998" s="318"/>
      <c r="V998" s="88"/>
      <c r="W998" s="317"/>
      <c r="X998" s="311"/>
      <c r="Y998" s="143"/>
      <c r="Z998" s="143"/>
      <c r="AA998" s="143"/>
      <c r="AB998" s="17"/>
      <c r="AC998" s="17"/>
      <c r="AD998" s="17"/>
      <c r="AE998" s="17"/>
    </row>
    <row r="999">
      <c r="A999" s="88"/>
      <c r="B999" s="121"/>
      <c r="C999" s="311"/>
      <c r="D999" s="88"/>
      <c r="E999" s="121"/>
      <c r="F999" s="311"/>
      <c r="G999" s="88"/>
      <c r="H999" s="121"/>
      <c r="I999" s="311"/>
      <c r="J999" s="88"/>
      <c r="K999" s="121"/>
      <c r="L999" s="311"/>
      <c r="M999" s="316"/>
      <c r="N999" s="317"/>
      <c r="O999" s="318"/>
      <c r="P999" s="316"/>
      <c r="Q999" s="317"/>
      <c r="R999" s="318"/>
      <c r="S999" s="316"/>
      <c r="T999" s="317"/>
      <c r="U999" s="318"/>
      <c r="V999" s="88"/>
      <c r="W999" s="317"/>
      <c r="X999" s="311"/>
      <c r="Y999" s="143"/>
      <c r="Z999" s="143"/>
      <c r="AA999" s="143"/>
      <c r="AB999" s="17"/>
      <c r="AC999" s="17"/>
      <c r="AD999" s="17"/>
      <c r="AE999" s="17"/>
    </row>
    <row r="1000">
      <c r="A1000" s="88"/>
      <c r="B1000" s="121"/>
      <c r="C1000" s="311"/>
      <c r="D1000" s="88"/>
      <c r="E1000" s="121"/>
      <c r="F1000" s="311"/>
      <c r="G1000" s="88"/>
      <c r="H1000" s="121"/>
      <c r="I1000" s="311"/>
      <c r="J1000" s="88"/>
      <c r="K1000" s="121"/>
      <c r="L1000" s="311"/>
      <c r="M1000" s="316"/>
      <c r="N1000" s="317"/>
      <c r="O1000" s="318"/>
      <c r="P1000" s="316"/>
      <c r="Q1000" s="317"/>
      <c r="R1000" s="318"/>
      <c r="S1000" s="316"/>
      <c r="T1000" s="317"/>
      <c r="U1000" s="318"/>
      <c r="V1000" s="88"/>
      <c r="W1000" s="317"/>
      <c r="X1000" s="311"/>
      <c r="Y1000" s="143"/>
      <c r="Z1000" s="143"/>
      <c r="AA1000" s="143"/>
      <c r="AB1000" s="17"/>
      <c r="AC1000" s="17"/>
      <c r="AD1000" s="17"/>
      <c r="AE1000" s="17"/>
    </row>
    <row r="1001">
      <c r="A1001" s="88"/>
      <c r="B1001" s="121"/>
      <c r="C1001" s="311"/>
      <c r="D1001" s="88"/>
      <c r="E1001" s="121"/>
      <c r="F1001" s="311"/>
      <c r="G1001" s="88"/>
      <c r="H1001" s="121"/>
      <c r="I1001" s="311"/>
      <c r="J1001" s="88"/>
      <c r="K1001" s="121"/>
      <c r="L1001" s="311"/>
      <c r="M1001" s="316"/>
      <c r="N1001" s="317"/>
      <c r="O1001" s="318"/>
      <c r="P1001" s="316"/>
      <c r="Q1001" s="317"/>
      <c r="R1001" s="318"/>
      <c r="S1001" s="316"/>
      <c r="T1001" s="317"/>
      <c r="U1001" s="318"/>
      <c r="V1001" s="88"/>
      <c r="W1001" s="317"/>
      <c r="X1001" s="311"/>
      <c r="Y1001" s="143"/>
      <c r="Z1001" s="143"/>
      <c r="AA1001" s="143"/>
      <c r="AB1001" s="17"/>
      <c r="AC1001" s="17"/>
      <c r="AD1001" s="17"/>
      <c r="AE1001" s="17"/>
    </row>
    <row r="1002">
      <c r="A1002" s="88"/>
      <c r="B1002" s="121"/>
      <c r="C1002" s="311"/>
      <c r="D1002" s="88"/>
      <c r="E1002" s="121"/>
      <c r="F1002" s="311"/>
      <c r="G1002" s="88"/>
      <c r="H1002" s="121"/>
      <c r="I1002" s="311"/>
      <c r="J1002" s="88"/>
      <c r="K1002" s="121"/>
      <c r="L1002" s="311"/>
      <c r="M1002" s="316"/>
      <c r="N1002" s="317"/>
      <c r="O1002" s="318"/>
      <c r="P1002" s="316"/>
      <c r="Q1002" s="317"/>
      <c r="R1002" s="318"/>
      <c r="S1002" s="316"/>
      <c r="T1002" s="317"/>
      <c r="U1002" s="318"/>
      <c r="V1002" s="88"/>
      <c r="W1002" s="317"/>
      <c r="X1002" s="311"/>
      <c r="Y1002" s="88"/>
      <c r="Z1002" s="121"/>
      <c r="AA1002" s="311"/>
      <c r="AB1002" s="17"/>
      <c r="AC1002" s="17"/>
      <c r="AD1002" s="17"/>
      <c r="AE1002" s="17"/>
    </row>
    <row r="1003">
      <c r="A1003" s="88"/>
      <c r="B1003" s="121"/>
      <c r="C1003" s="311"/>
      <c r="D1003" s="88"/>
      <c r="E1003" s="121"/>
      <c r="F1003" s="311"/>
      <c r="G1003" s="88"/>
      <c r="H1003" s="121"/>
      <c r="I1003" s="311"/>
      <c r="J1003" s="88"/>
      <c r="K1003" s="121"/>
      <c r="L1003" s="311"/>
      <c r="M1003" s="316"/>
      <c r="N1003" s="317"/>
      <c r="O1003" s="318"/>
      <c r="P1003" s="316"/>
      <c r="Q1003" s="317"/>
      <c r="R1003" s="318"/>
      <c r="S1003" s="316"/>
      <c r="T1003" s="317"/>
      <c r="U1003" s="318"/>
      <c r="V1003" s="88"/>
      <c r="W1003" s="317"/>
      <c r="X1003" s="311"/>
      <c r="Y1003" s="88"/>
      <c r="Z1003" s="121"/>
      <c r="AA1003" s="311"/>
      <c r="AB1003" s="17"/>
      <c r="AC1003" s="17"/>
      <c r="AD1003" s="17"/>
      <c r="AE1003" s="17"/>
    </row>
    <row r="1004">
      <c r="A1004" s="88"/>
      <c r="B1004" s="121"/>
      <c r="C1004" s="311"/>
      <c r="D1004" s="88"/>
      <c r="E1004" s="121"/>
      <c r="F1004" s="311"/>
      <c r="G1004" s="88"/>
      <c r="H1004" s="121"/>
      <c r="I1004" s="311"/>
      <c r="J1004" s="88"/>
      <c r="K1004" s="121"/>
      <c r="L1004" s="311"/>
      <c r="M1004" s="316"/>
      <c r="N1004" s="317"/>
      <c r="O1004" s="318"/>
      <c r="P1004" s="316"/>
      <c r="Q1004" s="317"/>
      <c r="R1004" s="318"/>
      <c r="S1004" s="316"/>
      <c r="T1004" s="317"/>
      <c r="U1004" s="318"/>
      <c r="V1004" s="88"/>
      <c r="W1004" s="317"/>
      <c r="X1004" s="311"/>
      <c r="Y1004" s="88"/>
      <c r="Z1004" s="121"/>
      <c r="AA1004" s="311"/>
      <c r="AB1004" s="17"/>
      <c r="AC1004" s="17"/>
      <c r="AD1004" s="17"/>
      <c r="AE1004" s="17"/>
    </row>
    <row r="1005">
      <c r="A1005" s="88"/>
      <c r="B1005" s="121"/>
      <c r="C1005" s="311"/>
      <c r="D1005" s="88"/>
      <c r="E1005" s="121"/>
      <c r="F1005" s="311"/>
      <c r="G1005" s="88"/>
      <c r="H1005" s="121"/>
      <c r="I1005" s="311"/>
      <c r="J1005" s="88"/>
      <c r="K1005" s="121"/>
      <c r="L1005" s="311"/>
      <c r="M1005" s="316"/>
      <c r="N1005" s="317"/>
      <c r="O1005" s="318"/>
      <c r="P1005" s="316"/>
      <c r="Q1005" s="317"/>
      <c r="R1005" s="318"/>
      <c r="S1005" s="316"/>
      <c r="T1005" s="317"/>
      <c r="U1005" s="318"/>
      <c r="V1005" s="88"/>
      <c r="W1005" s="317"/>
      <c r="X1005" s="311"/>
      <c r="Y1005" s="88"/>
      <c r="Z1005" s="121"/>
      <c r="AA1005" s="311"/>
      <c r="AB1005" s="17"/>
      <c r="AC1005" s="17"/>
      <c r="AD1005" s="17"/>
      <c r="AE1005" s="17"/>
    </row>
    <row r="1006">
      <c r="A1006" s="88"/>
      <c r="B1006" s="121"/>
      <c r="C1006" s="311"/>
      <c r="D1006" s="88"/>
      <c r="E1006" s="121"/>
      <c r="F1006" s="311"/>
      <c r="G1006" s="88"/>
      <c r="H1006" s="121"/>
      <c r="I1006" s="311"/>
      <c r="J1006" s="88"/>
      <c r="K1006" s="121"/>
      <c r="L1006" s="311"/>
      <c r="M1006" s="316"/>
      <c r="N1006" s="317"/>
      <c r="O1006" s="318"/>
      <c r="P1006" s="316"/>
      <c r="Q1006" s="317"/>
      <c r="R1006" s="318"/>
      <c r="S1006" s="316"/>
      <c r="T1006" s="317"/>
      <c r="U1006" s="318"/>
      <c r="V1006" s="88"/>
      <c r="W1006" s="317"/>
      <c r="X1006" s="311"/>
      <c r="Y1006" s="88"/>
      <c r="Z1006" s="121"/>
      <c r="AA1006" s="311"/>
      <c r="AB1006" s="17"/>
      <c r="AC1006" s="17"/>
      <c r="AD1006" s="17"/>
      <c r="AE1006" s="17"/>
    </row>
    <row r="1007">
      <c r="A1007" s="88"/>
      <c r="B1007" s="121"/>
      <c r="C1007" s="311"/>
      <c r="D1007" s="88"/>
      <c r="E1007" s="121"/>
      <c r="F1007" s="311"/>
      <c r="G1007" s="88"/>
      <c r="H1007" s="121"/>
      <c r="I1007" s="311"/>
      <c r="J1007" s="88"/>
      <c r="K1007" s="121"/>
      <c r="L1007" s="311"/>
      <c r="M1007" s="316"/>
      <c r="N1007" s="317"/>
      <c r="O1007" s="318"/>
      <c r="P1007" s="316"/>
      <c r="Q1007" s="317"/>
      <c r="R1007" s="318"/>
      <c r="S1007" s="316"/>
      <c r="T1007" s="317"/>
      <c r="U1007" s="318"/>
      <c r="V1007" s="88"/>
      <c r="W1007" s="317"/>
      <c r="X1007" s="311"/>
      <c r="Y1007" s="88"/>
      <c r="Z1007" s="121"/>
      <c r="AA1007" s="311"/>
      <c r="AB1007" s="17"/>
      <c r="AC1007" s="17"/>
      <c r="AD1007" s="17"/>
      <c r="AE1007" s="17"/>
    </row>
    <row r="1008">
      <c r="A1008" s="88"/>
      <c r="B1008" s="121"/>
      <c r="C1008" s="311"/>
      <c r="D1008" s="88"/>
      <c r="E1008" s="121"/>
      <c r="F1008" s="311"/>
      <c r="G1008" s="88"/>
      <c r="H1008" s="121"/>
      <c r="I1008" s="311"/>
      <c r="J1008" s="88"/>
      <c r="K1008" s="121"/>
      <c r="L1008" s="311"/>
      <c r="M1008" s="316"/>
      <c r="N1008" s="317"/>
      <c r="O1008" s="318"/>
      <c r="P1008" s="316"/>
      <c r="Q1008" s="317"/>
      <c r="R1008" s="318"/>
      <c r="S1008" s="316"/>
      <c r="T1008" s="317"/>
      <c r="U1008" s="318"/>
      <c r="V1008" s="88"/>
      <c r="W1008" s="317"/>
      <c r="X1008" s="311"/>
      <c r="Y1008" s="88"/>
      <c r="Z1008" s="121"/>
      <c r="AA1008" s="311"/>
      <c r="AB1008" s="17"/>
      <c r="AC1008" s="17"/>
      <c r="AD1008" s="17"/>
      <c r="AE1008" s="17"/>
    </row>
    <row r="1009">
      <c r="A1009" s="88"/>
      <c r="B1009" s="121"/>
      <c r="C1009" s="311"/>
      <c r="D1009" s="88"/>
      <c r="E1009" s="121"/>
      <c r="F1009" s="311"/>
      <c r="G1009" s="88"/>
      <c r="H1009" s="121"/>
      <c r="I1009" s="311"/>
      <c r="J1009" s="88"/>
      <c r="K1009" s="121"/>
      <c r="L1009" s="311"/>
      <c r="M1009" s="316"/>
      <c r="N1009" s="317"/>
      <c r="O1009" s="318"/>
      <c r="P1009" s="316"/>
      <c r="Q1009" s="317"/>
      <c r="R1009" s="318"/>
      <c r="S1009" s="316"/>
      <c r="T1009" s="317"/>
      <c r="U1009" s="318"/>
      <c r="V1009" s="88"/>
      <c r="W1009" s="317"/>
      <c r="X1009" s="311"/>
      <c r="Y1009" s="88"/>
      <c r="Z1009" s="121"/>
      <c r="AA1009" s="311"/>
      <c r="AB1009" s="17"/>
      <c r="AC1009" s="17"/>
      <c r="AD1009" s="17"/>
      <c r="AE1009" s="17"/>
    </row>
    <row r="1010">
      <c r="A1010" s="88"/>
      <c r="B1010" s="121"/>
      <c r="C1010" s="311"/>
      <c r="D1010" s="88"/>
      <c r="E1010" s="121"/>
      <c r="F1010" s="311"/>
      <c r="G1010" s="88"/>
      <c r="H1010" s="121"/>
      <c r="I1010" s="311"/>
      <c r="J1010" s="88"/>
      <c r="K1010" s="121"/>
      <c r="L1010" s="311"/>
      <c r="M1010" s="316"/>
      <c r="N1010" s="317"/>
      <c r="O1010" s="318"/>
      <c r="P1010" s="316"/>
      <c r="Q1010" s="317"/>
      <c r="R1010" s="318"/>
      <c r="S1010" s="316"/>
      <c r="T1010" s="317"/>
      <c r="U1010" s="318"/>
      <c r="V1010" s="88"/>
      <c r="W1010" s="317"/>
      <c r="X1010" s="311"/>
      <c r="Y1010" s="88"/>
      <c r="Z1010" s="121"/>
      <c r="AA1010" s="311"/>
      <c r="AB1010" s="17"/>
      <c r="AC1010" s="17"/>
      <c r="AD1010" s="17"/>
      <c r="AE1010" s="17"/>
    </row>
    <row r="1011">
      <c r="A1011" s="88"/>
      <c r="B1011" s="121"/>
      <c r="C1011" s="311"/>
      <c r="D1011" s="88"/>
      <c r="E1011" s="121"/>
      <c r="F1011" s="311"/>
      <c r="G1011" s="88"/>
      <c r="H1011" s="121"/>
      <c r="I1011" s="311"/>
      <c r="J1011" s="88"/>
      <c r="K1011" s="121"/>
      <c r="L1011" s="311"/>
      <c r="M1011" s="316"/>
      <c r="N1011" s="317"/>
      <c r="O1011" s="318"/>
      <c r="P1011" s="316"/>
      <c r="Q1011" s="317"/>
      <c r="R1011" s="318"/>
      <c r="S1011" s="316"/>
      <c r="T1011" s="317"/>
      <c r="U1011" s="318"/>
      <c r="V1011" s="88"/>
      <c r="W1011" s="317"/>
      <c r="X1011" s="311"/>
      <c r="Y1011" s="88"/>
      <c r="Z1011" s="121"/>
      <c r="AA1011" s="311"/>
      <c r="AB1011" s="17"/>
      <c r="AC1011" s="17"/>
      <c r="AD1011" s="17"/>
      <c r="AE1011" s="17"/>
    </row>
    <row r="1012">
      <c r="A1012" s="88"/>
      <c r="B1012" s="121"/>
      <c r="C1012" s="311"/>
      <c r="D1012" s="88"/>
      <c r="E1012" s="121"/>
      <c r="F1012" s="311"/>
      <c r="G1012" s="88"/>
      <c r="H1012" s="121"/>
      <c r="I1012" s="311"/>
      <c r="J1012" s="88"/>
      <c r="K1012" s="121"/>
      <c r="L1012" s="311"/>
      <c r="M1012" s="316"/>
      <c r="N1012" s="317"/>
      <c r="O1012" s="318"/>
      <c r="P1012" s="316"/>
      <c r="Q1012" s="317"/>
      <c r="R1012" s="318"/>
      <c r="S1012" s="316"/>
      <c r="T1012" s="317"/>
      <c r="U1012" s="318"/>
      <c r="V1012" s="88"/>
      <c r="W1012" s="317"/>
      <c r="X1012" s="311"/>
      <c r="Y1012" s="88"/>
      <c r="Z1012" s="121"/>
      <c r="AA1012" s="311"/>
      <c r="AB1012" s="17"/>
      <c r="AC1012" s="17"/>
      <c r="AD1012" s="17"/>
      <c r="AE1012" s="17"/>
    </row>
    <row r="1013">
      <c r="A1013" s="88"/>
      <c r="B1013" s="121"/>
      <c r="C1013" s="311"/>
      <c r="D1013" s="88"/>
      <c r="E1013" s="121"/>
      <c r="F1013" s="311"/>
      <c r="G1013" s="88"/>
      <c r="H1013" s="121"/>
      <c r="I1013" s="311"/>
      <c r="J1013" s="88"/>
      <c r="K1013" s="121"/>
      <c r="L1013" s="311"/>
      <c r="M1013" s="316"/>
      <c r="N1013" s="317"/>
      <c r="O1013" s="318"/>
      <c r="P1013" s="316"/>
      <c r="Q1013" s="317"/>
      <c r="R1013" s="318"/>
      <c r="S1013" s="316"/>
      <c r="T1013" s="317"/>
      <c r="U1013" s="318"/>
      <c r="V1013" s="88"/>
      <c r="W1013" s="317"/>
      <c r="X1013" s="311"/>
      <c r="Y1013" s="88"/>
      <c r="Z1013" s="121"/>
      <c r="AA1013" s="311"/>
      <c r="AB1013" s="17"/>
      <c r="AC1013" s="17"/>
      <c r="AD1013" s="17"/>
      <c r="AE1013" s="17"/>
    </row>
    <row r="1014">
      <c r="A1014" s="88"/>
      <c r="B1014" s="121"/>
      <c r="C1014" s="311"/>
      <c r="D1014" s="88"/>
      <c r="E1014" s="121"/>
      <c r="F1014" s="311"/>
      <c r="G1014" s="88"/>
      <c r="H1014" s="121"/>
      <c r="I1014" s="311"/>
      <c r="J1014" s="88"/>
      <c r="K1014" s="121"/>
      <c r="L1014" s="311"/>
      <c r="M1014" s="316"/>
      <c r="N1014" s="317"/>
      <c r="O1014" s="318"/>
      <c r="P1014" s="316"/>
      <c r="Q1014" s="317"/>
      <c r="R1014" s="318"/>
      <c r="S1014" s="316"/>
      <c r="T1014" s="317"/>
      <c r="U1014" s="318"/>
      <c r="V1014" s="88"/>
      <c r="W1014" s="317"/>
      <c r="X1014" s="311"/>
      <c r="Y1014" s="88"/>
      <c r="Z1014" s="121"/>
      <c r="AA1014" s="311"/>
      <c r="AB1014" s="17"/>
      <c r="AC1014" s="17"/>
      <c r="AD1014" s="17"/>
      <c r="AE1014" s="17"/>
    </row>
    <row r="1015">
      <c r="A1015" s="88"/>
      <c r="B1015" s="121"/>
      <c r="C1015" s="311"/>
      <c r="D1015" s="88"/>
      <c r="E1015" s="121"/>
      <c r="F1015" s="311"/>
      <c r="G1015" s="88"/>
      <c r="H1015" s="121"/>
      <c r="I1015" s="311"/>
      <c r="J1015" s="88"/>
      <c r="K1015" s="121"/>
      <c r="L1015" s="311"/>
      <c r="M1015" s="316"/>
      <c r="N1015" s="317"/>
      <c r="O1015" s="318"/>
      <c r="P1015" s="316"/>
      <c r="Q1015" s="317"/>
      <c r="R1015" s="318"/>
      <c r="S1015" s="316"/>
      <c r="T1015" s="317"/>
      <c r="U1015" s="318"/>
      <c r="V1015" s="88"/>
      <c r="W1015" s="317"/>
      <c r="X1015" s="311"/>
      <c r="Y1015" s="88"/>
      <c r="Z1015" s="121"/>
      <c r="AA1015" s="311"/>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無断転載は禁止です。")</f>
        <v>公式ゲーム「Countercurrent Tea Party - 痩せた妹とのシンプルな生活」を応援してください。
攻略まとめ：公式Discord - RORO、協力者 - MIO、Luo Ran、翻訳者 - 눈_눈、Ruika、zNagato、Libeti、Gabriel B、maltesey、AndyJango、IntenseLag、Nian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 maltesey, Andy"&amp;"Jango,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Intense"&amp;"Lag,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Unerlaubte Vervielfältigung verboten.</v>
      </c>
      <c r="Q1" s="319" t="s">
        <v>215</v>
      </c>
      <c r="S1" s="293"/>
      <c r="T1" s="293"/>
    </row>
    <row r="2" ht="55.5" customHeight="1">
      <c r="S2" s="293"/>
      <c r="T2" s="293"/>
    </row>
    <row r="3">
      <c r="A3" s="320" t="s">
        <v>4228</v>
      </c>
      <c r="B3" s="72" t="s">
        <v>4229</v>
      </c>
      <c r="C3" s="320" t="str">
        <f>IFERROR(__xludf.DUMMYFUNCTION("GOOGLETRANSLATE(A3,""zh-tw"",""ja"")"),"武器プロジェクト")</f>
        <v>武器プロジェクト</v>
      </c>
      <c r="D3" s="72" t="str">
        <f>IFERROR(__xludf.DUMMYFUNCTION("GOOGLETRANSLATE(B3,""zh-tw"",""ja"")"),"武器の属性")</f>
        <v>武器の属性</v>
      </c>
      <c r="E3" s="320" t="s">
        <v>4230</v>
      </c>
      <c r="F3" s="72" t="s">
        <v>4231</v>
      </c>
      <c r="G3" s="320" t="str">
        <f>IFERROR(__xludf.DUMMYFUNCTION("GOOGLETRANSLATE(A3,""zh-tw"",""zh"")"),"武器项目")</f>
        <v>武器项目</v>
      </c>
      <c r="H3" s="72" t="str">
        <f>IFERROR(__xludf.DUMMYFUNCTION("GOOGLETRANSLATE(B3,""zh-tw"",""zh"")"),"武器属性")</f>
        <v>武器属性</v>
      </c>
      <c r="I3" s="321" t="str">
        <f>IFERROR(__xludf.DUMMYFUNCTION("GOOGLETRANSLATE(A3,""zh-tw"",""es-MX"")"),"Proyecto de armas")</f>
        <v>Proyecto de armas</v>
      </c>
      <c r="J3" s="34" t="str">
        <f>IFERROR(__xludf.DUMMYFUNCTION("GOOGLETRANSLATE(B3,""zh-tw"",""es-MX"")"),"Atributos de armas")</f>
        <v>Atributos de armas</v>
      </c>
      <c r="K3" s="322" t="str">
        <f>IFERROR(__xludf.DUMMYFUNCTION("GOOGLETRANSLATE(A3,""zh-tw"",""KO"")"),"무기 프로젝트")</f>
        <v>무기 프로젝트</v>
      </c>
      <c r="L3" s="69" t="str">
        <f>IFERROR(__xludf.DUMMYFUNCTION("GOOGLETRANSLATE(B3,""zh-tw"",""KO"")"),"무기 속성")</f>
        <v>무기 속성</v>
      </c>
      <c r="M3" s="321" t="str">
        <f>IFERROR(__xludf.DUMMYFUNCTION("GOOGLETRANSLATE(A3,""zh-tw"",""ru"")"),"Проект «Оружие»")</f>
        <v>Проект «Оружие»</v>
      </c>
      <c r="N3" s="34" t="str">
        <f>IFERROR(__xludf.DUMMYFUNCTION("GOOGLETRANSLATE(B3,""zh-tw"",""ru"")"),"Атрибуты оружия")</f>
        <v>Атрибуты оружия</v>
      </c>
      <c r="O3" s="320" t="s">
        <v>4232</v>
      </c>
      <c r="P3" s="72" t="s">
        <v>4233</v>
      </c>
      <c r="Q3" s="323" t="s">
        <v>4234</v>
      </c>
      <c r="R3" s="324" t="s">
        <v>4235</v>
      </c>
      <c r="S3" s="305"/>
      <c r="T3" s="305"/>
    </row>
    <row r="4">
      <c r="A4" s="325" t="s">
        <v>4236</v>
      </c>
      <c r="B4" s="117" t="s">
        <v>4237</v>
      </c>
      <c r="C4" s="326" t="str">
        <f>IFERROR(__xludf.DUMMYFUNCTION("GOOGLETRANSLATE(A4,""zh-tw"",""ja"")"),"握りしめた拳")</f>
        <v>握りしめた拳</v>
      </c>
      <c r="D4" s="310" t="str">
        <f>IFERROR(__xludf.DUMMYFUNCTION("GOOGLETRANSLATE(B4,""zh-tw"",""ja"")"),"物理攻撃力：2
最大HPに応じて攻撃力が上昇")</f>
        <v>物理攻撃力：2
最大HPに応じて攻撃力が上昇</v>
      </c>
      <c r="E4" s="326" t="s">
        <v>4238</v>
      </c>
      <c r="F4" s="310" t="s">
        <v>4239</v>
      </c>
      <c r="G4" s="326" t="str">
        <f>IFERROR(__xludf.DUMMYFUNCTION("GOOGLETRANSLATE(A4,""zh-tw"",""zh"")"),"握紧的拳头")</f>
        <v>握紧的拳头</v>
      </c>
      <c r="H4" s="310" t="str">
        <f>IFERROR(__xludf.DUMMYFUNCTION("GOOGLETRANSLATE(B4,""zh-tw"",""zh"")"),"物攻：2消
攻击依照最大体力增加")</f>
        <v>物攻：2消
攻击依照最大体力增加</v>
      </c>
      <c r="I4" s="327"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5" t="s">
        <v>4240</v>
      </c>
      <c r="L4" s="117" t="s">
        <v>4241</v>
      </c>
      <c r="M4" s="328" t="str">
        <f>IFERROR(__xludf.DUMMYFUNCTION("GOOGLETRANSLATE(A4,""zh-tw"",""ru"")"),"сжатый кулак")</f>
        <v>сжатый кулак</v>
      </c>
      <c r="N4" s="308"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6" t="s">
        <v>4242</v>
      </c>
      <c r="P4" s="310" t="s">
        <v>4243</v>
      </c>
      <c r="Q4" s="329" t="s">
        <v>4244</v>
      </c>
      <c r="R4" s="330" t="s">
        <v>4245</v>
      </c>
      <c r="S4" s="17"/>
      <c r="T4" s="17"/>
    </row>
    <row r="5">
      <c r="A5" s="326" t="s">
        <v>4246</v>
      </c>
      <c r="B5" s="310" t="s">
        <v>4247</v>
      </c>
      <c r="C5" s="326" t="s">
        <v>4248</v>
      </c>
      <c r="D5" s="310" t="str">
        <f>IFERROR(__xludf.DUMMYFUNCTION("GOOGLETRANSLATE(B5,""zh-tw"",""ja"")"),"物理攻撃力: 15")</f>
        <v>物理攻撃力: 15</v>
      </c>
      <c r="E5" s="326" t="s">
        <v>4249</v>
      </c>
      <c r="F5" s="310" t="s">
        <v>4250</v>
      </c>
      <c r="G5" s="326" t="str">
        <f>IFERROR(__xludf.DUMMYFUNCTION("GOOGLETRANSLATE(A5,""zh-tw"",""zh"")"),"硬木剑")</f>
        <v>硬木剑</v>
      </c>
      <c r="H5" s="310" t="str">
        <f>IFERROR(__xludf.DUMMYFUNCTION("GOOGLETRANSLATE(B5,""zh-tw"",""zh"")"),"物攻：15")</f>
        <v>物攻：15</v>
      </c>
      <c r="I5" s="327" t="str">
        <f>IFERROR(__xludf.DUMMYFUNCTION("GOOGLETRANSLATE(A5,""zh-tw"",""es-MX"")"),"Espada de madera dura")</f>
        <v>Espada de madera dura</v>
      </c>
      <c r="J5" s="121" t="str">
        <f>IFERROR(__xludf.DUMMYFUNCTION("GOOGLETRANSLATE(B5,""zh-tw"",""es-MX"")"),"Ataque físico: 15")</f>
        <v>Ataque físico: 15</v>
      </c>
      <c r="K5" s="326" t="s">
        <v>4251</v>
      </c>
      <c r="L5" s="117" t="s">
        <v>4252</v>
      </c>
      <c r="M5" s="328" t="str">
        <f>IFERROR(__xludf.DUMMYFUNCTION("GOOGLETRANSLATE(A5,""zh-tw"",""ru"")"),"Меч из твердой древесины")</f>
        <v>Меч из твердой древесины</v>
      </c>
      <c r="N5" s="308" t="str">
        <f>IFERROR(__xludf.DUMMYFUNCTION("GOOGLETRANSLATE(B5,""zh-tw"",""ru"")"),"Физическая атака: 15")</f>
        <v>Физическая атака: 15</v>
      </c>
      <c r="O5" s="326" t="s">
        <v>4253</v>
      </c>
      <c r="P5" s="310" t="s">
        <v>4254</v>
      </c>
      <c r="Q5" s="329" t="s">
        <v>4255</v>
      </c>
      <c r="R5" s="330" t="s">
        <v>4256</v>
      </c>
      <c r="S5" s="197"/>
      <c r="T5" s="197"/>
    </row>
    <row r="6">
      <c r="A6" s="326" t="s">
        <v>4257</v>
      </c>
      <c r="B6" s="310" t="s">
        <v>4258</v>
      </c>
      <c r="C6" s="326" t="s">
        <v>4259</v>
      </c>
      <c r="D6" s="310" t="str">
        <f>IFERROR(__xludf.DUMMYFUNCTION("GOOGLETRANSLATE(B6,""zh-tw"",""ja"")"),"物理攻撃力: 14")</f>
        <v>物理攻撃力: 14</v>
      </c>
      <c r="E6" s="326" t="s">
        <v>4260</v>
      </c>
      <c r="F6" s="310" t="s">
        <v>4261</v>
      </c>
      <c r="G6" s="326" t="str">
        <f>IFERROR(__xludf.DUMMYFUNCTION("GOOGLETRANSLATE(A6,""zh-tw"",""zh"")"),"硬木棒")</f>
        <v>硬木棒</v>
      </c>
      <c r="H6" s="310" t="str">
        <f>IFERROR(__xludf.DUMMYFUNCTION("GOOGLETRANSLATE(B6,""zh-tw"",""zh"")"),"物攻：14")</f>
        <v>物攻：14</v>
      </c>
      <c r="I6" s="327" t="str">
        <f>IFERROR(__xludf.DUMMYFUNCTION("GOOGLETRANSLATE(A6,""zh-tw"",""es-MX"")"),"palos de madera dura")</f>
        <v>palos de madera dura</v>
      </c>
      <c r="J6" s="121" t="str">
        <f>IFERROR(__xludf.DUMMYFUNCTION("GOOGLETRANSLATE(B6,""zh-tw"",""es-MX"")"),"Ataque físico: 14")</f>
        <v>Ataque físico: 14</v>
      </c>
      <c r="K6" s="327" t="str">
        <f>IFERROR(__xludf.DUMMYFUNCTION("GOOGLETRANSLATE(A6,""zh-tw"",""KO"")"),"단단한 나무 막대기")</f>
        <v>단단한 나무 막대기</v>
      </c>
      <c r="L6" s="117" t="s">
        <v>4262</v>
      </c>
      <c r="M6" s="328" t="str">
        <f>IFERROR(__xludf.DUMMYFUNCTION("GOOGLETRANSLATE(A6,""zh-tw"",""ru"")"),"палочки из твердой древесины")</f>
        <v>палочки из твердой древесины</v>
      </c>
      <c r="N6" s="308" t="str">
        <f>IFERROR(__xludf.DUMMYFUNCTION("GOOGLETRANSLATE(B6,""zh-tw"",""ru"")"),"Физическая атака: 14")</f>
        <v>Физическая атака: 14</v>
      </c>
      <c r="O6" s="326" t="s">
        <v>4263</v>
      </c>
      <c r="P6" s="310" t="s">
        <v>4264</v>
      </c>
      <c r="Q6" s="329" t="s">
        <v>4265</v>
      </c>
      <c r="R6" s="330" t="s">
        <v>4266</v>
      </c>
      <c r="S6" s="197"/>
      <c r="T6" s="197"/>
    </row>
    <row r="7">
      <c r="A7" s="326" t="s">
        <v>4267</v>
      </c>
      <c r="B7" s="310" t="s">
        <v>4268</v>
      </c>
      <c r="C7" s="326" t="str">
        <f>IFERROR(__xludf.DUMMYFUNCTION("GOOGLETRANSLATE(A7,""zh-tw"",""ja"")"),"木こりの斧")</f>
        <v>木こりの斧</v>
      </c>
      <c r="D7" s="310" t="str">
        <f>IFERROR(__xludf.DUMMYFUNCTION("GOOGLETRANSLATE(B7,""zh-tw"",""ja"")"),"物理攻撃力: 24")</f>
        <v>物理攻撃力: 24</v>
      </c>
      <c r="E7" s="326" t="s">
        <v>4269</v>
      </c>
      <c r="F7" s="310" t="s">
        <v>4270</v>
      </c>
      <c r="G7" s="326" t="str">
        <f>IFERROR(__xludf.DUMMYFUNCTION("GOOGLETRANSLATE(A7,""zh-tw"",""zh"")"),"伐木斧")</f>
        <v>伐木斧</v>
      </c>
      <c r="H7" s="310" t="str">
        <f>IFERROR(__xludf.DUMMYFUNCTION("GOOGLETRANSLATE(B7,""zh-tw"",""zh"")"),"物攻：24")</f>
        <v>物攻：24</v>
      </c>
      <c r="I7" s="327" t="str">
        <f>IFERROR(__xludf.DUMMYFUNCTION("GOOGLETRANSLATE(A7,""zh-tw"",""es-MX"")"),"Hacha de leñador")</f>
        <v>Hacha de leñador</v>
      </c>
      <c r="J7" s="121" t="str">
        <f>IFERROR(__xludf.DUMMYFUNCTION("GOOGLETRANSLATE(B7,""zh-tw"",""es-MX"")"),"Ataque físico: 24")</f>
        <v>Ataque físico: 24</v>
      </c>
      <c r="K7" s="325" t="s">
        <v>4271</v>
      </c>
      <c r="L7" s="117" t="s">
        <v>4272</v>
      </c>
      <c r="M7" s="328" t="str">
        <f>IFERROR(__xludf.DUMMYFUNCTION("GOOGLETRANSLATE(A7,""zh-tw"",""ru"")"),"Топор дровосека")</f>
        <v>Топор дровосека</v>
      </c>
      <c r="N7" s="308" t="str">
        <f>IFERROR(__xludf.DUMMYFUNCTION("GOOGLETRANSLATE(B7,""zh-tw"",""ru"")"),"Физическая атака: 24")</f>
        <v>Физическая атака: 24</v>
      </c>
      <c r="O7" s="326" t="s">
        <v>4273</v>
      </c>
      <c r="P7" s="310" t="s">
        <v>4274</v>
      </c>
      <c r="Q7" s="329" t="s">
        <v>4275</v>
      </c>
      <c r="R7" s="330" t="s">
        <v>4276</v>
      </c>
      <c r="S7" s="197"/>
      <c r="T7" s="197"/>
    </row>
    <row r="8">
      <c r="A8" s="326" t="s">
        <v>4277</v>
      </c>
      <c r="B8" s="310" t="s">
        <v>4278</v>
      </c>
      <c r="C8" s="326" t="str">
        <f>IFERROR(__xludf.DUMMYFUNCTION("GOOGLETRANSLATE(A8,""zh-tw"",""ja"")"),"騎士の剣")</f>
        <v>騎士の剣</v>
      </c>
      <c r="D8" s="310" t="str">
        <f>IFERROR(__xludf.DUMMYFUNCTION("GOOGLETRANSLATE(B8,""zh-tw"",""ja"")"),"物理攻撃力：30
条件を満たすと2倍")</f>
        <v>物理攻撃力：30
条件を満たすと2倍</v>
      </c>
      <c r="E8" s="326" t="s">
        <v>3854</v>
      </c>
      <c r="F8" s="310" t="s">
        <v>4279</v>
      </c>
      <c r="G8" s="326" t="str">
        <f>IFERROR(__xludf.DUMMYFUNCTION("GOOGLETRANSLATE(A8,""zh-tw"",""zh"")"),"骑士之剑")</f>
        <v>骑士之剑</v>
      </c>
      <c r="H8" s="310" t="str">
        <f>IFERROR(__xludf.DUMMYFUNCTION("GOOGLETRANSLATE(B8,""zh-tw"",""zh"")"),"物攻：30
满足条件后翻倍")</f>
        <v>物攻：30
满足条件后翻倍</v>
      </c>
      <c r="I8" s="327"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7" t="str">
        <f>IFERROR(__xludf.DUMMYFUNCTION("GOOGLETRANSLATE(A8,""zh-tw"",""KO"")"),"기사의 검")</f>
        <v>기사의 검</v>
      </c>
      <c r="L8" s="117" t="s">
        <v>4280</v>
      </c>
      <c r="M8" s="328" t="str">
        <f>IFERROR(__xludf.DUMMYFUNCTION("GOOGLETRANSLATE(A8,""zh-tw"",""ru"")"),"Рыцарский меч")</f>
        <v>Рыцарский меч</v>
      </c>
      <c r="N8" s="308" t="str">
        <f>IFERROR(__xludf.DUMMYFUNCTION("GOOGLETRANSLATE(B8,""zh-tw"",""ru"")"),"Физическая атака: 30
Удваивается при выполнении условий")</f>
        <v>Физическая атака: 30
Удваивается при выполнении условий</v>
      </c>
      <c r="O8" s="326" t="s">
        <v>3858</v>
      </c>
      <c r="P8" s="310" t="s">
        <v>4281</v>
      </c>
      <c r="Q8" s="329" t="s">
        <v>4282</v>
      </c>
      <c r="R8" s="330" t="s">
        <v>4283</v>
      </c>
      <c r="S8" s="197"/>
      <c r="T8" s="197"/>
    </row>
    <row r="9">
      <c r="A9" s="326" t="s">
        <v>4284</v>
      </c>
      <c r="B9" s="310" t="s">
        <v>4285</v>
      </c>
      <c r="C9" s="326" t="s">
        <v>4286</v>
      </c>
      <c r="D9" s="310" t="str">
        <f>IFERROR(__xludf.DUMMYFUNCTION("GOOGLETRANSLATE(B9,""zh-tw"",""ja"")"),"物理攻撃力: 42")</f>
        <v>物理攻撃力: 42</v>
      </c>
      <c r="E9" s="326" t="s">
        <v>4287</v>
      </c>
      <c r="F9" s="310" t="s">
        <v>4288</v>
      </c>
      <c r="G9" s="326" t="str">
        <f>IFERROR(__xludf.DUMMYFUNCTION("GOOGLETRANSLATE(A9,""zh-tw"",""zh"")"),"兽人的骨釜")</f>
        <v>兽人的骨釜</v>
      </c>
      <c r="H9" s="310" t="str">
        <f>IFERROR(__xludf.DUMMYFUNCTION("GOOGLETRANSLATE(B9,""zh-tw"",""zh"")"),"物攻：42")</f>
        <v>物攻：42</v>
      </c>
      <c r="I9" s="327" t="str">
        <f>IFERROR(__xludf.DUMMYFUNCTION("GOOGLETRANSLATE(A9,""zh-tw"",""es-MX"")"),"Caldero de huesos de orco")</f>
        <v>Caldero de huesos de orco</v>
      </c>
      <c r="J9" s="121" t="str">
        <f>IFERROR(__xludf.DUMMYFUNCTION("GOOGLETRANSLATE(B9,""zh-tw"",""es-MX"")"),"Ataque físico: 42")</f>
        <v>Ataque físico: 42</v>
      </c>
      <c r="K9" s="326" t="s">
        <v>4289</v>
      </c>
      <c r="L9" s="117" t="s">
        <v>4290</v>
      </c>
      <c r="M9" s="328" t="str">
        <f>IFERROR(__xludf.DUMMYFUNCTION("GOOGLETRANSLATE(A9,""zh-tw"",""ru"")"),"Орочий костяной котел")</f>
        <v>Орочий костяной котел</v>
      </c>
      <c r="N9" s="308" t="str">
        <f>IFERROR(__xludf.DUMMYFUNCTION("GOOGLETRANSLATE(B9,""zh-tw"",""ru"")"),"Физическая атака: 42")</f>
        <v>Физическая атака: 42</v>
      </c>
      <c r="O9" s="326" t="s">
        <v>4291</v>
      </c>
      <c r="P9" s="310" t="s">
        <v>4292</v>
      </c>
      <c r="Q9" s="329" t="s">
        <v>4293</v>
      </c>
      <c r="R9" s="330" t="s">
        <v>4294</v>
      </c>
      <c r="S9" s="197"/>
      <c r="T9" s="197"/>
    </row>
    <row r="10">
      <c r="A10" s="327" t="s">
        <v>4295</v>
      </c>
      <c r="B10" s="121" t="s">
        <v>4296</v>
      </c>
      <c r="C10" s="327" t="s">
        <v>4297</v>
      </c>
      <c r="D10" s="105" t="s">
        <v>4298</v>
      </c>
      <c r="E10" s="331" t="s">
        <v>4299</v>
      </c>
      <c r="F10" s="105" t="s">
        <v>4300</v>
      </c>
      <c r="G10" s="326" t="str">
        <f>IFERROR(__xludf.DUMMYFUNCTION("GOOGLETRANSLATE(A10,""zh-tw"",""zh"")"),"怪鸟的羽毛")</f>
        <v>怪鸟的羽毛</v>
      </c>
      <c r="H10" s="310" t="str">
        <f>IFERROR(__xludf.DUMMYFUNCTION("GOOGLETRANSLATE(B10,""zh-tw"",""zh"")"),"物攻：18
旋风斩提升移速
旋风斩进入漂浮状态")</f>
        <v>物攻：18
旋风斩提升移速
旋风斩进入漂浮状态</v>
      </c>
      <c r="I10" s="327" t="str">
        <f>IFERROR(__xludf.DUMMYFUNCTION("GOOGLETRANSLATE(A10,""zh-tw"",""es-MX"")"),"Plumas de pájaro extrañas")</f>
        <v>Plumas de pájaro extrañas</v>
      </c>
      <c r="J10" s="121"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27"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8" t="str">
        <f>IFERROR(__xludf.DUMMYFUNCTION("GOOGLETRANSLATE(A10,""zh-tw"",""ru"")"),"Странные птичьи перья")</f>
        <v>Странные птичьи перья</v>
      </c>
      <c r="N10" s="308"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1" t="s">
        <v>4301</v>
      </c>
      <c r="P10" s="105" t="s">
        <v>4302</v>
      </c>
      <c r="Q10" s="329" t="s">
        <v>4303</v>
      </c>
      <c r="R10" s="330" t="s">
        <v>4304</v>
      </c>
      <c r="S10" s="17"/>
      <c r="T10" s="17"/>
    </row>
    <row r="11">
      <c r="A11" s="326" t="s">
        <v>4305</v>
      </c>
      <c r="B11" s="310" t="s">
        <v>4306</v>
      </c>
      <c r="C11" s="326" t="s">
        <v>4307</v>
      </c>
      <c r="D11" s="310" t="str">
        <f>IFERROR(__xludf.DUMMYFUNCTION("GOOGLETRANSLATE(B11,""zh-tw"",""ja"")"),"物理攻撃力：20
飛び道具を反射する")</f>
        <v>物理攻撃力：20
飛び道具を反射する</v>
      </c>
      <c r="E11" s="326" t="s">
        <v>4308</v>
      </c>
      <c r="F11" s="310" t="s">
        <v>4309</v>
      </c>
      <c r="G11" s="326" t="str">
        <f>IFERROR(__xludf.DUMMYFUNCTION("GOOGLETRANSLATE(A11,""zh-tw"",""zh"")"),"棒球棍")</f>
        <v>棒球棍</v>
      </c>
      <c r="H11" s="310" t="str">
        <f>IFERROR(__xludf.DUMMYFUNCTION("GOOGLETRANSLATE(B11,""zh-tw"",""zh"")"),"物攻：20
反弹抛射物")</f>
        <v>物攻：20
反弹抛射物</v>
      </c>
      <c r="I11" s="327" t="str">
        <f>IFERROR(__xludf.DUMMYFUNCTION("GOOGLETRANSLATE(A11,""zh-tw"",""es-MX"")"),"bate de béisbol")</f>
        <v>bate de béisbol</v>
      </c>
      <c r="J11" s="121" t="str">
        <f>IFERROR(__xludf.DUMMYFUNCTION("GOOGLETRANSLATE(B11,""zh-tw"",""es-MX"")"),"Ataque físico: 20
Refleja proyectiles")</f>
        <v>Ataque físico: 20
Refleja proyectiles</v>
      </c>
      <c r="K11" s="325" t="s">
        <v>4310</v>
      </c>
      <c r="L11" s="117" t="s">
        <v>4311</v>
      </c>
      <c r="M11" s="328" t="str">
        <f>IFERROR(__xludf.DUMMYFUNCTION("GOOGLETRANSLATE(A11,""zh-tw"",""ru"")"),"бейсбольная бита")</f>
        <v>бейсбольная бита</v>
      </c>
      <c r="N11" s="308" t="str">
        <f>IFERROR(__xludf.DUMMYFUNCTION("GOOGLETRANSLATE(B11,""zh-tw"",""ru"")"),"Физическая атака: 20
Отражает снаряды")</f>
        <v>Физическая атака: 20
Отражает снаряды</v>
      </c>
      <c r="O11" s="326" t="s">
        <v>4312</v>
      </c>
      <c r="P11" s="310" t="s">
        <v>4313</v>
      </c>
      <c r="Q11" s="329" t="s">
        <v>4314</v>
      </c>
      <c r="R11" s="330" t="s">
        <v>4315</v>
      </c>
      <c r="S11" s="197"/>
      <c r="T11" s="197"/>
    </row>
    <row r="12">
      <c r="A12" s="326" t="s">
        <v>4316</v>
      </c>
      <c r="B12" s="310" t="s">
        <v>4317</v>
      </c>
      <c r="C12" s="326" t="s">
        <v>4318</v>
      </c>
      <c r="D12" s="310" t="str">
        <f>IFERROR(__xludf.DUMMYFUNCTION("GOOGLETRANSLATE(B12,""zh-tw"",""ja"")"),"物理攻撃力：14
悪臭を放つ")</f>
        <v>物理攻撃力：14
悪臭を放つ</v>
      </c>
      <c r="E12" s="326" t="s">
        <v>4319</v>
      </c>
      <c r="F12" s="310" t="s">
        <v>4320</v>
      </c>
      <c r="G12" s="326" t="str">
        <f>IFERROR(__xludf.DUMMYFUNCTION("GOOGLETRANSLATE(A12,""zh-tw"",""zh"")"),"臭鱼骨")</f>
        <v>臭鱼骨</v>
      </c>
      <c r="H12" s="310" t="str">
        <f>IFERROR(__xludf.DUMMYFUNCTION("GOOGLETRANSLATE(B12,""zh-tw"",""zh"")"),"物攻：14
散发恶臭")</f>
        <v>物攻：14
散发恶臭</v>
      </c>
      <c r="I12" s="327"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7" t="str">
        <f>IFERROR(__xludf.DUMMYFUNCTION("GOOGLETRANSLATE(A12,""zh-tw"",""KO"")"),"냄새나는 생선 뼈")</f>
        <v>냄새나는 생선 뼈</v>
      </c>
      <c r="L12" s="117" t="s">
        <v>4321</v>
      </c>
      <c r="M12" s="328" t="str">
        <f>IFERROR(__xludf.DUMMYFUNCTION("GOOGLETRANSLATE(A12,""zh-tw"",""ru"")"),"Вонючие рыбьи кости")</f>
        <v>Вонючие рыбьи кости</v>
      </c>
      <c r="N12" s="308" t="str">
        <f>IFERROR(__xludf.DUMMYFUNCTION("GOOGLETRANSLATE(B12,""zh-tw"",""ru"")"),"Физическая атака: 14
Источает неприятный запах")</f>
        <v>Физическая атака: 14
Источает неприятный запах</v>
      </c>
      <c r="O12" s="326" t="s">
        <v>4322</v>
      </c>
      <c r="P12" s="310" t="s">
        <v>4323</v>
      </c>
      <c r="Q12" s="329" t="s">
        <v>4324</v>
      </c>
      <c r="R12" s="330" t="s">
        <v>4325</v>
      </c>
      <c r="S12" s="197"/>
      <c r="T12" s="197"/>
    </row>
    <row r="13">
      <c r="A13" s="326" t="s">
        <v>4326</v>
      </c>
      <c r="B13" s="310" t="s">
        <v>4327</v>
      </c>
      <c r="C13" s="326" t="str">
        <f>IFERROR(__xludf.DUMMYFUNCTION("GOOGLETRANSLATE(A13,""zh-tw"",""ja"")"),"ヤン・ヤン")</f>
        <v>ヤン・ヤン</v>
      </c>
      <c r="D13" s="310" t="str">
        <f>IFERROR(__xludf.DUMMYFUNCTION("GOOGLETRANSLATE(B13,""zh-tw"",""ja"")"),"物理攻撃力：32
魔法攻撃力：16
火")</f>
        <v>物理攻撃力：32
魔法攻撃力：16
火</v>
      </c>
      <c r="E13" s="326" t="s">
        <v>4328</v>
      </c>
      <c r="F13" s="310" t="s">
        <v>4329</v>
      </c>
      <c r="G13" s="326" t="str">
        <f>IFERROR(__xludf.DUMMYFUNCTION("GOOGLETRANSLATE(A13,""zh-tw"",""zh"")"),"阳炎")</f>
        <v>阳炎</v>
      </c>
      <c r="H13" s="310" t="str">
        <f>IFERROR(__xludf.DUMMYFUNCTION("GOOGLETRANSLATE(B13,""zh-tw"",""zh"")"),"物攻：32
魔攻：16
炎属性")</f>
        <v>物攻：32
魔攻：16
炎属性</v>
      </c>
      <c r="I13" s="327" t="str">
        <f>IFERROR(__xludf.DUMMYFUNCTION("GOOGLETRANSLATE(A13,""zh-tw"",""es-MX"")"),"Yang Yan")</f>
        <v>Yang Yan</v>
      </c>
      <c r="J13" s="121" t="str">
        <f>IFERROR(__xludf.DUMMYFUNCTION("GOOGLETRANSLATE(B13,""zh-tw"",""es-MX"")"),"Ataque físico: 32
Ataque mágico: 16
Fuego")</f>
        <v>Ataque físico: 32
Ataque mágico: 16
Fuego</v>
      </c>
      <c r="K13" s="326" t="s">
        <v>4330</v>
      </c>
      <c r="L13" s="117" t="s">
        <v>4331</v>
      </c>
      <c r="M13" s="328" t="str">
        <f>IFERROR(__xludf.DUMMYFUNCTION("GOOGLETRANSLATE(A13,""zh-tw"",""ru"")"),"Ян Янь")</f>
        <v>Ян Янь</v>
      </c>
      <c r="N13" s="308" t="str">
        <f>IFERROR(__xludf.DUMMYFUNCTION("GOOGLETRANSLATE(B13,""zh-tw"",""ru"")"),"Физическая атака: 32
Магическая атака: 16
Огонь")</f>
        <v>Физическая атака: 32
Магическая атака: 16
Огонь</v>
      </c>
      <c r="O13" s="326" t="s">
        <v>4332</v>
      </c>
      <c r="P13" s="310" t="s">
        <v>4333</v>
      </c>
      <c r="Q13" s="329" t="s">
        <v>4334</v>
      </c>
      <c r="R13" s="330" t="s">
        <v>4335</v>
      </c>
      <c r="S13" s="197"/>
      <c r="T13" s="197"/>
    </row>
    <row r="14">
      <c r="A14" s="326" t="s">
        <v>4336</v>
      </c>
      <c r="B14" s="310" t="s">
        <v>4337</v>
      </c>
      <c r="C14" s="326" t="s">
        <v>4336</v>
      </c>
      <c r="D14" s="310" t="str">
        <f>IFERROR(__xludf.DUMMYFUNCTION("GOOGLETRANSLATE(B14,""zh-tw"",""ja"")"),"物理攻撃力：20
魔法攻撃力：14
氷")</f>
        <v>物理攻撃力：20
魔法攻撃力：14
氷</v>
      </c>
      <c r="E14" s="326" t="s">
        <v>4338</v>
      </c>
      <c r="F14" s="310" t="s">
        <v>4339</v>
      </c>
      <c r="G14" s="326" t="str">
        <f>IFERROR(__xludf.DUMMYFUNCTION("GOOGLETRANSLATE(A14,""zh-tw"",""zh"")"),"霜月")</f>
        <v>霜月</v>
      </c>
      <c r="H14" s="310" t="str">
        <f>IFERROR(__xludf.DUMMYFUNCTION("GOOGLETRANSLATE(B14,""zh-tw"",""zh"")"),"物攻：20
魔攻：14
冰属性")</f>
        <v>物攻：20
魔攻：14
冰属性</v>
      </c>
      <c r="I14" s="327" t="str">
        <f>IFERROR(__xludf.DUMMYFUNCTION("GOOGLETRANSLATE(A14,""zh-tw"",""es-MX"")"),"luna helada")</f>
        <v>luna helada</v>
      </c>
      <c r="J14" s="121" t="str">
        <f>IFERROR(__xludf.DUMMYFUNCTION("GOOGLETRANSLATE(B14,""zh-tw"",""es-MX"")"),"Ataque físico: 20
Ataque mágico: 14
Hielo")</f>
        <v>Ataque físico: 20
Ataque mágico: 14
Hielo</v>
      </c>
      <c r="K14" s="325" t="s">
        <v>4340</v>
      </c>
      <c r="L14" s="117" t="s">
        <v>4341</v>
      </c>
      <c r="M14" s="328" t="str">
        <f>IFERROR(__xludf.DUMMYFUNCTION("GOOGLETRANSLATE(A14,""zh-tw"",""ru"")"),"морозная луна")</f>
        <v>морозная луна</v>
      </c>
      <c r="N14" s="308" t="str">
        <f>IFERROR(__xludf.DUMMYFUNCTION("GOOGLETRANSLATE(B14,""zh-tw"",""ru"")"),"Физическая атака: 20
Магическая атака: 14
Лед")</f>
        <v>Физическая атака: 20
Магическая атака: 14
Лед</v>
      </c>
      <c r="O14" s="326" t="s">
        <v>4342</v>
      </c>
      <c r="P14" s="310" t="s">
        <v>4343</v>
      </c>
      <c r="Q14" s="329" t="s">
        <v>4344</v>
      </c>
      <c r="R14" s="330" t="s">
        <v>4345</v>
      </c>
      <c r="S14" s="197"/>
      <c r="T14" s="197"/>
    </row>
    <row r="15">
      <c r="A15" s="326" t="s">
        <v>4346</v>
      </c>
      <c r="B15" s="310" t="s">
        <v>4347</v>
      </c>
      <c r="C15" s="326" t="str">
        <f>IFERROR(__xludf.DUMMYFUNCTION("GOOGLETRANSLATE(A15,""zh-tw"",""ja"")"),"漏電の恐れがある不良品")</f>
        <v>漏電の恐れがある不良品</v>
      </c>
      <c r="D15" s="310" t="str">
        <f>IFERROR(__xludf.DUMMYFUNCTION("GOOGLETRANSLATE(B15,""zh-tw"",""ja"")"),"物理攻撃力：32
魔法攻撃力：12
電撃")</f>
        <v>物理攻撃力：32
魔法攻撃力：12
電撃</v>
      </c>
      <c r="E15" s="326" t="s">
        <v>4348</v>
      </c>
      <c r="F15" s="310" t="s">
        <v>4349</v>
      </c>
      <c r="G15" s="326" t="str">
        <f>IFERROR(__xludf.DUMMYFUNCTION("GOOGLETRANSLATE(A15,""zh-tw"",""zh"")"),"会漏电的不良品")</f>
        <v>会漏电的不良品</v>
      </c>
      <c r="H15" s="310" t="str">
        <f>IFERROR(__xludf.DUMMYFUNCTION("GOOGLETRANSLATE(B15,""zh-tw"",""zh"")"),"物攻：32
魔攻：12
电属性")</f>
        <v>物攻：32
魔攻：12
电属性</v>
      </c>
      <c r="I15" s="327"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5" t="s">
        <v>4350</v>
      </c>
      <c r="L15" s="121" t="str">
        <f>IFERROR(__xludf.DUMMYFUNCTION("GOOGLETRANSLATE(B15,""zh-tw"",""KO"")"),"물리 공격력: 32
마법 공격력: 12
전기")</f>
        <v>물리 공격력: 32
마법 공격력: 12
전기</v>
      </c>
      <c r="M15" s="328"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8" t="str">
        <f>IFERROR(__xludf.DUMMYFUNCTION("GOOGLETRANSLATE(B15,""zh-tw"",""ru"")"),"Физическая атака: 32
Магическая атака: 12
Электрическая")</f>
        <v>Физическая атака: 32
Магическая атака: 12
Электрическая</v>
      </c>
      <c r="O15" s="326" t="s">
        <v>4351</v>
      </c>
      <c r="P15" s="310" t="s">
        <v>4352</v>
      </c>
      <c r="Q15" s="329" t="s">
        <v>4353</v>
      </c>
      <c r="R15" s="330" t="s">
        <v>4354</v>
      </c>
      <c r="S15" s="197"/>
      <c r="T15" s="197"/>
    </row>
    <row r="16">
      <c r="A16" s="326" t="s">
        <v>4355</v>
      </c>
      <c r="B16" s="310" t="s">
        <v>4356</v>
      </c>
      <c r="C16" s="326" t="s">
        <v>4357</v>
      </c>
      <c r="D16" s="310" t="str">
        <f>IFERROR(__xludf.DUMMYFUNCTION("GOOGLETRANSLATE(B16,""zh-tw"",""ja"")"),"物理攻撃力：14
毒")</f>
        <v>物理攻撃力：14
毒</v>
      </c>
      <c r="E16" s="326" t="s">
        <v>4358</v>
      </c>
      <c r="F16" s="310" t="s">
        <v>4359</v>
      </c>
      <c r="G16" s="326" t="str">
        <f>IFERROR(__xludf.DUMMYFUNCTION("GOOGLETRANSLATE(A16,""zh-tw"",""zh"")"),"毒孢针")</f>
        <v>毒孢针</v>
      </c>
      <c r="H16" s="310" t="str">
        <f>IFERROR(__xludf.DUMMYFUNCTION("GOOGLETRANSLATE(B16,""zh-tw"",""zh"")"),"物攻：14
毒属性")</f>
        <v>物攻：14
毒属性</v>
      </c>
      <c r="I16" s="327" t="str">
        <f>IFERROR(__xludf.DUMMYFUNCTION("GOOGLETRANSLATE(A16,""zh-tw"",""es-MX"")"),"Aguja de esporas")</f>
        <v>Aguja de esporas</v>
      </c>
      <c r="J16" s="121" t="str">
        <f>IFERROR(__xludf.DUMMYFUNCTION("GOOGLETRANSLATE(B16,""zh-tw"",""es-MX"")"),"Ataque físico: 14
Veneno")</f>
        <v>Ataque físico: 14
Veneno</v>
      </c>
      <c r="K16" s="325" t="s">
        <v>4360</v>
      </c>
      <c r="L16" s="121" t="str">
        <f>IFERROR(__xludf.DUMMYFUNCTION("GOOGLETRANSLATE(B16,""zh-tw"",""KO"")"),"물리 공격력: 14
독")</f>
        <v>물리 공격력: 14
독</v>
      </c>
      <c r="M16" s="328" t="str">
        <f>IFERROR(__xludf.DUMMYFUNCTION("GOOGLETRANSLATE(A16,""zh-tw"",""ru"")"),"Игла-спора")</f>
        <v>Игла-спора</v>
      </c>
      <c r="N16" s="308" t="str">
        <f>IFERROR(__xludf.DUMMYFUNCTION("GOOGLETRANSLATE(B16,""zh-tw"",""ru"")"),"Физическая атака: 14
Яд")</f>
        <v>Физическая атака: 14
Яд</v>
      </c>
      <c r="O16" s="326" t="s">
        <v>4361</v>
      </c>
      <c r="P16" s="310" t="s">
        <v>4362</v>
      </c>
      <c r="Q16" s="329" t="s">
        <v>4363</v>
      </c>
      <c r="R16" s="330" t="s">
        <v>4364</v>
      </c>
      <c r="S16" s="197"/>
      <c r="T16" s="197"/>
    </row>
    <row r="17">
      <c r="A17" s="326" t="s">
        <v>4365</v>
      </c>
      <c r="B17" s="310" t="s">
        <v>4366</v>
      </c>
      <c r="C17" s="326" t="s">
        <v>4367</v>
      </c>
      <c r="D17" s="310" t="str">
        <f>IFERROR(__xludf.DUMMYFUNCTION("GOOGLETRANSLATE(B17,""zh-tw"",""ja"")"),"物理攻撃力：42
分割攻撃")</f>
        <v>物理攻撃力：42
分割攻撃</v>
      </c>
      <c r="E17" s="325" t="s">
        <v>4368</v>
      </c>
      <c r="F17" s="117" t="s">
        <v>4369</v>
      </c>
      <c r="G17" s="326" t="str">
        <f>IFERROR(__xludf.DUMMYFUNCTION("GOOGLETRANSLATE(A17,""zh-tw"",""zh"")"),"柳叶刀")</f>
        <v>柳叶刀</v>
      </c>
      <c r="H17" s="310" t="str">
        <f>IFERROR(__xludf.DUMMYFUNCTION("GOOGLETRANSLATE(B17,""zh-tw"",""zh"")"),"物攻：42
分裂攻击")</f>
        <v>物攻：42
分裂攻击</v>
      </c>
      <c r="I17" s="327" t="str">
        <f>IFERROR(__xludf.DUMMYFUNCTION("GOOGLETRANSLATE(A17,""zh-tw"",""es-MX"")"),"La lanceta")</f>
        <v>La lanceta</v>
      </c>
      <c r="J17" s="121" t="str">
        <f>IFERROR(__xludf.DUMMYFUNCTION("GOOGLETRANSLATE(B17,""zh-tw"",""es-MX"")"),"Ataque físico: 42
Ataque dividido")</f>
        <v>Ataque físico: 42
Ataque dividido</v>
      </c>
      <c r="K17" s="327" t="str">
        <f>IFERROR(__xludf.DUMMYFUNCTION("GOOGLETRANSLATE(A17,""zh-tw"",""KO"")"),"랜싯")</f>
        <v>랜싯</v>
      </c>
      <c r="L17" s="121" t="str">
        <f>IFERROR(__xludf.DUMMYFUNCTION("GOOGLETRANSLATE(B17,""zh-tw"",""KO"")"),"물리 공격력: 42
분할 공격")</f>
        <v>물리 공격력: 42
분할 공격</v>
      </c>
      <c r="M17" s="328" t="str">
        <f>IFERROR(__xludf.DUMMYFUNCTION("GOOGLETRANSLATE(A17,""zh-tw"",""ru"")"),"Ланцет")</f>
        <v>Ланцет</v>
      </c>
      <c r="N17" s="308" t="str">
        <f>IFERROR(__xludf.DUMMYFUNCTION("GOOGLETRANSLATE(B17,""zh-tw"",""ru"")"),"Физическая атака: 42
Раздельная атака")</f>
        <v>Физическая атака: 42
Раздельная атака</v>
      </c>
      <c r="O17" s="326" t="s">
        <v>4370</v>
      </c>
      <c r="P17" s="310" t="s">
        <v>4371</v>
      </c>
      <c r="Q17" s="329" t="s">
        <v>4372</v>
      </c>
      <c r="R17" s="330" t="s">
        <v>4373</v>
      </c>
      <c r="S17" s="197"/>
      <c r="T17" s="197"/>
    </row>
    <row r="18" ht="49.5" customHeight="1">
      <c r="A18" s="326" t="s">
        <v>4374</v>
      </c>
      <c r="B18" s="310" t="s">
        <v>4375</v>
      </c>
      <c r="C18" s="326" t="s">
        <v>4376</v>
      </c>
      <c r="D18" s="310" t="str">
        <f>IFERROR(__xludf.DUMMYFUNCTION("GOOGLETRANSLATE(B18,""zh-tw"",""ja"")"),"物理攻撃力: 48
魔法耐性: 20
武器タイプ:")</f>
        <v>物理攻撃力: 48
魔法耐性: 20
武器タイプ:</v>
      </c>
      <c r="E18" s="326" t="s">
        <v>4377</v>
      </c>
      <c r="F18" s="310" t="s">
        <v>4378</v>
      </c>
      <c r="G18" s="326" t="str">
        <f>IFERROR(__xludf.DUMMYFUNCTION("GOOGLETRANSLATE(A18,""zh-tw"",""zh"")"),"银辉大剑")</f>
        <v>银辉大剑</v>
      </c>
      <c r="H18" s="310" t="str">
        <f>IFERROR(__xludf.DUMMYFUNCTION("GOOGLETRANSLATE(B18,""zh-tw"",""zh"")"),"物攻：48
魔抗：20
满足条件类型武器")</f>
        <v>物攻：48
魔抗：20
满足条件类型武器</v>
      </c>
      <c r="I18" s="327"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5" t="s">
        <v>4379</v>
      </c>
      <c r="L18" s="121" t="str">
        <f>IFERROR(__xludf.DUMMYFUNCTION("GOOGLETRANSLATE(B18,""zh-tw"",""KO"")"),"물리 공격력: 48
마법 저항력: 20
무기 종류:")</f>
        <v>물리 공격력: 48
마법 저항력: 20
무기 종류:</v>
      </c>
      <c r="M18" s="328" t="str">
        <f>IFERROR(__xludf.DUMMYFUNCTION("GOOGLETRANSLATE(A18,""zh-tw"",""ru"")"),"Серебряный большой меч")</f>
        <v>Серебряный большой меч</v>
      </c>
      <c r="N18" s="308" t="str">
        <f>IFERROR(__xludf.DUMMYFUNCTION("GOOGLETRANSLATE(B18,""zh-tw"",""ru"")"),"Физическая атака: 48
Сопротивление магии: 20
Тип оружия:")</f>
        <v>Физическая атака: 48
Сопротивление магии: 20
Тип оружия:</v>
      </c>
      <c r="O18" s="326" t="s">
        <v>4380</v>
      </c>
      <c r="P18" s="310" t="s">
        <v>4381</v>
      </c>
      <c r="Q18" s="329" t="s">
        <v>4382</v>
      </c>
      <c r="R18" s="330" t="s">
        <v>4383</v>
      </c>
      <c r="S18" s="197"/>
      <c r="T18" s="197"/>
    </row>
    <row r="19">
      <c r="A19" s="326" t="s">
        <v>4384</v>
      </c>
      <c r="B19" s="310" t="s">
        <v>4385</v>
      </c>
      <c r="C19" s="326" t="s">
        <v>4386</v>
      </c>
      <c r="D19" s="310" t="str">
        <f>IFERROR(__xludf.DUMMYFUNCTION("GOOGLETRANSLATE(B19,""zh-tw"",""ja"")"),"物理攻撃力：1
累積ダメージ武器")</f>
        <v>物理攻撃力：1
累積ダメージ武器</v>
      </c>
      <c r="E19" s="326" t="s">
        <v>4387</v>
      </c>
      <c r="F19" s="310" t="s">
        <v>4388</v>
      </c>
      <c r="G19" s="326" t="str">
        <f>IFERROR(__xludf.DUMMYFUNCTION("GOOGLETRANSLATE(A19,""zh-tw"",""zh"")"),"甜筒大剑")</f>
        <v>甜筒大剑</v>
      </c>
      <c r="H19" s="310" t="str">
        <f>IFERROR(__xludf.DUMMYFUNCTION("GOOGLETRANSLATE(B19,""zh-tw"",""zh"")"),"物攻：1
累计伤害型武器")</f>
        <v>物攻：1
累计伤害型武器</v>
      </c>
      <c r="I19" s="327" t="str">
        <f>IFERROR(__xludf.DUMMYFUNCTION("GOOGLETRANSLATE(A19,""zh-tw"",""es-MX"")"),"Espada de helado")</f>
        <v>Espada de helado</v>
      </c>
      <c r="J19" s="121" t="str">
        <f>IFERROR(__xludf.DUMMYFUNCTION("GOOGLETRANSLATE(B19,""zh-tw"",""es-MX"")"),"Ataque físico: 1
Arma de daño acumulativo")</f>
        <v>Ataque físico: 1
Arma de daño acumulativo</v>
      </c>
      <c r="K19" s="327" t="str">
        <f>IFERROR(__xludf.DUMMYFUNCTION("GOOGLETRANSLATE(A19,""zh-tw"",""KO"")"),"아이스크림 검")</f>
        <v>아이스크림 검</v>
      </c>
      <c r="L19" s="121" t="str">
        <f>IFERROR(__xludf.DUMMYFUNCTION("GOOGLETRANSLATE(B19,""zh-tw"",""KO"")"),"물리 공격력: 1
누적 피해 무기")</f>
        <v>물리 공격력: 1
누적 피해 무기</v>
      </c>
      <c r="M19" s="328" t="str">
        <f>IFERROR(__xludf.DUMMYFUNCTION("GOOGLETRANSLATE(A19,""zh-tw"",""ru"")"),"Меч из мороженого")</f>
        <v>Меч из мороженого</v>
      </c>
      <c r="N19" s="308" t="str">
        <f>IFERROR(__xludf.DUMMYFUNCTION("GOOGLETRANSLATE(B19,""zh-tw"",""ru"")"),"Физическая атака: 1
Оружие с кумулятивным уроном")</f>
        <v>Физическая атака: 1
Оружие с кумулятивным уроном</v>
      </c>
      <c r="O19" s="326" t="s">
        <v>4389</v>
      </c>
      <c r="P19" s="310" t="s">
        <v>4390</v>
      </c>
      <c r="Q19" s="329" t="s">
        <v>4391</v>
      </c>
      <c r="R19" s="330" t="s">
        <v>4392</v>
      </c>
      <c r="S19" s="197"/>
      <c r="T19" s="197"/>
    </row>
    <row r="20">
      <c r="A20" s="326" t="s">
        <v>4393</v>
      </c>
      <c r="B20" s="310" t="s">
        <v>4394</v>
      </c>
      <c r="C20" s="326" t="s">
        <v>4395</v>
      </c>
      <c r="D20" s="310" t="str">
        <f>IFERROR(__xludf.DUMMYFUNCTION("GOOGLETRANSLATE(B20,""zh-tw"",""ja"")"),"物理攻撃力: 20
物理耐性: 2
累積品質武器")</f>
        <v>物理攻撃力: 20
物理耐性: 2
累積品質武器</v>
      </c>
      <c r="E20" s="326" t="s">
        <v>4396</v>
      </c>
      <c r="F20" s="310" t="s">
        <v>4397</v>
      </c>
      <c r="G20" s="326" t="str">
        <f>IFERROR(__xludf.DUMMYFUNCTION("GOOGLETRANSLATE(A20,""zh-tw"",""zh"")"),"古树残骸")</f>
        <v>古树残骸</v>
      </c>
      <c r="H20" s="310" t="str">
        <f>IFERROR(__xludf.DUMMYFUNCTION("GOOGLETRANSLATE(B20,""zh-tw"",""zh"")"),"物攻：20
物抗：2
累计素质型武器")</f>
        <v>物攻：20
物抗：2
累计素质型武器</v>
      </c>
      <c r="I20" s="327"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7"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8" t="str">
        <f>IFERROR(__xludf.DUMMYFUNCTION("GOOGLETRANSLATE(A20,""zh-tw"",""ru"")"),"Останки древних деревьев")</f>
        <v>Останки древних деревьев</v>
      </c>
      <c r="N20" s="308"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6" t="s">
        <v>4398</v>
      </c>
      <c r="P20" s="310" t="s">
        <v>4399</v>
      </c>
      <c r="Q20" s="329" t="s">
        <v>4400</v>
      </c>
      <c r="R20" s="330" t="s">
        <v>4401</v>
      </c>
      <c r="S20" s="197"/>
      <c r="T20" s="197"/>
    </row>
    <row r="21">
      <c r="A21" s="326" t="s">
        <v>4402</v>
      </c>
      <c r="B21" s="310" t="s">
        <v>4403</v>
      </c>
      <c r="C21" s="326" t="s">
        <v>4404</v>
      </c>
      <c r="D21" s="310" t="str">
        <f>IFERROR(__xludf.DUMMYFUNCTION("GOOGLETRANSLATE(B21,""zh-tw"",""ja"")"),"物理攻撃力：40
ソードウェーブ発射")</f>
        <v>物理攻撃力：40
ソードウェーブ発射</v>
      </c>
      <c r="E21" s="326" t="s">
        <v>4405</v>
      </c>
      <c r="F21" s="310" t="s">
        <v>4406</v>
      </c>
      <c r="G21" s="326" t="str">
        <f>IFERROR(__xludf.DUMMYFUNCTION("GOOGLETRANSLATE(A21,""zh-tw"",""zh"")"),"斩裂剑提尔锋")</f>
        <v>斩裂剑提尔锋</v>
      </c>
      <c r="H21" s="310" t="str">
        <f>IFERROR(__xludf.DUMMYFUNCTION("GOOGLETRANSLATE(B21,""zh-tw"",""zh"")"),"物攻：40
发射剑波")</f>
        <v>物攻：40
发射剑波</v>
      </c>
      <c r="I21" s="327" t="str">
        <f>IFERROR(__xludf.DUMMYFUNCTION("GOOGLETRANSLATE(A21,""zh-tw"",""es-MX"")"),"Tyr'front")</f>
        <v>Tyr'front</v>
      </c>
      <c r="J21" s="121" t="str">
        <f>IFERROR(__xludf.DUMMYFUNCTION("GOOGLETRANSLATE(B21,""zh-tw"",""es-MX"")"),"Ataque físico: 40
Lanzamiento de onda de espada")</f>
        <v>Ataque físico: 40
Lanzamiento de onda de espada</v>
      </c>
      <c r="K21" s="327" t="str">
        <f>IFERROR(__xludf.DUMMYFUNCTION("GOOGLETRANSLATE(A21,""zh-tw"",""KO"")"),"티르프론트")</f>
        <v>티르프론트</v>
      </c>
      <c r="L21" s="121" t="str">
        <f>IFERROR(__xludf.DUMMYFUNCTION("GOOGLETRANSLATE(B21,""zh-tw"",""KO"")"),"물리 공격력: 40
소드 웨이브 발사")</f>
        <v>물리 공격력: 40
소드 웨이브 발사</v>
      </c>
      <c r="M21" s="328" t="str">
        <f>IFERROR(__xludf.DUMMYFUNCTION("GOOGLETRANSLATE(A21,""zh-tw"",""ru"")"),"Тирфронт")</f>
        <v>Тирфронт</v>
      </c>
      <c r="N21" s="308" t="str">
        <f>IFERROR(__xludf.DUMMYFUNCTION("GOOGLETRANSLATE(B21,""zh-tw"",""ru"")"),"Физическая атака: 40
Запуск мечом")</f>
        <v>Физическая атака: 40
Запуск мечом</v>
      </c>
      <c r="O21" s="326" t="s">
        <v>4407</v>
      </c>
      <c r="P21" s="310" t="s">
        <v>4408</v>
      </c>
      <c r="Q21" s="329" t="s">
        <v>4409</v>
      </c>
      <c r="R21" s="330" t="s">
        <v>4410</v>
      </c>
      <c r="S21" s="197"/>
      <c r="T21" s="197"/>
    </row>
    <row r="22">
      <c r="A22" s="326" t="s">
        <v>4411</v>
      </c>
      <c r="B22" s="310" t="s">
        <v>4412</v>
      </c>
      <c r="C22" s="326" t="s">
        <v>4413</v>
      </c>
      <c r="D22" s="310" t="str">
        <f>IFERROR(__xludf.DUMMYFUNCTION("GOOGLETRANSLATE(B22,""zh-tw"",""ja"")"),"物理攻撃力：30
出血")</f>
        <v>物理攻撃力：30
出血</v>
      </c>
      <c r="E22" s="326" t="s">
        <v>4414</v>
      </c>
      <c r="F22" s="310" t="s">
        <v>4415</v>
      </c>
      <c r="G22" s="326" t="str">
        <f>IFERROR(__xludf.DUMMYFUNCTION("GOOGLETRANSLATE(A22,""zh-tw"",""zh"")"),"来自地狱")</f>
        <v>来自地狱</v>
      </c>
      <c r="H22" s="310" t="str">
        <f>IFERROR(__xludf.DUMMYFUNCTION("GOOGLETRANSLATE(B22,""zh-tw"",""zh"")"),"物攻：30
出血")</f>
        <v>物攻：30
出血</v>
      </c>
      <c r="I22" s="327" t="str">
        <f>IFERROR(__xludf.DUMMYFUNCTION("GOOGLETRANSLATE(A22,""zh-tw"",""es-MX"")"),"Del infierno")</f>
        <v>Del infierno</v>
      </c>
      <c r="J22" s="121" t="str">
        <f>IFERROR(__xludf.DUMMYFUNCTION("GOOGLETRANSLATE(B22,""zh-tw"",""es-MX"")"),"Ataque físico: 30
Sangrado")</f>
        <v>Ataque físico: 30
Sangrado</v>
      </c>
      <c r="K22" s="325" t="s">
        <v>4416</v>
      </c>
      <c r="L22" s="121" t="str">
        <f>IFERROR(__xludf.DUMMYFUNCTION("GOOGLETRANSLATE(B22,""zh-tw"",""KO"")"),"물리 공격력: 30
출혈")</f>
        <v>물리 공격력: 30
출혈</v>
      </c>
      <c r="M22" s="328" t="str">
        <f>IFERROR(__xludf.DUMMYFUNCTION("GOOGLETRANSLATE(A22,""zh-tw"",""ru"")"),"Из ада")</f>
        <v>Из ада</v>
      </c>
      <c r="N22" s="308" t="str">
        <f>IFERROR(__xludf.DUMMYFUNCTION("GOOGLETRANSLATE(B22,""zh-tw"",""ru"")"),"Физическая атака: 30
Кровотечение")</f>
        <v>Физическая атака: 30
Кровотечение</v>
      </c>
      <c r="O22" s="326" t="s">
        <v>4417</v>
      </c>
      <c r="P22" s="310" t="s">
        <v>4418</v>
      </c>
      <c r="Q22" s="329" t="s">
        <v>4419</v>
      </c>
      <c r="R22" s="330" t="s">
        <v>4420</v>
      </c>
      <c r="S22" s="197"/>
      <c r="T22" s="197"/>
    </row>
    <row r="23">
      <c r="A23" s="326" t="s">
        <v>4421</v>
      </c>
      <c r="B23" s="310" t="s">
        <v>4422</v>
      </c>
      <c r="C23" s="326" t="s">
        <v>4423</v>
      </c>
      <c r="D23" s="310" t="str">
        <f>IFERROR(__xludf.DUMMYFUNCTION("GOOGLETRANSLATE(B23,""zh-tw"",""ja"")"),"物理攻撃力：32
ノックダウン回復")</f>
        <v>物理攻撃力：32
ノックダウン回復</v>
      </c>
      <c r="E23" s="326" t="s">
        <v>4424</v>
      </c>
      <c r="F23" s="310" t="s">
        <v>4425</v>
      </c>
      <c r="G23" s="326" t="str">
        <f>IFERROR(__xludf.DUMMYFUNCTION("GOOGLETRANSLATE(A23,""zh-tw"",""zh"")"),"寄生刃")</f>
        <v>寄生刃</v>
      </c>
      <c r="H23" s="310" t="str">
        <f>IFERROR(__xludf.DUMMYFUNCTION("GOOGLETRANSLATE(B23,""zh-tw"",""zh"")"),"物攻：32
击倒回复")</f>
        <v>物攻：32
击倒回复</v>
      </c>
      <c r="I23" s="327" t="str">
        <f>IFERROR(__xludf.DUMMYFUNCTION("GOOGLETRANSLATE(A23,""zh-tw"",""es-MX"")"),"Cuchilla parásita")</f>
        <v>Cuchilla parásita</v>
      </c>
      <c r="J23" s="121" t="str">
        <f>IFERROR(__xludf.DUMMYFUNCTION("GOOGLETRANSLATE(B23,""zh-tw"",""es-MX"")"),"Ataque físico: 32
Recuperación tras derribo")</f>
        <v>Ataque físico: 32
Recuperación tras derribo</v>
      </c>
      <c r="K23" s="325" t="s">
        <v>4426</v>
      </c>
      <c r="L23" s="117" t="s">
        <v>4427</v>
      </c>
      <c r="M23" s="328" t="str">
        <f>IFERROR(__xludf.DUMMYFUNCTION("GOOGLETRANSLATE(A23,""zh-tw"",""ru"")"),"Паразитарный клинок")</f>
        <v>Паразитарный клинок</v>
      </c>
      <c r="N23" s="308" t="str">
        <f>IFERROR(__xludf.DUMMYFUNCTION("GOOGLETRANSLATE(B23,""zh-tw"",""ru"")"),"Физическая атака: 32
Восстановление после нокдауна")</f>
        <v>Физическая атака: 32
Восстановление после нокдауна</v>
      </c>
      <c r="O23" s="326" t="s">
        <v>4428</v>
      </c>
      <c r="P23" s="310" t="s">
        <v>4429</v>
      </c>
      <c r="Q23" s="329" t="s">
        <v>4430</v>
      </c>
      <c r="R23" s="330" t="s">
        <v>4431</v>
      </c>
      <c r="S23" s="197"/>
      <c r="T23" s="197"/>
    </row>
    <row r="24">
      <c r="A24" s="331" t="s">
        <v>4432</v>
      </c>
      <c r="B24" s="105" t="s">
        <v>4433</v>
      </c>
      <c r="C24" s="331" t="s">
        <v>4434</v>
      </c>
      <c r="D24" s="105" t="s">
        <v>4435</v>
      </c>
      <c r="E24" s="331" t="s">
        <v>4436</v>
      </c>
      <c r="F24" s="105" t="s">
        <v>4437</v>
      </c>
      <c r="G24" s="326" t="str">
        <f>IFERROR(__xludf.DUMMYFUNCTION("GOOGLETRANSLATE(A24,""zh-tw"",""zh"")"),"寄坏剑")</f>
        <v>寄坏剑</v>
      </c>
      <c r="H24" s="310"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7" t="str">
        <f>IFERROR(__xludf.DUMMYFUNCTION("GOOGLETRANSLATE(A24,""zh-tw"",""es-MX"")"),"Espada mala")</f>
        <v>Espada mala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5" t="s">
        <v>4438</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8" t="str">
        <f>IFERROR(__xludf.DUMMYFUNCTION("GOOGLETRANSLATE(A24,""zh-tw"",""ru"")"),"Плохой Меч")</f>
        <v>Плохой Меч</v>
      </c>
      <c r="N24" s="308"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1" t="s">
        <v>4439</v>
      </c>
      <c r="P24" s="105" t="s">
        <v>4440</v>
      </c>
      <c r="Q24" s="329" t="s">
        <v>4441</v>
      </c>
      <c r="R24" s="330" t="s">
        <v>4442</v>
      </c>
      <c r="S24" s="197"/>
      <c r="T24" s="197"/>
    </row>
    <row r="25">
      <c r="A25" s="331" t="s">
        <v>4443</v>
      </c>
      <c r="B25" s="105" t="s">
        <v>4444</v>
      </c>
      <c r="C25" s="331" t="s">
        <v>4445</v>
      </c>
      <c r="D25" s="105" t="s">
        <v>4446</v>
      </c>
      <c r="E25" s="331" t="s">
        <v>4447</v>
      </c>
      <c r="F25" s="105" t="s">
        <v>4448</v>
      </c>
      <c r="G25" s="326" t="str">
        <f>IFERROR(__xludf.DUMMYFUNCTION("GOOGLETRANSLATE(A25,""zh-tw"",""zh"")"),"血狩")</f>
        <v>血狩</v>
      </c>
      <c r="H25" s="310"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7"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7"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8" t="str">
        <f>IFERROR(__xludf.DUMMYFUNCTION("GOOGLETRANSLATE(A25,""zh-tw"",""ru"")"),"Кровавая охота")</f>
        <v>Кровавая охота</v>
      </c>
      <c r="N25" s="308"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1" t="s">
        <v>4449</v>
      </c>
      <c r="P25" s="105" t="s">
        <v>4450</v>
      </c>
      <c r="Q25" s="329" t="s">
        <v>4451</v>
      </c>
      <c r="R25" s="330" t="s">
        <v>4452</v>
      </c>
      <c r="S25" s="197"/>
      <c r="T25" s="197"/>
    </row>
    <row r="26">
      <c r="A26" s="326" t="s">
        <v>4453</v>
      </c>
      <c r="B26" s="310" t="s">
        <v>4454</v>
      </c>
      <c r="C26" s="326" t="s">
        <v>4455</v>
      </c>
      <c r="D26" s="310" t="s">
        <v>4456</v>
      </c>
      <c r="E26" s="326" t="s">
        <v>4457</v>
      </c>
      <c r="F26" s="310" t="s">
        <v>4458</v>
      </c>
      <c r="G26" s="326" t="str">
        <f>IFERROR(__xludf.DUMMYFUNCTION("GOOGLETRANSLATE(A26,""zh-tw"",""zh"")"),"荒古荣光")</f>
        <v>荒古荣光</v>
      </c>
      <c r="H26" s="310" t="str">
        <f>IFERROR(__xludf.DUMMYFUNCTION("GOOGLETRANSLATE(B26,""zh-tw"",""zh"")"),"物攻：36
特殊指令强化
*稀有品扭蛋品")</f>
        <v>物攻：36
特殊指令强化
*稀有品扭蛋品</v>
      </c>
      <c r="I26" s="327"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7"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8" t="str">
        <f>IFERROR(__xludf.DUMMYFUNCTION("GOOGLETRANSLATE(A26,""zh-tw"",""ru"")"),"Древняя слава")</f>
        <v>Древняя слава</v>
      </c>
      <c r="N26" s="308"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6" t="s">
        <v>4459</v>
      </c>
      <c r="P26" s="310" t="s">
        <v>4460</v>
      </c>
      <c r="Q26" s="329" t="s">
        <v>4461</v>
      </c>
      <c r="R26" s="330" t="s">
        <v>4462</v>
      </c>
      <c r="S26" s="197"/>
      <c r="T26" s="197"/>
    </row>
    <row r="27">
      <c r="A27" s="326" t="s">
        <v>4463</v>
      </c>
      <c r="B27" s="310" t="s">
        <v>4464</v>
      </c>
      <c r="C27" s="326" t="s">
        <v>4465</v>
      </c>
      <c r="D27" s="310"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6" t="s">
        <v>4466</v>
      </c>
      <c r="F27" s="310" t="s">
        <v>4467</v>
      </c>
      <c r="G27" s="326" t="str">
        <f>IFERROR(__xludf.DUMMYFUNCTION("GOOGLETRANSLATE(A27,""zh-tw"",""zh"")"),"克里乌之光")</f>
        <v>克里乌之光</v>
      </c>
      <c r="H27" s="310" t="s">
        <v>4468</v>
      </c>
      <c r="I27" s="327"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7"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8" t="str">
        <f>IFERROR(__xludf.DUMMYFUNCTION("GOOGLETRANSLATE(A27,""zh-tw"",""ru"")"),"Свет Криллоу")</f>
        <v>Свет Криллоу</v>
      </c>
      <c r="N27" s="308"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6" t="s">
        <v>4469</v>
      </c>
      <c r="P27" s="310" t="s">
        <v>4470</v>
      </c>
      <c r="Q27" s="329" t="s">
        <v>4471</v>
      </c>
      <c r="R27" s="330" t="s">
        <v>4472</v>
      </c>
      <c r="S27" s="197"/>
      <c r="T27" s="197"/>
    </row>
    <row r="28">
      <c r="A28" s="326" t="s">
        <v>4473</v>
      </c>
      <c r="B28" s="310" t="s">
        <v>4474</v>
      </c>
      <c r="C28" s="326" t="str">
        <f>IFERROR(__xludf.DUMMYFUNCTION("GOOGLETRANSLATE(A28,""zh-tw"",""ja"")"),"木製の弓")</f>
        <v>木製の弓</v>
      </c>
      <c r="D28" s="310" t="str">
        <f>IFERROR(__xludf.DUMMYFUNCTION("GOOGLETRANSLATE(B28,""zh-tw"",""ja"")"),"物理攻撃力: 20")</f>
        <v>物理攻撃力: 20</v>
      </c>
      <c r="E28" s="326" t="s">
        <v>4475</v>
      </c>
      <c r="F28" s="310" t="s">
        <v>4476</v>
      </c>
      <c r="G28" s="326" t="str">
        <f>IFERROR(__xludf.DUMMYFUNCTION("GOOGLETRANSLATE(A28,""zh-tw"",""zh"")"),"木弓")</f>
        <v>木弓</v>
      </c>
      <c r="H28" s="310" t="str">
        <f>IFERROR(__xludf.DUMMYFUNCTION("GOOGLETRANSLATE(B28,""zh-tw"",""zh"")"),"物攻：20")</f>
        <v>物攻：20</v>
      </c>
      <c r="I28" s="327" t="str">
        <f>IFERROR(__xludf.DUMMYFUNCTION("GOOGLETRANSLATE(A28,""zh-tw"",""es-MX"")"),"arco de madera")</f>
        <v>arco de madera</v>
      </c>
      <c r="J28" s="121" t="str">
        <f>IFERROR(__xludf.DUMMYFUNCTION("GOOGLETRANSLATE(B28,""zh-tw"",""es-MX"")"),"Ataque físico: 20")</f>
        <v>Ataque físico: 20</v>
      </c>
      <c r="K28" s="327" t="str">
        <f>IFERROR(__xludf.DUMMYFUNCTION("GOOGLETRANSLATE(A28,""zh-tw"",""KO"")"),"나무 활")</f>
        <v>나무 활</v>
      </c>
      <c r="L28" s="121" t="str">
        <f>IFERROR(__xludf.DUMMYFUNCTION("GOOGLETRANSLATE(B28,""zh-tw"",""KO"")"),"물리 공격력: 20")</f>
        <v>물리 공격력: 20</v>
      </c>
      <c r="M28" s="328" t="str">
        <f>IFERROR(__xludf.DUMMYFUNCTION("GOOGLETRANSLATE(A28,""zh-tw"",""ru"")"),"деревянный лук")</f>
        <v>деревянный лук</v>
      </c>
      <c r="N28" s="308" t="str">
        <f>IFERROR(__xludf.DUMMYFUNCTION("GOOGLETRANSLATE(B28,""zh-tw"",""ru"")"),"Физическая атака: 20")</f>
        <v>Физическая атака: 20</v>
      </c>
      <c r="O28" s="326" t="s">
        <v>4477</v>
      </c>
      <c r="P28" s="310" t="s">
        <v>4478</v>
      </c>
      <c r="Q28" s="329" t="s">
        <v>4479</v>
      </c>
      <c r="R28" s="330" t="s">
        <v>4480</v>
      </c>
      <c r="S28" s="197"/>
      <c r="T28" s="197"/>
    </row>
    <row r="29">
      <c r="A29" s="326" t="s">
        <v>4481</v>
      </c>
      <c r="B29" s="310" t="s">
        <v>4482</v>
      </c>
      <c r="C29" s="326" t="s">
        <v>4483</v>
      </c>
      <c r="D29" s="310" t="str">
        <f>IFERROR(__xludf.DUMMYFUNCTION("GOOGLETRANSLATE(B29,""zh-tw"",""ja"")"),"物理攻撃力：24
貫通")</f>
        <v>物理攻撃力：24
貫通</v>
      </c>
      <c r="E29" s="326" t="s">
        <v>4484</v>
      </c>
      <c r="F29" s="310" t="s">
        <v>4485</v>
      </c>
      <c r="G29" s="326" t="str">
        <f>IFERROR(__xludf.DUMMYFUNCTION("GOOGLETRANSLATE(A29,""zh-tw"",""zh"")"),"猎人之弓")</f>
        <v>猎人之弓</v>
      </c>
      <c r="H29" s="310" t="str">
        <f>IFERROR(__xludf.DUMMYFUNCTION("GOOGLETRANSLATE(B29,""zh-tw"",""zh"")"),"物攻：24
穿透")</f>
        <v>物攻：24
穿透</v>
      </c>
      <c r="I29" s="327" t="str">
        <f>IFERROR(__xludf.DUMMYFUNCTION("GOOGLETRANSLATE(A29,""zh-tw"",""es-MX"")"),"Arco del cazador")</f>
        <v>Arco del cazador</v>
      </c>
      <c r="J29" s="121" t="str">
        <f>IFERROR(__xludf.DUMMYFUNCTION("GOOGLETRANSLATE(B29,""zh-tw"",""es-MX"")"),"Ataque físico: 24
Perforación")</f>
        <v>Ataque físico: 24
Perforación</v>
      </c>
      <c r="K29" s="327" t="str">
        <f>IFERROR(__xludf.DUMMYFUNCTION("GOOGLETRANSLATE(A29,""zh-tw"",""KO"")"),"사냥꾼의 활")</f>
        <v>사냥꾼의 활</v>
      </c>
      <c r="L29" s="121" t="str">
        <f>IFERROR(__xludf.DUMMYFUNCTION("GOOGLETRANSLATE(B29,""zh-tw"",""KO"")"),"물리 공격력: 24
피어싱")</f>
        <v>물리 공격력: 24
피어싱</v>
      </c>
      <c r="M29" s="328" t="str">
        <f>IFERROR(__xludf.DUMMYFUNCTION("GOOGLETRANSLATE(A29,""zh-tw"",""ru"")"),"Лук Охотника")</f>
        <v>Лук Охотника</v>
      </c>
      <c r="N29" s="308" t="str">
        <f>IFERROR(__xludf.DUMMYFUNCTION("GOOGLETRANSLATE(B29,""zh-tw"",""ru"")"),"Физическая атака: 24
Пронзающий")</f>
        <v>Физическая атака: 24
Пронзающий</v>
      </c>
      <c r="O29" s="326" t="s">
        <v>4486</v>
      </c>
      <c r="P29" s="310" t="s">
        <v>4487</v>
      </c>
      <c r="Q29" s="329" t="s">
        <v>4488</v>
      </c>
      <c r="R29" s="330" t="s">
        <v>4489</v>
      </c>
      <c r="S29" s="197"/>
      <c r="T29" s="197"/>
    </row>
    <row r="30">
      <c r="A30" s="326" t="s">
        <v>4490</v>
      </c>
      <c r="B30" s="310" t="s">
        <v>4491</v>
      </c>
      <c r="C30" s="326" t="s">
        <v>4492</v>
      </c>
      <c r="D30" s="310" t="str">
        <f>IFERROR(__xludf.DUMMYFUNCTION("GOOGLETRANSLATE(B30,""zh-tw"",""ja"")"),"物理攻撃力：18
魔法攻撃力：18
火")</f>
        <v>物理攻撃力：18
魔法攻撃力：18
火</v>
      </c>
      <c r="E30" s="326" t="s">
        <v>4493</v>
      </c>
      <c r="F30" s="310" t="s">
        <v>4494</v>
      </c>
      <c r="G30" s="326" t="str">
        <f>IFERROR(__xludf.DUMMYFUNCTION("GOOGLETRANSLATE(A30,""zh-tw"",""zh"")"),"火烧云")</f>
        <v>火烧云</v>
      </c>
      <c r="H30" s="310" t="str">
        <f>IFERROR(__xludf.DUMMYFUNCTION("GOOGLETRANSLATE(B30,""zh-tw"",""zh"")"),"物攻：18
魔攻：18
炎属性")</f>
        <v>物攻：18
魔攻：18
炎属性</v>
      </c>
      <c r="I30" s="327" t="str">
        <f>IFERROR(__xludf.DUMMYFUNCTION("GOOGLETRANSLATE(A30,""zh-tw"",""es-MX"")"),"Nube de fuego")</f>
        <v>Nube de fuego</v>
      </c>
      <c r="J30" s="121" t="str">
        <f>IFERROR(__xludf.DUMMYFUNCTION("GOOGLETRANSLATE(B30,""zh-tw"",""es-MX"")"),"Ataque físico: 18
Ataque mágico: 18
Fuego")</f>
        <v>Ataque físico: 18
Ataque mágico: 18
Fuego</v>
      </c>
      <c r="K30" s="327" t="str">
        <f>IFERROR(__xludf.DUMMYFUNCTION("GOOGLETRANSLATE(A30,""zh-tw"",""KO"")"),"불구름")</f>
        <v>불구름</v>
      </c>
      <c r="L30" s="121" t="str">
        <f>IFERROR(__xludf.DUMMYFUNCTION("GOOGLETRANSLATE(B30,""zh-tw"",""KO"")"),"물리 공격력: 18
마법 공격력: 18
화염")</f>
        <v>물리 공격력: 18
마법 공격력: 18
화염</v>
      </c>
      <c r="M30" s="328" t="str">
        <f>IFERROR(__xludf.DUMMYFUNCTION("GOOGLETRANSLATE(A30,""zh-tw"",""ru"")"),"Огненное облако")</f>
        <v>Огненное облако</v>
      </c>
      <c r="N30" s="308" t="str">
        <f>IFERROR(__xludf.DUMMYFUNCTION("GOOGLETRANSLATE(B30,""zh-tw"",""ru"")"),"Физическая атака: 18
Магическая атака: 18
Огонь")</f>
        <v>Физическая атака: 18
Магическая атака: 18
Огонь</v>
      </c>
      <c r="O30" s="326" t="s">
        <v>4495</v>
      </c>
      <c r="P30" s="310" t="s">
        <v>4496</v>
      </c>
      <c r="Q30" s="329" t="s">
        <v>4497</v>
      </c>
      <c r="R30" s="330" t="s">
        <v>4498</v>
      </c>
      <c r="S30" s="197"/>
      <c r="T30" s="197"/>
    </row>
    <row r="31">
      <c r="A31" s="326" t="s">
        <v>4499</v>
      </c>
      <c r="B31" s="310" t="s">
        <v>4500</v>
      </c>
      <c r="C31" s="326" t="s">
        <v>4499</v>
      </c>
      <c r="D31" s="310" t="str">
        <f>IFERROR(__xludf.DUMMYFUNCTION("GOOGLETRANSLATE(B31,""zh-tw"",""ja"")"),"物理攻撃力：16
魔法攻撃力：16
氷属性")</f>
        <v>物理攻撃力：16
魔法攻撃力：16
氷属性</v>
      </c>
      <c r="E31" s="326" t="s">
        <v>4501</v>
      </c>
      <c r="F31" s="310" t="s">
        <v>4502</v>
      </c>
      <c r="G31" s="326" t="str">
        <f>IFERROR(__xludf.DUMMYFUNCTION("GOOGLETRANSLATE(A31,""zh-tw"",""zh"")"),"雪见")</f>
        <v>雪见</v>
      </c>
      <c r="H31" s="310" t="str">
        <f>IFERROR(__xludf.DUMMYFUNCTION("GOOGLETRANSLATE(B31,""zh-tw"",""zh"")"),"物攻：16
魔攻：16
冰属性")</f>
        <v>物攻：16
魔攻：16
冰属性</v>
      </c>
      <c r="I31" s="327" t="str">
        <f>IFERROR(__xludf.DUMMYFUNCTION("GOOGLETRANSLATE(A31,""zh-tw"",""es-MX"")"),"Xuejian")</f>
        <v>Xuejian</v>
      </c>
      <c r="J31" s="121" t="str">
        <f>IFERROR(__xludf.DUMMYFUNCTION("GOOGLETRANSLATE(B31,""zh-tw"",""es-MX"")"),"Ataque físico: 16
Ataque mágico: 16
Atributo hielo")</f>
        <v>Ataque físico: 16
Ataque mágico: 16
Atributo hielo</v>
      </c>
      <c r="K31" s="327" t="str">
        <f>IFERROR(__xludf.DUMMYFUNCTION("GOOGLETRANSLATE(A31,""zh-tw"",""KO"")"),"쉐지안")</f>
        <v>쉐지안</v>
      </c>
      <c r="L31" s="121" t="str">
        <f>IFERROR(__xludf.DUMMYFUNCTION("GOOGLETRANSLATE(B31,""zh-tw"",""KO"")"),"물리 공격력: 16
마법 공격력: 16
얼음 속성")</f>
        <v>물리 공격력: 16
마법 공격력: 16
얼음 속성</v>
      </c>
      <c r="M31" s="328" t="str">
        <f>IFERROR(__xludf.DUMMYFUNCTION("GOOGLETRANSLATE(A31,""zh-tw"",""ru"")"),"Сюэцзянь")</f>
        <v>Сюэцзянь</v>
      </c>
      <c r="N31" s="308" t="str">
        <f>IFERROR(__xludf.DUMMYFUNCTION("GOOGLETRANSLATE(B31,""zh-tw"",""ru"")"),"Физическая атака: 16
Магическая атака: 16
Атрибут льда")</f>
        <v>Физическая атака: 16
Магическая атака: 16
Атрибут льда</v>
      </c>
      <c r="O31" s="326" t="s">
        <v>4503</v>
      </c>
      <c r="P31" s="310" t="s">
        <v>4504</v>
      </c>
      <c r="Q31" s="329" t="s">
        <v>4505</v>
      </c>
      <c r="R31" s="330" t="s">
        <v>4506</v>
      </c>
      <c r="S31" s="197"/>
      <c r="T31" s="197"/>
    </row>
    <row r="32">
      <c r="A32" s="326" t="s">
        <v>4507</v>
      </c>
      <c r="B32" s="310" t="s">
        <v>4508</v>
      </c>
      <c r="C32" s="326" t="str">
        <f>IFERROR(__xludf.DUMMYFUNCTION("GOOGLETRANSLATE(A32,""zh-tw"",""ja"")"),"千鳥")</f>
        <v>千鳥</v>
      </c>
      <c r="D32" s="310" t="str">
        <f>IFERROR(__xludf.DUMMYFUNCTION("GOOGLETRANSLATE(B32,""zh-tw"",""ja"")"),"物理攻撃力：16
魔法攻撃力：16
雷属性")</f>
        <v>物理攻撃力：16
魔法攻撃力：16
雷属性</v>
      </c>
      <c r="E32" s="326" t="s">
        <v>4509</v>
      </c>
      <c r="F32" s="310" t="s">
        <v>4510</v>
      </c>
      <c r="G32" s="326" t="str">
        <f>IFERROR(__xludf.DUMMYFUNCTION("GOOGLETRANSLATE(A32,""zh-tw"",""zh"")"),"千鸟")</f>
        <v>千鸟</v>
      </c>
      <c r="H32" s="310" t="str">
        <f>IFERROR(__xludf.DUMMYFUNCTION("GOOGLETRANSLATE(B32,""zh-tw"",""zh"")"),"物攻：16
魔攻：16
雷属性")</f>
        <v>物攻：16
魔攻：16
雷属性</v>
      </c>
      <c r="I32" s="327" t="str">
        <f>IFERROR(__xludf.DUMMYFUNCTION("GOOGLETRANSLATE(A32,""zh-tw"",""es-MX"")"),"Chidori")</f>
        <v>Chidori</v>
      </c>
      <c r="J32" s="121" t="str">
        <f>IFERROR(__xludf.DUMMYFUNCTION("GOOGLETRANSLATE(B32,""zh-tw"",""es-MX"")"),"Ataque físico: 16
Ataque mágico: 16
Atributo Rayo")</f>
        <v>Ataque físico: 16
Ataque mágico: 16
Atributo Rayo</v>
      </c>
      <c r="K32" s="327" t="str">
        <f>IFERROR(__xludf.DUMMYFUNCTION("GOOGLETRANSLATE(A32,""zh-tw"",""KO"")"),"치도리")</f>
        <v>치도리</v>
      </c>
      <c r="L32" s="121" t="str">
        <f>IFERROR(__xludf.DUMMYFUNCTION("GOOGLETRANSLATE(B32,""zh-tw"",""KO"")"),"물리 공격력: 16
마법 공격력: 16
번개 속성")</f>
        <v>물리 공격력: 16
마법 공격력: 16
번개 속성</v>
      </c>
      <c r="M32" s="328" t="str">
        <f>IFERROR(__xludf.DUMMYFUNCTION("GOOGLETRANSLATE(A32,""zh-tw"",""ru"")"),"Чидори")</f>
        <v>Чидори</v>
      </c>
      <c r="N32" s="308" t="str">
        <f>IFERROR(__xludf.DUMMYFUNCTION("GOOGLETRANSLATE(B32,""zh-tw"",""ru"")"),"Физическая атака: 16
Магическая атака: 16
Атрибут «Молния»")</f>
        <v>Физическая атака: 16
Магическая атака: 16
Атрибут «Молния»</v>
      </c>
      <c r="O32" s="326" t="s">
        <v>4511</v>
      </c>
      <c r="P32" s="310" t="s">
        <v>4512</v>
      </c>
      <c r="Q32" s="329" t="s">
        <v>4513</v>
      </c>
      <c r="R32" s="330" t="s">
        <v>4514</v>
      </c>
      <c r="S32" s="197"/>
      <c r="T32" s="197"/>
    </row>
    <row r="33">
      <c r="A33" s="326" t="s">
        <v>4515</v>
      </c>
      <c r="B33" s="310" t="s">
        <v>4516</v>
      </c>
      <c r="C33" s="326" t="s">
        <v>4517</v>
      </c>
      <c r="D33" s="310" t="str">
        <f>IFERROR(__xludf.DUMMYFUNCTION("GOOGLETRANSLATE(B33,""zh-tw"",""ja"")"),"物理攻撃力：32
バースト")</f>
        <v>物理攻撃力：32
バースト</v>
      </c>
      <c r="E33" s="326" t="s">
        <v>4518</v>
      </c>
      <c r="F33" s="310" t="s">
        <v>4519</v>
      </c>
      <c r="G33" s="326" t="str">
        <f>IFERROR(__xludf.DUMMYFUNCTION("GOOGLETRANSLATE(A33,""zh-tw"",""zh"")"),"三头连弓地狱犬")</f>
        <v>三头连弓地狱犬</v>
      </c>
      <c r="H33" s="310" t="str">
        <f>IFERROR(__xludf.DUMMYFUNCTION("GOOGLETRANSLATE(B33,""zh-tw"",""zh"")"),"物攻：32
连发")</f>
        <v>物攻：32
连发</v>
      </c>
      <c r="I33" s="327" t="str">
        <f>IFERROR(__xludf.DUMMYFUNCTION("GOOGLETRANSLATE(A33,""zh-tw"",""es-MX"")"),"Cerbero de tres cabezas")</f>
        <v>Cerbero de tres cabezas</v>
      </c>
      <c r="J33" s="121" t="str">
        <f>IFERROR(__xludf.DUMMYFUNCTION("GOOGLETRANSLATE(B33,""zh-tw"",""es-MX"")"),"Ataque físico: 32
Explosión")</f>
        <v>Ataque físico: 32
Explosión</v>
      </c>
      <c r="K33" s="327"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8" t="str">
        <f>IFERROR(__xludf.DUMMYFUNCTION("GOOGLETRANSLATE(A33,""zh-tw"",""ru"")"),"Трехголовый Цербер")</f>
        <v>Трехголовый Цербер</v>
      </c>
      <c r="N33" s="308" t="str">
        <f>IFERROR(__xludf.DUMMYFUNCTION("GOOGLETRANSLATE(B33,""zh-tw"",""ru"")"),"Физическая атака: 32
Взрыв")</f>
        <v>Физическая атака: 32
Взрыв</v>
      </c>
      <c r="O33" s="326" t="s">
        <v>4520</v>
      </c>
      <c r="P33" s="310" t="s">
        <v>4521</v>
      </c>
      <c r="Q33" s="329" t="s">
        <v>4522</v>
      </c>
      <c r="R33" s="330" t="s">
        <v>4523</v>
      </c>
      <c r="S33" s="197"/>
      <c r="T33" s="197"/>
    </row>
    <row r="34">
      <c r="A34" s="326" t="s">
        <v>4114</v>
      </c>
      <c r="B34" s="310" t="s">
        <v>4524</v>
      </c>
      <c r="C34" s="326" t="str">
        <f>IFERROR(__xludf.DUMMYFUNCTION("GOOGLETRANSLATE(A34,""zh-tw"",""ja"")"),"溶岩の杖")</f>
        <v>溶岩の杖</v>
      </c>
      <c r="D34" s="310" t="str">
        <f>IFERROR(__xludf.DUMMYFUNCTION("GOOGLETRANSLATE(B34,""zh-tw"",""ja"")"),"物理攻撃力：1
魔法攻撃力：86
火")</f>
        <v>物理攻撃力：1
魔法攻撃力：86
火</v>
      </c>
      <c r="E34" s="326" t="s">
        <v>4118</v>
      </c>
      <c r="F34" s="310" t="s">
        <v>4525</v>
      </c>
      <c r="G34" s="326" t="str">
        <f>IFERROR(__xludf.DUMMYFUNCTION("GOOGLETRANSLATE(A34,""zh-tw"",""zh"")"),"熔岩杖")</f>
        <v>熔岩杖</v>
      </c>
      <c r="H34" s="310" t="str">
        <f>IFERROR(__xludf.DUMMYFUNCTION("GOOGLETRANSLATE(B34,""zh-tw"",""zh"")"),"物攻：1
魔攻：86
炎属性")</f>
        <v>物攻：1
魔攻：86
炎属性</v>
      </c>
      <c r="I34" s="327" t="str">
        <f>IFERROR(__xludf.DUMMYFUNCTION("GOOGLETRANSLATE(A34,""zh-tw"",""es-MX"")"),"Bastón de lava")</f>
        <v>Bastón de lava</v>
      </c>
      <c r="J34" s="121" t="str">
        <f>IFERROR(__xludf.DUMMYFUNCTION("GOOGLETRANSLATE(B34,""zh-tw"",""es-MX"")"),"Ataque físico: 1
Ataque mágico: 86
Fuego")</f>
        <v>Ataque físico: 1
Ataque mágico: 86
Fuego</v>
      </c>
      <c r="K34" s="327" t="str">
        <f>IFERROR(__xludf.DUMMYFUNCTION("GOOGLETRANSLATE(A34,""zh-tw"",""KO"")"),"라바 스태프")</f>
        <v>라바 스태프</v>
      </c>
      <c r="L34" s="121" t="str">
        <f>IFERROR(__xludf.DUMMYFUNCTION("GOOGLETRANSLATE(B34,""zh-tw"",""KO"")"),"물리 공격력: 1
마법 공격력: 86
화염")</f>
        <v>물리 공격력: 1
마법 공격력: 86
화염</v>
      </c>
      <c r="M34" s="328" t="str">
        <f>IFERROR(__xludf.DUMMYFUNCTION("GOOGLETRANSLATE(A34,""zh-tw"",""ru"")"),"Лавовый посох")</f>
        <v>Лавовый посох</v>
      </c>
      <c r="N34" s="308" t="str">
        <f>IFERROR(__xludf.DUMMYFUNCTION("GOOGLETRANSLATE(B34,""zh-tw"",""ru"")"),"Физическая атака: 1
Магическая атака: 86
Огонь")</f>
        <v>Физическая атака: 1
Магическая атака: 86
Огонь</v>
      </c>
      <c r="O34" s="326" t="s">
        <v>4121</v>
      </c>
      <c r="P34" s="310" t="s">
        <v>4526</v>
      </c>
      <c r="Q34" s="329" t="s">
        <v>4527</v>
      </c>
      <c r="R34" s="330" t="s">
        <v>4528</v>
      </c>
      <c r="S34" s="197"/>
      <c r="T34" s="197"/>
    </row>
    <row r="35">
      <c r="A35" s="326" t="s">
        <v>4529</v>
      </c>
      <c r="B35" s="310" t="s">
        <v>4530</v>
      </c>
      <c r="C35" s="326" t="s">
        <v>4531</v>
      </c>
      <c r="D35" s="310" t="str">
        <f>IFERROR(__xludf.DUMMYFUNCTION("GOOGLETRANSLATE(B35,""zh-tw"",""ja"")"),"物理攻撃力：1
魔法攻撃力：55
氷属性")</f>
        <v>物理攻撃力：1
魔法攻撃力：55
氷属性</v>
      </c>
      <c r="E35" s="326" t="s">
        <v>4532</v>
      </c>
      <c r="F35" s="310" t="s">
        <v>4533</v>
      </c>
      <c r="G35" s="326" t="str">
        <f>IFERROR(__xludf.DUMMYFUNCTION("GOOGLETRANSLATE(A35,""zh-tw"",""zh"")"),"寒冰杖")</f>
        <v>寒冰杖</v>
      </c>
      <c r="H35" s="310" t="str">
        <f>IFERROR(__xludf.DUMMYFUNCTION("GOOGLETRANSLATE(B35,""zh-tw"",""zh"")"),"物攻：1
魔攻：55
冰属性")</f>
        <v>物攻：1
魔攻：55
冰属性</v>
      </c>
      <c r="I35" s="327"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7"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8" t="str">
        <f>IFERROR(__xludf.DUMMYFUNCTION("GOOGLETRANSLATE(A35,""zh-tw"",""ru"")"),"Ледяной посох")</f>
        <v>Ледяной посох</v>
      </c>
      <c r="N35" s="308" t="str">
        <f>IFERROR(__xludf.DUMMYFUNCTION("GOOGLETRANSLATE(B35,""zh-tw"",""ru"")"),"Физическая атака: 1
Магическая атака: 55
Атрибут льда")</f>
        <v>Физическая атака: 1
Магическая атака: 55
Атрибут льда</v>
      </c>
      <c r="O35" s="326" t="s">
        <v>4534</v>
      </c>
      <c r="P35" s="310" t="s">
        <v>4535</v>
      </c>
      <c r="Q35" s="329" t="s">
        <v>4536</v>
      </c>
      <c r="R35" s="330" t="s">
        <v>4537</v>
      </c>
      <c r="S35" s="197"/>
      <c r="T35" s="197"/>
    </row>
    <row r="36">
      <c r="A36" s="326" t="s">
        <v>4538</v>
      </c>
      <c r="B36" s="310" t="s">
        <v>4539</v>
      </c>
      <c r="C36" s="326" t="str">
        <f>IFERROR(__xludf.DUMMYFUNCTION("GOOGLETRANSLATE(A36,""zh-tw"",""ja"")"),"星空の夜")</f>
        <v>星空の夜</v>
      </c>
      <c r="D36" s="310" t="str">
        <f>IFERROR(__xludf.DUMMYFUNCTION("GOOGLETRANSLATE(B36,""zh-tw"",""ja"")"),"物理攻撃力：1
魔法攻撃力：68
ブラックホール")</f>
        <v>物理攻撃力：1
魔法攻撃力：68
ブラックホール</v>
      </c>
      <c r="E36" s="326" t="s">
        <v>4540</v>
      </c>
      <c r="F36" s="310" t="s">
        <v>4541</v>
      </c>
      <c r="G36" s="326" t="str">
        <f>IFERROR(__xludf.DUMMYFUNCTION("GOOGLETRANSLATE(A36,""zh-tw"",""zh"")"),"星月夜")</f>
        <v>星月夜</v>
      </c>
      <c r="H36" s="310" t="str">
        <f>IFERROR(__xludf.DUMMYFUNCTION("GOOGLETRANSLATE(B36,""zh-tw"",""zh"")"),"物攻：1
魔攻：68
黑洞")</f>
        <v>物攻：1
魔攻：68
黑洞</v>
      </c>
      <c r="I36" s="327" t="str">
        <f>IFERROR(__xludf.DUMMYFUNCTION("GOOGLETRANSLATE(A36,""zh-tw"",""es-MX"")"),"noche de luna estrellada")</f>
        <v>noche de luna estrellada</v>
      </c>
      <c r="J36" s="121" t="str">
        <f>IFERROR(__xludf.DUMMYFUNCTION("GOOGLETRANSLATE(B36,""zh-tw"",""es-MX"")"),"Ataque físico: 1
Ataque mágico: 68
Agujero negro")</f>
        <v>Ataque físico: 1
Ataque mágico: 68
Agujero negro</v>
      </c>
      <c r="K36" s="327" t="str">
        <f>IFERROR(__xludf.DUMMYFUNCTION("GOOGLETRANSLATE(A36,""zh-tw"",""KO"")"),"별이 빛나는 달밤")</f>
        <v>별이 빛나는 달밤</v>
      </c>
      <c r="L36" s="121" t="str">
        <f>IFERROR(__xludf.DUMMYFUNCTION("GOOGLETRANSLATE(B36,""zh-tw"",""KO"")"),"물리 공격력: 1
마법 공격력: 68
블랙홀")</f>
        <v>물리 공격력: 1
마법 공격력: 68
블랙홀</v>
      </c>
      <c r="M36" s="328" t="str">
        <f>IFERROR(__xludf.DUMMYFUNCTION("GOOGLETRANSLATE(A36,""zh-tw"",""ru"")"),"звездная лунная ночь")</f>
        <v>звездная лунная ночь</v>
      </c>
      <c r="N36" s="308" t="str">
        <f>IFERROR(__xludf.DUMMYFUNCTION("GOOGLETRANSLATE(B36,""zh-tw"",""ru"")"),"Физическая атака: 1
Магическая атака: 68
Чёрная дыра")</f>
        <v>Физическая атака: 1
Магическая атака: 68
Чёрная дыра</v>
      </c>
      <c r="O36" s="326" t="s">
        <v>4542</v>
      </c>
      <c r="P36" s="310" t="s">
        <v>4543</v>
      </c>
      <c r="Q36" s="329" t="s">
        <v>4544</v>
      </c>
      <c r="R36" s="330" t="s">
        <v>4545</v>
      </c>
      <c r="S36" s="197"/>
      <c r="T36" s="197"/>
    </row>
    <row r="37">
      <c r="A37" s="326" t="s">
        <v>4546</v>
      </c>
      <c r="B37" s="310" t="s">
        <v>4547</v>
      </c>
      <c r="C37" s="326" t="str">
        <f>IFERROR(__xludf.DUMMYFUNCTION("GOOGLETRANSLATE(A37,""zh-tw"",""ja"")"),"バナナ？")</f>
        <v>バナナ？</v>
      </c>
      <c r="D37" s="310" t="str">
        <f>IFERROR(__xludf.DUMMYFUNCTION("GOOGLETRANSLATE(B37,""zh-tw"",""ja"")"),"物理攻撃力：10
爆発")</f>
        <v>物理攻撃力：10
爆発</v>
      </c>
      <c r="E37" s="326" t="s">
        <v>4548</v>
      </c>
      <c r="F37" s="310" t="s">
        <v>4549</v>
      </c>
      <c r="G37" s="326" t="str">
        <f>IFERROR(__xludf.DUMMYFUNCTION("GOOGLETRANSLATE(A37,""zh-tw"",""zh"")"),"香蕉?")</f>
        <v>香蕉?</v>
      </c>
      <c r="H37" s="310" t="str">
        <f>IFERROR(__xludf.DUMMYFUNCTION("GOOGLETRANSLATE(B37,""zh-tw"",""zh"")"),"物攻：10
爆炸")</f>
        <v>物攻：10
爆炸</v>
      </c>
      <c r="I37" s="327" t="str">
        <f>IFERROR(__xludf.DUMMYFUNCTION("GOOGLETRANSLATE(A37,""zh-tw"",""es-MX"")"),"¿banana?")</f>
        <v>¿banana?</v>
      </c>
      <c r="J37" s="121" t="str">
        <f>IFERROR(__xludf.DUMMYFUNCTION("GOOGLETRANSLATE(B37,""zh-tw"",""es-MX"")"),"Ataque físico: 10
Explosión")</f>
        <v>Ataque físico: 10
Explosión</v>
      </c>
      <c r="K37" s="327" t="str">
        <f>IFERROR(__xludf.DUMMYFUNCTION("GOOGLETRANSLATE(A37,""zh-tw"",""KO"")"),"바나나?")</f>
        <v>바나나?</v>
      </c>
      <c r="L37" s="121" t="str">
        <f>IFERROR(__xludf.DUMMYFUNCTION("GOOGLETRANSLATE(B37,""zh-tw"",""KO"")"),"물리 공격력: 10
폭발")</f>
        <v>물리 공격력: 10
폭발</v>
      </c>
      <c r="M37" s="328" t="str">
        <f>IFERROR(__xludf.DUMMYFUNCTION("GOOGLETRANSLATE(A37,""zh-tw"",""ru"")"),"банан?")</f>
        <v>банан?</v>
      </c>
      <c r="N37" s="308" t="str">
        <f>IFERROR(__xludf.DUMMYFUNCTION("GOOGLETRANSLATE(B37,""zh-tw"",""ru"")"),"Физическая атака: 10
Взрыв")</f>
        <v>Физическая атака: 10
Взрыв</v>
      </c>
      <c r="O37" s="326" t="s">
        <v>4550</v>
      </c>
      <c r="P37" s="310" t="s">
        <v>4551</v>
      </c>
      <c r="Q37" s="329" t="s">
        <v>4552</v>
      </c>
      <c r="R37" s="330" t="s">
        <v>4553</v>
      </c>
      <c r="S37" s="197"/>
      <c r="T37" s="197"/>
    </row>
    <row r="38" ht="68.25" customHeight="1">
      <c r="A38" s="326" t="s">
        <v>4554</v>
      </c>
      <c r="B38" s="310" t="s">
        <v>4555</v>
      </c>
      <c r="C38" s="326" t="s">
        <v>4556</v>
      </c>
      <c r="D38" s="310" t="str">
        <f>IFERROR(__xludf.DUMMYFUNCTION("GOOGLETRANSLATE(B38,""zh-tw"",""ja"")"),"物理攻撃力：1
魔法攻撃力：1
アイテム吸収")</f>
        <v>物理攻撃力：1
魔法攻撃力：1
アイテム吸収</v>
      </c>
      <c r="E38" s="326" t="s">
        <v>4557</v>
      </c>
      <c r="F38" s="310" t="s">
        <v>4558</v>
      </c>
      <c r="G38" s="326" t="str">
        <f>IFERROR(__xludf.DUMMYFUNCTION("GOOGLETRANSLATE(A38,""zh-tw"",""zh"")"),"巨蜗吸尘器")</f>
        <v>巨蜗吸尘器</v>
      </c>
      <c r="H38" s="310" t="str">
        <f>IFERROR(__xludf.DUMMYFUNCTION("GOOGLETRANSLATE(B38,""zh-tw"",""zh"")"),"物攻：1
魔攻：1
吸取物品")</f>
        <v>物攻：1
魔攻：1
吸取物品</v>
      </c>
      <c r="I38" s="327"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7"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8" t="str">
        <f>IFERROR(__xludf.DUMMYFUNCTION("GOOGLETRANSLATE(A38,""zh-tw"",""ru"")"),"Гигантский пылесос-улитка")</f>
        <v>Гигантский пылесос-улитка</v>
      </c>
      <c r="N38" s="308"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6" t="s">
        <v>4559</v>
      </c>
      <c r="P38" s="310" t="s">
        <v>4560</v>
      </c>
      <c r="Q38" s="329" t="s">
        <v>4561</v>
      </c>
      <c r="R38" s="330" t="s">
        <v>4562</v>
      </c>
      <c r="S38" s="197"/>
      <c r="T38" s="197"/>
    </row>
    <row r="39">
      <c r="A39" s="326" t="s">
        <v>4563</v>
      </c>
      <c r="B39" s="310" t="s">
        <v>4564</v>
      </c>
      <c r="C39" s="326" t="s">
        <v>4565</v>
      </c>
      <c r="D39" s="310" t="str">
        <f>IFERROR(__xludf.DUMMYFUNCTION("GOOGLETRANSLATE(B39,""zh-tw"",""ja"")"),"物理攻撃力：15
対象をクリップする")</f>
        <v>物理攻撃力：15
対象をクリップする</v>
      </c>
      <c r="E39" s="326" t="s">
        <v>4566</v>
      </c>
      <c r="F39" s="310" t="s">
        <v>4567</v>
      </c>
      <c r="G39" s="326" t="str">
        <f>IFERROR(__xludf.DUMMYFUNCTION("GOOGLETRANSLATE(A39,""zh-tw"",""zh"")"),"巨大蟹钳")</f>
        <v>巨大蟹钳</v>
      </c>
      <c r="H39" s="310" t="str">
        <f>IFERROR(__xludf.DUMMYFUNCTION("GOOGLETRANSLATE(B39,""zh-tw"",""zh"")"),"物攻：15
夹住目标")</f>
        <v>物攻：15
夹住目标</v>
      </c>
      <c r="I39" s="327"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7" t="str">
        <f>IFERROR(__xludf.DUMMYFUNCTION("GOOGLETRANSLATE(A39,""zh-tw"",""KO"")"),"거대한 게 발톱")</f>
        <v>거대한 게 발톱</v>
      </c>
      <c r="L39" s="121" t="str">
        <f>IFERROR(__xludf.DUMMYFUNCTION("GOOGLETRANSLATE(B39,""zh-tw"",""KO"")"),"물리 공격력: 15
대상을 꺾습니다")</f>
        <v>물리 공격력: 15
대상을 꺾습니다</v>
      </c>
      <c r="M39" s="328" t="str">
        <f>IFERROR(__xludf.DUMMYFUNCTION("GOOGLETRANSLATE(A39,""zh-tw"",""ru"")"),"Клешни гигантского краба")</f>
        <v>Клешни гигантского краба</v>
      </c>
      <c r="N39" s="308" t="str">
        <f>IFERROR(__xludf.DUMMYFUNCTION("GOOGLETRANSLATE(B39,""zh-tw"",""ru"")"),"Физическая атака: 15
Захватывает цель")</f>
        <v>Физическая атака: 15
Захватывает цель</v>
      </c>
      <c r="O39" s="326" t="s">
        <v>4568</v>
      </c>
      <c r="P39" s="310" t="s">
        <v>4569</v>
      </c>
      <c r="Q39" s="329" t="s">
        <v>4570</v>
      </c>
      <c r="R39" s="330" t="s">
        <v>4571</v>
      </c>
      <c r="S39" s="197"/>
      <c r="T39" s="197"/>
    </row>
    <row r="40">
      <c r="A40" s="325" t="s">
        <v>4572</v>
      </c>
      <c r="B40" s="117" t="s">
        <v>4573</v>
      </c>
      <c r="C40" s="326" t="s">
        <v>4572</v>
      </c>
      <c r="D40" s="310" t="str">
        <f>IFERROR(__xludf.DUMMYFUNCTION("GOOGLETRANSLATE(B40,""zh-tw"",""ja"")"),"物理攻撃力：36
スタン確率")</f>
        <v>物理攻撃力：36
スタン確率</v>
      </c>
      <c r="E40" s="326" t="s">
        <v>4574</v>
      </c>
      <c r="F40" s="310" t="s">
        <v>4575</v>
      </c>
      <c r="G40" s="326" t="str">
        <f>IFERROR(__xludf.DUMMYFUNCTION("GOOGLETRANSLATE(A40,""zh-tw"",""zh"")"),"大木槌")</f>
        <v>大木槌</v>
      </c>
      <c r="H40" s="310" t="str">
        <f>IFERROR(__xludf.DUMMYFUNCTION("GOOGLETRANSLATE(B40,""zh-tw"",""zh"")"),"物攻：36
机率晕眩")</f>
        <v>物攻：36
机率晕眩</v>
      </c>
      <c r="I40" s="327" t="str">
        <f>IFERROR(__xludf.DUMMYFUNCTION("GOOGLETRANSLATE(A40,""zh-tw"",""es-MX"")"),"gran mazo")</f>
        <v>gran mazo</v>
      </c>
      <c r="J40" s="121" t="str">
        <f>IFERROR(__xludf.DUMMYFUNCTION("GOOGLETRANSLATE(B40,""zh-tw"",""es-MX"")"),"Ataque físico: 36
Probabilidad de aturdir")</f>
        <v>Ataque físico: 36
Probabilidad de aturdir</v>
      </c>
      <c r="K40" s="327" t="str">
        <f>IFERROR(__xludf.DUMMYFUNCTION("GOOGLETRANSLATE(A40,""zh-tw"",""KO"")"),"큰 망치")</f>
        <v>큰 망치</v>
      </c>
      <c r="L40" s="121" t="str">
        <f>IFERROR(__xludf.DUMMYFUNCTION("GOOGLETRANSLATE(B40,""zh-tw"",""KO"")"),"물리 공격력: 36
기절 확률")</f>
        <v>물리 공격력: 36
기절 확률</v>
      </c>
      <c r="M40" s="328" t="str">
        <f>IFERROR(__xludf.DUMMYFUNCTION("GOOGLETRANSLATE(A40,""zh-tw"",""ru"")"),"большой молоток")</f>
        <v>большой молоток</v>
      </c>
      <c r="N40" s="308" t="str">
        <f>IFERROR(__xludf.DUMMYFUNCTION("GOOGLETRANSLATE(B40,""zh-tw"",""ru"")"),"Физическая атака: 36
Вероятность оглушения")</f>
        <v>Физическая атака: 36
Вероятность оглушения</v>
      </c>
      <c r="O40" s="326" t="s">
        <v>4576</v>
      </c>
      <c r="P40" s="310" t="s">
        <v>4577</v>
      </c>
      <c r="Q40" s="329" t="s">
        <v>4578</v>
      </c>
      <c r="R40" s="330" t="s">
        <v>4579</v>
      </c>
      <c r="S40" s="17"/>
      <c r="T40" s="17"/>
    </row>
    <row r="41">
      <c r="A41" s="327" t="s">
        <v>4580</v>
      </c>
      <c r="B41" s="121" t="s">
        <v>4581</v>
      </c>
      <c r="C41" s="327" t="s">
        <v>4580</v>
      </c>
      <c r="D41" s="121" t="s">
        <v>4582</v>
      </c>
      <c r="E41" s="327" t="s">
        <v>4583</v>
      </c>
      <c r="F41" s="121" t="s">
        <v>4584</v>
      </c>
      <c r="G41" s="326" t="str">
        <f>IFERROR(__xludf.DUMMYFUNCTION("GOOGLETRANSLATE(A41,""zh-tw"",""zh"")"),"日轮")</f>
        <v>日轮</v>
      </c>
      <c r="H41" s="310" t="str">
        <f>IFERROR(__xludf.DUMMYFUNCTION("GOOGLETRANSLATE(B41,""zh-tw"",""zh"")"),"物攻：12
魔攻：30
魔防：30
召唤陨石")</f>
        <v>物攻：12
魔攻：30
魔防：30
召唤陨石</v>
      </c>
      <c r="I41" s="327"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7"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8" t="str">
        <f>IFERROR(__xludf.DUMMYFUNCTION("GOOGLETRANSLATE(A41,""zh-tw"",""ru"")"),"Солнечный диск")</f>
        <v>Солнечный диск</v>
      </c>
      <c r="N41" s="308"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1" t="s">
        <v>4585</v>
      </c>
      <c r="P41" s="105" t="s">
        <v>4586</v>
      </c>
      <c r="Q41" s="329" t="s">
        <v>4587</v>
      </c>
      <c r="R41" s="330" t="s">
        <v>4588</v>
      </c>
      <c r="S41" s="17"/>
      <c r="T41" s="17"/>
    </row>
    <row r="42">
      <c r="A42" s="327" t="s">
        <v>4589</v>
      </c>
      <c r="B42" s="117" t="s">
        <v>4590</v>
      </c>
      <c r="C42" s="327" t="s">
        <v>4591</v>
      </c>
      <c r="D42" s="121" t="s">
        <v>4592</v>
      </c>
      <c r="E42" s="327" t="s">
        <v>4593</v>
      </c>
      <c r="F42" s="121" t="s">
        <v>4594</v>
      </c>
      <c r="G42" s="326" t="str">
        <f>IFERROR(__xludf.DUMMYFUNCTION("GOOGLETRANSLATE(A42,""zh-tw"",""zh"")"),"登的阴郁手镰")</f>
        <v>登的阴郁手镰</v>
      </c>
      <c r="H42" s="310" t="str">
        <f>IFERROR(__xludf.DUMMYFUNCTION("GOOGLETRANSLATE(B42,""zh-tw"",""zh"")"),"
物攻：18
魔攻：9
回力镖类型武器")</f>
        <v>
物攻：18
魔攻：9
回力镖类型武器</v>
      </c>
      <c r="I42" s="327"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7"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8" t="str">
        <f>IFERROR(__xludf.DUMMYFUNCTION("GOOGLETRANSLATE(A42,""zh-tw"",""ru"")"),"Мрачная ручная коса Дэнга")</f>
        <v>Мрачная ручная коса Дэнга</v>
      </c>
      <c r="N42" s="308"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1" t="s">
        <v>4595</v>
      </c>
      <c r="P42" s="105" t="s">
        <v>4596</v>
      </c>
      <c r="Q42" s="329" t="s">
        <v>4597</v>
      </c>
      <c r="R42" s="330" t="s">
        <v>4598</v>
      </c>
      <c r="S42" s="17"/>
      <c r="T42" s="17"/>
    </row>
    <row r="43">
      <c r="A43" s="325" t="s">
        <v>4599</v>
      </c>
      <c r="B43" s="117" t="s">
        <v>4600</v>
      </c>
      <c r="C43" s="327"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5" t="s">
        <v>4601</v>
      </c>
      <c r="F43" s="117" t="s">
        <v>4602</v>
      </c>
      <c r="G43" s="326" t="str">
        <f>IFERROR(__xludf.DUMMYFUNCTION("GOOGLETRANSLATE(A43,""zh-tw"",""zh"")"),"生锈的铁剑")</f>
        <v>生锈的铁剑</v>
      </c>
      <c r="H43" s="310" t="str">
        <f>IFERROR(__xludf.DUMMYFUNCTION("GOOGLETRANSLATE(B43,""zh-tw"",""zh"")"),"物攻：15
机率附加中毒、出血必定中毒")</f>
        <v>物攻：15
机率附加中毒、出血必定中毒</v>
      </c>
      <c r="I43" s="327"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7"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8" t="str">
        <f>IFERROR(__xludf.DUMMYFUNCTION("GOOGLETRANSLATE(A43,""zh-tw"",""ru"")"),"Ржавый железный меч")</f>
        <v>Ржавый железный меч</v>
      </c>
      <c r="N43" s="308"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5" t="s">
        <v>4603</v>
      </c>
      <c r="P43" s="117" t="s">
        <v>4604</v>
      </c>
      <c r="Q43" s="329" t="s">
        <v>4605</v>
      </c>
      <c r="R43" s="330" t="s">
        <v>4606</v>
      </c>
      <c r="S43" s="17"/>
      <c r="T43" s="17"/>
    </row>
    <row r="44">
      <c r="A44" s="325" t="s">
        <v>4607</v>
      </c>
      <c r="B44" s="117" t="s">
        <v>4608</v>
      </c>
      <c r="C44" s="327"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5" t="s">
        <v>4609</v>
      </c>
      <c r="F44" s="117" t="s">
        <v>4610</v>
      </c>
      <c r="G44" s="326" t="str">
        <f>IFERROR(__xludf.DUMMYFUNCTION("GOOGLETRANSLATE(A44,""zh-tw"",""zh"")"),"锻造锤")</f>
        <v>锻造锤</v>
      </c>
      <c r="H44" s="310" t="str">
        <f>IFERROR(__xludf.DUMMYFUNCTION("GOOGLETRANSLATE(B44,""zh-tw"",""zh"")"),"物攻：6
锻造用途，详情于TIPS")</f>
        <v>物攻：6
锻造用途，详情于TIPS</v>
      </c>
      <c r="I44" s="327"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7"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8" t="str">
        <f>IFERROR(__xludf.DUMMYFUNCTION("GOOGLETRANSLATE(A44,""zh-tw"",""ru"")"),"Кузнечный молот")</f>
        <v>Кузнечный молот</v>
      </c>
      <c r="N44" s="308"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5" t="s">
        <v>4611</v>
      </c>
      <c r="P44" s="117" t="s">
        <v>4612</v>
      </c>
      <c r="Q44" s="329" t="s">
        <v>4613</v>
      </c>
      <c r="R44" s="330" t="s">
        <v>4614</v>
      </c>
      <c r="S44" s="17"/>
      <c r="T44" s="17"/>
    </row>
    <row r="45">
      <c r="A45" s="326" t="s">
        <v>4615</v>
      </c>
      <c r="B45" s="310" t="s">
        <v>4616</v>
      </c>
      <c r="C45" s="326" t="s">
        <v>4617</v>
      </c>
      <c r="D45" s="310"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6" t="s">
        <v>4618</v>
      </c>
      <c r="F45" s="310" t="s">
        <v>4619</v>
      </c>
      <c r="G45" s="326" t="str">
        <f>IFERROR(__xludf.DUMMYFUNCTION("GOOGLETRANSLATE(A45,""zh-tw"",""zh"")"),"2号机")</f>
        <v>2号机</v>
      </c>
      <c r="H45" s="310"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7"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7"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8" t="str">
        <f>IFERROR(__xludf.DUMMYFUNCTION("GOOGLETRANSLATE(A45,""zh-tw"",""ru"")"),"Блок 2")</f>
        <v>Блок 2</v>
      </c>
      <c r="N45" s="308"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6" t="s">
        <v>4620</v>
      </c>
      <c r="P45" s="310" t="s">
        <v>4621</v>
      </c>
      <c r="Q45" s="329" t="s">
        <v>4622</v>
      </c>
      <c r="R45" s="330" t="s">
        <v>4623</v>
      </c>
      <c r="S45" s="197"/>
      <c r="T45" s="197"/>
    </row>
    <row r="46">
      <c r="A46" s="325" t="s">
        <v>4624</v>
      </c>
      <c r="B46" s="117" t="s">
        <v>4625</v>
      </c>
      <c r="C46" s="325" t="s">
        <v>4626</v>
      </c>
      <c r="D46" s="107" t="s">
        <v>4627</v>
      </c>
      <c r="E46" s="325" t="s">
        <v>4628</v>
      </c>
      <c r="F46" s="117" t="s">
        <v>4629</v>
      </c>
      <c r="G46" s="326" t="str">
        <f>IFERROR(__xludf.DUMMYFUNCTION("GOOGLETRANSLATE(A46,""zh-tw"",""zh"")"),"潮汐之诗")</f>
        <v>潮汐之诗</v>
      </c>
      <c r="H46" s="310"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7"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7"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8" t="str">
        <f>IFERROR(__xludf.DUMMYFUNCTION("GOOGLETRANSLATE(A46,""zh-tw"",""ru"")"),"Поэзия приливов")</f>
        <v>Поэзия приливов</v>
      </c>
      <c r="N46" s="308"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5" t="s">
        <v>4630</v>
      </c>
      <c r="P46" s="117" t="s">
        <v>4631</v>
      </c>
      <c r="Q46" s="332" t="s">
        <v>4632</v>
      </c>
      <c r="R46" s="123" t="s">
        <v>4633</v>
      </c>
      <c r="S46" s="17"/>
      <c r="T46" s="17"/>
    </row>
    <row r="47">
      <c r="A47" s="331" t="s">
        <v>4634</v>
      </c>
      <c r="B47" s="117" t="s">
        <v>4635</v>
      </c>
      <c r="C47" s="327"/>
      <c r="D47" s="105"/>
      <c r="E47" s="325" t="s">
        <v>3051</v>
      </c>
      <c r="F47" s="117" t="s">
        <v>4636</v>
      </c>
      <c r="G47" s="326" t="str">
        <f>IFERROR(__xludf.DUMMYFUNCTION("GOOGLETRANSLATE(A47,""zh-tw"",""zh"")"),"胡萝卜大剑")</f>
        <v>胡萝卜大剑</v>
      </c>
      <c r="H47" s="310" t="str">
        <f>IFERROR(__xludf.DUMMYFUNCTION("GOOGLETRANSLATE(B47,""zh-tw"",""zh"")"),"物攻：1
累计伤害型武器
投掷穿刺效果
*特殊传送效果(请参考TIPS)")</f>
        <v>物攻：1
累计伤害型武器
投掷穿刺效果
*特殊传送效果(请参考TIPS)</v>
      </c>
      <c r="I47" s="327"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7"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8" t="str">
        <f>IFERROR(__xludf.DUMMYFUNCTION("GOOGLETRANSLATE(A47,""zh-tw"",""ru"")"),"Морковный меч")</f>
        <v>Морковный меч</v>
      </c>
      <c r="N47" s="308"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1"/>
      <c r="P47" s="105"/>
      <c r="Q47" s="329" t="s">
        <v>3054</v>
      </c>
      <c r="R47" s="330" t="s">
        <v>4637</v>
      </c>
      <c r="S47" s="17"/>
      <c r="T47" s="17"/>
    </row>
    <row r="48">
      <c r="A48" s="325" t="s">
        <v>4638</v>
      </c>
      <c r="B48" s="117" t="s">
        <v>4639</v>
      </c>
      <c r="C48" s="327"/>
      <c r="D48" s="127"/>
      <c r="E48" s="325" t="s">
        <v>3040</v>
      </c>
      <c r="F48" s="117" t="s">
        <v>4640</v>
      </c>
      <c r="G48" s="326" t="str">
        <f>IFERROR(__xludf.DUMMYFUNCTION("GOOGLETRANSLATE(A48,""zh-tw"",""zh"")"),"冻萝卜大剑")</f>
        <v>冻萝卜大剑</v>
      </c>
      <c r="H48" s="310" t="str">
        <f>IFERROR(__xludf.DUMMYFUNCTION("GOOGLETRANSLATE(B48,""zh-tw"",""zh"")"),"物攻：26
物防：2
冻结效果
投掷穿刺效果")</f>
        <v>物攻：26
物防：2
冻结效果
投掷穿刺效果</v>
      </c>
      <c r="I48" s="327"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7"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8" t="str">
        <f>IFERROR(__xludf.DUMMYFUNCTION("GOOGLETRANSLATE(A48,""zh-tw"",""ru"")"),"Замороженный меч из редиса")</f>
        <v>Замороженный меч из редиса</v>
      </c>
      <c r="N48" s="308"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7"/>
      <c r="P48" s="121"/>
      <c r="Q48" s="333" t="s">
        <v>4641</v>
      </c>
      <c r="R48" s="177" t="s">
        <v>4642</v>
      </c>
      <c r="S48" s="17"/>
      <c r="T48" s="17"/>
    </row>
    <row r="49">
      <c r="A49" s="325" t="s">
        <v>4643</v>
      </c>
      <c r="B49" s="117" t="s">
        <v>4644</v>
      </c>
      <c r="C49" s="327"/>
      <c r="D49" s="127"/>
      <c r="E49" s="325" t="s">
        <v>4645</v>
      </c>
      <c r="F49" s="117" t="s">
        <v>4646</v>
      </c>
      <c r="G49" s="326" t="str">
        <f>IFERROR(__xludf.DUMMYFUNCTION("GOOGLETRANSLATE(A49,""zh-tw"",""zh"")"),"霉萝卜大剑")</f>
        <v>霉萝卜大剑</v>
      </c>
      <c r="H49" s="310" t="str">
        <f>IFERROR(__xludf.DUMMYFUNCTION("GOOGLETRANSLATE(B49,""zh-tw"",""zh"")"),"物攻：10
魔攻：10
中毒效果
投掷穿刺效果")</f>
        <v>物攻：10
魔攻：10
中毒效果
投掷穿刺效果</v>
      </c>
      <c r="I49" s="327"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7"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8" t="str">
        <f>IFERROR(__xludf.DUMMYFUNCTION("GOOGLETRANSLATE(A49,""zh-tw"",""ru"")"),"Заплесневелый редис Большой меч")</f>
        <v>Заплесневелый редис Большой меч</v>
      </c>
      <c r="N49" s="308"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7"/>
      <c r="P49" s="121"/>
      <c r="Q49" s="333" t="s">
        <v>4647</v>
      </c>
      <c r="R49" s="177" t="s">
        <v>4648</v>
      </c>
      <c r="S49" s="17"/>
      <c r="T49" s="17"/>
    </row>
    <row r="50">
      <c r="A50" s="327"/>
      <c r="B50" s="121"/>
      <c r="C50" s="327"/>
      <c r="D50" s="127"/>
      <c r="E50" s="327"/>
      <c r="F50" s="121"/>
      <c r="G50" s="327"/>
      <c r="H50" s="121"/>
      <c r="I50" s="334"/>
      <c r="J50" s="127"/>
      <c r="K50" s="334"/>
      <c r="L50" s="127"/>
      <c r="M50" s="334"/>
      <c r="N50" s="127"/>
      <c r="O50" s="327"/>
      <c r="P50" s="121"/>
      <c r="Q50" s="333"/>
      <c r="R50" s="177"/>
      <c r="S50" s="17"/>
      <c r="T50" s="17"/>
    </row>
    <row r="51">
      <c r="A51" s="327"/>
      <c r="B51" s="121"/>
      <c r="C51" s="327"/>
      <c r="D51" s="127"/>
      <c r="E51" s="327"/>
      <c r="F51" s="121"/>
      <c r="G51" s="327"/>
      <c r="H51" s="121"/>
      <c r="I51" s="334"/>
      <c r="J51" s="127"/>
      <c r="K51" s="334"/>
      <c r="L51" s="127"/>
      <c r="M51" s="334"/>
      <c r="N51" s="127"/>
      <c r="O51" s="327"/>
      <c r="P51" s="121"/>
      <c r="Q51" s="333"/>
      <c r="R51" s="177"/>
      <c r="S51" s="17"/>
      <c r="T51" s="17"/>
    </row>
    <row r="52">
      <c r="A52" s="327"/>
      <c r="B52" s="121"/>
      <c r="C52" s="327"/>
      <c r="D52" s="127"/>
      <c r="E52" s="327"/>
      <c r="F52" s="121"/>
      <c r="G52" s="327"/>
      <c r="H52" s="121"/>
      <c r="I52" s="334"/>
      <c r="J52" s="127"/>
      <c r="K52" s="334"/>
      <c r="L52" s="127"/>
      <c r="M52" s="334"/>
      <c r="N52" s="127"/>
      <c r="O52" s="327"/>
      <c r="P52" s="121"/>
      <c r="Q52" s="333"/>
      <c r="R52" s="177"/>
      <c r="S52" s="17"/>
      <c r="T52" s="17"/>
    </row>
    <row r="53">
      <c r="A53" s="327"/>
      <c r="B53" s="121"/>
      <c r="C53" s="327"/>
      <c r="D53" s="127"/>
      <c r="E53" s="327"/>
      <c r="F53" s="121"/>
      <c r="G53" s="327"/>
      <c r="H53" s="121"/>
      <c r="I53" s="334"/>
      <c r="J53" s="127"/>
      <c r="K53" s="334"/>
      <c r="L53" s="127"/>
      <c r="M53" s="334"/>
      <c r="N53" s="127"/>
      <c r="O53" s="327"/>
      <c r="P53" s="121"/>
      <c r="Q53" s="333"/>
      <c r="R53" s="177"/>
      <c r="S53" s="17"/>
      <c r="T53" s="17"/>
    </row>
    <row r="54">
      <c r="A54" s="327"/>
      <c r="B54" s="121"/>
      <c r="C54" s="327"/>
      <c r="D54" s="127"/>
      <c r="E54" s="327"/>
      <c r="F54" s="121"/>
      <c r="G54" s="327"/>
      <c r="H54" s="121"/>
      <c r="I54" s="334"/>
      <c r="J54" s="127"/>
      <c r="K54" s="334"/>
      <c r="L54" s="127"/>
      <c r="M54" s="334"/>
      <c r="N54" s="127"/>
      <c r="O54" s="327"/>
      <c r="P54" s="121"/>
      <c r="Q54" s="333"/>
      <c r="R54" s="177"/>
      <c r="S54" s="17"/>
      <c r="T54" s="17"/>
    </row>
    <row r="55">
      <c r="A55" s="327"/>
      <c r="B55" s="121"/>
      <c r="C55" s="327"/>
      <c r="D55" s="127"/>
      <c r="E55" s="327"/>
      <c r="F55" s="121"/>
      <c r="G55" s="327"/>
      <c r="H55" s="121"/>
      <c r="I55" s="334"/>
      <c r="J55" s="127"/>
      <c r="K55" s="334"/>
      <c r="L55" s="127"/>
      <c r="M55" s="334"/>
      <c r="N55" s="127"/>
      <c r="O55" s="327"/>
      <c r="P55" s="121"/>
      <c r="Q55" s="333"/>
      <c r="R55" s="177"/>
      <c r="S55" s="17"/>
      <c r="T55" s="17"/>
    </row>
    <row r="56">
      <c r="A56" s="327"/>
      <c r="B56" s="121"/>
      <c r="C56" s="327"/>
      <c r="D56" s="127"/>
      <c r="E56" s="327"/>
      <c r="F56" s="121"/>
      <c r="G56" s="327"/>
      <c r="H56" s="121"/>
      <c r="I56" s="334"/>
      <c r="J56" s="127"/>
      <c r="K56" s="334"/>
      <c r="L56" s="127"/>
      <c r="M56" s="334"/>
      <c r="N56" s="127"/>
      <c r="O56" s="327"/>
      <c r="P56" s="121"/>
      <c r="Q56" s="333"/>
      <c r="R56" s="177"/>
      <c r="S56" s="17"/>
      <c r="T56" s="17"/>
    </row>
    <row r="57">
      <c r="A57" s="327"/>
      <c r="B57" s="121"/>
      <c r="C57" s="327"/>
      <c r="D57" s="127"/>
      <c r="E57" s="327"/>
      <c r="F57" s="121"/>
      <c r="G57" s="327"/>
      <c r="H57" s="121"/>
      <c r="I57" s="334"/>
      <c r="J57" s="127"/>
      <c r="K57" s="334"/>
      <c r="L57" s="127"/>
      <c r="M57" s="334"/>
      <c r="N57" s="127"/>
      <c r="O57" s="327"/>
      <c r="P57" s="121"/>
      <c r="Q57" s="333"/>
      <c r="R57" s="177"/>
      <c r="S57" s="17"/>
      <c r="T57" s="17"/>
    </row>
    <row r="58">
      <c r="A58" s="327"/>
      <c r="B58" s="121"/>
      <c r="C58" s="327"/>
      <c r="D58" s="127"/>
      <c r="E58" s="327"/>
      <c r="F58" s="121"/>
      <c r="G58" s="327"/>
      <c r="H58" s="121"/>
      <c r="I58" s="334"/>
      <c r="J58" s="127"/>
      <c r="K58" s="334"/>
      <c r="L58" s="127"/>
      <c r="M58" s="334"/>
      <c r="N58" s="127"/>
      <c r="O58" s="327"/>
      <c r="P58" s="121"/>
      <c r="Q58" s="333"/>
      <c r="R58" s="177"/>
      <c r="S58" s="17"/>
      <c r="T58" s="17"/>
    </row>
    <row r="59">
      <c r="A59" s="327"/>
      <c r="B59" s="121"/>
      <c r="C59" s="327"/>
      <c r="D59" s="127"/>
      <c r="E59" s="327"/>
      <c r="F59" s="121"/>
      <c r="G59" s="327"/>
      <c r="H59" s="121"/>
      <c r="I59" s="334"/>
      <c r="J59" s="127"/>
      <c r="K59" s="334"/>
      <c r="L59" s="127"/>
      <c r="M59" s="334"/>
      <c r="N59" s="127"/>
      <c r="O59" s="327"/>
      <c r="P59" s="121"/>
      <c r="Q59" s="333"/>
      <c r="R59" s="177"/>
      <c r="S59" s="17"/>
      <c r="T59" s="17"/>
    </row>
    <row r="60">
      <c r="A60" s="327"/>
      <c r="B60" s="121"/>
      <c r="C60" s="327"/>
      <c r="D60" s="127"/>
      <c r="E60" s="327"/>
      <c r="F60" s="121"/>
      <c r="G60" s="327"/>
      <c r="H60" s="121"/>
      <c r="I60" s="334"/>
      <c r="J60" s="127"/>
      <c r="K60" s="334"/>
      <c r="L60" s="127"/>
      <c r="M60" s="334"/>
      <c r="N60" s="127"/>
      <c r="O60" s="327"/>
      <c r="P60" s="121"/>
      <c r="Q60" s="333"/>
      <c r="R60" s="177"/>
      <c r="S60" s="17"/>
      <c r="T60" s="17"/>
    </row>
    <row r="61">
      <c r="A61" s="327"/>
      <c r="B61" s="121"/>
      <c r="C61" s="327"/>
      <c r="D61" s="127"/>
      <c r="E61" s="327"/>
      <c r="F61" s="121"/>
      <c r="G61" s="327"/>
      <c r="H61" s="121"/>
      <c r="I61" s="334"/>
      <c r="J61" s="127"/>
      <c r="K61" s="334"/>
      <c r="L61" s="127"/>
      <c r="M61" s="334"/>
      <c r="N61" s="127"/>
      <c r="O61" s="327"/>
      <c r="P61" s="121"/>
      <c r="Q61" s="333"/>
      <c r="R61" s="177"/>
      <c r="S61" s="17"/>
      <c r="T61" s="17"/>
    </row>
    <row r="62">
      <c r="A62" s="327"/>
      <c r="B62" s="121"/>
      <c r="C62" s="327"/>
      <c r="D62" s="127"/>
      <c r="E62" s="327"/>
      <c r="F62" s="121"/>
      <c r="G62" s="327"/>
      <c r="H62" s="121"/>
      <c r="I62" s="334"/>
      <c r="J62" s="127"/>
      <c r="K62" s="334"/>
      <c r="L62" s="127"/>
      <c r="M62" s="334"/>
      <c r="N62" s="127"/>
      <c r="O62" s="327"/>
      <c r="P62" s="121"/>
      <c r="Q62" s="333"/>
      <c r="R62" s="177"/>
      <c r="S62" s="17"/>
      <c r="T62" s="17"/>
    </row>
    <row r="63">
      <c r="A63" s="327"/>
      <c r="B63" s="121"/>
      <c r="C63" s="327"/>
      <c r="D63" s="127"/>
      <c r="E63" s="327"/>
      <c r="F63" s="121"/>
      <c r="G63" s="327"/>
      <c r="H63" s="121"/>
      <c r="I63" s="334"/>
      <c r="J63" s="127"/>
      <c r="K63" s="334"/>
      <c r="L63" s="127"/>
      <c r="M63" s="334"/>
      <c r="N63" s="127"/>
      <c r="O63" s="327"/>
      <c r="P63" s="121"/>
      <c r="Q63" s="333"/>
      <c r="R63" s="177"/>
      <c r="S63" s="17"/>
      <c r="T63" s="17"/>
    </row>
    <row r="64">
      <c r="A64" s="327"/>
      <c r="B64" s="121"/>
      <c r="C64" s="327"/>
      <c r="D64" s="127"/>
      <c r="E64" s="327"/>
      <c r="F64" s="121"/>
      <c r="G64" s="327"/>
      <c r="H64" s="121"/>
      <c r="I64" s="334"/>
      <c r="J64" s="127"/>
      <c r="K64" s="334"/>
      <c r="L64" s="127"/>
      <c r="M64" s="334"/>
      <c r="N64" s="127"/>
      <c r="O64" s="327"/>
      <c r="P64" s="121"/>
      <c r="Q64" s="333"/>
      <c r="R64" s="177"/>
      <c r="S64" s="17"/>
      <c r="T64" s="17"/>
    </row>
    <row r="65">
      <c r="A65" s="327"/>
      <c r="B65" s="121"/>
      <c r="C65" s="327"/>
      <c r="D65" s="127"/>
      <c r="E65" s="327"/>
      <c r="F65" s="121"/>
      <c r="G65" s="327"/>
      <c r="H65" s="121"/>
      <c r="I65" s="334"/>
      <c r="J65" s="127"/>
      <c r="K65" s="334"/>
      <c r="L65" s="127"/>
      <c r="M65" s="334"/>
      <c r="N65" s="127"/>
      <c r="O65" s="327"/>
      <c r="P65" s="121"/>
      <c r="Q65" s="333"/>
      <c r="R65" s="177"/>
      <c r="S65" s="17"/>
      <c r="T65" s="17"/>
    </row>
    <row r="66">
      <c r="A66" s="327"/>
      <c r="B66" s="121"/>
      <c r="C66" s="327"/>
      <c r="D66" s="127"/>
      <c r="E66" s="327"/>
      <c r="F66" s="121"/>
      <c r="G66" s="327"/>
      <c r="H66" s="121"/>
      <c r="I66" s="334"/>
      <c r="J66" s="127"/>
      <c r="K66" s="334"/>
      <c r="L66" s="127"/>
      <c r="M66" s="334"/>
      <c r="N66" s="127"/>
      <c r="O66" s="327"/>
      <c r="P66" s="121"/>
      <c r="Q66" s="333"/>
      <c r="R66" s="177"/>
      <c r="S66" s="17"/>
      <c r="T66" s="17"/>
    </row>
    <row r="67">
      <c r="A67" s="327"/>
      <c r="B67" s="121"/>
      <c r="C67" s="327"/>
      <c r="D67" s="127"/>
      <c r="E67" s="327"/>
      <c r="F67" s="121"/>
      <c r="G67" s="327"/>
      <c r="H67" s="121"/>
      <c r="I67" s="334"/>
      <c r="J67" s="127"/>
      <c r="K67" s="334"/>
      <c r="L67" s="127"/>
      <c r="M67" s="334"/>
      <c r="N67" s="127"/>
      <c r="O67" s="327"/>
      <c r="P67" s="121"/>
      <c r="Q67" s="333"/>
      <c r="R67" s="177"/>
      <c r="S67" s="17"/>
      <c r="T67" s="17"/>
    </row>
    <row r="68">
      <c r="A68" s="327"/>
      <c r="B68" s="121"/>
      <c r="C68" s="327"/>
      <c r="D68" s="127"/>
      <c r="E68" s="327"/>
      <c r="F68" s="121"/>
      <c r="G68" s="327"/>
      <c r="H68" s="121"/>
      <c r="I68" s="334"/>
      <c r="J68" s="127"/>
      <c r="K68" s="334"/>
      <c r="L68" s="127"/>
      <c r="M68" s="334"/>
      <c r="N68" s="127"/>
      <c r="O68" s="327"/>
      <c r="P68" s="121"/>
      <c r="Q68" s="333"/>
      <c r="R68" s="177"/>
      <c r="S68" s="17"/>
      <c r="T68" s="17"/>
    </row>
    <row r="69">
      <c r="A69" s="327"/>
      <c r="B69" s="121"/>
      <c r="C69" s="327"/>
      <c r="D69" s="127"/>
      <c r="E69" s="327"/>
      <c r="F69" s="121"/>
      <c r="G69" s="327"/>
      <c r="H69" s="121"/>
      <c r="I69" s="334"/>
      <c r="J69" s="127"/>
      <c r="K69" s="334"/>
      <c r="L69" s="127"/>
      <c r="M69" s="334"/>
      <c r="N69" s="127"/>
      <c r="O69" s="327"/>
      <c r="P69" s="121"/>
      <c r="Q69" s="333"/>
      <c r="R69" s="177"/>
      <c r="S69" s="17"/>
      <c r="T69" s="17"/>
    </row>
    <row r="70">
      <c r="A70" s="327"/>
      <c r="B70" s="121"/>
      <c r="C70" s="327"/>
      <c r="D70" s="127"/>
      <c r="E70" s="327"/>
      <c r="F70" s="121"/>
      <c r="G70" s="327"/>
      <c r="H70" s="121"/>
      <c r="I70" s="334"/>
      <c r="J70" s="127"/>
      <c r="K70" s="334"/>
      <c r="L70" s="127"/>
      <c r="M70" s="334"/>
      <c r="N70" s="127"/>
      <c r="O70" s="327"/>
      <c r="P70" s="121"/>
      <c r="Q70" s="333"/>
      <c r="R70" s="177"/>
      <c r="S70" s="17"/>
      <c r="T70" s="17"/>
    </row>
    <row r="71">
      <c r="A71" s="327"/>
      <c r="B71" s="121"/>
      <c r="C71" s="327"/>
      <c r="D71" s="127"/>
      <c r="E71" s="327"/>
      <c r="F71" s="121"/>
      <c r="G71" s="327"/>
      <c r="H71" s="121"/>
      <c r="I71" s="334"/>
      <c r="J71" s="127"/>
      <c r="K71" s="334"/>
      <c r="L71" s="127"/>
      <c r="M71" s="334"/>
      <c r="N71" s="127"/>
      <c r="O71" s="327"/>
      <c r="P71" s="121"/>
      <c r="Q71" s="333"/>
      <c r="R71" s="177"/>
      <c r="S71" s="17"/>
      <c r="T71" s="17"/>
    </row>
    <row r="72">
      <c r="A72" s="327"/>
      <c r="B72" s="121"/>
      <c r="C72" s="327"/>
      <c r="D72" s="127"/>
      <c r="E72" s="327"/>
      <c r="F72" s="121"/>
      <c r="G72" s="327"/>
      <c r="H72" s="121"/>
      <c r="I72" s="334"/>
      <c r="J72" s="127"/>
      <c r="K72" s="334"/>
      <c r="L72" s="127"/>
      <c r="M72" s="334"/>
      <c r="N72" s="127"/>
      <c r="O72" s="327"/>
      <c r="P72" s="121"/>
      <c r="Q72" s="333"/>
      <c r="R72" s="177"/>
      <c r="S72" s="17"/>
      <c r="T72" s="17"/>
    </row>
    <row r="73">
      <c r="A73" s="327"/>
      <c r="B73" s="121"/>
      <c r="C73" s="327"/>
      <c r="D73" s="127"/>
      <c r="E73" s="327"/>
      <c r="F73" s="121"/>
      <c r="G73" s="327"/>
      <c r="H73" s="121"/>
      <c r="I73" s="334"/>
      <c r="J73" s="127"/>
      <c r="K73" s="334"/>
      <c r="L73" s="127"/>
      <c r="M73" s="334"/>
      <c r="N73" s="127"/>
      <c r="O73" s="327"/>
      <c r="P73" s="121"/>
      <c r="Q73" s="333"/>
      <c r="R73" s="177"/>
      <c r="S73" s="17"/>
      <c r="T73" s="17"/>
    </row>
    <row r="74">
      <c r="A74" s="327"/>
      <c r="B74" s="121"/>
      <c r="C74" s="327"/>
      <c r="D74" s="127"/>
      <c r="E74" s="327"/>
      <c r="F74" s="121"/>
      <c r="G74" s="327"/>
      <c r="H74" s="121"/>
      <c r="I74" s="334"/>
      <c r="J74" s="127"/>
      <c r="K74" s="334"/>
      <c r="L74" s="127"/>
      <c r="M74" s="334"/>
      <c r="N74" s="127"/>
      <c r="O74" s="327"/>
      <c r="P74" s="121"/>
      <c r="Q74" s="333"/>
      <c r="R74" s="177"/>
      <c r="S74" s="17"/>
      <c r="T74" s="17"/>
    </row>
    <row r="75">
      <c r="A75" s="327"/>
      <c r="B75" s="121"/>
      <c r="C75" s="327"/>
      <c r="D75" s="127"/>
      <c r="E75" s="327"/>
      <c r="F75" s="121"/>
      <c r="G75" s="327"/>
      <c r="H75" s="121"/>
      <c r="I75" s="334"/>
      <c r="J75" s="127"/>
      <c r="K75" s="334"/>
      <c r="L75" s="127"/>
      <c r="M75" s="334"/>
      <c r="N75" s="127"/>
      <c r="O75" s="327"/>
      <c r="P75" s="121"/>
      <c r="Q75" s="333"/>
      <c r="R75" s="177"/>
      <c r="S75" s="17"/>
      <c r="T75" s="17"/>
    </row>
    <row r="76">
      <c r="A76" s="327"/>
      <c r="B76" s="121"/>
      <c r="C76" s="327"/>
      <c r="D76" s="127"/>
      <c r="E76" s="327"/>
      <c r="F76" s="121"/>
      <c r="G76" s="327"/>
      <c r="H76" s="121"/>
      <c r="I76" s="334"/>
      <c r="J76" s="127"/>
      <c r="K76" s="334"/>
      <c r="L76" s="127"/>
      <c r="M76" s="334"/>
      <c r="N76" s="127"/>
      <c r="O76" s="327"/>
      <c r="P76" s="121"/>
      <c r="Q76" s="333"/>
      <c r="R76" s="177"/>
      <c r="S76" s="17"/>
      <c r="T76" s="17"/>
    </row>
    <row r="77">
      <c r="A77" s="327"/>
      <c r="B77" s="121"/>
      <c r="C77" s="327"/>
      <c r="D77" s="127"/>
      <c r="E77" s="327"/>
      <c r="F77" s="121"/>
      <c r="G77" s="327"/>
      <c r="H77" s="121"/>
      <c r="I77" s="334"/>
      <c r="J77" s="127"/>
      <c r="K77" s="334"/>
      <c r="L77" s="127"/>
      <c r="M77" s="334"/>
      <c r="N77" s="127"/>
      <c r="O77" s="327"/>
      <c r="P77" s="121"/>
      <c r="Q77" s="333"/>
      <c r="R77" s="177"/>
      <c r="S77" s="17"/>
      <c r="T77" s="17"/>
    </row>
    <row r="78">
      <c r="A78" s="327"/>
      <c r="B78" s="121"/>
      <c r="C78" s="327"/>
      <c r="D78" s="127"/>
      <c r="E78" s="327"/>
      <c r="F78" s="121"/>
      <c r="G78" s="327"/>
      <c r="H78" s="121"/>
      <c r="I78" s="334"/>
      <c r="J78" s="127"/>
      <c r="K78" s="334"/>
      <c r="L78" s="127"/>
      <c r="M78" s="334"/>
      <c r="N78" s="127"/>
      <c r="O78" s="327"/>
      <c r="P78" s="121"/>
      <c r="Q78" s="333"/>
      <c r="R78" s="177"/>
      <c r="S78" s="17"/>
      <c r="T78" s="17"/>
    </row>
    <row r="79">
      <c r="A79" s="327"/>
      <c r="B79" s="121"/>
      <c r="C79" s="327"/>
      <c r="D79" s="127"/>
      <c r="E79" s="327"/>
      <c r="F79" s="121"/>
      <c r="G79" s="327"/>
      <c r="H79" s="121"/>
      <c r="I79" s="334"/>
      <c r="J79" s="127"/>
      <c r="K79" s="334"/>
      <c r="L79" s="127"/>
      <c r="M79" s="334"/>
      <c r="N79" s="127"/>
      <c r="O79" s="327"/>
      <c r="P79" s="121"/>
      <c r="Q79" s="333"/>
      <c r="R79" s="177"/>
      <c r="S79" s="17"/>
      <c r="T79" s="17"/>
    </row>
    <row r="80">
      <c r="A80" s="327"/>
      <c r="B80" s="121"/>
      <c r="C80" s="327"/>
      <c r="D80" s="127"/>
      <c r="E80" s="327"/>
      <c r="F80" s="121"/>
      <c r="G80" s="327"/>
      <c r="H80" s="121"/>
      <c r="I80" s="334"/>
      <c r="J80" s="127"/>
      <c r="K80" s="334"/>
      <c r="L80" s="127"/>
      <c r="M80" s="334"/>
      <c r="N80" s="127"/>
      <c r="O80" s="327"/>
      <c r="P80" s="121"/>
      <c r="Q80" s="333"/>
      <c r="R80" s="177"/>
      <c r="S80" s="17"/>
      <c r="T80" s="17"/>
    </row>
    <row r="81">
      <c r="A81" s="327"/>
      <c r="B81" s="121"/>
      <c r="C81" s="327"/>
      <c r="D81" s="127"/>
      <c r="E81" s="327"/>
      <c r="F81" s="121"/>
      <c r="G81" s="327"/>
      <c r="H81" s="121"/>
      <c r="I81" s="334"/>
      <c r="J81" s="127"/>
      <c r="K81" s="334"/>
      <c r="L81" s="127"/>
      <c r="M81" s="334"/>
      <c r="N81" s="127"/>
      <c r="O81" s="327"/>
      <c r="P81" s="121"/>
      <c r="Q81" s="333"/>
      <c r="R81" s="177"/>
      <c r="S81" s="17"/>
      <c r="T81" s="17"/>
    </row>
    <row r="82">
      <c r="A82" s="327"/>
      <c r="B82" s="121"/>
      <c r="C82" s="327"/>
      <c r="D82" s="127"/>
      <c r="E82" s="327"/>
      <c r="F82" s="121"/>
      <c r="G82" s="327"/>
      <c r="H82" s="121"/>
      <c r="I82" s="334"/>
      <c r="J82" s="127"/>
      <c r="K82" s="334"/>
      <c r="L82" s="127"/>
      <c r="M82" s="334"/>
      <c r="N82" s="127"/>
      <c r="O82" s="327"/>
      <c r="P82" s="121"/>
      <c r="Q82" s="333"/>
      <c r="R82" s="177"/>
      <c r="S82" s="17"/>
      <c r="T82" s="17"/>
    </row>
    <row r="83">
      <c r="A83" s="327"/>
      <c r="B83" s="121"/>
      <c r="C83" s="327"/>
      <c r="D83" s="127"/>
      <c r="E83" s="327"/>
      <c r="F83" s="121"/>
      <c r="G83" s="327"/>
      <c r="H83" s="121"/>
      <c r="I83" s="334"/>
      <c r="J83" s="127"/>
      <c r="K83" s="334"/>
      <c r="L83" s="127"/>
      <c r="M83" s="334"/>
      <c r="N83" s="127"/>
      <c r="O83" s="327"/>
      <c r="P83" s="121"/>
      <c r="Q83" s="333"/>
      <c r="R83" s="177"/>
      <c r="S83" s="17"/>
      <c r="T83" s="17"/>
    </row>
    <row r="84">
      <c r="A84" s="327"/>
      <c r="B84" s="121"/>
      <c r="C84" s="327"/>
      <c r="D84" s="127"/>
      <c r="E84" s="327"/>
      <c r="F84" s="121"/>
      <c r="G84" s="327"/>
      <c r="H84" s="121"/>
      <c r="I84" s="334"/>
      <c r="J84" s="127"/>
      <c r="K84" s="334"/>
      <c r="L84" s="127"/>
      <c r="M84" s="334"/>
      <c r="N84" s="127"/>
      <c r="O84" s="327"/>
      <c r="P84" s="121"/>
      <c r="Q84" s="333"/>
      <c r="R84" s="177"/>
      <c r="S84" s="17"/>
      <c r="T84" s="17"/>
    </row>
    <row r="85">
      <c r="A85" s="327"/>
      <c r="B85" s="121"/>
      <c r="C85" s="327"/>
      <c r="D85" s="127"/>
      <c r="E85" s="327"/>
      <c r="F85" s="121"/>
      <c r="G85" s="327"/>
      <c r="H85" s="121"/>
      <c r="I85" s="334"/>
      <c r="J85" s="127"/>
      <c r="K85" s="334"/>
      <c r="L85" s="127"/>
      <c r="M85" s="334"/>
      <c r="N85" s="127"/>
      <c r="O85" s="327"/>
      <c r="P85" s="121"/>
      <c r="Q85" s="333"/>
      <c r="R85" s="177"/>
      <c r="S85" s="17"/>
      <c r="T85" s="17"/>
    </row>
    <row r="86">
      <c r="A86" s="327"/>
      <c r="B86" s="121"/>
      <c r="C86" s="327"/>
      <c r="D86" s="127"/>
      <c r="E86" s="327"/>
      <c r="F86" s="121"/>
      <c r="G86" s="327"/>
      <c r="H86" s="121"/>
      <c r="I86" s="334"/>
      <c r="J86" s="127"/>
      <c r="K86" s="334"/>
      <c r="L86" s="127"/>
      <c r="M86" s="334"/>
      <c r="N86" s="127"/>
      <c r="O86" s="327"/>
      <c r="P86" s="121"/>
      <c r="Q86" s="333"/>
      <c r="R86" s="177"/>
      <c r="S86" s="17"/>
      <c r="T86" s="17"/>
    </row>
    <row r="87">
      <c r="A87" s="327"/>
      <c r="B87" s="121"/>
      <c r="C87" s="327"/>
      <c r="D87" s="127"/>
      <c r="E87" s="327"/>
      <c r="F87" s="121"/>
      <c r="G87" s="327"/>
      <c r="H87" s="121"/>
      <c r="I87" s="334"/>
      <c r="J87" s="127"/>
      <c r="K87" s="334"/>
      <c r="L87" s="127"/>
      <c r="M87" s="334"/>
      <c r="N87" s="127"/>
      <c r="O87" s="327"/>
      <c r="P87" s="121"/>
      <c r="Q87" s="333"/>
      <c r="R87" s="177"/>
      <c r="S87" s="17"/>
      <c r="T87" s="17"/>
    </row>
    <row r="88">
      <c r="A88" s="327"/>
      <c r="B88" s="121"/>
      <c r="C88" s="327"/>
      <c r="D88" s="127"/>
      <c r="E88" s="327"/>
      <c r="F88" s="121"/>
      <c r="G88" s="327"/>
      <c r="H88" s="121"/>
      <c r="I88" s="334"/>
      <c r="J88" s="127"/>
      <c r="K88" s="334"/>
      <c r="L88" s="127"/>
      <c r="M88" s="334"/>
      <c r="N88" s="127"/>
      <c r="O88" s="327"/>
      <c r="P88" s="121"/>
      <c r="Q88" s="333"/>
      <c r="R88" s="177"/>
      <c r="S88" s="17"/>
      <c r="T88" s="17"/>
    </row>
    <row r="89">
      <c r="A89" s="327"/>
      <c r="B89" s="121"/>
      <c r="C89" s="327"/>
      <c r="D89" s="127"/>
      <c r="E89" s="327"/>
      <c r="F89" s="121"/>
      <c r="G89" s="327"/>
      <c r="H89" s="121"/>
      <c r="I89" s="334"/>
      <c r="J89" s="127"/>
      <c r="K89" s="334"/>
      <c r="L89" s="127"/>
      <c r="M89" s="334"/>
      <c r="N89" s="127"/>
      <c r="O89" s="327"/>
      <c r="P89" s="121"/>
      <c r="Q89" s="333"/>
      <c r="R89" s="177"/>
      <c r="S89" s="17"/>
      <c r="T89" s="17"/>
    </row>
    <row r="90">
      <c r="A90" s="327"/>
      <c r="B90" s="121"/>
      <c r="C90" s="327"/>
      <c r="D90" s="127"/>
      <c r="E90" s="327"/>
      <c r="F90" s="121"/>
      <c r="G90" s="327"/>
      <c r="H90" s="121"/>
      <c r="I90" s="334"/>
      <c r="J90" s="127"/>
      <c r="K90" s="334"/>
      <c r="L90" s="127"/>
      <c r="M90" s="334"/>
      <c r="N90" s="127"/>
      <c r="O90" s="327"/>
      <c r="P90" s="121"/>
      <c r="Q90" s="143"/>
      <c r="R90" s="143"/>
      <c r="S90" s="17"/>
      <c r="T90" s="17"/>
    </row>
    <row r="91">
      <c r="A91" s="327"/>
      <c r="B91" s="121"/>
      <c r="C91" s="327"/>
      <c r="D91" s="127"/>
      <c r="E91" s="327"/>
      <c r="F91" s="121"/>
      <c r="G91" s="327"/>
      <c r="H91" s="121"/>
      <c r="I91" s="334"/>
      <c r="J91" s="127"/>
      <c r="K91" s="334"/>
      <c r="L91" s="127"/>
      <c r="M91" s="334"/>
      <c r="N91" s="127"/>
      <c r="O91" s="327"/>
      <c r="P91" s="121"/>
      <c r="Q91" s="143"/>
      <c r="R91" s="143"/>
      <c r="S91" s="17"/>
      <c r="T91" s="17"/>
    </row>
    <row r="92">
      <c r="A92" s="327"/>
      <c r="B92" s="121"/>
      <c r="C92" s="327"/>
      <c r="D92" s="127"/>
      <c r="E92" s="327"/>
      <c r="F92" s="121"/>
      <c r="G92" s="327"/>
      <c r="H92" s="121"/>
      <c r="I92" s="334"/>
      <c r="J92" s="127"/>
      <c r="K92" s="334"/>
      <c r="L92" s="127"/>
      <c r="M92" s="334"/>
      <c r="N92" s="127"/>
      <c r="O92" s="327"/>
      <c r="P92" s="121"/>
      <c r="Q92" s="143"/>
      <c r="R92" s="143"/>
      <c r="S92" s="17"/>
      <c r="T92" s="17"/>
    </row>
    <row r="93">
      <c r="A93" s="327"/>
      <c r="B93" s="121"/>
      <c r="C93" s="327"/>
      <c r="D93" s="127"/>
      <c r="E93" s="327"/>
      <c r="F93" s="121"/>
      <c r="G93" s="327"/>
      <c r="H93" s="121"/>
      <c r="I93" s="334"/>
      <c r="J93" s="127"/>
      <c r="K93" s="334"/>
      <c r="L93" s="127"/>
      <c r="M93" s="334"/>
      <c r="N93" s="127"/>
      <c r="O93" s="327"/>
      <c r="P93" s="121"/>
      <c r="Q93" s="143"/>
      <c r="R93" s="143"/>
      <c r="S93" s="17"/>
      <c r="T93" s="17"/>
    </row>
    <row r="94">
      <c r="A94" s="327"/>
      <c r="B94" s="121"/>
      <c r="C94" s="327"/>
      <c r="D94" s="127"/>
      <c r="E94" s="327"/>
      <c r="F94" s="121"/>
      <c r="G94" s="327"/>
      <c r="H94" s="121"/>
      <c r="I94" s="334"/>
      <c r="J94" s="127"/>
      <c r="K94" s="334"/>
      <c r="L94" s="127"/>
      <c r="M94" s="334"/>
      <c r="N94" s="127"/>
      <c r="O94" s="327"/>
      <c r="P94" s="121"/>
      <c r="Q94" s="143"/>
      <c r="R94" s="143"/>
      <c r="S94" s="17"/>
      <c r="T94" s="17"/>
    </row>
    <row r="95">
      <c r="A95" s="327"/>
      <c r="B95" s="121"/>
      <c r="C95" s="327"/>
      <c r="D95" s="127"/>
      <c r="E95" s="327"/>
      <c r="F95" s="121"/>
      <c r="G95" s="327"/>
      <c r="H95" s="121"/>
      <c r="I95" s="334"/>
      <c r="J95" s="127"/>
      <c r="K95" s="334"/>
      <c r="L95" s="127"/>
      <c r="M95" s="334"/>
      <c r="N95" s="127"/>
      <c r="O95" s="327"/>
      <c r="P95" s="121"/>
      <c r="Q95" s="143"/>
      <c r="R95" s="143"/>
      <c r="S95" s="17"/>
      <c r="T95" s="17"/>
    </row>
    <row r="96">
      <c r="A96" s="327"/>
      <c r="B96" s="121"/>
      <c r="C96" s="327"/>
      <c r="D96" s="127"/>
      <c r="E96" s="327"/>
      <c r="F96" s="121"/>
      <c r="G96" s="327"/>
      <c r="H96" s="121"/>
      <c r="I96" s="334"/>
      <c r="J96" s="127"/>
      <c r="K96" s="334"/>
      <c r="L96" s="127"/>
      <c r="M96" s="334"/>
      <c r="N96" s="127"/>
      <c r="O96" s="327"/>
      <c r="P96" s="121"/>
      <c r="Q96" s="143"/>
      <c r="R96" s="143"/>
      <c r="S96" s="17"/>
      <c r="T96" s="17"/>
    </row>
    <row r="97">
      <c r="A97" s="327"/>
      <c r="B97" s="121"/>
      <c r="C97" s="327"/>
      <c r="D97" s="127"/>
      <c r="E97" s="327"/>
      <c r="F97" s="121"/>
      <c r="G97" s="327"/>
      <c r="H97" s="121"/>
      <c r="I97" s="334"/>
      <c r="J97" s="127"/>
      <c r="K97" s="334"/>
      <c r="L97" s="127"/>
      <c r="M97" s="334"/>
      <c r="N97" s="127"/>
      <c r="O97" s="327"/>
      <c r="P97" s="121"/>
      <c r="Q97" s="143"/>
      <c r="R97" s="143"/>
      <c r="S97" s="17"/>
      <c r="T97" s="17"/>
    </row>
    <row r="98">
      <c r="A98" s="327"/>
      <c r="B98" s="121"/>
      <c r="C98" s="327"/>
      <c r="D98" s="127"/>
      <c r="E98" s="327"/>
      <c r="F98" s="121"/>
      <c r="G98" s="327"/>
      <c r="H98" s="121"/>
      <c r="I98" s="334"/>
      <c r="J98" s="127"/>
      <c r="K98" s="334"/>
      <c r="L98" s="127"/>
      <c r="M98" s="334"/>
      <c r="N98" s="127"/>
      <c r="O98" s="327"/>
      <c r="P98" s="121"/>
      <c r="Q98" s="143"/>
      <c r="R98" s="143"/>
      <c r="S98" s="17"/>
      <c r="T98" s="17"/>
    </row>
    <row r="99">
      <c r="A99" s="327"/>
      <c r="B99" s="121"/>
      <c r="C99" s="327"/>
      <c r="D99" s="127"/>
      <c r="E99" s="327"/>
      <c r="F99" s="121"/>
      <c r="G99" s="327"/>
      <c r="H99" s="121"/>
      <c r="I99" s="334"/>
      <c r="J99" s="127"/>
      <c r="K99" s="334"/>
      <c r="L99" s="127"/>
      <c r="M99" s="334"/>
      <c r="N99" s="127"/>
      <c r="O99" s="327"/>
      <c r="P99" s="121"/>
      <c r="Q99" s="143"/>
      <c r="R99" s="143"/>
      <c r="S99" s="17"/>
      <c r="T99" s="17"/>
    </row>
    <row r="100">
      <c r="A100" s="327"/>
      <c r="B100" s="121"/>
      <c r="C100" s="327"/>
      <c r="D100" s="127"/>
      <c r="E100" s="327"/>
      <c r="F100" s="121"/>
      <c r="G100" s="327"/>
      <c r="H100" s="121"/>
      <c r="I100" s="334"/>
      <c r="J100" s="127"/>
      <c r="K100" s="334"/>
      <c r="L100" s="127"/>
      <c r="M100" s="334"/>
      <c r="N100" s="127"/>
      <c r="O100" s="327"/>
      <c r="P100" s="121"/>
      <c r="Q100" s="143"/>
      <c r="R100" s="143"/>
      <c r="S100" s="17"/>
      <c r="T100" s="17"/>
    </row>
    <row r="101">
      <c r="A101" s="327"/>
      <c r="B101" s="121"/>
      <c r="C101" s="327"/>
      <c r="D101" s="127"/>
      <c r="E101" s="327"/>
      <c r="F101" s="121"/>
      <c r="G101" s="327"/>
      <c r="H101" s="121"/>
      <c r="I101" s="334"/>
      <c r="J101" s="127"/>
      <c r="K101" s="334"/>
      <c r="L101" s="127"/>
      <c r="M101" s="334"/>
      <c r="N101" s="127"/>
      <c r="O101" s="327"/>
      <c r="P101" s="121"/>
      <c r="Q101" s="143"/>
      <c r="R101" s="143"/>
      <c r="S101" s="17"/>
      <c r="T101" s="17"/>
    </row>
    <row r="102">
      <c r="A102" s="327"/>
      <c r="B102" s="121"/>
      <c r="C102" s="327"/>
      <c r="D102" s="127"/>
      <c r="E102" s="327"/>
      <c r="F102" s="121"/>
      <c r="G102" s="327"/>
      <c r="H102" s="121"/>
      <c r="I102" s="334"/>
      <c r="J102" s="127"/>
      <c r="K102" s="334"/>
      <c r="L102" s="127"/>
      <c r="M102" s="334"/>
      <c r="N102" s="127"/>
      <c r="O102" s="327"/>
      <c r="P102" s="121"/>
      <c r="Q102" s="143"/>
      <c r="R102" s="143"/>
      <c r="S102" s="17"/>
      <c r="T102" s="17"/>
    </row>
    <row r="103">
      <c r="A103" s="327"/>
      <c r="B103" s="121"/>
      <c r="C103" s="327"/>
      <c r="D103" s="127"/>
      <c r="E103" s="327"/>
      <c r="F103" s="121"/>
      <c r="G103" s="327"/>
      <c r="H103" s="121"/>
      <c r="I103" s="334"/>
      <c r="J103" s="127"/>
      <c r="K103" s="334"/>
      <c r="L103" s="127"/>
      <c r="M103" s="334"/>
      <c r="N103" s="127"/>
      <c r="O103" s="327"/>
      <c r="P103" s="121"/>
      <c r="Q103" s="143"/>
      <c r="R103" s="143"/>
      <c r="S103" s="17"/>
      <c r="T103" s="17"/>
    </row>
    <row r="104">
      <c r="A104" s="327"/>
      <c r="B104" s="121"/>
      <c r="C104" s="327"/>
      <c r="D104" s="127"/>
      <c r="E104" s="327"/>
      <c r="F104" s="121"/>
      <c r="G104" s="327"/>
      <c r="H104" s="121"/>
      <c r="I104" s="334"/>
      <c r="J104" s="127"/>
      <c r="K104" s="334"/>
      <c r="L104" s="127"/>
      <c r="M104" s="334"/>
      <c r="N104" s="127"/>
      <c r="O104" s="327"/>
      <c r="P104" s="121"/>
      <c r="Q104" s="143"/>
      <c r="R104" s="143"/>
      <c r="S104" s="17"/>
      <c r="T104" s="17"/>
    </row>
    <row r="105">
      <c r="A105" s="327"/>
      <c r="B105" s="121"/>
      <c r="C105" s="327"/>
      <c r="D105" s="127"/>
      <c r="E105" s="327"/>
      <c r="F105" s="121"/>
      <c r="G105" s="327"/>
      <c r="H105" s="121"/>
      <c r="I105" s="334"/>
      <c r="J105" s="127"/>
      <c r="K105" s="334"/>
      <c r="L105" s="127"/>
      <c r="M105" s="334"/>
      <c r="N105" s="127"/>
      <c r="O105" s="327"/>
      <c r="P105" s="121"/>
      <c r="Q105" s="143"/>
      <c r="R105" s="143"/>
      <c r="S105" s="17"/>
      <c r="T105" s="17"/>
    </row>
    <row r="106">
      <c r="A106" s="327"/>
      <c r="B106" s="121"/>
      <c r="C106" s="327"/>
      <c r="D106" s="127"/>
      <c r="E106" s="327"/>
      <c r="F106" s="121"/>
      <c r="G106" s="327"/>
      <c r="H106" s="121"/>
      <c r="I106" s="334"/>
      <c r="J106" s="127"/>
      <c r="K106" s="334"/>
      <c r="L106" s="127"/>
      <c r="M106" s="334"/>
      <c r="N106" s="127"/>
      <c r="O106" s="327"/>
      <c r="P106" s="121"/>
      <c r="Q106" s="143"/>
      <c r="R106" s="143"/>
      <c r="S106" s="17"/>
      <c r="T106" s="17"/>
    </row>
    <row r="107">
      <c r="A107" s="327"/>
      <c r="B107" s="121"/>
      <c r="C107" s="327"/>
      <c r="D107" s="127"/>
      <c r="E107" s="327"/>
      <c r="F107" s="121"/>
      <c r="G107" s="327"/>
      <c r="H107" s="121"/>
      <c r="I107" s="334"/>
      <c r="J107" s="127"/>
      <c r="K107" s="334"/>
      <c r="L107" s="127"/>
      <c r="M107" s="334"/>
      <c r="N107" s="127"/>
      <c r="O107" s="327"/>
      <c r="P107" s="121"/>
      <c r="Q107" s="143"/>
      <c r="R107" s="143"/>
      <c r="S107" s="17"/>
      <c r="T107" s="17"/>
    </row>
    <row r="108">
      <c r="A108" s="327"/>
      <c r="B108" s="121"/>
      <c r="C108" s="327"/>
      <c r="D108" s="127"/>
      <c r="E108" s="327"/>
      <c r="F108" s="121"/>
      <c r="G108" s="327"/>
      <c r="H108" s="121"/>
      <c r="I108" s="334"/>
      <c r="J108" s="127"/>
      <c r="K108" s="334"/>
      <c r="L108" s="127"/>
      <c r="M108" s="334"/>
      <c r="N108" s="127"/>
      <c r="O108" s="327"/>
      <c r="P108" s="121"/>
      <c r="Q108" s="143"/>
      <c r="R108" s="143"/>
      <c r="S108" s="17"/>
      <c r="T108" s="17"/>
    </row>
    <row r="109">
      <c r="A109" s="327"/>
      <c r="B109" s="121"/>
      <c r="C109" s="327"/>
      <c r="D109" s="127"/>
      <c r="E109" s="327"/>
      <c r="F109" s="121"/>
      <c r="G109" s="327"/>
      <c r="H109" s="121"/>
      <c r="I109" s="334"/>
      <c r="J109" s="127"/>
      <c r="K109" s="334"/>
      <c r="L109" s="127"/>
      <c r="M109" s="334"/>
      <c r="N109" s="127"/>
      <c r="O109" s="327"/>
      <c r="P109" s="121"/>
      <c r="Q109" s="143"/>
      <c r="R109" s="143"/>
      <c r="S109" s="17"/>
      <c r="T109" s="17"/>
    </row>
    <row r="110">
      <c r="A110" s="327"/>
      <c r="B110" s="121"/>
      <c r="C110" s="327"/>
      <c r="D110" s="127"/>
      <c r="E110" s="327"/>
      <c r="F110" s="121"/>
      <c r="G110" s="327"/>
      <c r="H110" s="121"/>
      <c r="I110" s="334"/>
      <c r="J110" s="127"/>
      <c r="K110" s="334"/>
      <c r="L110" s="127"/>
      <c r="M110" s="334"/>
      <c r="N110" s="127"/>
      <c r="O110" s="327"/>
      <c r="P110" s="121"/>
      <c r="Q110" s="143"/>
      <c r="R110" s="143"/>
      <c r="S110" s="17"/>
      <c r="T110" s="17"/>
    </row>
    <row r="111">
      <c r="A111" s="327"/>
      <c r="B111" s="121"/>
      <c r="C111" s="327"/>
      <c r="D111" s="127"/>
      <c r="E111" s="327"/>
      <c r="F111" s="121"/>
      <c r="G111" s="327"/>
      <c r="H111" s="121"/>
      <c r="I111" s="334"/>
      <c r="J111" s="127"/>
      <c r="K111" s="334"/>
      <c r="L111" s="127"/>
      <c r="M111" s="334"/>
      <c r="N111" s="127"/>
      <c r="O111" s="327"/>
      <c r="P111" s="121"/>
      <c r="Q111" s="143"/>
      <c r="R111" s="143"/>
      <c r="S111" s="17"/>
      <c r="T111" s="17"/>
    </row>
    <row r="112">
      <c r="A112" s="327"/>
      <c r="B112" s="121"/>
      <c r="C112" s="327"/>
      <c r="D112" s="127"/>
      <c r="E112" s="327"/>
      <c r="F112" s="121"/>
      <c r="G112" s="327"/>
      <c r="H112" s="121"/>
      <c r="I112" s="334"/>
      <c r="J112" s="127"/>
      <c r="K112" s="334"/>
      <c r="L112" s="127"/>
      <c r="M112" s="334"/>
      <c r="N112" s="127"/>
      <c r="O112" s="327"/>
      <c r="P112" s="121"/>
      <c r="Q112" s="143"/>
      <c r="R112" s="143"/>
      <c r="S112" s="17"/>
      <c r="T112" s="17"/>
    </row>
    <row r="113">
      <c r="A113" s="327"/>
      <c r="B113" s="121"/>
      <c r="C113" s="327"/>
      <c r="D113" s="127"/>
      <c r="E113" s="327"/>
      <c r="F113" s="121"/>
      <c r="G113" s="327"/>
      <c r="H113" s="121"/>
      <c r="I113" s="334"/>
      <c r="J113" s="127"/>
      <c r="K113" s="334"/>
      <c r="L113" s="127"/>
      <c r="M113" s="334"/>
      <c r="N113" s="127"/>
      <c r="O113" s="327"/>
      <c r="P113" s="121"/>
      <c r="Q113" s="143"/>
      <c r="R113" s="143"/>
      <c r="S113" s="17"/>
      <c r="T113" s="17"/>
    </row>
    <row r="114">
      <c r="A114" s="327"/>
      <c r="B114" s="121"/>
      <c r="C114" s="327"/>
      <c r="D114" s="127"/>
      <c r="E114" s="327"/>
      <c r="F114" s="121"/>
      <c r="G114" s="327"/>
      <c r="H114" s="121"/>
      <c r="I114" s="334"/>
      <c r="J114" s="127"/>
      <c r="K114" s="334"/>
      <c r="L114" s="127"/>
      <c r="M114" s="334"/>
      <c r="N114" s="127"/>
      <c r="O114" s="327"/>
      <c r="P114" s="121"/>
      <c r="Q114" s="143"/>
      <c r="R114" s="143"/>
      <c r="S114" s="17"/>
      <c r="T114" s="17"/>
    </row>
    <row r="115">
      <c r="A115" s="327"/>
      <c r="B115" s="121"/>
      <c r="C115" s="327"/>
      <c r="D115" s="127"/>
      <c r="E115" s="327"/>
      <c r="F115" s="121"/>
      <c r="G115" s="327"/>
      <c r="H115" s="121"/>
      <c r="I115" s="334"/>
      <c r="J115" s="127"/>
      <c r="K115" s="334"/>
      <c r="L115" s="127"/>
      <c r="M115" s="334"/>
      <c r="N115" s="127"/>
      <c r="O115" s="327"/>
      <c r="P115" s="121"/>
      <c r="Q115" s="143"/>
      <c r="R115" s="143"/>
      <c r="S115" s="17"/>
      <c r="T115" s="17"/>
    </row>
    <row r="116">
      <c r="A116" s="327"/>
      <c r="B116" s="121"/>
      <c r="C116" s="327"/>
      <c r="D116" s="127"/>
      <c r="E116" s="327"/>
      <c r="F116" s="121"/>
      <c r="G116" s="327"/>
      <c r="H116" s="121"/>
      <c r="I116" s="334"/>
      <c r="J116" s="127"/>
      <c r="K116" s="334"/>
      <c r="L116" s="127"/>
      <c r="M116" s="334"/>
      <c r="N116" s="127"/>
      <c r="O116" s="327"/>
      <c r="P116" s="121"/>
      <c r="Q116" s="143"/>
      <c r="R116" s="143"/>
      <c r="S116" s="17"/>
      <c r="T116" s="17"/>
    </row>
    <row r="117">
      <c r="A117" s="327"/>
      <c r="B117" s="121"/>
      <c r="C117" s="327"/>
      <c r="D117" s="127"/>
      <c r="E117" s="327"/>
      <c r="F117" s="121"/>
      <c r="G117" s="327"/>
      <c r="H117" s="121"/>
      <c r="I117" s="334"/>
      <c r="J117" s="127"/>
      <c r="K117" s="334"/>
      <c r="L117" s="127"/>
      <c r="M117" s="334"/>
      <c r="N117" s="127"/>
      <c r="O117" s="327"/>
      <c r="P117" s="121"/>
      <c r="Q117" s="143"/>
      <c r="R117" s="143"/>
      <c r="S117" s="17"/>
      <c r="T117" s="17"/>
    </row>
    <row r="118">
      <c r="A118" s="327"/>
      <c r="B118" s="121"/>
      <c r="C118" s="327"/>
      <c r="D118" s="127"/>
      <c r="E118" s="327"/>
      <c r="F118" s="121"/>
      <c r="G118" s="327"/>
      <c r="H118" s="121"/>
      <c r="I118" s="334"/>
      <c r="J118" s="127"/>
      <c r="K118" s="334"/>
      <c r="L118" s="127"/>
      <c r="M118" s="334"/>
      <c r="N118" s="127"/>
      <c r="O118" s="327"/>
      <c r="P118" s="121"/>
      <c r="Q118" s="143"/>
      <c r="R118" s="143"/>
      <c r="S118" s="17"/>
      <c r="T118" s="17"/>
    </row>
    <row r="119">
      <c r="A119" s="327"/>
      <c r="B119" s="121"/>
      <c r="C119" s="327"/>
      <c r="D119" s="127"/>
      <c r="E119" s="327"/>
      <c r="F119" s="121"/>
      <c r="G119" s="327"/>
      <c r="H119" s="121"/>
      <c r="I119" s="334"/>
      <c r="J119" s="127"/>
      <c r="K119" s="334"/>
      <c r="L119" s="127"/>
      <c r="M119" s="334"/>
      <c r="N119" s="127"/>
      <c r="O119" s="327"/>
      <c r="P119" s="121"/>
      <c r="Q119" s="143"/>
      <c r="R119" s="143"/>
      <c r="S119" s="17"/>
      <c r="T119" s="17"/>
    </row>
    <row r="120">
      <c r="A120" s="327"/>
      <c r="B120" s="121"/>
      <c r="C120" s="327"/>
      <c r="D120" s="127"/>
      <c r="E120" s="327"/>
      <c r="F120" s="121"/>
      <c r="G120" s="327"/>
      <c r="H120" s="121"/>
      <c r="I120" s="334"/>
      <c r="J120" s="127"/>
      <c r="K120" s="334"/>
      <c r="L120" s="127"/>
      <c r="M120" s="334"/>
      <c r="N120" s="127"/>
      <c r="O120" s="327"/>
      <c r="P120" s="121"/>
      <c r="Q120" s="143"/>
      <c r="R120" s="143"/>
      <c r="S120" s="17"/>
      <c r="T120" s="17"/>
    </row>
    <row r="121">
      <c r="A121" s="327"/>
      <c r="B121" s="121"/>
      <c r="C121" s="327"/>
      <c r="D121" s="127"/>
      <c r="E121" s="327"/>
      <c r="F121" s="121"/>
      <c r="G121" s="327"/>
      <c r="H121" s="121"/>
      <c r="I121" s="334"/>
      <c r="J121" s="127"/>
      <c r="K121" s="334"/>
      <c r="L121" s="127"/>
      <c r="M121" s="334"/>
      <c r="N121" s="127"/>
      <c r="O121" s="327"/>
      <c r="P121" s="121"/>
      <c r="Q121" s="143"/>
      <c r="R121" s="143"/>
      <c r="S121" s="17"/>
      <c r="T121" s="17"/>
    </row>
    <row r="122">
      <c r="A122" s="327"/>
      <c r="B122" s="121"/>
      <c r="C122" s="327"/>
      <c r="D122" s="127"/>
      <c r="E122" s="327"/>
      <c r="F122" s="121"/>
      <c r="G122" s="327"/>
      <c r="H122" s="121"/>
      <c r="I122" s="334"/>
      <c r="J122" s="127"/>
      <c r="K122" s="334"/>
      <c r="L122" s="127"/>
      <c r="M122" s="334"/>
      <c r="N122" s="127"/>
      <c r="O122" s="327"/>
      <c r="P122" s="121"/>
      <c r="Q122" s="143"/>
      <c r="R122" s="143"/>
      <c r="S122" s="17"/>
      <c r="T122" s="17"/>
    </row>
    <row r="123">
      <c r="A123" s="327"/>
      <c r="B123" s="121"/>
      <c r="C123" s="327"/>
      <c r="D123" s="127"/>
      <c r="E123" s="327"/>
      <c r="F123" s="121"/>
      <c r="G123" s="327"/>
      <c r="H123" s="121"/>
      <c r="I123" s="334"/>
      <c r="J123" s="127"/>
      <c r="K123" s="334"/>
      <c r="L123" s="127"/>
      <c r="M123" s="334"/>
      <c r="N123" s="127"/>
      <c r="O123" s="327"/>
      <c r="P123" s="121"/>
      <c r="Q123" s="143"/>
      <c r="R123" s="143"/>
      <c r="S123" s="17"/>
      <c r="T123" s="17"/>
    </row>
    <row r="124">
      <c r="A124" s="327"/>
      <c r="B124" s="121"/>
      <c r="C124" s="327"/>
      <c r="D124" s="127"/>
      <c r="E124" s="327"/>
      <c r="F124" s="121"/>
      <c r="G124" s="327"/>
      <c r="H124" s="121"/>
      <c r="I124" s="334"/>
      <c r="J124" s="127"/>
      <c r="K124" s="334"/>
      <c r="L124" s="127"/>
      <c r="M124" s="334"/>
      <c r="N124" s="127"/>
      <c r="O124" s="327"/>
      <c r="P124" s="121"/>
      <c r="Q124" s="143"/>
      <c r="R124" s="143"/>
      <c r="S124" s="17"/>
      <c r="T124" s="17"/>
    </row>
    <row r="125">
      <c r="A125" s="327"/>
      <c r="B125" s="121"/>
      <c r="C125" s="327"/>
      <c r="D125" s="127"/>
      <c r="E125" s="327"/>
      <c r="F125" s="121"/>
      <c r="G125" s="327"/>
      <c r="H125" s="121"/>
      <c r="I125" s="334"/>
      <c r="J125" s="127"/>
      <c r="K125" s="334"/>
      <c r="L125" s="127"/>
      <c r="M125" s="334"/>
      <c r="N125" s="127"/>
      <c r="O125" s="327"/>
      <c r="P125" s="121"/>
      <c r="Q125" s="143"/>
      <c r="R125" s="143"/>
      <c r="S125" s="17"/>
      <c r="T125" s="17"/>
    </row>
    <row r="126">
      <c r="A126" s="327"/>
      <c r="B126" s="121"/>
      <c r="C126" s="327"/>
      <c r="D126" s="127"/>
      <c r="E126" s="327"/>
      <c r="F126" s="121"/>
      <c r="G126" s="327"/>
      <c r="H126" s="121"/>
      <c r="I126" s="334"/>
      <c r="J126" s="127"/>
      <c r="K126" s="334"/>
      <c r="L126" s="127"/>
      <c r="M126" s="334"/>
      <c r="N126" s="127"/>
      <c r="O126" s="327"/>
      <c r="P126" s="121"/>
      <c r="Q126" s="143"/>
      <c r="R126" s="143"/>
      <c r="S126" s="17"/>
      <c r="T126" s="17"/>
    </row>
    <row r="127">
      <c r="A127" s="327"/>
      <c r="B127" s="121"/>
      <c r="C127" s="327"/>
      <c r="D127" s="127"/>
      <c r="E127" s="327"/>
      <c r="F127" s="121"/>
      <c r="G127" s="327"/>
      <c r="H127" s="121"/>
      <c r="I127" s="334"/>
      <c r="J127" s="127"/>
      <c r="K127" s="334"/>
      <c r="L127" s="127"/>
      <c r="M127" s="334"/>
      <c r="N127" s="127"/>
      <c r="O127" s="327"/>
      <c r="P127" s="121"/>
      <c r="Q127" s="143"/>
      <c r="R127" s="143"/>
      <c r="S127" s="17"/>
      <c r="T127" s="17"/>
    </row>
    <row r="128">
      <c r="A128" s="327"/>
      <c r="B128" s="121"/>
      <c r="C128" s="327"/>
      <c r="D128" s="127"/>
      <c r="E128" s="327"/>
      <c r="F128" s="121"/>
      <c r="G128" s="327"/>
      <c r="H128" s="121"/>
      <c r="I128" s="334"/>
      <c r="J128" s="127"/>
      <c r="K128" s="334"/>
      <c r="L128" s="127"/>
      <c r="M128" s="334"/>
      <c r="N128" s="127"/>
      <c r="O128" s="327"/>
      <c r="P128" s="121"/>
      <c r="Q128" s="143"/>
      <c r="R128" s="143"/>
      <c r="S128" s="17"/>
      <c r="T128" s="17"/>
    </row>
    <row r="129">
      <c r="A129" s="327"/>
      <c r="B129" s="121"/>
      <c r="C129" s="327"/>
      <c r="D129" s="127"/>
      <c r="E129" s="327"/>
      <c r="F129" s="121"/>
      <c r="G129" s="327"/>
      <c r="H129" s="121"/>
      <c r="I129" s="334"/>
      <c r="J129" s="127"/>
      <c r="K129" s="334"/>
      <c r="L129" s="127"/>
      <c r="M129" s="334"/>
      <c r="N129" s="127"/>
      <c r="O129" s="327"/>
      <c r="P129" s="121"/>
      <c r="Q129" s="143"/>
      <c r="R129" s="143"/>
      <c r="S129" s="17"/>
      <c r="T129" s="17"/>
    </row>
    <row r="130">
      <c r="A130" s="327"/>
      <c r="B130" s="121"/>
      <c r="C130" s="327"/>
      <c r="D130" s="127"/>
      <c r="E130" s="327"/>
      <c r="F130" s="121"/>
      <c r="G130" s="327"/>
      <c r="H130" s="121"/>
      <c r="I130" s="334"/>
      <c r="J130" s="127"/>
      <c r="K130" s="334"/>
      <c r="L130" s="127"/>
      <c r="M130" s="334"/>
      <c r="N130" s="127"/>
      <c r="O130" s="327"/>
      <c r="P130" s="121"/>
      <c r="Q130" s="143"/>
      <c r="R130" s="143"/>
      <c r="S130" s="17"/>
      <c r="T130" s="17"/>
    </row>
    <row r="131">
      <c r="A131" s="327"/>
      <c r="B131" s="121"/>
      <c r="C131" s="327"/>
      <c r="D131" s="127"/>
      <c r="E131" s="327"/>
      <c r="F131" s="121"/>
      <c r="G131" s="327"/>
      <c r="H131" s="121"/>
      <c r="I131" s="334"/>
      <c r="J131" s="127"/>
      <c r="K131" s="334"/>
      <c r="L131" s="127"/>
      <c r="M131" s="334"/>
      <c r="N131" s="127"/>
      <c r="O131" s="327"/>
      <c r="P131" s="121"/>
      <c r="Q131" s="143"/>
      <c r="R131" s="143"/>
      <c r="S131" s="17"/>
      <c r="T131" s="17"/>
    </row>
    <row r="132">
      <c r="A132" s="327"/>
      <c r="B132" s="121"/>
      <c r="C132" s="327"/>
      <c r="D132" s="127"/>
      <c r="E132" s="327"/>
      <c r="F132" s="121"/>
      <c r="G132" s="327"/>
      <c r="H132" s="121"/>
      <c r="I132" s="334"/>
      <c r="J132" s="127"/>
      <c r="K132" s="334"/>
      <c r="L132" s="127"/>
      <c r="M132" s="334"/>
      <c r="N132" s="127"/>
      <c r="O132" s="327"/>
      <c r="P132" s="121"/>
      <c r="Q132" s="143"/>
      <c r="R132" s="143"/>
      <c r="S132" s="17"/>
      <c r="T132" s="17"/>
    </row>
    <row r="133">
      <c r="A133" s="327"/>
      <c r="B133" s="121"/>
      <c r="C133" s="327"/>
      <c r="D133" s="127"/>
      <c r="E133" s="327"/>
      <c r="F133" s="121"/>
      <c r="G133" s="327"/>
      <c r="H133" s="121"/>
      <c r="I133" s="334"/>
      <c r="J133" s="127"/>
      <c r="K133" s="334"/>
      <c r="L133" s="127"/>
      <c r="M133" s="334"/>
      <c r="N133" s="127"/>
      <c r="O133" s="327"/>
      <c r="P133" s="121"/>
      <c r="Q133" s="143"/>
      <c r="R133" s="143"/>
      <c r="S133" s="17"/>
      <c r="T133" s="17"/>
    </row>
    <row r="134">
      <c r="A134" s="327"/>
      <c r="B134" s="121"/>
      <c r="C134" s="327"/>
      <c r="D134" s="127"/>
      <c r="E134" s="327"/>
      <c r="F134" s="121"/>
      <c r="G134" s="327"/>
      <c r="H134" s="121"/>
      <c r="I134" s="334"/>
      <c r="J134" s="127"/>
      <c r="K134" s="334"/>
      <c r="L134" s="127"/>
      <c r="M134" s="334"/>
      <c r="N134" s="127"/>
      <c r="O134" s="327"/>
      <c r="P134" s="121"/>
      <c r="Q134" s="143"/>
      <c r="R134" s="143"/>
      <c r="S134" s="17"/>
      <c r="T134" s="17"/>
    </row>
    <row r="135">
      <c r="A135" s="327"/>
      <c r="B135" s="121"/>
      <c r="C135" s="327"/>
      <c r="D135" s="127"/>
      <c r="E135" s="327"/>
      <c r="F135" s="121"/>
      <c r="G135" s="327"/>
      <c r="H135" s="121"/>
      <c r="I135" s="334"/>
      <c r="J135" s="127"/>
      <c r="K135" s="334"/>
      <c r="L135" s="127"/>
      <c r="M135" s="334"/>
      <c r="N135" s="127"/>
      <c r="O135" s="327"/>
      <c r="P135" s="121"/>
      <c r="Q135" s="143"/>
      <c r="R135" s="143"/>
      <c r="S135" s="17"/>
      <c r="T135" s="17"/>
    </row>
    <row r="136">
      <c r="A136" s="327"/>
      <c r="B136" s="121"/>
      <c r="C136" s="327"/>
      <c r="D136" s="127"/>
      <c r="E136" s="327"/>
      <c r="F136" s="121"/>
      <c r="G136" s="327"/>
      <c r="H136" s="121"/>
      <c r="I136" s="334"/>
      <c r="J136" s="127"/>
      <c r="K136" s="334"/>
      <c r="L136" s="127"/>
      <c r="M136" s="334"/>
      <c r="N136" s="127"/>
      <c r="O136" s="327"/>
      <c r="P136" s="121"/>
      <c r="Q136" s="143"/>
      <c r="R136" s="143"/>
      <c r="S136" s="17"/>
      <c r="T136" s="17"/>
    </row>
    <row r="137">
      <c r="A137" s="327"/>
      <c r="B137" s="121"/>
      <c r="C137" s="327"/>
      <c r="D137" s="127"/>
      <c r="E137" s="327"/>
      <c r="F137" s="121"/>
      <c r="G137" s="327"/>
      <c r="H137" s="121"/>
      <c r="I137" s="334"/>
      <c r="J137" s="127"/>
      <c r="K137" s="334"/>
      <c r="L137" s="127"/>
      <c r="M137" s="334"/>
      <c r="N137" s="127"/>
      <c r="O137" s="327"/>
      <c r="P137" s="121"/>
      <c r="Q137" s="143"/>
      <c r="R137" s="143"/>
      <c r="S137" s="17"/>
      <c r="T137" s="17"/>
    </row>
    <row r="138">
      <c r="A138" s="327"/>
      <c r="B138" s="121"/>
      <c r="C138" s="327"/>
      <c r="D138" s="127"/>
      <c r="E138" s="327"/>
      <c r="F138" s="121"/>
      <c r="G138" s="327"/>
      <c r="H138" s="121"/>
      <c r="I138" s="334"/>
      <c r="J138" s="127"/>
      <c r="K138" s="334"/>
      <c r="L138" s="127"/>
      <c r="M138" s="334"/>
      <c r="N138" s="127"/>
      <c r="O138" s="327"/>
      <c r="P138" s="121"/>
      <c r="Q138" s="143"/>
      <c r="R138" s="143"/>
      <c r="S138" s="17"/>
      <c r="T138" s="17"/>
    </row>
    <row r="139">
      <c r="A139" s="327"/>
      <c r="B139" s="121"/>
      <c r="C139" s="327"/>
      <c r="D139" s="127"/>
      <c r="E139" s="327"/>
      <c r="F139" s="121"/>
      <c r="G139" s="327"/>
      <c r="H139" s="121"/>
      <c r="I139" s="334"/>
      <c r="J139" s="127"/>
      <c r="K139" s="334"/>
      <c r="L139" s="127"/>
      <c r="M139" s="334"/>
      <c r="N139" s="127"/>
      <c r="O139" s="327"/>
      <c r="P139" s="121"/>
      <c r="Q139" s="143"/>
      <c r="R139" s="143"/>
      <c r="S139" s="17"/>
      <c r="T139" s="17"/>
    </row>
    <row r="140">
      <c r="A140" s="327"/>
      <c r="B140" s="121"/>
      <c r="C140" s="327"/>
      <c r="D140" s="127"/>
      <c r="E140" s="327"/>
      <c r="F140" s="121"/>
      <c r="G140" s="327"/>
      <c r="H140" s="121"/>
      <c r="I140" s="334"/>
      <c r="J140" s="127"/>
      <c r="K140" s="334"/>
      <c r="L140" s="127"/>
      <c r="M140" s="334"/>
      <c r="N140" s="127"/>
      <c r="O140" s="327"/>
      <c r="P140" s="121"/>
      <c r="Q140" s="143"/>
      <c r="R140" s="143"/>
      <c r="S140" s="17"/>
      <c r="T140" s="17"/>
    </row>
    <row r="141">
      <c r="A141" s="327"/>
      <c r="B141" s="121"/>
      <c r="C141" s="327"/>
      <c r="D141" s="127"/>
      <c r="E141" s="327"/>
      <c r="F141" s="121"/>
      <c r="G141" s="327"/>
      <c r="H141" s="121"/>
      <c r="I141" s="334"/>
      <c r="J141" s="127"/>
      <c r="K141" s="334"/>
      <c r="L141" s="127"/>
      <c r="M141" s="334"/>
      <c r="N141" s="127"/>
      <c r="O141" s="327"/>
      <c r="P141" s="121"/>
      <c r="Q141" s="143"/>
      <c r="R141" s="143"/>
      <c r="S141" s="17"/>
      <c r="T141" s="17"/>
    </row>
    <row r="142">
      <c r="A142" s="327"/>
      <c r="B142" s="121"/>
      <c r="C142" s="327"/>
      <c r="D142" s="127"/>
      <c r="E142" s="327"/>
      <c r="F142" s="121"/>
      <c r="G142" s="327"/>
      <c r="H142" s="121"/>
      <c r="I142" s="334"/>
      <c r="J142" s="127"/>
      <c r="K142" s="334"/>
      <c r="L142" s="127"/>
      <c r="M142" s="334"/>
      <c r="N142" s="127"/>
      <c r="O142" s="327"/>
      <c r="P142" s="121"/>
      <c r="Q142" s="143"/>
      <c r="R142" s="143"/>
      <c r="S142" s="17"/>
      <c r="T142" s="17"/>
    </row>
    <row r="143">
      <c r="A143" s="327"/>
      <c r="B143" s="121"/>
      <c r="C143" s="327"/>
      <c r="D143" s="127"/>
      <c r="E143" s="327"/>
      <c r="F143" s="121"/>
      <c r="G143" s="327"/>
      <c r="H143" s="121"/>
      <c r="I143" s="334"/>
      <c r="J143" s="127"/>
      <c r="K143" s="334"/>
      <c r="L143" s="127"/>
      <c r="M143" s="334"/>
      <c r="N143" s="127"/>
      <c r="O143" s="327"/>
      <c r="P143" s="121"/>
      <c r="Q143" s="143"/>
      <c r="R143" s="143"/>
      <c r="S143" s="17"/>
      <c r="T143" s="17"/>
    </row>
    <row r="144">
      <c r="A144" s="327"/>
      <c r="B144" s="121"/>
      <c r="C144" s="327"/>
      <c r="D144" s="127"/>
      <c r="E144" s="327"/>
      <c r="F144" s="121"/>
      <c r="G144" s="327"/>
      <c r="H144" s="121"/>
      <c r="I144" s="334"/>
      <c r="J144" s="127"/>
      <c r="K144" s="334"/>
      <c r="L144" s="127"/>
      <c r="M144" s="334"/>
      <c r="N144" s="127"/>
      <c r="O144" s="327"/>
      <c r="P144" s="121"/>
      <c r="Q144" s="143"/>
      <c r="R144" s="143"/>
      <c r="S144" s="17"/>
      <c r="T144" s="17"/>
    </row>
    <row r="145">
      <c r="A145" s="327"/>
      <c r="B145" s="121"/>
      <c r="C145" s="327"/>
      <c r="D145" s="127"/>
      <c r="E145" s="327"/>
      <c r="F145" s="121"/>
      <c r="G145" s="327"/>
      <c r="H145" s="121"/>
      <c r="I145" s="334"/>
      <c r="J145" s="127"/>
      <c r="K145" s="334"/>
      <c r="L145" s="127"/>
      <c r="M145" s="334"/>
      <c r="N145" s="127"/>
      <c r="O145" s="327"/>
      <c r="P145" s="121"/>
      <c r="Q145" s="143"/>
      <c r="R145" s="143"/>
      <c r="S145" s="17"/>
      <c r="T145" s="17"/>
    </row>
    <row r="146">
      <c r="A146" s="327"/>
      <c r="B146" s="121"/>
      <c r="C146" s="327"/>
      <c r="D146" s="127"/>
      <c r="E146" s="327"/>
      <c r="F146" s="121"/>
      <c r="G146" s="327"/>
      <c r="H146" s="121"/>
      <c r="I146" s="334"/>
      <c r="J146" s="127"/>
      <c r="K146" s="334"/>
      <c r="L146" s="127"/>
      <c r="M146" s="334"/>
      <c r="N146" s="127"/>
      <c r="O146" s="327"/>
      <c r="P146" s="121"/>
      <c r="Q146" s="143"/>
      <c r="R146" s="143"/>
      <c r="S146" s="17"/>
      <c r="T146" s="17"/>
    </row>
    <row r="147">
      <c r="A147" s="327"/>
      <c r="B147" s="121"/>
      <c r="C147" s="327"/>
      <c r="D147" s="127"/>
      <c r="E147" s="327"/>
      <c r="F147" s="121"/>
      <c r="G147" s="327"/>
      <c r="H147" s="121"/>
      <c r="I147" s="334"/>
      <c r="J147" s="127"/>
      <c r="K147" s="334"/>
      <c r="L147" s="127"/>
      <c r="M147" s="334"/>
      <c r="N147" s="127"/>
      <c r="O147" s="327"/>
      <c r="P147" s="121"/>
      <c r="Q147" s="143"/>
      <c r="R147" s="143"/>
      <c r="S147" s="17"/>
      <c r="T147" s="17"/>
    </row>
    <row r="148">
      <c r="A148" s="327"/>
      <c r="B148" s="121"/>
      <c r="C148" s="327"/>
      <c r="D148" s="127"/>
      <c r="E148" s="327"/>
      <c r="F148" s="121"/>
      <c r="G148" s="327"/>
      <c r="H148" s="121"/>
      <c r="I148" s="334"/>
      <c r="J148" s="127"/>
      <c r="K148" s="334"/>
      <c r="L148" s="127"/>
      <c r="M148" s="334"/>
      <c r="N148" s="127"/>
      <c r="O148" s="327"/>
      <c r="P148" s="121"/>
      <c r="Q148" s="143"/>
      <c r="R148" s="143"/>
      <c r="S148" s="17"/>
      <c r="T148" s="17"/>
    </row>
    <row r="149">
      <c r="A149" s="327"/>
      <c r="B149" s="121"/>
      <c r="C149" s="327"/>
      <c r="D149" s="127"/>
      <c r="E149" s="327"/>
      <c r="F149" s="121"/>
      <c r="G149" s="327"/>
      <c r="H149" s="121"/>
      <c r="I149" s="334"/>
      <c r="J149" s="127"/>
      <c r="K149" s="334"/>
      <c r="L149" s="127"/>
      <c r="M149" s="334"/>
      <c r="N149" s="127"/>
      <c r="O149" s="327"/>
      <c r="P149" s="121"/>
      <c r="Q149" s="143"/>
      <c r="R149" s="143"/>
      <c r="S149" s="17"/>
      <c r="T149" s="17"/>
    </row>
    <row r="150">
      <c r="A150" s="327"/>
      <c r="B150" s="121"/>
      <c r="C150" s="327"/>
      <c r="D150" s="127"/>
      <c r="E150" s="327"/>
      <c r="F150" s="121"/>
      <c r="G150" s="327"/>
      <c r="H150" s="121"/>
      <c r="I150" s="334"/>
      <c r="J150" s="127"/>
      <c r="K150" s="334"/>
      <c r="L150" s="127"/>
      <c r="M150" s="334"/>
      <c r="N150" s="127"/>
      <c r="O150" s="327"/>
      <c r="P150" s="121"/>
      <c r="Q150" s="143"/>
      <c r="R150" s="143"/>
      <c r="S150" s="17"/>
      <c r="T150" s="17"/>
    </row>
    <row r="151">
      <c r="A151" s="327"/>
      <c r="B151" s="121"/>
      <c r="C151" s="327"/>
      <c r="D151" s="127"/>
      <c r="E151" s="327"/>
      <c r="F151" s="121"/>
      <c r="G151" s="327"/>
      <c r="H151" s="121"/>
      <c r="I151" s="334"/>
      <c r="J151" s="127"/>
      <c r="K151" s="334"/>
      <c r="L151" s="127"/>
      <c r="M151" s="334"/>
      <c r="N151" s="127"/>
      <c r="O151" s="327"/>
      <c r="P151" s="121"/>
      <c r="Q151" s="143"/>
      <c r="R151" s="143"/>
      <c r="S151" s="17"/>
      <c r="T151" s="17"/>
    </row>
    <row r="152">
      <c r="A152" s="327"/>
      <c r="B152" s="121"/>
      <c r="C152" s="327"/>
      <c r="D152" s="127"/>
      <c r="E152" s="327"/>
      <c r="F152" s="121"/>
      <c r="G152" s="327"/>
      <c r="H152" s="121"/>
      <c r="I152" s="334"/>
      <c r="J152" s="127"/>
      <c r="K152" s="334"/>
      <c r="L152" s="127"/>
      <c r="M152" s="334"/>
      <c r="N152" s="127"/>
      <c r="O152" s="327"/>
      <c r="P152" s="121"/>
      <c r="Q152" s="143"/>
      <c r="R152" s="143"/>
      <c r="S152" s="17"/>
      <c r="T152" s="17"/>
    </row>
    <row r="153">
      <c r="A153" s="327"/>
      <c r="B153" s="121"/>
      <c r="C153" s="327"/>
      <c r="D153" s="127"/>
      <c r="E153" s="327"/>
      <c r="F153" s="121"/>
      <c r="G153" s="327"/>
      <c r="H153" s="121"/>
      <c r="I153" s="334"/>
      <c r="J153" s="127"/>
      <c r="K153" s="334"/>
      <c r="L153" s="127"/>
      <c r="M153" s="334"/>
      <c r="N153" s="127"/>
      <c r="O153" s="327"/>
      <c r="P153" s="121"/>
      <c r="Q153" s="143"/>
      <c r="R153" s="143"/>
      <c r="S153" s="17"/>
      <c r="T153" s="17"/>
    </row>
    <row r="154">
      <c r="A154" s="327"/>
      <c r="B154" s="121"/>
      <c r="C154" s="327"/>
      <c r="D154" s="127"/>
      <c r="E154" s="327"/>
      <c r="F154" s="121"/>
      <c r="G154" s="327"/>
      <c r="H154" s="121"/>
      <c r="I154" s="334"/>
      <c r="J154" s="127"/>
      <c r="K154" s="334"/>
      <c r="L154" s="127"/>
      <c r="M154" s="334"/>
      <c r="N154" s="127"/>
      <c r="O154" s="327"/>
      <c r="P154" s="121"/>
      <c r="Q154" s="143"/>
      <c r="R154" s="143"/>
      <c r="S154" s="17"/>
      <c r="T154" s="17"/>
    </row>
    <row r="155">
      <c r="A155" s="327"/>
      <c r="B155" s="121"/>
      <c r="C155" s="327"/>
      <c r="D155" s="127"/>
      <c r="E155" s="327"/>
      <c r="F155" s="121"/>
      <c r="G155" s="327"/>
      <c r="H155" s="121"/>
      <c r="I155" s="334"/>
      <c r="J155" s="127"/>
      <c r="K155" s="334"/>
      <c r="L155" s="127"/>
      <c r="M155" s="334"/>
      <c r="N155" s="127"/>
      <c r="O155" s="327"/>
      <c r="P155" s="121"/>
      <c r="Q155" s="143"/>
      <c r="R155" s="143"/>
      <c r="S155" s="17"/>
      <c r="T155" s="17"/>
    </row>
    <row r="156">
      <c r="A156" s="327"/>
      <c r="B156" s="121"/>
      <c r="C156" s="327"/>
      <c r="D156" s="127"/>
      <c r="E156" s="327"/>
      <c r="F156" s="121"/>
      <c r="G156" s="327"/>
      <c r="H156" s="121"/>
      <c r="I156" s="334"/>
      <c r="J156" s="127"/>
      <c r="K156" s="334"/>
      <c r="L156" s="127"/>
      <c r="M156" s="334"/>
      <c r="N156" s="127"/>
      <c r="O156" s="327"/>
      <c r="P156" s="121"/>
      <c r="Q156" s="143"/>
      <c r="R156" s="143"/>
      <c r="S156" s="17"/>
      <c r="T156" s="17"/>
    </row>
    <row r="157">
      <c r="A157" s="327"/>
      <c r="B157" s="121"/>
      <c r="C157" s="327"/>
      <c r="D157" s="127"/>
      <c r="E157" s="327"/>
      <c r="F157" s="121"/>
      <c r="G157" s="327"/>
      <c r="H157" s="121"/>
      <c r="I157" s="334"/>
      <c r="J157" s="127"/>
      <c r="K157" s="334"/>
      <c r="L157" s="127"/>
      <c r="M157" s="334"/>
      <c r="N157" s="127"/>
      <c r="O157" s="327"/>
      <c r="P157" s="121"/>
      <c r="Q157" s="143"/>
      <c r="R157" s="143"/>
      <c r="S157" s="17"/>
      <c r="T157" s="17"/>
    </row>
    <row r="158">
      <c r="A158" s="327"/>
      <c r="B158" s="121"/>
      <c r="C158" s="327"/>
      <c r="D158" s="127"/>
      <c r="E158" s="327"/>
      <c r="F158" s="121"/>
      <c r="G158" s="327"/>
      <c r="H158" s="121"/>
      <c r="I158" s="334"/>
      <c r="J158" s="127"/>
      <c r="K158" s="334"/>
      <c r="L158" s="127"/>
      <c r="M158" s="334"/>
      <c r="N158" s="127"/>
      <c r="O158" s="327"/>
      <c r="P158" s="121"/>
      <c r="Q158" s="143"/>
      <c r="R158" s="143"/>
      <c r="S158" s="17"/>
      <c r="T158" s="17"/>
    </row>
    <row r="159">
      <c r="A159" s="327"/>
      <c r="B159" s="121"/>
      <c r="C159" s="327"/>
      <c r="D159" s="127"/>
      <c r="E159" s="327"/>
      <c r="F159" s="121"/>
      <c r="G159" s="327"/>
      <c r="H159" s="121"/>
      <c r="I159" s="334"/>
      <c r="J159" s="127"/>
      <c r="K159" s="334"/>
      <c r="L159" s="127"/>
      <c r="M159" s="334"/>
      <c r="N159" s="127"/>
      <c r="O159" s="327"/>
      <c r="P159" s="121"/>
      <c r="Q159" s="143"/>
      <c r="R159" s="143"/>
      <c r="S159" s="17"/>
      <c r="T159" s="17"/>
    </row>
    <row r="160">
      <c r="A160" s="327"/>
      <c r="B160" s="121"/>
      <c r="C160" s="327"/>
      <c r="D160" s="127"/>
      <c r="E160" s="327"/>
      <c r="F160" s="121"/>
      <c r="G160" s="327"/>
      <c r="H160" s="121"/>
      <c r="I160" s="334"/>
      <c r="J160" s="127"/>
      <c r="K160" s="334"/>
      <c r="L160" s="127"/>
      <c r="M160" s="334"/>
      <c r="N160" s="127"/>
      <c r="O160" s="327"/>
      <c r="P160" s="121"/>
      <c r="Q160" s="143"/>
      <c r="R160" s="143"/>
      <c r="S160" s="17"/>
      <c r="T160" s="17"/>
    </row>
    <row r="161">
      <c r="A161" s="327"/>
      <c r="B161" s="121"/>
      <c r="C161" s="327"/>
      <c r="D161" s="127"/>
      <c r="E161" s="327"/>
      <c r="F161" s="121"/>
      <c r="G161" s="327"/>
      <c r="H161" s="121"/>
      <c r="I161" s="334"/>
      <c r="J161" s="127"/>
      <c r="K161" s="334"/>
      <c r="L161" s="127"/>
      <c r="M161" s="334"/>
      <c r="N161" s="127"/>
      <c r="O161" s="327"/>
      <c r="P161" s="121"/>
      <c r="Q161" s="143"/>
      <c r="R161" s="143"/>
      <c r="S161" s="17"/>
      <c r="T161" s="17"/>
    </row>
    <row r="162">
      <c r="A162" s="327"/>
      <c r="B162" s="121"/>
      <c r="C162" s="327"/>
      <c r="D162" s="127"/>
      <c r="E162" s="327"/>
      <c r="F162" s="121"/>
      <c r="G162" s="327"/>
      <c r="H162" s="121"/>
      <c r="I162" s="334"/>
      <c r="J162" s="127"/>
      <c r="K162" s="334"/>
      <c r="L162" s="127"/>
      <c r="M162" s="334"/>
      <c r="N162" s="127"/>
      <c r="O162" s="327"/>
      <c r="P162" s="121"/>
      <c r="Q162" s="143"/>
      <c r="R162" s="143"/>
      <c r="S162" s="17"/>
      <c r="T162" s="17"/>
    </row>
    <row r="163">
      <c r="A163" s="327"/>
      <c r="B163" s="121"/>
      <c r="C163" s="327"/>
      <c r="D163" s="127"/>
      <c r="E163" s="327"/>
      <c r="F163" s="121"/>
      <c r="G163" s="327"/>
      <c r="H163" s="121"/>
      <c r="I163" s="334"/>
      <c r="J163" s="127"/>
      <c r="K163" s="334"/>
      <c r="L163" s="127"/>
      <c r="M163" s="334"/>
      <c r="N163" s="127"/>
      <c r="O163" s="327"/>
      <c r="P163" s="121"/>
      <c r="Q163" s="143"/>
      <c r="R163" s="143"/>
      <c r="S163" s="17"/>
      <c r="T163" s="17"/>
    </row>
    <row r="164">
      <c r="A164" s="327"/>
      <c r="B164" s="121"/>
      <c r="C164" s="327"/>
      <c r="D164" s="127"/>
      <c r="E164" s="327"/>
      <c r="F164" s="121"/>
      <c r="G164" s="327"/>
      <c r="H164" s="121"/>
      <c r="I164" s="334"/>
      <c r="J164" s="127"/>
      <c r="K164" s="334"/>
      <c r="L164" s="127"/>
      <c r="M164" s="334"/>
      <c r="N164" s="127"/>
      <c r="O164" s="327"/>
      <c r="P164" s="121"/>
      <c r="Q164" s="143"/>
      <c r="R164" s="143"/>
      <c r="S164" s="17"/>
      <c r="T164" s="17"/>
    </row>
    <row r="165">
      <c r="A165" s="327"/>
      <c r="B165" s="121"/>
      <c r="C165" s="327"/>
      <c r="D165" s="127"/>
      <c r="E165" s="327"/>
      <c r="F165" s="121"/>
      <c r="G165" s="327"/>
      <c r="H165" s="121"/>
      <c r="I165" s="334"/>
      <c r="J165" s="127"/>
      <c r="K165" s="334"/>
      <c r="L165" s="127"/>
      <c r="M165" s="334"/>
      <c r="N165" s="127"/>
      <c r="O165" s="327"/>
      <c r="P165" s="121"/>
      <c r="Q165" s="143"/>
      <c r="R165" s="143"/>
      <c r="S165" s="17"/>
      <c r="T165" s="17"/>
    </row>
    <row r="166">
      <c r="A166" s="327"/>
      <c r="B166" s="121"/>
      <c r="C166" s="327"/>
      <c r="D166" s="127"/>
      <c r="E166" s="327"/>
      <c r="F166" s="121"/>
      <c r="G166" s="327"/>
      <c r="H166" s="121"/>
      <c r="I166" s="334"/>
      <c r="J166" s="127"/>
      <c r="K166" s="334"/>
      <c r="L166" s="127"/>
      <c r="M166" s="334"/>
      <c r="N166" s="127"/>
      <c r="O166" s="327"/>
      <c r="P166" s="121"/>
      <c r="Q166" s="143"/>
      <c r="R166" s="143"/>
      <c r="S166" s="17"/>
      <c r="T166" s="17"/>
    </row>
    <row r="167">
      <c r="A167" s="327"/>
      <c r="B167" s="121"/>
      <c r="C167" s="327"/>
      <c r="D167" s="127"/>
      <c r="E167" s="327"/>
      <c r="F167" s="121"/>
      <c r="G167" s="327"/>
      <c r="H167" s="121"/>
      <c r="I167" s="334"/>
      <c r="J167" s="127"/>
      <c r="K167" s="334"/>
      <c r="L167" s="127"/>
      <c r="M167" s="334"/>
      <c r="N167" s="127"/>
      <c r="O167" s="327"/>
      <c r="P167" s="121"/>
      <c r="Q167" s="143"/>
      <c r="R167" s="143"/>
      <c r="S167" s="17"/>
      <c r="T167" s="17"/>
    </row>
    <row r="168">
      <c r="A168" s="327"/>
      <c r="B168" s="121"/>
      <c r="C168" s="327"/>
      <c r="D168" s="127"/>
      <c r="E168" s="327"/>
      <c r="F168" s="121"/>
      <c r="G168" s="327"/>
      <c r="H168" s="121"/>
      <c r="I168" s="334"/>
      <c r="J168" s="127"/>
      <c r="K168" s="334"/>
      <c r="L168" s="127"/>
      <c r="M168" s="334"/>
      <c r="N168" s="127"/>
      <c r="O168" s="327"/>
      <c r="P168" s="121"/>
      <c r="Q168" s="143"/>
      <c r="R168" s="143"/>
      <c r="S168" s="17"/>
      <c r="T168" s="17"/>
    </row>
    <row r="169">
      <c r="A169" s="327"/>
      <c r="B169" s="121"/>
      <c r="C169" s="327"/>
      <c r="D169" s="127"/>
      <c r="E169" s="327"/>
      <c r="F169" s="121"/>
      <c r="G169" s="327"/>
      <c r="H169" s="121"/>
      <c r="I169" s="334"/>
      <c r="J169" s="127"/>
      <c r="K169" s="334"/>
      <c r="L169" s="127"/>
      <c r="M169" s="334"/>
      <c r="N169" s="127"/>
      <c r="O169" s="327"/>
      <c r="P169" s="121"/>
      <c r="Q169" s="143"/>
      <c r="R169" s="143"/>
      <c r="S169" s="17"/>
      <c r="T169" s="17"/>
    </row>
    <row r="170">
      <c r="A170" s="327"/>
      <c r="B170" s="121"/>
      <c r="C170" s="327"/>
      <c r="D170" s="127"/>
      <c r="E170" s="327"/>
      <c r="F170" s="121"/>
      <c r="G170" s="327"/>
      <c r="H170" s="121"/>
      <c r="I170" s="334"/>
      <c r="J170" s="127"/>
      <c r="K170" s="334"/>
      <c r="L170" s="127"/>
      <c r="M170" s="334"/>
      <c r="N170" s="127"/>
      <c r="O170" s="327"/>
      <c r="P170" s="121"/>
      <c r="Q170" s="143"/>
      <c r="R170" s="143"/>
      <c r="S170" s="17"/>
      <c r="T170" s="17"/>
    </row>
    <row r="171">
      <c r="A171" s="327"/>
      <c r="B171" s="121"/>
      <c r="C171" s="327"/>
      <c r="D171" s="127"/>
      <c r="E171" s="327"/>
      <c r="F171" s="121"/>
      <c r="G171" s="327"/>
      <c r="H171" s="121"/>
      <c r="I171" s="334"/>
      <c r="J171" s="127"/>
      <c r="K171" s="334"/>
      <c r="L171" s="127"/>
      <c r="M171" s="334"/>
      <c r="N171" s="127"/>
      <c r="O171" s="327"/>
      <c r="P171" s="121"/>
      <c r="Q171" s="143"/>
      <c r="R171" s="143"/>
      <c r="S171" s="17"/>
      <c r="T171" s="17"/>
    </row>
    <row r="172">
      <c r="A172" s="327"/>
      <c r="B172" s="121"/>
      <c r="C172" s="327"/>
      <c r="D172" s="127"/>
      <c r="E172" s="327"/>
      <c r="F172" s="121"/>
      <c r="G172" s="327"/>
      <c r="H172" s="121"/>
      <c r="I172" s="334"/>
      <c r="J172" s="127"/>
      <c r="K172" s="334"/>
      <c r="L172" s="127"/>
      <c r="M172" s="334"/>
      <c r="N172" s="127"/>
      <c r="O172" s="327"/>
      <c r="P172" s="121"/>
      <c r="Q172" s="143"/>
      <c r="R172" s="143"/>
      <c r="S172" s="17"/>
      <c r="T172" s="17"/>
    </row>
    <row r="173">
      <c r="A173" s="327"/>
      <c r="B173" s="121"/>
      <c r="C173" s="327"/>
      <c r="D173" s="127"/>
      <c r="E173" s="327"/>
      <c r="F173" s="121"/>
      <c r="G173" s="327"/>
      <c r="H173" s="121"/>
      <c r="I173" s="334"/>
      <c r="J173" s="127"/>
      <c r="K173" s="334"/>
      <c r="L173" s="127"/>
      <c r="M173" s="334"/>
      <c r="N173" s="127"/>
      <c r="O173" s="327"/>
      <c r="P173" s="121"/>
      <c r="Q173" s="143"/>
      <c r="R173" s="143"/>
      <c r="S173" s="17"/>
      <c r="T173" s="17"/>
    </row>
    <row r="174">
      <c r="A174" s="327"/>
      <c r="B174" s="121"/>
      <c r="C174" s="327"/>
      <c r="D174" s="127"/>
      <c r="E174" s="327"/>
      <c r="F174" s="121"/>
      <c r="G174" s="327"/>
      <c r="H174" s="121"/>
      <c r="I174" s="334"/>
      <c r="J174" s="127"/>
      <c r="K174" s="334"/>
      <c r="L174" s="127"/>
      <c r="M174" s="334"/>
      <c r="N174" s="127"/>
      <c r="O174" s="327"/>
      <c r="P174" s="121"/>
      <c r="Q174" s="143"/>
      <c r="R174" s="143"/>
      <c r="S174" s="17"/>
      <c r="T174" s="17"/>
    </row>
    <row r="175">
      <c r="A175" s="327"/>
      <c r="B175" s="121"/>
      <c r="C175" s="327"/>
      <c r="D175" s="127"/>
      <c r="E175" s="327"/>
      <c r="F175" s="121"/>
      <c r="G175" s="327"/>
      <c r="H175" s="121"/>
      <c r="I175" s="334"/>
      <c r="J175" s="127"/>
      <c r="K175" s="334"/>
      <c r="L175" s="127"/>
      <c r="M175" s="334"/>
      <c r="N175" s="127"/>
      <c r="O175" s="327"/>
      <c r="P175" s="121"/>
      <c r="Q175" s="143"/>
      <c r="R175" s="143"/>
      <c r="S175" s="17"/>
      <c r="T175" s="17"/>
    </row>
    <row r="176">
      <c r="A176" s="327"/>
      <c r="B176" s="121"/>
      <c r="C176" s="327"/>
      <c r="D176" s="127"/>
      <c r="E176" s="327"/>
      <c r="F176" s="121"/>
      <c r="G176" s="327"/>
      <c r="H176" s="121"/>
      <c r="I176" s="334"/>
      <c r="J176" s="127"/>
      <c r="K176" s="334"/>
      <c r="L176" s="127"/>
      <c r="M176" s="334"/>
      <c r="N176" s="127"/>
      <c r="O176" s="327"/>
      <c r="P176" s="121"/>
      <c r="Q176" s="143"/>
      <c r="R176" s="143"/>
      <c r="S176" s="17"/>
      <c r="T176" s="17"/>
    </row>
    <row r="177">
      <c r="A177" s="327"/>
      <c r="B177" s="121"/>
      <c r="C177" s="327"/>
      <c r="D177" s="127"/>
      <c r="E177" s="327"/>
      <c r="F177" s="121"/>
      <c r="G177" s="327"/>
      <c r="H177" s="121"/>
      <c r="I177" s="334"/>
      <c r="J177" s="127"/>
      <c r="K177" s="334"/>
      <c r="L177" s="127"/>
      <c r="M177" s="334"/>
      <c r="N177" s="127"/>
      <c r="O177" s="327"/>
      <c r="P177" s="121"/>
      <c r="Q177" s="143"/>
      <c r="R177" s="143"/>
      <c r="S177" s="17"/>
      <c r="T177" s="17"/>
    </row>
    <row r="178">
      <c r="A178" s="327"/>
      <c r="B178" s="121"/>
      <c r="C178" s="327"/>
      <c r="D178" s="127"/>
      <c r="E178" s="327"/>
      <c r="F178" s="121"/>
      <c r="G178" s="327"/>
      <c r="H178" s="121"/>
      <c r="I178" s="334"/>
      <c r="J178" s="127"/>
      <c r="K178" s="334"/>
      <c r="L178" s="127"/>
      <c r="M178" s="334"/>
      <c r="N178" s="127"/>
      <c r="O178" s="327"/>
      <c r="P178" s="121"/>
      <c r="Q178" s="143"/>
      <c r="R178" s="143"/>
      <c r="S178" s="17"/>
      <c r="T178" s="17"/>
    </row>
    <row r="179">
      <c r="A179" s="327"/>
      <c r="B179" s="121"/>
      <c r="C179" s="327"/>
      <c r="D179" s="127"/>
      <c r="E179" s="327"/>
      <c r="F179" s="121"/>
      <c r="G179" s="327"/>
      <c r="H179" s="121"/>
      <c r="I179" s="334"/>
      <c r="J179" s="127"/>
      <c r="K179" s="334"/>
      <c r="L179" s="127"/>
      <c r="M179" s="334"/>
      <c r="N179" s="127"/>
      <c r="O179" s="327"/>
      <c r="P179" s="121"/>
      <c r="Q179" s="143"/>
      <c r="R179" s="143"/>
      <c r="S179" s="17"/>
      <c r="T179" s="17"/>
    </row>
    <row r="180">
      <c r="A180" s="327"/>
      <c r="B180" s="121"/>
      <c r="C180" s="327"/>
      <c r="D180" s="127"/>
      <c r="E180" s="327"/>
      <c r="F180" s="121"/>
      <c r="G180" s="327"/>
      <c r="H180" s="121"/>
      <c r="I180" s="334"/>
      <c r="J180" s="127"/>
      <c r="K180" s="334"/>
      <c r="L180" s="127"/>
      <c r="M180" s="334"/>
      <c r="N180" s="127"/>
      <c r="O180" s="327"/>
      <c r="P180" s="121"/>
      <c r="Q180" s="143"/>
      <c r="R180" s="143"/>
      <c r="S180" s="17"/>
      <c r="T180" s="17"/>
    </row>
    <row r="181">
      <c r="A181" s="327"/>
      <c r="B181" s="121"/>
      <c r="C181" s="327"/>
      <c r="D181" s="127"/>
      <c r="E181" s="327"/>
      <c r="F181" s="121"/>
      <c r="G181" s="327"/>
      <c r="H181" s="121"/>
      <c r="I181" s="334"/>
      <c r="J181" s="127"/>
      <c r="K181" s="334"/>
      <c r="L181" s="127"/>
      <c r="M181" s="334"/>
      <c r="N181" s="127"/>
      <c r="O181" s="327"/>
      <c r="P181" s="121"/>
      <c r="Q181" s="143"/>
      <c r="R181" s="143"/>
      <c r="S181" s="17"/>
      <c r="T181" s="17"/>
    </row>
    <row r="182">
      <c r="A182" s="327"/>
      <c r="B182" s="121"/>
      <c r="C182" s="327"/>
      <c r="D182" s="127"/>
      <c r="E182" s="327"/>
      <c r="F182" s="121"/>
      <c r="G182" s="327"/>
      <c r="H182" s="121"/>
      <c r="I182" s="334"/>
      <c r="J182" s="127"/>
      <c r="K182" s="334"/>
      <c r="L182" s="127"/>
      <c r="M182" s="334"/>
      <c r="N182" s="127"/>
      <c r="O182" s="327"/>
      <c r="P182" s="121"/>
      <c r="Q182" s="143"/>
      <c r="R182" s="143"/>
      <c r="S182" s="17"/>
      <c r="T182" s="17"/>
    </row>
    <row r="183">
      <c r="A183" s="327"/>
      <c r="B183" s="121"/>
      <c r="C183" s="327"/>
      <c r="D183" s="127"/>
      <c r="E183" s="327"/>
      <c r="F183" s="121"/>
      <c r="G183" s="327"/>
      <c r="H183" s="121"/>
      <c r="I183" s="334"/>
      <c r="J183" s="127"/>
      <c r="K183" s="334"/>
      <c r="L183" s="127"/>
      <c r="M183" s="334"/>
      <c r="N183" s="127"/>
      <c r="O183" s="327"/>
      <c r="P183" s="121"/>
      <c r="Q183" s="143"/>
      <c r="R183" s="143"/>
      <c r="S183" s="17"/>
      <c r="T183" s="17"/>
    </row>
    <row r="184">
      <c r="A184" s="327"/>
      <c r="B184" s="121"/>
      <c r="C184" s="327"/>
      <c r="D184" s="127"/>
      <c r="E184" s="327"/>
      <c r="F184" s="121"/>
      <c r="G184" s="327"/>
      <c r="H184" s="121"/>
      <c r="I184" s="334"/>
      <c r="J184" s="127"/>
      <c r="K184" s="334"/>
      <c r="L184" s="127"/>
      <c r="M184" s="334"/>
      <c r="N184" s="127"/>
      <c r="O184" s="327"/>
      <c r="P184" s="121"/>
      <c r="Q184" s="143"/>
      <c r="R184" s="143"/>
      <c r="S184" s="17"/>
      <c r="T184" s="17"/>
    </row>
    <row r="185">
      <c r="A185" s="327"/>
      <c r="B185" s="121"/>
      <c r="C185" s="327"/>
      <c r="D185" s="127"/>
      <c r="E185" s="327"/>
      <c r="F185" s="121"/>
      <c r="G185" s="327"/>
      <c r="H185" s="121"/>
      <c r="I185" s="334"/>
      <c r="J185" s="127"/>
      <c r="K185" s="334"/>
      <c r="L185" s="127"/>
      <c r="M185" s="334"/>
      <c r="N185" s="127"/>
      <c r="O185" s="327"/>
      <c r="P185" s="121"/>
      <c r="Q185" s="143"/>
      <c r="R185" s="143"/>
      <c r="S185" s="17"/>
      <c r="T185" s="17"/>
    </row>
    <row r="186">
      <c r="A186" s="327"/>
      <c r="B186" s="121"/>
      <c r="C186" s="327"/>
      <c r="D186" s="127"/>
      <c r="E186" s="327"/>
      <c r="F186" s="121"/>
      <c r="G186" s="327"/>
      <c r="H186" s="121"/>
      <c r="I186" s="334"/>
      <c r="J186" s="127"/>
      <c r="K186" s="334"/>
      <c r="L186" s="127"/>
      <c r="M186" s="334"/>
      <c r="N186" s="127"/>
      <c r="O186" s="327"/>
      <c r="P186" s="121"/>
      <c r="Q186" s="143"/>
      <c r="R186" s="143"/>
      <c r="S186" s="17"/>
      <c r="T186" s="17"/>
    </row>
    <row r="187">
      <c r="A187" s="327"/>
      <c r="B187" s="121"/>
      <c r="C187" s="327"/>
      <c r="D187" s="127"/>
      <c r="E187" s="327"/>
      <c r="F187" s="121"/>
      <c r="G187" s="327"/>
      <c r="H187" s="121"/>
      <c r="I187" s="334"/>
      <c r="J187" s="127"/>
      <c r="K187" s="334"/>
      <c r="L187" s="127"/>
      <c r="M187" s="334"/>
      <c r="N187" s="127"/>
      <c r="O187" s="327"/>
      <c r="P187" s="121"/>
      <c r="Q187" s="143"/>
      <c r="R187" s="143"/>
      <c r="S187" s="17"/>
      <c r="T187" s="17"/>
    </row>
    <row r="188">
      <c r="A188" s="327"/>
      <c r="B188" s="121"/>
      <c r="C188" s="327"/>
      <c r="D188" s="127"/>
      <c r="E188" s="327"/>
      <c r="F188" s="121"/>
      <c r="G188" s="327"/>
      <c r="H188" s="121"/>
      <c r="I188" s="334"/>
      <c r="J188" s="127"/>
      <c r="K188" s="334"/>
      <c r="L188" s="127"/>
      <c r="M188" s="334"/>
      <c r="N188" s="127"/>
      <c r="O188" s="327"/>
      <c r="P188" s="121"/>
      <c r="Q188" s="143"/>
      <c r="R188" s="143"/>
      <c r="S188" s="17"/>
      <c r="T188" s="17"/>
    </row>
    <row r="189">
      <c r="A189" s="327"/>
      <c r="B189" s="121"/>
      <c r="C189" s="327"/>
      <c r="D189" s="127"/>
      <c r="E189" s="327"/>
      <c r="F189" s="121"/>
      <c r="G189" s="327"/>
      <c r="H189" s="121"/>
      <c r="I189" s="334"/>
      <c r="J189" s="127"/>
      <c r="K189" s="334"/>
      <c r="L189" s="127"/>
      <c r="M189" s="334"/>
      <c r="N189" s="127"/>
      <c r="O189" s="327"/>
      <c r="P189" s="121"/>
      <c r="Q189" s="143"/>
      <c r="R189" s="143"/>
      <c r="S189" s="17"/>
      <c r="T189" s="17"/>
    </row>
    <row r="190">
      <c r="A190" s="327"/>
      <c r="B190" s="121"/>
      <c r="C190" s="327"/>
      <c r="D190" s="127"/>
      <c r="E190" s="327"/>
      <c r="F190" s="121"/>
      <c r="G190" s="327"/>
      <c r="H190" s="121"/>
      <c r="I190" s="334"/>
      <c r="J190" s="127"/>
      <c r="K190" s="334"/>
      <c r="L190" s="127"/>
      <c r="M190" s="334"/>
      <c r="N190" s="127"/>
      <c r="O190" s="327"/>
      <c r="P190" s="121"/>
      <c r="Q190" s="143"/>
      <c r="R190" s="143"/>
      <c r="S190" s="17"/>
      <c r="T190" s="17"/>
    </row>
    <row r="191">
      <c r="A191" s="327"/>
      <c r="B191" s="121"/>
      <c r="C191" s="327"/>
      <c r="D191" s="127"/>
      <c r="E191" s="327"/>
      <c r="F191" s="121"/>
      <c r="G191" s="327"/>
      <c r="H191" s="121"/>
      <c r="I191" s="334"/>
      <c r="J191" s="127"/>
      <c r="K191" s="334"/>
      <c r="L191" s="127"/>
      <c r="M191" s="334"/>
      <c r="N191" s="127"/>
      <c r="O191" s="327"/>
      <c r="P191" s="121"/>
      <c r="Q191" s="143"/>
      <c r="R191" s="143"/>
      <c r="S191" s="17"/>
      <c r="T191" s="17"/>
    </row>
    <row r="192">
      <c r="A192" s="327"/>
      <c r="B192" s="121"/>
      <c r="C192" s="327"/>
      <c r="D192" s="127"/>
      <c r="E192" s="327"/>
      <c r="F192" s="121"/>
      <c r="G192" s="327"/>
      <c r="H192" s="121"/>
      <c r="I192" s="334"/>
      <c r="J192" s="127"/>
      <c r="K192" s="334"/>
      <c r="L192" s="127"/>
      <c r="M192" s="334"/>
      <c r="N192" s="127"/>
      <c r="O192" s="327"/>
      <c r="P192" s="121"/>
      <c r="Q192" s="143"/>
      <c r="R192" s="143"/>
      <c r="S192" s="17"/>
      <c r="T192" s="17"/>
    </row>
    <row r="193">
      <c r="A193" s="327"/>
      <c r="B193" s="121"/>
      <c r="C193" s="327"/>
      <c r="D193" s="127"/>
      <c r="E193" s="327"/>
      <c r="F193" s="121"/>
      <c r="G193" s="327"/>
      <c r="H193" s="121"/>
      <c r="I193" s="334"/>
      <c r="J193" s="127"/>
      <c r="K193" s="334"/>
      <c r="L193" s="127"/>
      <c r="M193" s="334"/>
      <c r="N193" s="127"/>
      <c r="O193" s="327"/>
      <c r="P193" s="121"/>
      <c r="Q193" s="143"/>
      <c r="R193" s="143"/>
      <c r="S193" s="17"/>
      <c r="T193" s="17"/>
    </row>
    <row r="194">
      <c r="A194" s="327"/>
      <c r="B194" s="121"/>
      <c r="C194" s="327"/>
      <c r="D194" s="127"/>
      <c r="E194" s="327"/>
      <c r="F194" s="121"/>
      <c r="G194" s="327"/>
      <c r="H194" s="121"/>
      <c r="I194" s="334"/>
      <c r="J194" s="127"/>
      <c r="K194" s="334"/>
      <c r="L194" s="127"/>
      <c r="M194" s="334"/>
      <c r="N194" s="127"/>
      <c r="O194" s="327"/>
      <c r="P194" s="121"/>
      <c r="Q194" s="143"/>
      <c r="R194" s="143"/>
      <c r="S194" s="17"/>
      <c r="T194" s="17"/>
    </row>
    <row r="195">
      <c r="A195" s="327"/>
      <c r="B195" s="121"/>
      <c r="C195" s="327"/>
      <c r="D195" s="127"/>
      <c r="E195" s="327"/>
      <c r="F195" s="121"/>
      <c r="G195" s="327"/>
      <c r="H195" s="121"/>
      <c r="I195" s="334"/>
      <c r="J195" s="127"/>
      <c r="K195" s="334"/>
      <c r="L195" s="127"/>
      <c r="M195" s="334"/>
      <c r="N195" s="127"/>
      <c r="O195" s="327"/>
      <c r="P195" s="121"/>
      <c r="Q195" s="143"/>
      <c r="R195" s="143"/>
      <c r="S195" s="17"/>
      <c r="T195" s="17"/>
    </row>
    <row r="196">
      <c r="A196" s="327"/>
      <c r="B196" s="121"/>
      <c r="C196" s="327"/>
      <c r="D196" s="127"/>
      <c r="E196" s="327"/>
      <c r="F196" s="121"/>
      <c r="G196" s="327"/>
      <c r="H196" s="121"/>
      <c r="I196" s="334"/>
      <c r="J196" s="127"/>
      <c r="K196" s="334"/>
      <c r="L196" s="127"/>
      <c r="M196" s="334"/>
      <c r="N196" s="127"/>
      <c r="O196" s="327"/>
      <c r="P196" s="121"/>
      <c r="Q196" s="143"/>
      <c r="R196" s="143"/>
      <c r="S196" s="17"/>
      <c r="T196" s="17"/>
    </row>
    <row r="197">
      <c r="A197" s="327"/>
      <c r="B197" s="121"/>
      <c r="C197" s="327"/>
      <c r="D197" s="127"/>
      <c r="E197" s="327"/>
      <c r="F197" s="121"/>
      <c r="G197" s="327"/>
      <c r="H197" s="121"/>
      <c r="I197" s="334"/>
      <c r="J197" s="127"/>
      <c r="K197" s="334"/>
      <c r="L197" s="127"/>
      <c r="M197" s="334"/>
      <c r="N197" s="127"/>
      <c r="O197" s="327"/>
      <c r="P197" s="121"/>
      <c r="Q197" s="143"/>
      <c r="R197" s="143"/>
      <c r="S197" s="17"/>
      <c r="T197" s="17"/>
    </row>
    <row r="198">
      <c r="A198" s="327"/>
      <c r="B198" s="121"/>
      <c r="C198" s="327"/>
      <c r="D198" s="127"/>
      <c r="E198" s="327"/>
      <c r="F198" s="121"/>
      <c r="G198" s="327"/>
      <c r="H198" s="121"/>
      <c r="I198" s="334"/>
      <c r="J198" s="127"/>
      <c r="K198" s="334"/>
      <c r="L198" s="127"/>
      <c r="M198" s="334"/>
      <c r="N198" s="127"/>
      <c r="O198" s="327"/>
      <c r="P198" s="121"/>
      <c r="Q198" s="143"/>
      <c r="R198" s="143"/>
      <c r="S198" s="17"/>
      <c r="T198" s="17"/>
    </row>
    <row r="199">
      <c r="A199" s="327"/>
      <c r="B199" s="121"/>
      <c r="C199" s="327"/>
      <c r="D199" s="127"/>
      <c r="E199" s="327"/>
      <c r="F199" s="121"/>
      <c r="G199" s="327"/>
      <c r="H199" s="121"/>
      <c r="I199" s="334"/>
      <c r="J199" s="127"/>
      <c r="K199" s="334"/>
      <c r="L199" s="127"/>
      <c r="M199" s="334"/>
      <c r="N199" s="127"/>
      <c r="O199" s="327"/>
      <c r="P199" s="121"/>
      <c r="Q199" s="143"/>
      <c r="R199" s="143"/>
      <c r="S199" s="17"/>
      <c r="T199" s="17"/>
    </row>
    <row r="200">
      <c r="A200" s="327"/>
      <c r="B200" s="121"/>
      <c r="C200" s="327"/>
      <c r="D200" s="127"/>
      <c r="E200" s="327"/>
      <c r="F200" s="121"/>
      <c r="G200" s="327"/>
      <c r="H200" s="121"/>
      <c r="I200" s="334"/>
      <c r="J200" s="127"/>
      <c r="K200" s="334"/>
      <c r="L200" s="127"/>
      <c r="M200" s="334"/>
      <c r="N200" s="127"/>
      <c r="O200" s="327"/>
      <c r="P200" s="121"/>
      <c r="Q200" s="143"/>
      <c r="R200" s="143"/>
      <c r="S200" s="17"/>
      <c r="T200" s="17"/>
    </row>
    <row r="201">
      <c r="A201" s="327"/>
      <c r="B201" s="121"/>
      <c r="C201" s="327"/>
      <c r="D201" s="127"/>
      <c r="E201" s="327"/>
      <c r="F201" s="121"/>
      <c r="G201" s="327"/>
      <c r="H201" s="121"/>
      <c r="I201" s="334"/>
      <c r="J201" s="127"/>
      <c r="K201" s="334"/>
      <c r="L201" s="127"/>
      <c r="M201" s="334"/>
      <c r="N201" s="127"/>
      <c r="O201" s="327"/>
      <c r="P201" s="121"/>
      <c r="Q201" s="143"/>
      <c r="R201" s="143"/>
      <c r="S201" s="17"/>
      <c r="T201" s="17"/>
    </row>
    <row r="202">
      <c r="A202" s="327"/>
      <c r="B202" s="121"/>
      <c r="C202" s="327"/>
      <c r="D202" s="127"/>
      <c r="E202" s="327"/>
      <c r="F202" s="121"/>
      <c r="G202" s="327"/>
      <c r="H202" s="121"/>
      <c r="I202" s="334"/>
      <c r="J202" s="127"/>
      <c r="K202" s="334"/>
      <c r="L202" s="127"/>
      <c r="M202" s="334"/>
      <c r="N202" s="127"/>
      <c r="O202" s="327"/>
      <c r="P202" s="121"/>
      <c r="Q202" s="143"/>
      <c r="R202" s="143"/>
      <c r="S202" s="17"/>
      <c r="T202" s="17"/>
    </row>
    <row r="203">
      <c r="A203" s="327"/>
      <c r="B203" s="121"/>
      <c r="C203" s="327"/>
      <c r="D203" s="127"/>
      <c r="E203" s="327"/>
      <c r="F203" s="121"/>
      <c r="G203" s="327"/>
      <c r="H203" s="121"/>
      <c r="I203" s="334"/>
      <c r="J203" s="127"/>
      <c r="K203" s="334"/>
      <c r="L203" s="127"/>
      <c r="M203" s="334"/>
      <c r="N203" s="127"/>
      <c r="O203" s="327"/>
      <c r="P203" s="121"/>
      <c r="Q203" s="143"/>
      <c r="R203" s="143"/>
      <c r="S203" s="17"/>
      <c r="T203" s="17"/>
    </row>
    <row r="204">
      <c r="A204" s="327"/>
      <c r="B204" s="121"/>
      <c r="C204" s="327"/>
      <c r="D204" s="127"/>
      <c r="E204" s="327"/>
      <c r="F204" s="121"/>
      <c r="G204" s="327"/>
      <c r="H204" s="121"/>
      <c r="I204" s="334"/>
      <c r="J204" s="127"/>
      <c r="K204" s="334"/>
      <c r="L204" s="127"/>
      <c r="M204" s="334"/>
      <c r="N204" s="127"/>
      <c r="O204" s="327"/>
      <c r="P204" s="121"/>
      <c r="Q204" s="143"/>
      <c r="R204" s="143"/>
      <c r="S204" s="17"/>
      <c r="T204" s="17"/>
    </row>
    <row r="205">
      <c r="A205" s="327"/>
      <c r="B205" s="121"/>
      <c r="C205" s="327"/>
      <c r="D205" s="127"/>
      <c r="E205" s="327"/>
      <c r="F205" s="121"/>
      <c r="G205" s="327"/>
      <c r="H205" s="121"/>
      <c r="I205" s="334"/>
      <c r="J205" s="127"/>
      <c r="K205" s="334"/>
      <c r="L205" s="127"/>
      <c r="M205" s="334"/>
      <c r="N205" s="127"/>
      <c r="O205" s="327"/>
      <c r="P205" s="121"/>
      <c r="Q205" s="143"/>
      <c r="R205" s="143"/>
      <c r="S205" s="17"/>
      <c r="T205" s="17"/>
    </row>
    <row r="206">
      <c r="A206" s="327"/>
      <c r="B206" s="121"/>
      <c r="C206" s="327"/>
      <c r="D206" s="127"/>
      <c r="E206" s="327"/>
      <c r="F206" s="121"/>
      <c r="G206" s="327"/>
      <c r="H206" s="121"/>
      <c r="I206" s="334"/>
      <c r="J206" s="127"/>
      <c r="K206" s="334"/>
      <c r="L206" s="127"/>
      <c r="M206" s="334"/>
      <c r="N206" s="127"/>
      <c r="O206" s="327"/>
      <c r="P206" s="121"/>
      <c r="Q206" s="143"/>
      <c r="R206" s="143"/>
      <c r="S206" s="17"/>
      <c r="T206" s="17"/>
    </row>
    <row r="207">
      <c r="A207" s="327"/>
      <c r="B207" s="121"/>
      <c r="C207" s="327"/>
      <c r="D207" s="127"/>
      <c r="E207" s="327"/>
      <c r="F207" s="121"/>
      <c r="G207" s="327"/>
      <c r="H207" s="121"/>
      <c r="I207" s="334"/>
      <c r="J207" s="127"/>
      <c r="K207" s="334"/>
      <c r="L207" s="127"/>
      <c r="M207" s="334"/>
      <c r="N207" s="127"/>
      <c r="O207" s="327"/>
      <c r="P207" s="121"/>
      <c r="Q207" s="143"/>
      <c r="R207" s="143"/>
      <c r="S207" s="17"/>
      <c r="T207" s="17"/>
    </row>
    <row r="208">
      <c r="A208" s="327"/>
      <c r="B208" s="121"/>
      <c r="C208" s="327"/>
      <c r="D208" s="127"/>
      <c r="E208" s="327"/>
      <c r="F208" s="121"/>
      <c r="G208" s="327"/>
      <c r="H208" s="121"/>
      <c r="I208" s="334"/>
      <c r="J208" s="127"/>
      <c r="K208" s="334"/>
      <c r="L208" s="127"/>
      <c r="M208" s="334"/>
      <c r="N208" s="127"/>
      <c r="O208" s="327"/>
      <c r="P208" s="121"/>
      <c r="Q208" s="143"/>
      <c r="R208" s="143"/>
      <c r="S208" s="17"/>
      <c r="T208" s="17"/>
    </row>
    <row r="209">
      <c r="A209" s="327"/>
      <c r="B209" s="121"/>
      <c r="C209" s="327"/>
      <c r="D209" s="127"/>
      <c r="E209" s="327"/>
      <c r="F209" s="121"/>
      <c r="G209" s="327"/>
      <c r="H209" s="121"/>
      <c r="I209" s="334"/>
      <c r="J209" s="127"/>
      <c r="K209" s="334"/>
      <c r="L209" s="127"/>
      <c r="M209" s="334"/>
      <c r="N209" s="127"/>
      <c r="O209" s="327"/>
      <c r="P209" s="121"/>
      <c r="Q209" s="143"/>
      <c r="R209" s="143"/>
      <c r="S209" s="17"/>
      <c r="T209" s="17"/>
    </row>
    <row r="210">
      <c r="A210" s="327"/>
      <c r="B210" s="121"/>
      <c r="C210" s="327"/>
      <c r="D210" s="127"/>
      <c r="E210" s="327"/>
      <c r="F210" s="121"/>
      <c r="G210" s="327"/>
      <c r="H210" s="121"/>
      <c r="I210" s="334"/>
      <c r="J210" s="127"/>
      <c r="K210" s="334"/>
      <c r="L210" s="127"/>
      <c r="M210" s="334"/>
      <c r="N210" s="127"/>
      <c r="O210" s="327"/>
      <c r="P210" s="121"/>
      <c r="Q210" s="143"/>
      <c r="R210" s="143"/>
      <c r="S210" s="17"/>
      <c r="T210" s="17"/>
    </row>
    <row r="211">
      <c r="A211" s="327"/>
      <c r="B211" s="121"/>
      <c r="C211" s="327"/>
      <c r="D211" s="127"/>
      <c r="E211" s="327"/>
      <c r="F211" s="121"/>
      <c r="G211" s="327"/>
      <c r="H211" s="121"/>
      <c r="I211" s="334"/>
      <c r="J211" s="127"/>
      <c r="K211" s="334"/>
      <c r="L211" s="127"/>
      <c r="M211" s="334"/>
      <c r="N211" s="127"/>
      <c r="O211" s="327"/>
      <c r="P211" s="121"/>
      <c r="Q211" s="143"/>
      <c r="R211" s="143"/>
      <c r="S211" s="17"/>
      <c r="T211" s="17"/>
    </row>
    <row r="212">
      <c r="A212" s="327"/>
      <c r="B212" s="121"/>
      <c r="C212" s="327"/>
      <c r="D212" s="127"/>
      <c r="E212" s="327"/>
      <c r="F212" s="121"/>
      <c r="G212" s="327"/>
      <c r="H212" s="121"/>
      <c r="I212" s="334"/>
      <c r="J212" s="127"/>
      <c r="K212" s="334"/>
      <c r="L212" s="127"/>
      <c r="M212" s="334"/>
      <c r="N212" s="127"/>
      <c r="O212" s="327"/>
      <c r="P212" s="121"/>
      <c r="Q212" s="143"/>
      <c r="R212" s="143"/>
      <c r="S212" s="17"/>
      <c r="T212" s="17"/>
    </row>
    <row r="213">
      <c r="A213" s="327"/>
      <c r="B213" s="121"/>
      <c r="C213" s="327"/>
      <c r="D213" s="127"/>
      <c r="E213" s="327"/>
      <c r="F213" s="121"/>
      <c r="G213" s="327"/>
      <c r="H213" s="121"/>
      <c r="I213" s="334"/>
      <c r="J213" s="127"/>
      <c r="K213" s="334"/>
      <c r="L213" s="127"/>
      <c r="M213" s="334"/>
      <c r="N213" s="127"/>
      <c r="O213" s="327"/>
      <c r="P213" s="121"/>
      <c r="Q213" s="143"/>
      <c r="R213" s="143"/>
      <c r="S213" s="17"/>
      <c r="T213" s="17"/>
    </row>
    <row r="214">
      <c r="A214" s="327"/>
      <c r="B214" s="121"/>
      <c r="C214" s="327"/>
      <c r="D214" s="127"/>
      <c r="E214" s="327"/>
      <c r="F214" s="121"/>
      <c r="G214" s="327"/>
      <c r="H214" s="121"/>
      <c r="I214" s="334"/>
      <c r="J214" s="127"/>
      <c r="K214" s="334"/>
      <c r="L214" s="127"/>
      <c r="M214" s="334"/>
      <c r="N214" s="127"/>
      <c r="O214" s="327"/>
      <c r="P214" s="121"/>
      <c r="Q214" s="143"/>
      <c r="R214" s="143"/>
      <c r="S214" s="17"/>
      <c r="T214" s="17"/>
    </row>
    <row r="215">
      <c r="A215" s="327"/>
      <c r="B215" s="121"/>
      <c r="C215" s="327"/>
      <c r="D215" s="127"/>
      <c r="E215" s="327"/>
      <c r="F215" s="121"/>
      <c r="G215" s="327"/>
      <c r="H215" s="121"/>
      <c r="I215" s="334"/>
      <c r="J215" s="127"/>
      <c r="K215" s="334"/>
      <c r="L215" s="127"/>
      <c r="M215" s="334"/>
      <c r="N215" s="127"/>
      <c r="O215" s="327"/>
      <c r="P215" s="121"/>
      <c r="Q215" s="143"/>
      <c r="R215" s="143"/>
      <c r="S215" s="17"/>
      <c r="T215" s="17"/>
    </row>
    <row r="216">
      <c r="A216" s="327"/>
      <c r="B216" s="121"/>
      <c r="C216" s="327"/>
      <c r="D216" s="127"/>
      <c r="E216" s="327"/>
      <c r="F216" s="121"/>
      <c r="G216" s="327"/>
      <c r="H216" s="121"/>
      <c r="I216" s="334"/>
      <c r="J216" s="127"/>
      <c r="K216" s="334"/>
      <c r="L216" s="127"/>
      <c r="M216" s="334"/>
      <c r="N216" s="127"/>
      <c r="O216" s="327"/>
      <c r="P216" s="121"/>
      <c r="Q216" s="143"/>
      <c r="R216" s="143"/>
      <c r="S216" s="17"/>
      <c r="T216" s="17"/>
    </row>
    <row r="217">
      <c r="A217" s="327"/>
      <c r="B217" s="121"/>
      <c r="C217" s="327"/>
      <c r="D217" s="127"/>
      <c r="E217" s="327"/>
      <c r="F217" s="121"/>
      <c r="G217" s="327"/>
      <c r="H217" s="121"/>
      <c r="I217" s="334"/>
      <c r="J217" s="127"/>
      <c r="K217" s="334"/>
      <c r="L217" s="127"/>
      <c r="M217" s="334"/>
      <c r="N217" s="127"/>
      <c r="O217" s="327"/>
      <c r="P217" s="121"/>
      <c r="Q217" s="143"/>
      <c r="R217" s="143"/>
      <c r="S217" s="17"/>
      <c r="T217" s="17"/>
    </row>
    <row r="218">
      <c r="A218" s="327"/>
      <c r="B218" s="121"/>
      <c r="C218" s="327"/>
      <c r="D218" s="127"/>
      <c r="E218" s="327"/>
      <c r="F218" s="121"/>
      <c r="G218" s="327"/>
      <c r="H218" s="121"/>
      <c r="I218" s="334"/>
      <c r="J218" s="127"/>
      <c r="K218" s="334"/>
      <c r="L218" s="127"/>
      <c r="M218" s="334"/>
      <c r="N218" s="127"/>
      <c r="O218" s="327"/>
      <c r="P218" s="121"/>
      <c r="Q218" s="143"/>
      <c r="R218" s="143"/>
      <c r="S218" s="17"/>
      <c r="T218" s="17"/>
    </row>
    <row r="219">
      <c r="A219" s="327"/>
      <c r="B219" s="121"/>
      <c r="C219" s="327"/>
      <c r="D219" s="127"/>
      <c r="E219" s="327"/>
      <c r="F219" s="121"/>
      <c r="G219" s="327"/>
      <c r="H219" s="121"/>
      <c r="I219" s="334"/>
      <c r="J219" s="127"/>
      <c r="K219" s="334"/>
      <c r="L219" s="127"/>
      <c r="M219" s="334"/>
      <c r="N219" s="127"/>
      <c r="O219" s="327"/>
      <c r="P219" s="121"/>
      <c r="Q219" s="143"/>
      <c r="R219" s="143"/>
      <c r="S219" s="17"/>
      <c r="T219" s="17"/>
    </row>
    <row r="220">
      <c r="A220" s="327"/>
      <c r="B220" s="121"/>
      <c r="C220" s="327"/>
      <c r="D220" s="127"/>
      <c r="E220" s="327"/>
      <c r="F220" s="121"/>
      <c r="G220" s="327"/>
      <c r="H220" s="121"/>
      <c r="I220" s="334"/>
      <c r="J220" s="127"/>
      <c r="K220" s="334"/>
      <c r="L220" s="127"/>
      <c r="M220" s="334"/>
      <c r="N220" s="127"/>
      <c r="O220" s="327"/>
      <c r="P220" s="121"/>
      <c r="Q220" s="143"/>
      <c r="R220" s="143"/>
      <c r="S220" s="17"/>
      <c r="T220" s="17"/>
    </row>
    <row r="221">
      <c r="A221" s="327"/>
      <c r="B221" s="121"/>
      <c r="C221" s="327"/>
      <c r="D221" s="127"/>
      <c r="E221" s="327"/>
      <c r="F221" s="121"/>
      <c r="G221" s="327"/>
      <c r="H221" s="121"/>
      <c r="I221" s="334"/>
      <c r="J221" s="127"/>
      <c r="K221" s="334"/>
      <c r="L221" s="127"/>
      <c r="M221" s="334"/>
      <c r="N221" s="127"/>
      <c r="O221" s="327"/>
      <c r="P221" s="121"/>
      <c r="Q221" s="143"/>
      <c r="R221" s="143"/>
      <c r="S221" s="17"/>
      <c r="T221" s="17"/>
    </row>
    <row r="222">
      <c r="A222" s="327"/>
      <c r="B222" s="121"/>
      <c r="C222" s="327"/>
      <c r="D222" s="127"/>
      <c r="E222" s="327"/>
      <c r="F222" s="121"/>
      <c r="G222" s="327"/>
      <c r="H222" s="121"/>
      <c r="I222" s="334"/>
      <c r="J222" s="127"/>
      <c r="K222" s="334"/>
      <c r="L222" s="127"/>
      <c r="M222" s="334"/>
      <c r="N222" s="127"/>
      <c r="O222" s="327"/>
      <c r="P222" s="121"/>
      <c r="Q222" s="143"/>
      <c r="R222" s="143"/>
      <c r="S222" s="17"/>
      <c r="T222" s="17"/>
    </row>
    <row r="223">
      <c r="A223" s="327"/>
      <c r="B223" s="121"/>
      <c r="C223" s="327"/>
      <c r="D223" s="127"/>
      <c r="E223" s="327"/>
      <c r="F223" s="121"/>
      <c r="G223" s="327"/>
      <c r="H223" s="121"/>
      <c r="I223" s="334"/>
      <c r="J223" s="127"/>
      <c r="K223" s="334"/>
      <c r="L223" s="127"/>
      <c r="M223" s="334"/>
      <c r="N223" s="127"/>
      <c r="O223" s="327"/>
      <c r="P223" s="121"/>
      <c r="Q223" s="143"/>
      <c r="R223" s="143"/>
      <c r="S223" s="17"/>
      <c r="T223" s="17"/>
    </row>
    <row r="224">
      <c r="A224" s="327"/>
      <c r="B224" s="121"/>
      <c r="C224" s="327"/>
      <c r="D224" s="127"/>
      <c r="E224" s="327"/>
      <c r="F224" s="121"/>
      <c r="G224" s="327"/>
      <c r="H224" s="121"/>
      <c r="I224" s="334"/>
      <c r="J224" s="127"/>
      <c r="K224" s="334"/>
      <c r="L224" s="127"/>
      <c r="M224" s="334"/>
      <c r="N224" s="127"/>
      <c r="O224" s="327"/>
      <c r="P224" s="121"/>
      <c r="Q224" s="143"/>
      <c r="R224" s="143"/>
      <c r="S224" s="17"/>
      <c r="T224" s="17"/>
    </row>
    <row r="225">
      <c r="A225" s="327"/>
      <c r="B225" s="121"/>
      <c r="C225" s="327"/>
      <c r="D225" s="127"/>
      <c r="E225" s="327"/>
      <c r="F225" s="121"/>
      <c r="G225" s="327"/>
      <c r="H225" s="121"/>
      <c r="I225" s="334"/>
      <c r="J225" s="127"/>
      <c r="K225" s="334"/>
      <c r="L225" s="127"/>
      <c r="M225" s="334"/>
      <c r="N225" s="127"/>
      <c r="O225" s="327"/>
      <c r="P225" s="121"/>
      <c r="Q225" s="143"/>
      <c r="R225" s="143"/>
      <c r="S225" s="17"/>
      <c r="T225" s="17"/>
    </row>
    <row r="226">
      <c r="A226" s="327"/>
      <c r="B226" s="121"/>
      <c r="C226" s="327"/>
      <c r="D226" s="127"/>
      <c r="E226" s="327"/>
      <c r="F226" s="121"/>
      <c r="G226" s="327"/>
      <c r="H226" s="121"/>
      <c r="I226" s="334"/>
      <c r="J226" s="127"/>
      <c r="K226" s="334"/>
      <c r="L226" s="127"/>
      <c r="M226" s="334"/>
      <c r="N226" s="127"/>
      <c r="O226" s="327"/>
      <c r="P226" s="121"/>
      <c r="Q226" s="143"/>
      <c r="R226" s="143"/>
      <c r="S226" s="17"/>
      <c r="T226" s="17"/>
    </row>
    <row r="227">
      <c r="A227" s="327"/>
      <c r="B227" s="121"/>
      <c r="C227" s="327"/>
      <c r="D227" s="127"/>
      <c r="E227" s="327"/>
      <c r="F227" s="121"/>
      <c r="G227" s="327"/>
      <c r="H227" s="121"/>
      <c r="I227" s="334"/>
      <c r="J227" s="127"/>
      <c r="K227" s="334"/>
      <c r="L227" s="127"/>
      <c r="M227" s="334"/>
      <c r="N227" s="127"/>
      <c r="O227" s="327"/>
      <c r="P227" s="121"/>
      <c r="Q227" s="143"/>
      <c r="R227" s="143"/>
      <c r="S227" s="17"/>
      <c r="T227" s="17"/>
    </row>
    <row r="228">
      <c r="A228" s="327"/>
      <c r="B228" s="121"/>
      <c r="C228" s="327"/>
      <c r="D228" s="127"/>
      <c r="E228" s="327"/>
      <c r="F228" s="121"/>
      <c r="G228" s="327"/>
      <c r="H228" s="121"/>
      <c r="I228" s="334"/>
      <c r="J228" s="127"/>
      <c r="K228" s="334"/>
      <c r="L228" s="127"/>
      <c r="M228" s="334"/>
      <c r="N228" s="127"/>
      <c r="O228" s="327"/>
      <c r="P228" s="121"/>
      <c r="Q228" s="143"/>
      <c r="R228" s="143"/>
      <c r="S228" s="17"/>
      <c r="T228" s="17"/>
    </row>
    <row r="229">
      <c r="A229" s="327"/>
      <c r="B229" s="121"/>
      <c r="C229" s="327"/>
      <c r="D229" s="127"/>
      <c r="E229" s="327"/>
      <c r="F229" s="121"/>
      <c r="G229" s="327"/>
      <c r="H229" s="121"/>
      <c r="I229" s="334"/>
      <c r="J229" s="127"/>
      <c r="K229" s="334"/>
      <c r="L229" s="127"/>
      <c r="M229" s="334"/>
      <c r="N229" s="127"/>
      <c r="O229" s="327"/>
      <c r="P229" s="121"/>
      <c r="Q229" s="143"/>
      <c r="R229" s="143"/>
      <c r="S229" s="17"/>
      <c r="T229" s="17"/>
    </row>
    <row r="230">
      <c r="A230" s="327"/>
      <c r="B230" s="121"/>
      <c r="C230" s="327"/>
      <c r="D230" s="127"/>
      <c r="E230" s="327"/>
      <c r="F230" s="121"/>
      <c r="G230" s="327"/>
      <c r="H230" s="121"/>
      <c r="I230" s="334"/>
      <c r="J230" s="127"/>
      <c r="K230" s="334"/>
      <c r="L230" s="127"/>
      <c r="M230" s="334"/>
      <c r="N230" s="127"/>
      <c r="O230" s="327"/>
      <c r="P230" s="121"/>
      <c r="Q230" s="143"/>
      <c r="R230" s="143"/>
      <c r="S230" s="17"/>
      <c r="T230" s="17"/>
    </row>
    <row r="231">
      <c r="A231" s="327"/>
      <c r="B231" s="121"/>
      <c r="C231" s="327"/>
      <c r="D231" s="127"/>
      <c r="E231" s="327"/>
      <c r="F231" s="121"/>
      <c r="G231" s="327"/>
      <c r="H231" s="121"/>
      <c r="I231" s="334"/>
      <c r="J231" s="127"/>
      <c r="K231" s="334"/>
      <c r="L231" s="127"/>
      <c r="M231" s="334"/>
      <c r="N231" s="127"/>
      <c r="O231" s="327"/>
      <c r="P231" s="121"/>
      <c r="Q231" s="143"/>
      <c r="R231" s="143"/>
      <c r="S231" s="17"/>
      <c r="T231" s="17"/>
    </row>
    <row r="232">
      <c r="A232" s="327"/>
      <c r="B232" s="121"/>
      <c r="C232" s="327"/>
      <c r="D232" s="127"/>
      <c r="E232" s="327"/>
      <c r="F232" s="121"/>
      <c r="G232" s="327"/>
      <c r="H232" s="121"/>
      <c r="I232" s="334"/>
      <c r="J232" s="127"/>
      <c r="K232" s="334"/>
      <c r="L232" s="127"/>
      <c r="M232" s="334"/>
      <c r="N232" s="127"/>
      <c r="O232" s="327"/>
      <c r="P232" s="121"/>
      <c r="Q232" s="143"/>
      <c r="R232" s="143"/>
      <c r="S232" s="17"/>
      <c r="T232" s="17"/>
    </row>
    <row r="233">
      <c r="A233" s="327"/>
      <c r="B233" s="121"/>
      <c r="C233" s="327"/>
      <c r="D233" s="127"/>
      <c r="E233" s="327"/>
      <c r="F233" s="121"/>
      <c r="G233" s="327"/>
      <c r="H233" s="121"/>
      <c r="I233" s="334"/>
      <c r="J233" s="127"/>
      <c r="K233" s="334"/>
      <c r="L233" s="127"/>
      <c r="M233" s="334"/>
      <c r="N233" s="127"/>
      <c r="O233" s="327"/>
      <c r="P233" s="121"/>
      <c r="Q233" s="143"/>
      <c r="R233" s="143"/>
      <c r="S233" s="17"/>
      <c r="T233" s="17"/>
    </row>
    <row r="234">
      <c r="A234" s="327"/>
      <c r="B234" s="121"/>
      <c r="C234" s="327"/>
      <c r="D234" s="127"/>
      <c r="E234" s="327"/>
      <c r="F234" s="121"/>
      <c r="G234" s="327"/>
      <c r="H234" s="121"/>
      <c r="I234" s="334"/>
      <c r="J234" s="127"/>
      <c r="K234" s="334"/>
      <c r="L234" s="127"/>
      <c r="M234" s="334"/>
      <c r="N234" s="127"/>
      <c r="O234" s="327"/>
      <c r="P234" s="121"/>
      <c r="Q234" s="143"/>
      <c r="R234" s="143"/>
      <c r="S234" s="17"/>
      <c r="T234" s="17"/>
    </row>
    <row r="235">
      <c r="A235" s="327"/>
      <c r="B235" s="121"/>
      <c r="C235" s="327"/>
      <c r="D235" s="127"/>
      <c r="E235" s="327"/>
      <c r="F235" s="121"/>
      <c r="G235" s="327"/>
      <c r="H235" s="121"/>
      <c r="I235" s="334"/>
      <c r="J235" s="127"/>
      <c r="K235" s="334"/>
      <c r="L235" s="127"/>
      <c r="M235" s="334"/>
      <c r="N235" s="127"/>
      <c r="O235" s="327"/>
      <c r="P235" s="121"/>
      <c r="Q235" s="143"/>
      <c r="R235" s="143"/>
      <c r="S235" s="17"/>
      <c r="T235" s="17"/>
    </row>
    <row r="236">
      <c r="A236" s="327"/>
      <c r="B236" s="121"/>
      <c r="C236" s="327"/>
      <c r="D236" s="127"/>
      <c r="E236" s="327"/>
      <c r="F236" s="121"/>
      <c r="G236" s="327"/>
      <c r="H236" s="121"/>
      <c r="I236" s="334"/>
      <c r="J236" s="127"/>
      <c r="K236" s="334"/>
      <c r="L236" s="127"/>
      <c r="M236" s="334"/>
      <c r="N236" s="127"/>
      <c r="O236" s="327"/>
      <c r="P236" s="121"/>
      <c r="Q236" s="143"/>
      <c r="R236" s="143"/>
      <c r="S236" s="17"/>
      <c r="T236" s="17"/>
    </row>
    <row r="237">
      <c r="A237" s="327"/>
      <c r="B237" s="121"/>
      <c r="C237" s="327"/>
      <c r="D237" s="127"/>
      <c r="E237" s="327"/>
      <c r="F237" s="121"/>
      <c r="G237" s="327"/>
      <c r="H237" s="121"/>
      <c r="I237" s="334"/>
      <c r="J237" s="127"/>
      <c r="K237" s="334"/>
      <c r="L237" s="127"/>
      <c r="M237" s="334"/>
      <c r="N237" s="127"/>
      <c r="O237" s="327"/>
      <c r="P237" s="121"/>
      <c r="Q237" s="143"/>
      <c r="R237" s="143"/>
      <c r="S237" s="17"/>
      <c r="T237" s="17"/>
    </row>
    <row r="238">
      <c r="A238" s="327"/>
      <c r="B238" s="121"/>
      <c r="C238" s="327"/>
      <c r="D238" s="127"/>
      <c r="E238" s="327"/>
      <c r="F238" s="121"/>
      <c r="G238" s="327"/>
      <c r="H238" s="121"/>
      <c r="I238" s="334"/>
      <c r="J238" s="127"/>
      <c r="K238" s="334"/>
      <c r="L238" s="127"/>
      <c r="M238" s="334"/>
      <c r="N238" s="127"/>
      <c r="O238" s="327"/>
      <c r="P238" s="121"/>
      <c r="Q238" s="143"/>
      <c r="R238" s="143"/>
      <c r="S238" s="17"/>
      <c r="T238" s="17"/>
    </row>
    <row r="239">
      <c r="A239" s="327"/>
      <c r="B239" s="121"/>
      <c r="C239" s="327"/>
      <c r="D239" s="127"/>
      <c r="E239" s="327"/>
      <c r="F239" s="121"/>
      <c r="G239" s="327"/>
      <c r="H239" s="121"/>
      <c r="I239" s="334"/>
      <c r="J239" s="127"/>
      <c r="K239" s="334"/>
      <c r="L239" s="127"/>
      <c r="M239" s="334"/>
      <c r="N239" s="127"/>
      <c r="O239" s="327"/>
      <c r="P239" s="121"/>
      <c r="Q239" s="143"/>
      <c r="R239" s="143"/>
      <c r="S239" s="17"/>
      <c r="T239" s="17"/>
    </row>
    <row r="240">
      <c r="A240" s="327"/>
      <c r="B240" s="121"/>
      <c r="C240" s="327"/>
      <c r="D240" s="127"/>
      <c r="E240" s="327"/>
      <c r="F240" s="121"/>
      <c r="G240" s="327"/>
      <c r="H240" s="121"/>
      <c r="I240" s="334"/>
      <c r="J240" s="127"/>
      <c r="K240" s="334"/>
      <c r="L240" s="127"/>
      <c r="M240" s="334"/>
      <c r="N240" s="127"/>
      <c r="O240" s="327"/>
      <c r="P240" s="121"/>
      <c r="Q240" s="143"/>
      <c r="R240" s="143"/>
      <c r="S240" s="17"/>
      <c r="T240" s="17"/>
    </row>
    <row r="241">
      <c r="A241" s="327"/>
      <c r="B241" s="121"/>
      <c r="C241" s="327"/>
      <c r="D241" s="127"/>
      <c r="E241" s="327"/>
      <c r="F241" s="121"/>
      <c r="G241" s="327"/>
      <c r="H241" s="121"/>
      <c r="I241" s="334"/>
      <c r="J241" s="127"/>
      <c r="K241" s="334"/>
      <c r="L241" s="127"/>
      <c r="M241" s="334"/>
      <c r="N241" s="127"/>
      <c r="O241" s="327"/>
      <c r="P241" s="121"/>
      <c r="Q241" s="143"/>
      <c r="R241" s="143"/>
      <c r="S241" s="17"/>
      <c r="T241" s="17"/>
    </row>
    <row r="242">
      <c r="A242" s="327"/>
      <c r="B242" s="121"/>
      <c r="C242" s="327"/>
      <c r="D242" s="127"/>
      <c r="E242" s="327"/>
      <c r="F242" s="121"/>
      <c r="G242" s="327"/>
      <c r="H242" s="121"/>
      <c r="I242" s="334"/>
      <c r="J242" s="127"/>
      <c r="K242" s="334"/>
      <c r="L242" s="127"/>
      <c r="M242" s="334"/>
      <c r="N242" s="127"/>
      <c r="O242" s="327"/>
      <c r="P242" s="121"/>
      <c r="Q242" s="143"/>
      <c r="R242" s="143"/>
      <c r="S242" s="17"/>
      <c r="T242" s="17"/>
    </row>
    <row r="243">
      <c r="A243" s="327"/>
      <c r="B243" s="121"/>
      <c r="C243" s="327"/>
      <c r="D243" s="127"/>
      <c r="E243" s="327"/>
      <c r="F243" s="121"/>
      <c r="G243" s="327"/>
      <c r="H243" s="121"/>
      <c r="I243" s="334"/>
      <c r="J243" s="127"/>
      <c r="K243" s="334"/>
      <c r="L243" s="127"/>
      <c r="M243" s="334"/>
      <c r="N243" s="127"/>
      <c r="O243" s="327"/>
      <c r="P243" s="121"/>
      <c r="Q243" s="143"/>
      <c r="R243" s="143"/>
      <c r="S243" s="17"/>
      <c r="T243" s="17"/>
    </row>
    <row r="244">
      <c r="A244" s="327"/>
      <c r="B244" s="121"/>
      <c r="C244" s="327"/>
      <c r="D244" s="127"/>
      <c r="E244" s="327"/>
      <c r="F244" s="121"/>
      <c r="G244" s="327"/>
      <c r="H244" s="121"/>
      <c r="I244" s="334"/>
      <c r="J244" s="127"/>
      <c r="K244" s="334"/>
      <c r="L244" s="127"/>
      <c r="M244" s="334"/>
      <c r="N244" s="127"/>
      <c r="O244" s="327"/>
      <c r="P244" s="121"/>
      <c r="Q244" s="143"/>
      <c r="R244" s="143"/>
      <c r="S244" s="17"/>
      <c r="T244" s="17"/>
    </row>
    <row r="245">
      <c r="A245" s="327"/>
      <c r="B245" s="121"/>
      <c r="C245" s="327"/>
      <c r="D245" s="127"/>
      <c r="E245" s="327"/>
      <c r="F245" s="121"/>
      <c r="G245" s="327"/>
      <c r="H245" s="121"/>
      <c r="I245" s="334"/>
      <c r="J245" s="127"/>
      <c r="K245" s="334"/>
      <c r="L245" s="127"/>
      <c r="M245" s="334"/>
      <c r="N245" s="127"/>
      <c r="O245" s="327"/>
      <c r="P245" s="121"/>
      <c r="Q245" s="143"/>
      <c r="R245" s="143"/>
      <c r="S245" s="17"/>
      <c r="T245" s="17"/>
    </row>
    <row r="246">
      <c r="A246" s="327"/>
      <c r="B246" s="121"/>
      <c r="C246" s="327"/>
      <c r="D246" s="127"/>
      <c r="E246" s="327"/>
      <c r="F246" s="121"/>
      <c r="G246" s="327"/>
      <c r="H246" s="121"/>
      <c r="I246" s="334"/>
      <c r="J246" s="127"/>
      <c r="K246" s="334"/>
      <c r="L246" s="127"/>
      <c r="M246" s="334"/>
      <c r="N246" s="127"/>
      <c r="O246" s="327"/>
      <c r="P246" s="121"/>
      <c r="Q246" s="143"/>
      <c r="R246" s="143"/>
      <c r="S246" s="17"/>
      <c r="T246" s="17"/>
    </row>
    <row r="247">
      <c r="A247" s="327"/>
      <c r="B247" s="121"/>
      <c r="C247" s="327"/>
      <c r="D247" s="127"/>
      <c r="E247" s="327"/>
      <c r="F247" s="121"/>
      <c r="G247" s="327"/>
      <c r="H247" s="121"/>
      <c r="I247" s="334"/>
      <c r="J247" s="127"/>
      <c r="K247" s="334"/>
      <c r="L247" s="127"/>
      <c r="M247" s="334"/>
      <c r="N247" s="127"/>
      <c r="O247" s="327"/>
      <c r="P247" s="121"/>
      <c r="Q247" s="143"/>
      <c r="R247" s="143"/>
      <c r="S247" s="17"/>
      <c r="T247" s="17"/>
    </row>
    <row r="248">
      <c r="A248" s="327"/>
      <c r="B248" s="121"/>
      <c r="C248" s="327"/>
      <c r="D248" s="127"/>
      <c r="E248" s="327"/>
      <c r="F248" s="121"/>
      <c r="G248" s="327"/>
      <c r="H248" s="121"/>
      <c r="I248" s="334"/>
      <c r="J248" s="127"/>
      <c r="K248" s="334"/>
      <c r="L248" s="127"/>
      <c r="M248" s="334"/>
      <c r="N248" s="127"/>
      <c r="O248" s="327"/>
      <c r="P248" s="121"/>
      <c r="Q248" s="143"/>
      <c r="R248" s="143"/>
      <c r="S248" s="17"/>
      <c r="T248" s="17"/>
    </row>
    <row r="249">
      <c r="A249" s="327"/>
      <c r="B249" s="121"/>
      <c r="C249" s="327"/>
      <c r="D249" s="127"/>
      <c r="E249" s="327"/>
      <c r="F249" s="121"/>
      <c r="G249" s="327"/>
      <c r="H249" s="121"/>
      <c r="I249" s="334"/>
      <c r="J249" s="127"/>
      <c r="K249" s="334"/>
      <c r="L249" s="127"/>
      <c r="M249" s="334"/>
      <c r="N249" s="127"/>
      <c r="O249" s="327"/>
      <c r="P249" s="121"/>
      <c r="Q249" s="143"/>
      <c r="R249" s="143"/>
      <c r="S249" s="17"/>
      <c r="T249" s="17"/>
    </row>
    <row r="250">
      <c r="A250" s="327"/>
      <c r="B250" s="121"/>
      <c r="C250" s="327"/>
      <c r="D250" s="127"/>
      <c r="E250" s="327"/>
      <c r="F250" s="121"/>
      <c r="G250" s="327"/>
      <c r="H250" s="121"/>
      <c r="I250" s="334"/>
      <c r="J250" s="127"/>
      <c r="K250" s="334"/>
      <c r="L250" s="127"/>
      <c r="M250" s="334"/>
      <c r="N250" s="127"/>
      <c r="O250" s="327"/>
      <c r="P250" s="121"/>
      <c r="Q250" s="143"/>
      <c r="R250" s="143"/>
      <c r="S250" s="17"/>
      <c r="T250" s="17"/>
    </row>
    <row r="251">
      <c r="A251" s="327"/>
      <c r="B251" s="121"/>
      <c r="C251" s="327"/>
      <c r="D251" s="127"/>
      <c r="E251" s="327"/>
      <c r="F251" s="121"/>
      <c r="G251" s="327"/>
      <c r="H251" s="121"/>
      <c r="I251" s="334"/>
      <c r="J251" s="127"/>
      <c r="K251" s="334"/>
      <c r="L251" s="127"/>
      <c r="M251" s="334"/>
      <c r="N251" s="127"/>
      <c r="O251" s="327"/>
      <c r="P251" s="121"/>
      <c r="Q251" s="143"/>
      <c r="R251" s="143"/>
      <c r="S251" s="17"/>
      <c r="T251" s="17"/>
    </row>
    <row r="252">
      <c r="A252" s="327"/>
      <c r="B252" s="121"/>
      <c r="C252" s="327"/>
      <c r="D252" s="127"/>
      <c r="E252" s="327"/>
      <c r="F252" s="121"/>
      <c r="G252" s="327"/>
      <c r="H252" s="121"/>
      <c r="I252" s="334"/>
      <c r="J252" s="127"/>
      <c r="K252" s="334"/>
      <c r="L252" s="127"/>
      <c r="M252" s="334"/>
      <c r="N252" s="127"/>
      <c r="O252" s="327"/>
      <c r="P252" s="121"/>
      <c r="Q252" s="143"/>
      <c r="R252" s="143"/>
      <c r="S252" s="17"/>
      <c r="T252" s="17"/>
    </row>
    <row r="253">
      <c r="A253" s="327"/>
      <c r="B253" s="121"/>
      <c r="C253" s="327"/>
      <c r="D253" s="127"/>
      <c r="E253" s="327"/>
      <c r="F253" s="121"/>
      <c r="G253" s="327"/>
      <c r="H253" s="121"/>
      <c r="I253" s="334"/>
      <c r="J253" s="127"/>
      <c r="K253" s="334"/>
      <c r="L253" s="127"/>
      <c r="M253" s="334"/>
      <c r="N253" s="127"/>
      <c r="O253" s="327"/>
      <c r="P253" s="121"/>
      <c r="Q253" s="143"/>
      <c r="R253" s="143"/>
      <c r="S253" s="17"/>
      <c r="T253" s="17"/>
    </row>
    <row r="254">
      <c r="A254" s="327"/>
      <c r="B254" s="121"/>
      <c r="C254" s="327"/>
      <c r="D254" s="127"/>
      <c r="E254" s="327"/>
      <c r="F254" s="121"/>
      <c r="G254" s="327"/>
      <c r="H254" s="121"/>
      <c r="I254" s="334"/>
      <c r="J254" s="127"/>
      <c r="K254" s="334"/>
      <c r="L254" s="127"/>
      <c r="M254" s="334"/>
      <c r="N254" s="127"/>
      <c r="O254" s="327"/>
      <c r="P254" s="121"/>
      <c r="Q254" s="143"/>
      <c r="R254" s="143"/>
      <c r="S254" s="17"/>
      <c r="T254" s="17"/>
    </row>
    <row r="255">
      <c r="A255" s="327"/>
      <c r="B255" s="121"/>
      <c r="C255" s="327"/>
      <c r="D255" s="127"/>
      <c r="E255" s="327"/>
      <c r="F255" s="121"/>
      <c r="G255" s="327"/>
      <c r="H255" s="121"/>
      <c r="I255" s="334"/>
      <c r="J255" s="127"/>
      <c r="K255" s="334"/>
      <c r="L255" s="127"/>
      <c r="M255" s="334"/>
      <c r="N255" s="127"/>
      <c r="O255" s="327"/>
      <c r="P255" s="121"/>
      <c r="Q255" s="143"/>
      <c r="R255" s="143"/>
      <c r="S255" s="17"/>
      <c r="T255" s="17"/>
    </row>
    <row r="256">
      <c r="A256" s="327"/>
      <c r="B256" s="121"/>
      <c r="C256" s="327"/>
      <c r="D256" s="127"/>
      <c r="E256" s="327"/>
      <c r="F256" s="121"/>
      <c r="G256" s="327"/>
      <c r="H256" s="121"/>
      <c r="I256" s="334"/>
      <c r="J256" s="127"/>
      <c r="K256" s="334"/>
      <c r="L256" s="127"/>
      <c r="M256" s="334"/>
      <c r="N256" s="127"/>
      <c r="O256" s="327"/>
      <c r="P256" s="121"/>
      <c r="Q256" s="143"/>
      <c r="R256" s="143"/>
      <c r="S256" s="17"/>
      <c r="T256" s="17"/>
    </row>
    <row r="257">
      <c r="A257" s="327"/>
      <c r="B257" s="121"/>
      <c r="C257" s="327"/>
      <c r="D257" s="127"/>
      <c r="E257" s="327"/>
      <c r="F257" s="121"/>
      <c r="G257" s="327"/>
      <c r="H257" s="121"/>
      <c r="I257" s="334"/>
      <c r="J257" s="127"/>
      <c r="K257" s="334"/>
      <c r="L257" s="127"/>
      <c r="M257" s="334"/>
      <c r="N257" s="127"/>
      <c r="O257" s="327"/>
      <c r="P257" s="121"/>
      <c r="Q257" s="143"/>
      <c r="R257" s="143"/>
      <c r="S257" s="17"/>
      <c r="T257" s="17"/>
    </row>
    <row r="258">
      <c r="A258" s="327"/>
      <c r="B258" s="121"/>
      <c r="C258" s="327"/>
      <c r="D258" s="127"/>
      <c r="E258" s="327"/>
      <c r="F258" s="121"/>
      <c r="G258" s="327"/>
      <c r="H258" s="121"/>
      <c r="I258" s="334"/>
      <c r="J258" s="127"/>
      <c r="K258" s="334"/>
      <c r="L258" s="127"/>
      <c r="M258" s="334"/>
      <c r="N258" s="127"/>
      <c r="O258" s="327"/>
      <c r="P258" s="121"/>
      <c r="Q258" s="143"/>
      <c r="R258" s="143"/>
      <c r="S258" s="17"/>
      <c r="T258" s="17"/>
    </row>
    <row r="259">
      <c r="A259" s="327"/>
      <c r="B259" s="121"/>
      <c r="C259" s="327"/>
      <c r="D259" s="127"/>
      <c r="E259" s="327"/>
      <c r="F259" s="121"/>
      <c r="G259" s="327"/>
      <c r="H259" s="121"/>
      <c r="I259" s="334"/>
      <c r="J259" s="127"/>
      <c r="K259" s="334"/>
      <c r="L259" s="127"/>
      <c r="M259" s="334"/>
      <c r="N259" s="127"/>
      <c r="O259" s="327"/>
      <c r="P259" s="121"/>
      <c r="Q259" s="143"/>
      <c r="R259" s="143"/>
      <c r="S259" s="17"/>
      <c r="T259" s="17"/>
    </row>
    <row r="260">
      <c r="A260" s="327"/>
      <c r="B260" s="121"/>
      <c r="C260" s="327"/>
      <c r="D260" s="127"/>
      <c r="E260" s="327"/>
      <c r="F260" s="121"/>
      <c r="G260" s="327"/>
      <c r="H260" s="121"/>
      <c r="I260" s="334"/>
      <c r="J260" s="127"/>
      <c r="K260" s="334"/>
      <c r="L260" s="127"/>
      <c r="M260" s="334"/>
      <c r="N260" s="127"/>
      <c r="O260" s="327"/>
      <c r="P260" s="121"/>
      <c r="Q260" s="143"/>
      <c r="R260" s="143"/>
      <c r="S260" s="17"/>
      <c r="T260" s="17"/>
    </row>
    <row r="261">
      <c r="A261" s="327"/>
      <c r="B261" s="121"/>
      <c r="C261" s="327"/>
      <c r="D261" s="127"/>
      <c r="E261" s="327"/>
      <c r="F261" s="121"/>
      <c r="G261" s="327"/>
      <c r="H261" s="121"/>
      <c r="I261" s="334"/>
      <c r="J261" s="127"/>
      <c r="K261" s="334"/>
      <c r="L261" s="127"/>
      <c r="M261" s="334"/>
      <c r="N261" s="127"/>
      <c r="O261" s="327"/>
      <c r="P261" s="121"/>
      <c r="Q261" s="143"/>
      <c r="R261" s="143"/>
      <c r="S261" s="17"/>
      <c r="T261" s="17"/>
    </row>
    <row r="262">
      <c r="A262" s="327"/>
      <c r="B262" s="121"/>
      <c r="C262" s="327"/>
      <c r="D262" s="127"/>
      <c r="E262" s="327"/>
      <c r="F262" s="121"/>
      <c r="G262" s="327"/>
      <c r="H262" s="121"/>
      <c r="I262" s="334"/>
      <c r="J262" s="127"/>
      <c r="K262" s="334"/>
      <c r="L262" s="127"/>
      <c r="M262" s="334"/>
      <c r="N262" s="127"/>
      <c r="O262" s="327"/>
      <c r="P262" s="121"/>
      <c r="Q262" s="143"/>
      <c r="R262" s="143"/>
      <c r="S262" s="17"/>
      <c r="T262" s="17"/>
    </row>
    <row r="263">
      <c r="A263" s="327"/>
      <c r="B263" s="121"/>
      <c r="C263" s="327"/>
      <c r="D263" s="127"/>
      <c r="E263" s="327"/>
      <c r="F263" s="121"/>
      <c r="G263" s="327"/>
      <c r="H263" s="121"/>
      <c r="I263" s="334"/>
      <c r="J263" s="127"/>
      <c r="K263" s="334"/>
      <c r="L263" s="127"/>
      <c r="M263" s="334"/>
      <c r="N263" s="127"/>
      <c r="O263" s="327"/>
      <c r="P263" s="121"/>
      <c r="Q263" s="143"/>
      <c r="R263" s="143"/>
      <c r="S263" s="17"/>
      <c r="T263" s="17"/>
    </row>
    <row r="264">
      <c r="A264" s="327"/>
      <c r="B264" s="121"/>
      <c r="C264" s="327"/>
      <c r="D264" s="127"/>
      <c r="E264" s="327"/>
      <c r="F264" s="121"/>
      <c r="G264" s="327"/>
      <c r="H264" s="121"/>
      <c r="I264" s="334"/>
      <c r="J264" s="127"/>
      <c r="K264" s="334"/>
      <c r="L264" s="127"/>
      <c r="M264" s="334"/>
      <c r="N264" s="127"/>
      <c r="O264" s="327"/>
      <c r="P264" s="121"/>
      <c r="Q264" s="143"/>
      <c r="R264" s="143"/>
      <c r="S264" s="17"/>
      <c r="T264" s="17"/>
    </row>
    <row r="265">
      <c r="A265" s="327"/>
      <c r="B265" s="121"/>
      <c r="C265" s="327"/>
      <c r="D265" s="127"/>
      <c r="E265" s="327"/>
      <c r="F265" s="121"/>
      <c r="G265" s="327"/>
      <c r="H265" s="121"/>
      <c r="I265" s="334"/>
      <c r="J265" s="127"/>
      <c r="K265" s="334"/>
      <c r="L265" s="127"/>
      <c r="M265" s="334"/>
      <c r="N265" s="127"/>
      <c r="O265" s="327"/>
      <c r="P265" s="121"/>
      <c r="Q265" s="143"/>
      <c r="R265" s="143"/>
      <c r="S265" s="17"/>
      <c r="T265" s="17"/>
    </row>
    <row r="266">
      <c r="A266" s="327"/>
      <c r="B266" s="121"/>
      <c r="C266" s="327"/>
      <c r="D266" s="127"/>
      <c r="E266" s="327"/>
      <c r="F266" s="121"/>
      <c r="G266" s="327"/>
      <c r="H266" s="121"/>
      <c r="I266" s="334"/>
      <c r="J266" s="127"/>
      <c r="K266" s="334"/>
      <c r="L266" s="127"/>
      <c r="M266" s="334"/>
      <c r="N266" s="127"/>
      <c r="O266" s="327"/>
      <c r="P266" s="121"/>
      <c r="Q266" s="143"/>
      <c r="R266" s="143"/>
      <c r="S266" s="17"/>
      <c r="T266" s="17"/>
    </row>
    <row r="267">
      <c r="A267" s="327"/>
      <c r="B267" s="121"/>
      <c r="C267" s="327"/>
      <c r="D267" s="127"/>
      <c r="E267" s="327"/>
      <c r="F267" s="121"/>
      <c r="G267" s="327"/>
      <c r="H267" s="121"/>
      <c r="I267" s="334"/>
      <c r="J267" s="127"/>
      <c r="K267" s="334"/>
      <c r="L267" s="127"/>
      <c r="M267" s="334"/>
      <c r="N267" s="127"/>
      <c r="O267" s="327"/>
      <c r="P267" s="121"/>
      <c r="Q267" s="143"/>
      <c r="R267" s="143"/>
      <c r="S267" s="17"/>
      <c r="T267" s="17"/>
    </row>
    <row r="268">
      <c r="A268" s="327"/>
      <c r="B268" s="121"/>
      <c r="C268" s="327"/>
      <c r="D268" s="127"/>
      <c r="E268" s="327"/>
      <c r="F268" s="121"/>
      <c r="G268" s="327"/>
      <c r="H268" s="121"/>
      <c r="I268" s="334"/>
      <c r="J268" s="127"/>
      <c r="K268" s="334"/>
      <c r="L268" s="127"/>
      <c r="M268" s="334"/>
      <c r="N268" s="127"/>
      <c r="O268" s="327"/>
      <c r="P268" s="121"/>
      <c r="Q268" s="143"/>
      <c r="R268" s="143"/>
      <c r="S268" s="17"/>
      <c r="T268" s="17"/>
    </row>
    <row r="269">
      <c r="A269" s="327"/>
      <c r="B269" s="121"/>
      <c r="C269" s="327"/>
      <c r="D269" s="127"/>
      <c r="E269" s="327"/>
      <c r="F269" s="121"/>
      <c r="G269" s="327"/>
      <c r="H269" s="121"/>
      <c r="I269" s="334"/>
      <c r="J269" s="127"/>
      <c r="K269" s="334"/>
      <c r="L269" s="127"/>
      <c r="M269" s="334"/>
      <c r="N269" s="127"/>
      <c r="O269" s="327"/>
      <c r="P269" s="121"/>
      <c r="Q269" s="143"/>
      <c r="R269" s="143"/>
      <c r="S269" s="17"/>
      <c r="T269" s="17"/>
    </row>
    <row r="270">
      <c r="A270" s="327"/>
      <c r="B270" s="121"/>
      <c r="C270" s="327"/>
      <c r="D270" s="127"/>
      <c r="E270" s="327"/>
      <c r="F270" s="121"/>
      <c r="G270" s="327"/>
      <c r="H270" s="121"/>
      <c r="I270" s="334"/>
      <c r="J270" s="127"/>
      <c r="K270" s="334"/>
      <c r="L270" s="127"/>
      <c r="M270" s="334"/>
      <c r="N270" s="127"/>
      <c r="O270" s="327"/>
      <c r="P270" s="121"/>
      <c r="Q270" s="143"/>
      <c r="R270" s="143"/>
      <c r="S270" s="17"/>
      <c r="T270" s="17"/>
    </row>
    <row r="271">
      <c r="A271" s="327"/>
      <c r="B271" s="121"/>
      <c r="C271" s="327"/>
      <c r="D271" s="127"/>
      <c r="E271" s="327"/>
      <c r="F271" s="121"/>
      <c r="G271" s="327"/>
      <c r="H271" s="121"/>
      <c r="I271" s="334"/>
      <c r="J271" s="127"/>
      <c r="K271" s="334"/>
      <c r="L271" s="127"/>
      <c r="M271" s="334"/>
      <c r="N271" s="127"/>
      <c r="O271" s="327"/>
      <c r="P271" s="121"/>
      <c r="Q271" s="143"/>
      <c r="R271" s="143"/>
      <c r="S271" s="17"/>
      <c r="T271" s="17"/>
    </row>
    <row r="272">
      <c r="A272" s="327"/>
      <c r="B272" s="121"/>
      <c r="C272" s="327"/>
      <c r="D272" s="127"/>
      <c r="E272" s="327"/>
      <c r="F272" s="121"/>
      <c r="G272" s="327"/>
      <c r="H272" s="121"/>
      <c r="I272" s="334"/>
      <c r="J272" s="127"/>
      <c r="K272" s="334"/>
      <c r="L272" s="127"/>
      <c r="M272" s="334"/>
      <c r="N272" s="127"/>
      <c r="O272" s="327"/>
      <c r="P272" s="121"/>
      <c r="Q272" s="143"/>
      <c r="R272" s="143"/>
      <c r="S272" s="17"/>
      <c r="T272" s="17"/>
    </row>
    <row r="273">
      <c r="A273" s="327"/>
      <c r="B273" s="121"/>
      <c r="C273" s="327"/>
      <c r="D273" s="127"/>
      <c r="E273" s="327"/>
      <c r="F273" s="121"/>
      <c r="G273" s="327"/>
      <c r="H273" s="121"/>
      <c r="I273" s="334"/>
      <c r="J273" s="127"/>
      <c r="K273" s="334"/>
      <c r="L273" s="127"/>
      <c r="M273" s="334"/>
      <c r="N273" s="127"/>
      <c r="O273" s="327"/>
      <c r="P273" s="121"/>
      <c r="Q273" s="143"/>
      <c r="R273" s="143"/>
      <c r="S273" s="17"/>
      <c r="T273" s="17"/>
    </row>
    <row r="274">
      <c r="A274" s="327"/>
      <c r="B274" s="121"/>
      <c r="C274" s="327"/>
      <c r="D274" s="127"/>
      <c r="E274" s="327"/>
      <c r="F274" s="121"/>
      <c r="G274" s="327"/>
      <c r="H274" s="121"/>
      <c r="I274" s="334"/>
      <c r="J274" s="127"/>
      <c r="K274" s="334"/>
      <c r="L274" s="127"/>
      <c r="M274" s="334"/>
      <c r="N274" s="127"/>
      <c r="O274" s="327"/>
      <c r="P274" s="121"/>
      <c r="Q274" s="143"/>
      <c r="R274" s="143"/>
      <c r="S274" s="17"/>
      <c r="T274" s="17"/>
    </row>
    <row r="275">
      <c r="A275" s="327"/>
      <c r="B275" s="121"/>
      <c r="C275" s="327"/>
      <c r="D275" s="127"/>
      <c r="E275" s="327"/>
      <c r="F275" s="121"/>
      <c r="G275" s="327"/>
      <c r="H275" s="121"/>
      <c r="I275" s="334"/>
      <c r="J275" s="127"/>
      <c r="K275" s="334"/>
      <c r="L275" s="127"/>
      <c r="M275" s="334"/>
      <c r="N275" s="127"/>
      <c r="O275" s="327"/>
      <c r="P275" s="121"/>
      <c r="Q275" s="143"/>
      <c r="R275" s="143"/>
      <c r="S275" s="17"/>
      <c r="T275" s="17"/>
    </row>
    <row r="276">
      <c r="A276" s="327"/>
      <c r="B276" s="121"/>
      <c r="C276" s="327"/>
      <c r="D276" s="127"/>
      <c r="E276" s="327"/>
      <c r="F276" s="121"/>
      <c r="G276" s="327"/>
      <c r="H276" s="121"/>
      <c r="I276" s="334"/>
      <c r="J276" s="127"/>
      <c r="K276" s="334"/>
      <c r="L276" s="127"/>
      <c r="M276" s="334"/>
      <c r="N276" s="127"/>
      <c r="O276" s="327"/>
      <c r="P276" s="121"/>
      <c r="Q276" s="143"/>
      <c r="R276" s="143"/>
      <c r="S276" s="17"/>
      <c r="T276" s="17"/>
    </row>
    <row r="277">
      <c r="A277" s="327"/>
      <c r="B277" s="121"/>
      <c r="C277" s="327"/>
      <c r="D277" s="127"/>
      <c r="E277" s="327"/>
      <c r="F277" s="121"/>
      <c r="G277" s="327"/>
      <c r="H277" s="121"/>
      <c r="I277" s="334"/>
      <c r="J277" s="127"/>
      <c r="K277" s="334"/>
      <c r="L277" s="127"/>
      <c r="M277" s="334"/>
      <c r="N277" s="127"/>
      <c r="O277" s="327"/>
      <c r="P277" s="121"/>
      <c r="Q277" s="143"/>
      <c r="R277" s="143"/>
      <c r="S277" s="17"/>
      <c r="T277" s="17"/>
    </row>
    <row r="278">
      <c r="A278" s="327"/>
      <c r="B278" s="121"/>
      <c r="C278" s="327"/>
      <c r="D278" s="127"/>
      <c r="E278" s="327"/>
      <c r="F278" s="121"/>
      <c r="G278" s="327"/>
      <c r="H278" s="121"/>
      <c r="I278" s="334"/>
      <c r="J278" s="127"/>
      <c r="K278" s="334"/>
      <c r="L278" s="127"/>
      <c r="M278" s="334"/>
      <c r="N278" s="127"/>
      <c r="O278" s="327"/>
      <c r="P278" s="121"/>
      <c r="Q278" s="143"/>
      <c r="R278" s="143"/>
      <c r="S278" s="17"/>
      <c r="T278" s="17"/>
    </row>
    <row r="279">
      <c r="A279" s="327"/>
      <c r="B279" s="121"/>
      <c r="C279" s="327"/>
      <c r="D279" s="127"/>
      <c r="E279" s="327"/>
      <c r="F279" s="121"/>
      <c r="G279" s="327"/>
      <c r="H279" s="121"/>
      <c r="I279" s="334"/>
      <c r="J279" s="127"/>
      <c r="K279" s="334"/>
      <c r="L279" s="127"/>
      <c r="M279" s="334"/>
      <c r="N279" s="127"/>
      <c r="O279" s="327"/>
      <c r="P279" s="121"/>
      <c r="Q279" s="143"/>
      <c r="R279" s="143"/>
      <c r="S279" s="17"/>
      <c r="T279" s="17"/>
    </row>
    <row r="280">
      <c r="A280" s="327"/>
      <c r="B280" s="121"/>
      <c r="C280" s="327"/>
      <c r="D280" s="127"/>
      <c r="E280" s="327"/>
      <c r="F280" s="121"/>
      <c r="G280" s="327"/>
      <c r="H280" s="121"/>
      <c r="I280" s="334"/>
      <c r="J280" s="127"/>
      <c r="K280" s="334"/>
      <c r="L280" s="127"/>
      <c r="M280" s="334"/>
      <c r="N280" s="127"/>
      <c r="O280" s="327"/>
      <c r="P280" s="121"/>
      <c r="Q280" s="143"/>
      <c r="R280" s="143"/>
      <c r="S280" s="17"/>
      <c r="T280" s="17"/>
    </row>
    <row r="281">
      <c r="A281" s="327"/>
      <c r="B281" s="121"/>
      <c r="C281" s="327"/>
      <c r="D281" s="127"/>
      <c r="E281" s="327"/>
      <c r="F281" s="121"/>
      <c r="G281" s="327"/>
      <c r="H281" s="121"/>
      <c r="I281" s="334"/>
      <c r="J281" s="127"/>
      <c r="K281" s="334"/>
      <c r="L281" s="127"/>
      <c r="M281" s="334"/>
      <c r="N281" s="127"/>
      <c r="O281" s="327"/>
      <c r="P281" s="121"/>
      <c r="Q281" s="143"/>
      <c r="R281" s="143"/>
      <c r="S281" s="17"/>
      <c r="T281" s="17"/>
    </row>
    <row r="282">
      <c r="A282" s="327"/>
      <c r="B282" s="121"/>
      <c r="C282" s="327"/>
      <c r="D282" s="127"/>
      <c r="E282" s="327"/>
      <c r="F282" s="121"/>
      <c r="G282" s="327"/>
      <c r="H282" s="121"/>
      <c r="I282" s="334"/>
      <c r="J282" s="127"/>
      <c r="K282" s="334"/>
      <c r="L282" s="127"/>
      <c r="M282" s="334"/>
      <c r="N282" s="127"/>
      <c r="O282" s="327"/>
      <c r="P282" s="121"/>
      <c r="Q282" s="143"/>
      <c r="R282" s="143"/>
      <c r="S282" s="17"/>
      <c r="T282" s="17"/>
    </row>
    <row r="283">
      <c r="A283" s="327"/>
      <c r="B283" s="121"/>
      <c r="C283" s="327"/>
      <c r="D283" s="127"/>
      <c r="E283" s="327"/>
      <c r="F283" s="121"/>
      <c r="G283" s="327"/>
      <c r="H283" s="121"/>
      <c r="I283" s="334"/>
      <c r="J283" s="127"/>
      <c r="K283" s="334"/>
      <c r="L283" s="127"/>
      <c r="M283" s="334"/>
      <c r="N283" s="127"/>
      <c r="O283" s="327"/>
      <c r="P283" s="121"/>
      <c r="Q283" s="143"/>
      <c r="R283" s="143"/>
      <c r="S283" s="17"/>
      <c r="T283" s="17"/>
    </row>
    <row r="284">
      <c r="A284" s="327"/>
      <c r="B284" s="121"/>
      <c r="C284" s="327"/>
      <c r="D284" s="127"/>
      <c r="E284" s="327"/>
      <c r="F284" s="121"/>
      <c r="G284" s="327"/>
      <c r="H284" s="121"/>
      <c r="I284" s="334"/>
      <c r="J284" s="127"/>
      <c r="K284" s="334"/>
      <c r="L284" s="127"/>
      <c r="M284" s="334"/>
      <c r="N284" s="127"/>
      <c r="O284" s="327"/>
      <c r="P284" s="121"/>
      <c r="Q284" s="143"/>
      <c r="R284" s="143"/>
      <c r="S284" s="17"/>
      <c r="T284" s="17"/>
    </row>
    <row r="285">
      <c r="A285" s="327"/>
      <c r="B285" s="121"/>
      <c r="C285" s="327"/>
      <c r="D285" s="127"/>
      <c r="E285" s="327"/>
      <c r="F285" s="121"/>
      <c r="G285" s="327"/>
      <c r="H285" s="121"/>
      <c r="I285" s="334"/>
      <c r="J285" s="127"/>
      <c r="K285" s="334"/>
      <c r="L285" s="127"/>
      <c r="M285" s="334"/>
      <c r="N285" s="127"/>
      <c r="O285" s="327"/>
      <c r="P285" s="121"/>
      <c r="Q285" s="143"/>
      <c r="R285" s="143"/>
      <c r="S285" s="17"/>
      <c r="T285" s="17"/>
    </row>
    <row r="286">
      <c r="A286" s="327"/>
      <c r="B286" s="121"/>
      <c r="C286" s="327"/>
      <c r="D286" s="127"/>
      <c r="E286" s="327"/>
      <c r="F286" s="121"/>
      <c r="G286" s="327"/>
      <c r="H286" s="121"/>
      <c r="I286" s="334"/>
      <c r="J286" s="127"/>
      <c r="K286" s="334"/>
      <c r="L286" s="127"/>
      <c r="M286" s="334"/>
      <c r="N286" s="127"/>
      <c r="O286" s="327"/>
      <c r="P286" s="121"/>
      <c r="Q286" s="143"/>
      <c r="R286" s="143"/>
      <c r="S286" s="17"/>
      <c r="T286" s="17"/>
    </row>
    <row r="287">
      <c r="A287" s="327"/>
      <c r="B287" s="121"/>
      <c r="C287" s="327"/>
      <c r="D287" s="127"/>
      <c r="E287" s="327"/>
      <c r="F287" s="121"/>
      <c r="G287" s="327"/>
      <c r="H287" s="121"/>
      <c r="I287" s="334"/>
      <c r="J287" s="127"/>
      <c r="K287" s="334"/>
      <c r="L287" s="127"/>
      <c r="M287" s="334"/>
      <c r="N287" s="127"/>
      <c r="O287" s="327"/>
      <c r="P287" s="121"/>
      <c r="Q287" s="143"/>
      <c r="R287" s="143"/>
      <c r="S287" s="17"/>
      <c r="T287" s="17"/>
    </row>
    <row r="288">
      <c r="A288" s="327"/>
      <c r="B288" s="121"/>
      <c r="C288" s="327"/>
      <c r="D288" s="127"/>
      <c r="E288" s="327"/>
      <c r="F288" s="121"/>
      <c r="G288" s="327"/>
      <c r="H288" s="121"/>
      <c r="I288" s="334"/>
      <c r="J288" s="127"/>
      <c r="K288" s="334"/>
      <c r="L288" s="127"/>
      <c r="M288" s="334"/>
      <c r="N288" s="127"/>
      <c r="O288" s="327"/>
      <c r="P288" s="121"/>
      <c r="Q288" s="143"/>
      <c r="R288" s="143"/>
      <c r="S288" s="17"/>
      <c r="T288" s="17"/>
    </row>
    <row r="289">
      <c r="A289" s="327"/>
      <c r="B289" s="121"/>
      <c r="C289" s="327"/>
      <c r="D289" s="127"/>
      <c r="E289" s="327"/>
      <c r="F289" s="121"/>
      <c r="G289" s="327"/>
      <c r="H289" s="121"/>
      <c r="I289" s="334"/>
      <c r="J289" s="127"/>
      <c r="K289" s="334"/>
      <c r="L289" s="127"/>
      <c r="M289" s="334"/>
      <c r="N289" s="127"/>
      <c r="O289" s="327"/>
      <c r="P289" s="121"/>
      <c r="Q289" s="143"/>
      <c r="R289" s="143"/>
      <c r="S289" s="17"/>
      <c r="T289" s="17"/>
    </row>
    <row r="290">
      <c r="A290" s="327"/>
      <c r="B290" s="121"/>
      <c r="C290" s="327"/>
      <c r="D290" s="127"/>
      <c r="E290" s="327"/>
      <c r="F290" s="121"/>
      <c r="G290" s="327"/>
      <c r="H290" s="121"/>
      <c r="I290" s="334"/>
      <c r="J290" s="127"/>
      <c r="K290" s="334"/>
      <c r="L290" s="127"/>
      <c r="M290" s="334"/>
      <c r="N290" s="127"/>
      <c r="O290" s="327"/>
      <c r="P290" s="121"/>
      <c r="Q290" s="143"/>
      <c r="R290" s="143"/>
      <c r="S290" s="17"/>
      <c r="T290" s="17"/>
    </row>
    <row r="291">
      <c r="A291" s="327"/>
      <c r="B291" s="121"/>
      <c r="C291" s="327"/>
      <c r="D291" s="127"/>
      <c r="E291" s="327"/>
      <c r="F291" s="121"/>
      <c r="G291" s="327"/>
      <c r="H291" s="121"/>
      <c r="I291" s="334"/>
      <c r="J291" s="127"/>
      <c r="K291" s="334"/>
      <c r="L291" s="127"/>
      <c r="M291" s="334"/>
      <c r="N291" s="127"/>
      <c r="O291" s="327"/>
      <c r="P291" s="121"/>
      <c r="Q291" s="143"/>
      <c r="R291" s="143"/>
      <c r="S291" s="17"/>
      <c r="T291" s="17"/>
    </row>
    <row r="292">
      <c r="A292" s="327"/>
      <c r="B292" s="121"/>
      <c r="C292" s="327"/>
      <c r="D292" s="127"/>
      <c r="E292" s="327"/>
      <c r="F292" s="121"/>
      <c r="G292" s="327"/>
      <c r="H292" s="121"/>
      <c r="I292" s="334"/>
      <c r="J292" s="127"/>
      <c r="K292" s="334"/>
      <c r="L292" s="127"/>
      <c r="M292" s="334"/>
      <c r="N292" s="127"/>
      <c r="O292" s="327"/>
      <c r="P292" s="121"/>
      <c r="Q292" s="143"/>
      <c r="R292" s="143"/>
      <c r="S292" s="17"/>
      <c r="T292" s="17"/>
    </row>
    <row r="293">
      <c r="A293" s="327"/>
      <c r="B293" s="121"/>
      <c r="C293" s="327"/>
      <c r="D293" s="127"/>
      <c r="E293" s="327"/>
      <c r="F293" s="121"/>
      <c r="G293" s="327"/>
      <c r="H293" s="121"/>
      <c r="I293" s="334"/>
      <c r="J293" s="127"/>
      <c r="K293" s="334"/>
      <c r="L293" s="127"/>
      <c r="M293" s="334"/>
      <c r="N293" s="127"/>
      <c r="O293" s="327"/>
      <c r="P293" s="121"/>
      <c r="Q293" s="143"/>
      <c r="R293" s="143"/>
      <c r="S293" s="17"/>
      <c r="T293" s="17"/>
    </row>
    <row r="294">
      <c r="A294" s="327"/>
      <c r="B294" s="121"/>
      <c r="C294" s="327"/>
      <c r="D294" s="127"/>
      <c r="E294" s="327"/>
      <c r="F294" s="121"/>
      <c r="G294" s="327"/>
      <c r="H294" s="121"/>
      <c r="I294" s="334"/>
      <c r="J294" s="127"/>
      <c r="K294" s="334"/>
      <c r="L294" s="127"/>
      <c r="M294" s="334"/>
      <c r="N294" s="127"/>
      <c r="O294" s="327"/>
      <c r="P294" s="121"/>
      <c r="Q294" s="143"/>
      <c r="R294" s="143"/>
      <c r="S294" s="17"/>
      <c r="T294" s="17"/>
    </row>
    <row r="295">
      <c r="A295" s="327"/>
      <c r="B295" s="121"/>
      <c r="C295" s="327"/>
      <c r="D295" s="127"/>
      <c r="E295" s="327"/>
      <c r="F295" s="121"/>
      <c r="G295" s="327"/>
      <c r="H295" s="121"/>
      <c r="I295" s="334"/>
      <c r="J295" s="127"/>
      <c r="K295" s="334"/>
      <c r="L295" s="127"/>
      <c r="M295" s="334"/>
      <c r="N295" s="127"/>
      <c r="O295" s="327"/>
      <c r="P295" s="121"/>
      <c r="Q295" s="143"/>
      <c r="R295" s="143"/>
      <c r="S295" s="17"/>
      <c r="T295" s="17"/>
    </row>
    <row r="296">
      <c r="A296" s="327"/>
      <c r="B296" s="121"/>
      <c r="C296" s="327"/>
      <c r="D296" s="127"/>
      <c r="E296" s="327"/>
      <c r="F296" s="121"/>
      <c r="G296" s="327"/>
      <c r="H296" s="121"/>
      <c r="I296" s="334"/>
      <c r="J296" s="127"/>
      <c r="K296" s="334"/>
      <c r="L296" s="127"/>
      <c r="M296" s="334"/>
      <c r="N296" s="127"/>
      <c r="O296" s="327"/>
      <c r="P296" s="121"/>
      <c r="Q296" s="143"/>
      <c r="R296" s="143"/>
      <c r="S296" s="17"/>
      <c r="T296" s="17"/>
    </row>
    <row r="297">
      <c r="A297" s="327"/>
      <c r="B297" s="121"/>
      <c r="C297" s="327"/>
      <c r="D297" s="127"/>
      <c r="E297" s="327"/>
      <c r="F297" s="121"/>
      <c r="G297" s="327"/>
      <c r="H297" s="121"/>
      <c r="I297" s="334"/>
      <c r="J297" s="127"/>
      <c r="K297" s="334"/>
      <c r="L297" s="127"/>
      <c r="M297" s="334"/>
      <c r="N297" s="127"/>
      <c r="O297" s="327"/>
      <c r="P297" s="121"/>
      <c r="Q297" s="143"/>
      <c r="R297" s="143"/>
      <c r="S297" s="17"/>
      <c r="T297" s="17"/>
    </row>
    <row r="298">
      <c r="A298" s="327"/>
      <c r="B298" s="121"/>
      <c r="C298" s="327"/>
      <c r="D298" s="127"/>
      <c r="E298" s="327"/>
      <c r="F298" s="121"/>
      <c r="G298" s="327"/>
      <c r="H298" s="121"/>
      <c r="I298" s="334"/>
      <c r="J298" s="127"/>
      <c r="K298" s="334"/>
      <c r="L298" s="127"/>
      <c r="M298" s="334"/>
      <c r="N298" s="127"/>
      <c r="O298" s="327"/>
      <c r="P298" s="121"/>
      <c r="Q298" s="143"/>
      <c r="R298" s="143"/>
      <c r="S298" s="17"/>
      <c r="T298" s="17"/>
    </row>
    <row r="299">
      <c r="A299" s="327"/>
      <c r="B299" s="121"/>
      <c r="C299" s="327"/>
      <c r="D299" s="127"/>
      <c r="E299" s="327"/>
      <c r="F299" s="121"/>
      <c r="G299" s="327"/>
      <c r="H299" s="121"/>
      <c r="I299" s="334"/>
      <c r="J299" s="127"/>
      <c r="K299" s="334"/>
      <c r="L299" s="127"/>
      <c r="M299" s="334"/>
      <c r="N299" s="127"/>
      <c r="O299" s="327"/>
      <c r="P299" s="121"/>
      <c r="Q299" s="143"/>
      <c r="R299" s="143"/>
      <c r="S299" s="17"/>
      <c r="T299" s="17"/>
    </row>
    <row r="300">
      <c r="A300" s="327"/>
      <c r="B300" s="121"/>
      <c r="C300" s="327"/>
      <c r="D300" s="127"/>
      <c r="E300" s="327"/>
      <c r="F300" s="121"/>
      <c r="G300" s="327"/>
      <c r="H300" s="121"/>
      <c r="I300" s="334"/>
      <c r="J300" s="127"/>
      <c r="K300" s="334"/>
      <c r="L300" s="127"/>
      <c r="M300" s="334"/>
      <c r="N300" s="127"/>
      <c r="O300" s="327"/>
      <c r="P300" s="121"/>
      <c r="Q300" s="143"/>
      <c r="R300" s="143"/>
      <c r="S300" s="17"/>
      <c r="T300" s="17"/>
    </row>
    <row r="301">
      <c r="A301" s="327"/>
      <c r="B301" s="121"/>
      <c r="C301" s="327"/>
      <c r="D301" s="127"/>
      <c r="E301" s="327"/>
      <c r="F301" s="121"/>
      <c r="G301" s="327"/>
      <c r="H301" s="121"/>
      <c r="I301" s="334"/>
      <c r="J301" s="127"/>
      <c r="K301" s="334"/>
      <c r="L301" s="127"/>
      <c r="M301" s="334"/>
      <c r="N301" s="127"/>
      <c r="O301" s="327"/>
      <c r="P301" s="121"/>
      <c r="Q301" s="143"/>
      <c r="R301" s="143"/>
      <c r="S301" s="17"/>
      <c r="T301" s="17"/>
    </row>
    <row r="302">
      <c r="A302" s="327"/>
      <c r="B302" s="121"/>
      <c r="C302" s="327"/>
      <c r="D302" s="127"/>
      <c r="E302" s="327"/>
      <c r="F302" s="121"/>
      <c r="G302" s="327"/>
      <c r="H302" s="121"/>
      <c r="I302" s="334"/>
      <c r="J302" s="127"/>
      <c r="K302" s="334"/>
      <c r="L302" s="127"/>
      <c r="M302" s="334"/>
      <c r="N302" s="127"/>
      <c r="O302" s="327"/>
      <c r="P302" s="121"/>
      <c r="Q302" s="143"/>
      <c r="R302" s="143"/>
      <c r="S302" s="17"/>
      <c r="T302" s="17"/>
    </row>
    <row r="303">
      <c r="A303" s="327"/>
      <c r="B303" s="121"/>
      <c r="C303" s="327"/>
      <c r="D303" s="127"/>
      <c r="E303" s="327"/>
      <c r="F303" s="121"/>
      <c r="G303" s="327"/>
      <c r="H303" s="121"/>
      <c r="I303" s="334"/>
      <c r="J303" s="127"/>
      <c r="K303" s="334"/>
      <c r="L303" s="127"/>
      <c r="M303" s="334"/>
      <c r="N303" s="127"/>
      <c r="O303" s="327"/>
      <c r="P303" s="121"/>
      <c r="Q303" s="143"/>
      <c r="R303" s="143"/>
      <c r="S303" s="17"/>
      <c r="T303" s="17"/>
    </row>
    <row r="304">
      <c r="A304" s="327"/>
      <c r="B304" s="121"/>
      <c r="C304" s="327"/>
      <c r="D304" s="127"/>
      <c r="E304" s="327"/>
      <c r="F304" s="121"/>
      <c r="G304" s="327"/>
      <c r="H304" s="121"/>
      <c r="I304" s="334"/>
      <c r="J304" s="127"/>
      <c r="K304" s="334"/>
      <c r="L304" s="127"/>
      <c r="M304" s="334"/>
      <c r="N304" s="127"/>
      <c r="O304" s="327"/>
      <c r="P304" s="121"/>
      <c r="Q304" s="143"/>
      <c r="R304" s="143"/>
      <c r="S304" s="17"/>
      <c r="T304" s="17"/>
    </row>
    <row r="305">
      <c r="A305" s="327"/>
      <c r="B305" s="121"/>
      <c r="C305" s="327"/>
      <c r="D305" s="127"/>
      <c r="E305" s="327"/>
      <c r="F305" s="121"/>
      <c r="G305" s="327"/>
      <c r="H305" s="121"/>
      <c r="I305" s="334"/>
      <c r="J305" s="127"/>
      <c r="K305" s="334"/>
      <c r="L305" s="127"/>
      <c r="M305" s="334"/>
      <c r="N305" s="127"/>
      <c r="O305" s="327"/>
      <c r="P305" s="121"/>
      <c r="Q305" s="143"/>
      <c r="R305" s="143"/>
      <c r="S305" s="17"/>
      <c r="T305" s="17"/>
    </row>
    <row r="306">
      <c r="A306" s="327"/>
      <c r="B306" s="121"/>
      <c r="C306" s="327"/>
      <c r="D306" s="127"/>
      <c r="E306" s="327"/>
      <c r="F306" s="121"/>
      <c r="G306" s="327"/>
      <c r="H306" s="121"/>
      <c r="I306" s="334"/>
      <c r="J306" s="127"/>
      <c r="K306" s="334"/>
      <c r="L306" s="127"/>
      <c r="M306" s="334"/>
      <c r="N306" s="127"/>
      <c r="O306" s="327"/>
      <c r="P306" s="121"/>
      <c r="Q306" s="143"/>
      <c r="R306" s="143"/>
      <c r="S306" s="17"/>
      <c r="T306" s="17"/>
    </row>
    <row r="307">
      <c r="A307" s="327"/>
      <c r="B307" s="121"/>
      <c r="C307" s="327"/>
      <c r="D307" s="127"/>
      <c r="E307" s="327"/>
      <c r="F307" s="121"/>
      <c r="G307" s="327"/>
      <c r="H307" s="121"/>
      <c r="I307" s="334"/>
      <c r="J307" s="127"/>
      <c r="K307" s="334"/>
      <c r="L307" s="127"/>
      <c r="M307" s="334"/>
      <c r="N307" s="127"/>
      <c r="O307" s="327"/>
      <c r="P307" s="121"/>
      <c r="Q307" s="143"/>
      <c r="R307" s="143"/>
      <c r="S307" s="17"/>
      <c r="T307" s="17"/>
    </row>
    <row r="308">
      <c r="A308" s="327"/>
      <c r="B308" s="121"/>
      <c r="C308" s="327"/>
      <c r="D308" s="127"/>
      <c r="E308" s="327"/>
      <c r="F308" s="121"/>
      <c r="G308" s="327"/>
      <c r="H308" s="121"/>
      <c r="I308" s="334"/>
      <c r="J308" s="127"/>
      <c r="K308" s="334"/>
      <c r="L308" s="127"/>
      <c r="M308" s="334"/>
      <c r="N308" s="127"/>
      <c r="O308" s="327"/>
      <c r="P308" s="121"/>
      <c r="Q308" s="143"/>
      <c r="R308" s="143"/>
      <c r="S308" s="17"/>
      <c r="T308" s="17"/>
    </row>
    <row r="309">
      <c r="A309" s="327"/>
      <c r="B309" s="121"/>
      <c r="C309" s="327"/>
      <c r="D309" s="127"/>
      <c r="E309" s="327"/>
      <c r="F309" s="121"/>
      <c r="G309" s="327"/>
      <c r="H309" s="121"/>
      <c r="I309" s="334"/>
      <c r="J309" s="127"/>
      <c r="K309" s="334"/>
      <c r="L309" s="127"/>
      <c r="M309" s="334"/>
      <c r="N309" s="127"/>
      <c r="O309" s="327"/>
      <c r="P309" s="121"/>
      <c r="Q309" s="143"/>
      <c r="R309" s="143"/>
      <c r="S309" s="17"/>
      <c r="T309" s="17"/>
    </row>
    <row r="310">
      <c r="A310" s="327"/>
      <c r="B310" s="121"/>
      <c r="C310" s="327"/>
      <c r="D310" s="127"/>
      <c r="E310" s="327"/>
      <c r="F310" s="121"/>
      <c r="G310" s="327"/>
      <c r="H310" s="121"/>
      <c r="I310" s="334"/>
      <c r="J310" s="127"/>
      <c r="K310" s="334"/>
      <c r="L310" s="127"/>
      <c r="M310" s="334"/>
      <c r="N310" s="127"/>
      <c r="O310" s="327"/>
      <c r="P310" s="121"/>
      <c r="Q310" s="143"/>
      <c r="R310" s="143"/>
      <c r="S310" s="17"/>
      <c r="T310" s="17"/>
    </row>
    <row r="311">
      <c r="A311" s="327"/>
      <c r="B311" s="121"/>
      <c r="C311" s="327"/>
      <c r="D311" s="127"/>
      <c r="E311" s="327"/>
      <c r="F311" s="121"/>
      <c r="G311" s="327"/>
      <c r="H311" s="121"/>
      <c r="I311" s="334"/>
      <c r="J311" s="127"/>
      <c r="K311" s="334"/>
      <c r="L311" s="127"/>
      <c r="M311" s="334"/>
      <c r="N311" s="127"/>
      <c r="O311" s="327"/>
      <c r="P311" s="121"/>
      <c r="Q311" s="143"/>
      <c r="R311" s="143"/>
      <c r="S311" s="17"/>
      <c r="T311" s="17"/>
    </row>
    <row r="312">
      <c r="A312" s="327"/>
      <c r="B312" s="121"/>
      <c r="C312" s="327"/>
      <c r="D312" s="127"/>
      <c r="E312" s="327"/>
      <c r="F312" s="121"/>
      <c r="G312" s="327"/>
      <c r="H312" s="121"/>
      <c r="I312" s="334"/>
      <c r="J312" s="127"/>
      <c r="K312" s="334"/>
      <c r="L312" s="127"/>
      <c r="M312" s="334"/>
      <c r="N312" s="127"/>
      <c r="O312" s="327"/>
      <c r="P312" s="121"/>
      <c r="Q312" s="143"/>
      <c r="R312" s="143"/>
      <c r="S312" s="17"/>
      <c r="T312" s="17"/>
    </row>
    <row r="313">
      <c r="A313" s="327"/>
      <c r="B313" s="121"/>
      <c r="C313" s="327"/>
      <c r="D313" s="127"/>
      <c r="E313" s="327"/>
      <c r="F313" s="121"/>
      <c r="G313" s="327"/>
      <c r="H313" s="121"/>
      <c r="I313" s="334"/>
      <c r="J313" s="127"/>
      <c r="K313" s="334"/>
      <c r="L313" s="127"/>
      <c r="M313" s="334"/>
      <c r="N313" s="127"/>
      <c r="O313" s="327"/>
      <c r="P313" s="121"/>
      <c r="Q313" s="143"/>
      <c r="R313" s="143"/>
      <c r="S313" s="17"/>
      <c r="T313" s="17"/>
    </row>
    <row r="314">
      <c r="A314" s="327"/>
      <c r="B314" s="121"/>
      <c r="C314" s="327"/>
      <c r="D314" s="127"/>
      <c r="E314" s="327"/>
      <c r="F314" s="121"/>
      <c r="G314" s="327"/>
      <c r="H314" s="121"/>
      <c r="I314" s="334"/>
      <c r="J314" s="127"/>
      <c r="K314" s="334"/>
      <c r="L314" s="127"/>
      <c r="M314" s="334"/>
      <c r="N314" s="127"/>
      <c r="O314" s="327"/>
      <c r="P314" s="121"/>
      <c r="Q314" s="143"/>
      <c r="R314" s="143"/>
      <c r="S314" s="17"/>
      <c r="T314" s="17"/>
    </row>
    <row r="315">
      <c r="A315" s="327"/>
      <c r="B315" s="121"/>
      <c r="C315" s="327"/>
      <c r="D315" s="127"/>
      <c r="E315" s="327"/>
      <c r="F315" s="121"/>
      <c r="G315" s="327"/>
      <c r="H315" s="121"/>
      <c r="I315" s="334"/>
      <c r="J315" s="127"/>
      <c r="K315" s="334"/>
      <c r="L315" s="127"/>
      <c r="M315" s="334"/>
      <c r="N315" s="127"/>
      <c r="O315" s="327"/>
      <c r="P315" s="121"/>
      <c r="Q315" s="143"/>
      <c r="R315" s="143"/>
      <c r="S315" s="17"/>
      <c r="T315" s="17"/>
    </row>
    <row r="316">
      <c r="A316" s="327"/>
      <c r="B316" s="121"/>
      <c r="C316" s="327"/>
      <c r="D316" s="127"/>
      <c r="E316" s="327"/>
      <c r="F316" s="121"/>
      <c r="G316" s="327"/>
      <c r="H316" s="121"/>
      <c r="I316" s="334"/>
      <c r="J316" s="127"/>
      <c r="K316" s="334"/>
      <c r="L316" s="127"/>
      <c r="M316" s="334"/>
      <c r="N316" s="127"/>
      <c r="O316" s="327"/>
      <c r="P316" s="121"/>
      <c r="Q316" s="143"/>
      <c r="R316" s="143"/>
      <c r="S316" s="17"/>
      <c r="T316" s="17"/>
    </row>
    <row r="317">
      <c r="A317" s="327"/>
      <c r="B317" s="121"/>
      <c r="C317" s="327"/>
      <c r="D317" s="127"/>
      <c r="E317" s="327"/>
      <c r="F317" s="121"/>
      <c r="G317" s="327"/>
      <c r="H317" s="121"/>
      <c r="I317" s="334"/>
      <c r="J317" s="127"/>
      <c r="K317" s="334"/>
      <c r="L317" s="127"/>
      <c r="M317" s="334"/>
      <c r="N317" s="127"/>
      <c r="O317" s="327"/>
      <c r="P317" s="121"/>
      <c r="Q317" s="143"/>
      <c r="R317" s="143"/>
      <c r="S317" s="17"/>
      <c r="T317" s="17"/>
    </row>
    <row r="318">
      <c r="A318" s="327"/>
      <c r="B318" s="121"/>
      <c r="C318" s="327"/>
      <c r="D318" s="127"/>
      <c r="E318" s="327"/>
      <c r="F318" s="121"/>
      <c r="G318" s="327"/>
      <c r="H318" s="121"/>
      <c r="I318" s="334"/>
      <c r="J318" s="127"/>
      <c r="K318" s="334"/>
      <c r="L318" s="127"/>
      <c r="M318" s="334"/>
      <c r="N318" s="127"/>
      <c r="O318" s="327"/>
      <c r="P318" s="121"/>
      <c r="Q318" s="143"/>
      <c r="R318" s="143"/>
      <c r="S318" s="17"/>
      <c r="T318" s="17"/>
    </row>
    <row r="319">
      <c r="A319" s="327"/>
      <c r="B319" s="121"/>
      <c r="C319" s="327"/>
      <c r="D319" s="127"/>
      <c r="E319" s="327"/>
      <c r="F319" s="121"/>
      <c r="G319" s="327"/>
      <c r="H319" s="121"/>
      <c r="I319" s="334"/>
      <c r="J319" s="127"/>
      <c r="K319" s="334"/>
      <c r="L319" s="127"/>
      <c r="M319" s="334"/>
      <c r="N319" s="127"/>
      <c r="O319" s="327"/>
      <c r="P319" s="121"/>
      <c r="Q319" s="143"/>
      <c r="R319" s="143"/>
      <c r="S319" s="17"/>
      <c r="T319" s="17"/>
    </row>
    <row r="320">
      <c r="A320" s="327"/>
      <c r="B320" s="121"/>
      <c r="C320" s="327"/>
      <c r="D320" s="127"/>
      <c r="E320" s="327"/>
      <c r="F320" s="121"/>
      <c r="G320" s="327"/>
      <c r="H320" s="121"/>
      <c r="I320" s="334"/>
      <c r="J320" s="127"/>
      <c r="K320" s="334"/>
      <c r="L320" s="127"/>
      <c r="M320" s="334"/>
      <c r="N320" s="127"/>
      <c r="O320" s="327"/>
      <c r="P320" s="121"/>
      <c r="Q320" s="143"/>
      <c r="R320" s="143"/>
      <c r="S320" s="17"/>
      <c r="T320" s="17"/>
    </row>
    <row r="321">
      <c r="A321" s="327"/>
      <c r="B321" s="121"/>
      <c r="C321" s="327"/>
      <c r="D321" s="127"/>
      <c r="E321" s="327"/>
      <c r="F321" s="121"/>
      <c r="G321" s="327"/>
      <c r="H321" s="121"/>
      <c r="I321" s="334"/>
      <c r="J321" s="127"/>
      <c r="K321" s="334"/>
      <c r="L321" s="127"/>
      <c r="M321" s="334"/>
      <c r="N321" s="127"/>
      <c r="O321" s="327"/>
      <c r="P321" s="121"/>
      <c r="Q321" s="143"/>
      <c r="R321" s="143"/>
      <c r="S321" s="17"/>
      <c r="T321" s="17"/>
    </row>
    <row r="322">
      <c r="A322" s="327"/>
      <c r="B322" s="121"/>
      <c r="C322" s="327"/>
      <c r="D322" s="127"/>
      <c r="E322" s="327"/>
      <c r="F322" s="121"/>
      <c r="G322" s="327"/>
      <c r="H322" s="121"/>
      <c r="I322" s="334"/>
      <c r="J322" s="127"/>
      <c r="K322" s="334"/>
      <c r="L322" s="127"/>
      <c r="M322" s="334"/>
      <c r="N322" s="127"/>
      <c r="O322" s="327"/>
      <c r="P322" s="121"/>
      <c r="Q322" s="143"/>
      <c r="R322" s="143"/>
      <c r="S322" s="17"/>
      <c r="T322" s="17"/>
    </row>
    <row r="323">
      <c r="A323" s="327"/>
      <c r="B323" s="121"/>
      <c r="C323" s="327"/>
      <c r="D323" s="127"/>
      <c r="E323" s="327"/>
      <c r="F323" s="121"/>
      <c r="G323" s="327"/>
      <c r="H323" s="121"/>
      <c r="I323" s="334"/>
      <c r="J323" s="127"/>
      <c r="K323" s="334"/>
      <c r="L323" s="127"/>
      <c r="M323" s="334"/>
      <c r="N323" s="127"/>
      <c r="O323" s="327"/>
      <c r="P323" s="121"/>
      <c r="Q323" s="143"/>
      <c r="R323" s="143"/>
      <c r="S323" s="17"/>
      <c r="T323" s="17"/>
    </row>
    <row r="324">
      <c r="A324" s="327"/>
      <c r="B324" s="121"/>
      <c r="C324" s="327"/>
      <c r="D324" s="127"/>
      <c r="E324" s="327"/>
      <c r="F324" s="121"/>
      <c r="G324" s="327"/>
      <c r="H324" s="121"/>
      <c r="I324" s="334"/>
      <c r="J324" s="127"/>
      <c r="K324" s="334"/>
      <c r="L324" s="127"/>
      <c r="M324" s="334"/>
      <c r="N324" s="127"/>
      <c r="O324" s="327"/>
      <c r="P324" s="121"/>
      <c r="Q324" s="143"/>
      <c r="R324" s="143"/>
      <c r="S324" s="17"/>
      <c r="T324" s="17"/>
    </row>
    <row r="325">
      <c r="A325" s="327"/>
      <c r="B325" s="121"/>
      <c r="C325" s="327"/>
      <c r="D325" s="127"/>
      <c r="E325" s="327"/>
      <c r="F325" s="121"/>
      <c r="G325" s="327"/>
      <c r="H325" s="121"/>
      <c r="I325" s="334"/>
      <c r="J325" s="127"/>
      <c r="K325" s="334"/>
      <c r="L325" s="127"/>
      <c r="M325" s="334"/>
      <c r="N325" s="127"/>
      <c r="O325" s="327"/>
      <c r="P325" s="121"/>
      <c r="Q325" s="143"/>
      <c r="R325" s="143"/>
      <c r="S325" s="17"/>
      <c r="T325" s="17"/>
    </row>
    <row r="326">
      <c r="A326" s="327"/>
      <c r="B326" s="121"/>
      <c r="C326" s="327"/>
      <c r="D326" s="127"/>
      <c r="E326" s="327"/>
      <c r="F326" s="121"/>
      <c r="G326" s="327"/>
      <c r="H326" s="121"/>
      <c r="I326" s="334"/>
      <c r="J326" s="127"/>
      <c r="K326" s="334"/>
      <c r="L326" s="127"/>
      <c r="M326" s="334"/>
      <c r="N326" s="127"/>
      <c r="O326" s="327"/>
      <c r="P326" s="121"/>
      <c r="Q326" s="143"/>
      <c r="R326" s="143"/>
      <c r="S326" s="17"/>
      <c r="T326" s="17"/>
    </row>
    <row r="327">
      <c r="A327" s="327"/>
      <c r="B327" s="121"/>
      <c r="C327" s="327"/>
      <c r="D327" s="127"/>
      <c r="E327" s="327"/>
      <c r="F327" s="121"/>
      <c r="G327" s="327"/>
      <c r="H327" s="121"/>
      <c r="I327" s="334"/>
      <c r="J327" s="127"/>
      <c r="K327" s="334"/>
      <c r="L327" s="127"/>
      <c r="M327" s="334"/>
      <c r="N327" s="127"/>
      <c r="O327" s="327"/>
      <c r="P327" s="121"/>
      <c r="Q327" s="143"/>
      <c r="R327" s="143"/>
      <c r="S327" s="17"/>
      <c r="T327" s="17"/>
    </row>
    <row r="328">
      <c r="A328" s="327"/>
      <c r="B328" s="121"/>
      <c r="C328" s="327"/>
      <c r="D328" s="127"/>
      <c r="E328" s="327"/>
      <c r="F328" s="121"/>
      <c r="G328" s="327"/>
      <c r="H328" s="121"/>
      <c r="I328" s="334"/>
      <c r="J328" s="127"/>
      <c r="K328" s="334"/>
      <c r="L328" s="127"/>
      <c r="M328" s="334"/>
      <c r="N328" s="127"/>
      <c r="O328" s="327"/>
      <c r="P328" s="121"/>
      <c r="Q328" s="143"/>
      <c r="R328" s="143"/>
      <c r="S328" s="17"/>
      <c r="T328" s="17"/>
    </row>
    <row r="329">
      <c r="A329" s="327"/>
      <c r="B329" s="121"/>
      <c r="C329" s="327"/>
      <c r="D329" s="127"/>
      <c r="E329" s="327"/>
      <c r="F329" s="121"/>
      <c r="G329" s="327"/>
      <c r="H329" s="121"/>
      <c r="I329" s="334"/>
      <c r="J329" s="127"/>
      <c r="K329" s="334"/>
      <c r="L329" s="127"/>
      <c r="M329" s="334"/>
      <c r="N329" s="127"/>
      <c r="O329" s="327"/>
      <c r="P329" s="121"/>
      <c r="Q329" s="143"/>
      <c r="R329" s="143"/>
      <c r="S329" s="17"/>
      <c r="T329" s="17"/>
    </row>
    <row r="330">
      <c r="A330" s="327"/>
      <c r="B330" s="121"/>
      <c r="C330" s="327"/>
      <c r="D330" s="127"/>
      <c r="E330" s="327"/>
      <c r="F330" s="121"/>
      <c r="G330" s="327"/>
      <c r="H330" s="121"/>
      <c r="I330" s="334"/>
      <c r="J330" s="127"/>
      <c r="K330" s="334"/>
      <c r="L330" s="127"/>
      <c r="M330" s="334"/>
      <c r="N330" s="127"/>
      <c r="O330" s="327"/>
      <c r="P330" s="121"/>
      <c r="Q330" s="143"/>
      <c r="R330" s="143"/>
      <c r="S330" s="17"/>
      <c r="T330" s="17"/>
    </row>
    <row r="331">
      <c r="A331" s="327"/>
      <c r="B331" s="121"/>
      <c r="C331" s="327"/>
      <c r="D331" s="127"/>
      <c r="E331" s="327"/>
      <c r="F331" s="121"/>
      <c r="G331" s="327"/>
      <c r="H331" s="121"/>
      <c r="I331" s="334"/>
      <c r="J331" s="127"/>
      <c r="K331" s="334"/>
      <c r="L331" s="127"/>
      <c r="M331" s="334"/>
      <c r="N331" s="127"/>
      <c r="O331" s="327"/>
      <c r="P331" s="121"/>
      <c r="Q331" s="143"/>
      <c r="R331" s="143"/>
      <c r="S331" s="17"/>
      <c r="T331" s="17"/>
    </row>
    <row r="332">
      <c r="A332" s="327"/>
      <c r="B332" s="121"/>
      <c r="C332" s="327"/>
      <c r="D332" s="127"/>
      <c r="E332" s="327"/>
      <c r="F332" s="121"/>
      <c r="G332" s="327"/>
      <c r="H332" s="121"/>
      <c r="I332" s="334"/>
      <c r="J332" s="127"/>
      <c r="K332" s="334"/>
      <c r="L332" s="127"/>
      <c r="M332" s="334"/>
      <c r="N332" s="127"/>
      <c r="O332" s="327"/>
      <c r="P332" s="121"/>
      <c r="Q332" s="143"/>
      <c r="R332" s="143"/>
      <c r="S332" s="17"/>
      <c r="T332" s="17"/>
    </row>
    <row r="333">
      <c r="A333" s="327"/>
      <c r="B333" s="121"/>
      <c r="C333" s="327"/>
      <c r="D333" s="127"/>
      <c r="E333" s="327"/>
      <c r="F333" s="121"/>
      <c r="G333" s="327"/>
      <c r="H333" s="121"/>
      <c r="I333" s="334"/>
      <c r="J333" s="127"/>
      <c r="K333" s="334"/>
      <c r="L333" s="127"/>
      <c r="M333" s="334"/>
      <c r="N333" s="127"/>
      <c r="O333" s="327"/>
      <c r="P333" s="121"/>
      <c r="Q333" s="143"/>
      <c r="R333" s="143"/>
      <c r="S333" s="17"/>
      <c r="T333" s="17"/>
    </row>
    <row r="334">
      <c r="A334" s="327"/>
      <c r="B334" s="121"/>
      <c r="C334" s="327"/>
      <c r="D334" s="127"/>
      <c r="E334" s="327"/>
      <c r="F334" s="121"/>
      <c r="G334" s="327"/>
      <c r="H334" s="121"/>
      <c r="I334" s="334"/>
      <c r="J334" s="127"/>
      <c r="K334" s="334"/>
      <c r="L334" s="127"/>
      <c r="M334" s="334"/>
      <c r="N334" s="127"/>
      <c r="O334" s="327"/>
      <c r="P334" s="121"/>
      <c r="Q334" s="143"/>
      <c r="R334" s="143"/>
      <c r="S334" s="17"/>
      <c r="T334" s="17"/>
    </row>
    <row r="335">
      <c r="A335" s="327"/>
      <c r="B335" s="121"/>
      <c r="C335" s="327"/>
      <c r="D335" s="127"/>
      <c r="E335" s="327"/>
      <c r="F335" s="121"/>
      <c r="G335" s="327"/>
      <c r="H335" s="121"/>
      <c r="I335" s="334"/>
      <c r="J335" s="127"/>
      <c r="K335" s="334"/>
      <c r="L335" s="127"/>
      <c r="M335" s="334"/>
      <c r="N335" s="127"/>
      <c r="O335" s="327"/>
      <c r="P335" s="121"/>
      <c r="Q335" s="143"/>
      <c r="R335" s="143"/>
      <c r="S335" s="17"/>
      <c r="T335" s="17"/>
    </row>
    <row r="336">
      <c r="A336" s="327"/>
      <c r="B336" s="121"/>
      <c r="C336" s="327"/>
      <c r="D336" s="127"/>
      <c r="E336" s="327"/>
      <c r="F336" s="121"/>
      <c r="G336" s="327"/>
      <c r="H336" s="121"/>
      <c r="I336" s="334"/>
      <c r="J336" s="127"/>
      <c r="K336" s="334"/>
      <c r="L336" s="127"/>
      <c r="M336" s="334"/>
      <c r="N336" s="127"/>
      <c r="O336" s="327"/>
      <c r="P336" s="121"/>
      <c r="Q336" s="143"/>
      <c r="R336" s="143"/>
      <c r="S336" s="17"/>
      <c r="T336" s="17"/>
    </row>
    <row r="337">
      <c r="A337" s="327"/>
      <c r="B337" s="121"/>
      <c r="C337" s="327"/>
      <c r="D337" s="127"/>
      <c r="E337" s="327"/>
      <c r="F337" s="121"/>
      <c r="G337" s="327"/>
      <c r="H337" s="121"/>
      <c r="I337" s="334"/>
      <c r="J337" s="127"/>
      <c r="K337" s="334"/>
      <c r="L337" s="127"/>
      <c r="M337" s="334"/>
      <c r="N337" s="127"/>
      <c r="O337" s="327"/>
      <c r="P337" s="121"/>
      <c r="Q337" s="143"/>
      <c r="R337" s="143"/>
      <c r="S337" s="17"/>
      <c r="T337" s="17"/>
    </row>
    <row r="338">
      <c r="A338" s="327"/>
      <c r="B338" s="121"/>
      <c r="C338" s="327"/>
      <c r="D338" s="127"/>
      <c r="E338" s="327"/>
      <c r="F338" s="121"/>
      <c r="G338" s="327"/>
      <c r="H338" s="121"/>
      <c r="I338" s="334"/>
      <c r="J338" s="127"/>
      <c r="K338" s="334"/>
      <c r="L338" s="127"/>
      <c r="M338" s="334"/>
      <c r="N338" s="127"/>
      <c r="O338" s="327"/>
      <c r="P338" s="121"/>
      <c r="Q338" s="143"/>
      <c r="R338" s="143"/>
      <c r="S338" s="17"/>
      <c r="T338" s="17"/>
    </row>
    <row r="339">
      <c r="A339" s="327"/>
      <c r="B339" s="121"/>
      <c r="C339" s="327"/>
      <c r="D339" s="127"/>
      <c r="E339" s="327"/>
      <c r="F339" s="121"/>
      <c r="G339" s="327"/>
      <c r="H339" s="121"/>
      <c r="I339" s="334"/>
      <c r="J339" s="127"/>
      <c r="K339" s="334"/>
      <c r="L339" s="127"/>
      <c r="M339" s="334"/>
      <c r="N339" s="127"/>
      <c r="O339" s="327"/>
      <c r="P339" s="121"/>
      <c r="Q339" s="143"/>
      <c r="R339" s="143"/>
      <c r="S339" s="17"/>
      <c r="T339" s="17"/>
    </row>
    <row r="340">
      <c r="A340" s="327"/>
      <c r="B340" s="121"/>
      <c r="C340" s="327"/>
      <c r="D340" s="127"/>
      <c r="E340" s="327"/>
      <c r="F340" s="121"/>
      <c r="G340" s="327"/>
      <c r="H340" s="121"/>
      <c r="I340" s="334"/>
      <c r="J340" s="127"/>
      <c r="K340" s="334"/>
      <c r="L340" s="127"/>
      <c r="M340" s="334"/>
      <c r="N340" s="127"/>
      <c r="O340" s="327"/>
      <c r="P340" s="121"/>
      <c r="Q340" s="143"/>
      <c r="R340" s="143"/>
      <c r="S340" s="17"/>
      <c r="T340" s="17"/>
    </row>
    <row r="341">
      <c r="A341" s="327"/>
      <c r="B341" s="121"/>
      <c r="C341" s="327"/>
      <c r="D341" s="127"/>
      <c r="E341" s="327"/>
      <c r="F341" s="121"/>
      <c r="G341" s="327"/>
      <c r="H341" s="121"/>
      <c r="I341" s="334"/>
      <c r="J341" s="127"/>
      <c r="K341" s="334"/>
      <c r="L341" s="127"/>
      <c r="M341" s="334"/>
      <c r="N341" s="127"/>
      <c r="O341" s="327"/>
      <c r="P341" s="121"/>
      <c r="Q341" s="143"/>
      <c r="R341" s="143"/>
      <c r="S341" s="17"/>
      <c r="T341" s="17"/>
    </row>
    <row r="342">
      <c r="A342" s="327"/>
      <c r="B342" s="121"/>
      <c r="C342" s="327"/>
      <c r="D342" s="127"/>
      <c r="E342" s="327"/>
      <c r="F342" s="121"/>
      <c r="G342" s="327"/>
      <c r="H342" s="121"/>
      <c r="I342" s="334"/>
      <c r="J342" s="127"/>
      <c r="K342" s="334"/>
      <c r="L342" s="127"/>
      <c r="M342" s="334"/>
      <c r="N342" s="127"/>
      <c r="O342" s="327"/>
      <c r="P342" s="121"/>
      <c r="Q342" s="143"/>
      <c r="R342" s="143"/>
      <c r="S342" s="17"/>
      <c r="T342" s="17"/>
    </row>
    <row r="343">
      <c r="A343" s="327"/>
      <c r="B343" s="121"/>
      <c r="C343" s="327"/>
      <c r="D343" s="127"/>
      <c r="E343" s="327"/>
      <c r="F343" s="121"/>
      <c r="G343" s="327"/>
      <c r="H343" s="121"/>
      <c r="I343" s="334"/>
      <c r="J343" s="127"/>
      <c r="K343" s="334"/>
      <c r="L343" s="127"/>
      <c r="M343" s="334"/>
      <c r="N343" s="127"/>
      <c r="O343" s="327"/>
      <c r="P343" s="121"/>
      <c r="Q343" s="143"/>
      <c r="R343" s="143"/>
      <c r="S343" s="17"/>
      <c r="T343" s="17"/>
    </row>
    <row r="344">
      <c r="A344" s="327"/>
      <c r="B344" s="121"/>
      <c r="C344" s="327"/>
      <c r="D344" s="127"/>
      <c r="E344" s="327"/>
      <c r="F344" s="121"/>
      <c r="G344" s="327"/>
      <c r="H344" s="121"/>
      <c r="I344" s="334"/>
      <c r="J344" s="127"/>
      <c r="K344" s="334"/>
      <c r="L344" s="127"/>
      <c r="M344" s="334"/>
      <c r="N344" s="127"/>
      <c r="O344" s="327"/>
      <c r="P344" s="121"/>
      <c r="Q344" s="143"/>
      <c r="R344" s="143"/>
      <c r="S344" s="17"/>
      <c r="T344" s="17"/>
    </row>
    <row r="345">
      <c r="A345" s="327"/>
      <c r="B345" s="121"/>
      <c r="C345" s="327"/>
      <c r="D345" s="127"/>
      <c r="E345" s="327"/>
      <c r="F345" s="121"/>
      <c r="G345" s="327"/>
      <c r="H345" s="121"/>
      <c r="I345" s="334"/>
      <c r="J345" s="127"/>
      <c r="K345" s="334"/>
      <c r="L345" s="127"/>
      <c r="M345" s="334"/>
      <c r="N345" s="127"/>
      <c r="O345" s="327"/>
      <c r="P345" s="121"/>
      <c r="Q345" s="143"/>
      <c r="R345" s="143"/>
      <c r="S345" s="17"/>
      <c r="T345" s="17"/>
    </row>
    <row r="346">
      <c r="A346" s="327"/>
      <c r="B346" s="121"/>
      <c r="C346" s="327"/>
      <c r="D346" s="127"/>
      <c r="E346" s="327"/>
      <c r="F346" s="121"/>
      <c r="G346" s="327"/>
      <c r="H346" s="121"/>
      <c r="I346" s="334"/>
      <c r="J346" s="127"/>
      <c r="K346" s="334"/>
      <c r="L346" s="127"/>
      <c r="M346" s="334"/>
      <c r="N346" s="127"/>
      <c r="O346" s="327"/>
      <c r="P346" s="121"/>
      <c r="Q346" s="143"/>
      <c r="R346" s="143"/>
      <c r="S346" s="17"/>
      <c r="T346" s="17"/>
    </row>
    <row r="347">
      <c r="A347" s="327"/>
      <c r="B347" s="121"/>
      <c r="C347" s="327"/>
      <c r="D347" s="127"/>
      <c r="E347" s="327"/>
      <c r="F347" s="121"/>
      <c r="G347" s="327"/>
      <c r="H347" s="121"/>
      <c r="I347" s="334"/>
      <c r="J347" s="127"/>
      <c r="K347" s="334"/>
      <c r="L347" s="127"/>
      <c r="M347" s="334"/>
      <c r="N347" s="127"/>
      <c r="O347" s="327"/>
      <c r="P347" s="121"/>
      <c r="Q347" s="143"/>
      <c r="R347" s="143"/>
      <c r="S347" s="17"/>
      <c r="T347" s="17"/>
    </row>
    <row r="348">
      <c r="A348" s="327"/>
      <c r="B348" s="121"/>
      <c r="C348" s="327"/>
      <c r="D348" s="127"/>
      <c r="E348" s="327"/>
      <c r="F348" s="121"/>
      <c r="G348" s="327"/>
      <c r="H348" s="121"/>
      <c r="I348" s="334"/>
      <c r="J348" s="127"/>
      <c r="K348" s="334"/>
      <c r="L348" s="127"/>
      <c r="M348" s="334"/>
      <c r="N348" s="127"/>
      <c r="O348" s="327"/>
      <c r="P348" s="121"/>
      <c r="Q348" s="143"/>
      <c r="R348" s="143"/>
      <c r="S348" s="17"/>
      <c r="T348" s="17"/>
    </row>
    <row r="349">
      <c r="A349" s="327"/>
      <c r="B349" s="121"/>
      <c r="C349" s="327"/>
      <c r="D349" s="127"/>
      <c r="E349" s="327"/>
      <c r="F349" s="121"/>
      <c r="G349" s="327"/>
      <c r="H349" s="121"/>
      <c r="I349" s="334"/>
      <c r="J349" s="127"/>
      <c r="K349" s="334"/>
      <c r="L349" s="127"/>
      <c r="M349" s="334"/>
      <c r="N349" s="127"/>
      <c r="O349" s="327"/>
      <c r="P349" s="121"/>
      <c r="Q349" s="143"/>
      <c r="R349" s="143"/>
      <c r="S349" s="17"/>
      <c r="T349" s="17"/>
    </row>
    <row r="350">
      <c r="A350" s="327"/>
      <c r="B350" s="121"/>
      <c r="C350" s="327"/>
      <c r="D350" s="127"/>
      <c r="E350" s="327"/>
      <c r="F350" s="121"/>
      <c r="G350" s="327"/>
      <c r="H350" s="121"/>
      <c r="I350" s="334"/>
      <c r="J350" s="127"/>
      <c r="K350" s="334"/>
      <c r="L350" s="127"/>
      <c r="M350" s="334"/>
      <c r="N350" s="127"/>
      <c r="O350" s="327"/>
      <c r="P350" s="121"/>
      <c r="Q350" s="143"/>
      <c r="R350" s="143"/>
      <c r="S350" s="17"/>
      <c r="T350" s="17"/>
    </row>
    <row r="351">
      <c r="A351" s="327"/>
      <c r="B351" s="121"/>
      <c r="C351" s="327"/>
      <c r="D351" s="127"/>
      <c r="E351" s="327"/>
      <c r="F351" s="121"/>
      <c r="G351" s="327"/>
      <c r="H351" s="121"/>
      <c r="I351" s="334"/>
      <c r="J351" s="127"/>
      <c r="K351" s="334"/>
      <c r="L351" s="127"/>
      <c r="M351" s="334"/>
      <c r="N351" s="127"/>
      <c r="O351" s="327"/>
      <c r="P351" s="121"/>
      <c r="Q351" s="143"/>
      <c r="R351" s="143"/>
      <c r="S351" s="17"/>
      <c r="T351" s="17"/>
    </row>
    <row r="352">
      <c r="A352" s="327"/>
      <c r="B352" s="121"/>
      <c r="C352" s="327"/>
      <c r="D352" s="127"/>
      <c r="E352" s="327"/>
      <c r="F352" s="121"/>
      <c r="G352" s="327"/>
      <c r="H352" s="121"/>
      <c r="I352" s="334"/>
      <c r="J352" s="127"/>
      <c r="K352" s="334"/>
      <c r="L352" s="127"/>
      <c r="M352" s="334"/>
      <c r="N352" s="127"/>
      <c r="O352" s="327"/>
      <c r="P352" s="121"/>
      <c r="Q352" s="143"/>
      <c r="R352" s="143"/>
      <c r="S352" s="17"/>
      <c r="T352" s="17"/>
    </row>
    <row r="353">
      <c r="A353" s="327"/>
      <c r="B353" s="121"/>
      <c r="C353" s="327"/>
      <c r="D353" s="127"/>
      <c r="E353" s="327"/>
      <c r="F353" s="121"/>
      <c r="G353" s="327"/>
      <c r="H353" s="121"/>
      <c r="I353" s="334"/>
      <c r="J353" s="127"/>
      <c r="K353" s="334"/>
      <c r="L353" s="127"/>
      <c r="M353" s="334"/>
      <c r="N353" s="127"/>
      <c r="O353" s="327"/>
      <c r="P353" s="121"/>
      <c r="Q353" s="143"/>
      <c r="R353" s="143"/>
      <c r="S353" s="17"/>
      <c r="T353" s="17"/>
    </row>
    <row r="354">
      <c r="A354" s="327"/>
      <c r="B354" s="121"/>
      <c r="C354" s="327"/>
      <c r="D354" s="127"/>
      <c r="E354" s="327"/>
      <c r="F354" s="121"/>
      <c r="G354" s="327"/>
      <c r="H354" s="121"/>
      <c r="I354" s="334"/>
      <c r="J354" s="127"/>
      <c r="K354" s="334"/>
      <c r="L354" s="127"/>
      <c r="M354" s="334"/>
      <c r="N354" s="127"/>
      <c r="O354" s="327"/>
      <c r="P354" s="121"/>
      <c r="Q354" s="143"/>
      <c r="R354" s="143"/>
      <c r="S354" s="17"/>
      <c r="T354" s="17"/>
    </row>
    <row r="355">
      <c r="A355" s="327"/>
      <c r="B355" s="121"/>
      <c r="C355" s="327"/>
      <c r="D355" s="127"/>
      <c r="E355" s="327"/>
      <c r="F355" s="121"/>
      <c r="G355" s="327"/>
      <c r="H355" s="121"/>
      <c r="I355" s="334"/>
      <c r="J355" s="127"/>
      <c r="K355" s="334"/>
      <c r="L355" s="127"/>
      <c r="M355" s="334"/>
      <c r="N355" s="127"/>
      <c r="O355" s="327"/>
      <c r="P355" s="121"/>
      <c r="Q355" s="143"/>
      <c r="R355" s="143"/>
      <c r="S355" s="17"/>
      <c r="T355" s="17"/>
    </row>
    <row r="356">
      <c r="A356" s="327"/>
      <c r="B356" s="121"/>
      <c r="C356" s="327"/>
      <c r="D356" s="127"/>
      <c r="E356" s="327"/>
      <c r="F356" s="121"/>
      <c r="G356" s="327"/>
      <c r="H356" s="121"/>
      <c r="I356" s="334"/>
      <c r="J356" s="127"/>
      <c r="K356" s="334"/>
      <c r="L356" s="127"/>
      <c r="M356" s="334"/>
      <c r="N356" s="127"/>
      <c r="O356" s="327"/>
      <c r="P356" s="121"/>
      <c r="Q356" s="143"/>
      <c r="R356" s="143"/>
      <c r="S356" s="17"/>
      <c r="T356" s="17"/>
    </row>
    <row r="357">
      <c r="A357" s="327"/>
      <c r="B357" s="121"/>
      <c r="C357" s="327"/>
      <c r="D357" s="127"/>
      <c r="E357" s="327"/>
      <c r="F357" s="121"/>
      <c r="G357" s="327"/>
      <c r="H357" s="121"/>
      <c r="I357" s="334"/>
      <c r="J357" s="127"/>
      <c r="K357" s="334"/>
      <c r="L357" s="127"/>
      <c r="M357" s="334"/>
      <c r="N357" s="127"/>
      <c r="O357" s="327"/>
      <c r="P357" s="121"/>
      <c r="Q357" s="143"/>
      <c r="R357" s="143"/>
      <c r="S357" s="17"/>
      <c r="T357" s="17"/>
    </row>
    <row r="358">
      <c r="A358" s="327"/>
      <c r="B358" s="121"/>
      <c r="C358" s="327"/>
      <c r="D358" s="127"/>
      <c r="E358" s="327"/>
      <c r="F358" s="121"/>
      <c r="G358" s="327"/>
      <c r="H358" s="121"/>
      <c r="I358" s="334"/>
      <c r="J358" s="127"/>
      <c r="K358" s="334"/>
      <c r="L358" s="127"/>
      <c r="M358" s="334"/>
      <c r="N358" s="127"/>
      <c r="O358" s="327"/>
      <c r="P358" s="121"/>
      <c r="Q358" s="143"/>
      <c r="R358" s="143"/>
      <c r="S358" s="17"/>
      <c r="T358" s="17"/>
    </row>
    <row r="359">
      <c r="A359" s="327"/>
      <c r="B359" s="121"/>
      <c r="C359" s="327"/>
      <c r="D359" s="127"/>
      <c r="E359" s="327"/>
      <c r="F359" s="121"/>
      <c r="G359" s="327"/>
      <c r="H359" s="121"/>
      <c r="I359" s="334"/>
      <c r="J359" s="127"/>
      <c r="K359" s="334"/>
      <c r="L359" s="127"/>
      <c r="M359" s="334"/>
      <c r="N359" s="127"/>
      <c r="O359" s="327"/>
      <c r="P359" s="121"/>
      <c r="Q359" s="143"/>
      <c r="R359" s="143"/>
      <c r="S359" s="17"/>
      <c r="T359" s="17"/>
    </row>
    <row r="360">
      <c r="A360" s="327"/>
      <c r="B360" s="121"/>
      <c r="C360" s="327"/>
      <c r="D360" s="127"/>
      <c r="E360" s="327"/>
      <c r="F360" s="121"/>
      <c r="G360" s="327"/>
      <c r="H360" s="121"/>
      <c r="I360" s="334"/>
      <c r="J360" s="127"/>
      <c r="K360" s="334"/>
      <c r="L360" s="127"/>
      <c r="M360" s="334"/>
      <c r="N360" s="127"/>
      <c r="O360" s="327"/>
      <c r="P360" s="121"/>
      <c r="Q360" s="143"/>
      <c r="R360" s="143"/>
      <c r="S360" s="17"/>
      <c r="T360" s="17"/>
    </row>
    <row r="361">
      <c r="A361" s="327"/>
      <c r="B361" s="121"/>
      <c r="C361" s="327"/>
      <c r="D361" s="127"/>
      <c r="E361" s="327"/>
      <c r="F361" s="121"/>
      <c r="G361" s="327"/>
      <c r="H361" s="121"/>
      <c r="I361" s="334"/>
      <c r="J361" s="127"/>
      <c r="K361" s="334"/>
      <c r="L361" s="127"/>
      <c r="M361" s="334"/>
      <c r="N361" s="127"/>
      <c r="O361" s="327"/>
      <c r="P361" s="121"/>
      <c r="Q361" s="143"/>
      <c r="R361" s="143"/>
      <c r="S361" s="17"/>
      <c r="T361" s="17"/>
    </row>
    <row r="362">
      <c r="A362" s="327"/>
      <c r="B362" s="121"/>
      <c r="C362" s="327"/>
      <c r="D362" s="127"/>
      <c r="E362" s="327"/>
      <c r="F362" s="121"/>
      <c r="G362" s="327"/>
      <c r="H362" s="121"/>
      <c r="I362" s="334"/>
      <c r="J362" s="127"/>
      <c r="K362" s="334"/>
      <c r="L362" s="127"/>
      <c r="M362" s="334"/>
      <c r="N362" s="127"/>
      <c r="O362" s="327"/>
      <c r="P362" s="121"/>
      <c r="Q362" s="143"/>
      <c r="R362" s="143"/>
      <c r="S362" s="17"/>
      <c r="T362" s="17"/>
    </row>
    <row r="363">
      <c r="A363" s="327"/>
      <c r="B363" s="121"/>
      <c r="C363" s="327"/>
      <c r="D363" s="127"/>
      <c r="E363" s="327"/>
      <c r="F363" s="121"/>
      <c r="G363" s="327"/>
      <c r="H363" s="121"/>
      <c r="I363" s="334"/>
      <c r="J363" s="127"/>
      <c r="K363" s="334"/>
      <c r="L363" s="127"/>
      <c r="M363" s="334"/>
      <c r="N363" s="127"/>
      <c r="O363" s="327"/>
      <c r="P363" s="121"/>
      <c r="Q363" s="143"/>
      <c r="R363" s="143"/>
      <c r="S363" s="17"/>
      <c r="T363" s="17"/>
    </row>
    <row r="364">
      <c r="A364" s="327"/>
      <c r="B364" s="121"/>
      <c r="C364" s="327"/>
      <c r="D364" s="127"/>
      <c r="E364" s="327"/>
      <c r="F364" s="121"/>
      <c r="G364" s="327"/>
      <c r="H364" s="121"/>
      <c r="I364" s="334"/>
      <c r="J364" s="127"/>
      <c r="K364" s="334"/>
      <c r="L364" s="127"/>
      <c r="M364" s="334"/>
      <c r="N364" s="127"/>
      <c r="O364" s="327"/>
      <c r="P364" s="121"/>
      <c r="Q364" s="143"/>
      <c r="R364" s="143"/>
      <c r="S364" s="17"/>
      <c r="T364" s="17"/>
    </row>
    <row r="365">
      <c r="A365" s="327"/>
      <c r="B365" s="121"/>
      <c r="C365" s="327"/>
      <c r="D365" s="127"/>
      <c r="E365" s="327"/>
      <c r="F365" s="121"/>
      <c r="G365" s="327"/>
      <c r="H365" s="121"/>
      <c r="I365" s="334"/>
      <c r="J365" s="127"/>
      <c r="K365" s="334"/>
      <c r="L365" s="127"/>
      <c r="M365" s="334"/>
      <c r="N365" s="127"/>
      <c r="O365" s="327"/>
      <c r="P365" s="121"/>
      <c r="Q365" s="143"/>
      <c r="R365" s="143"/>
      <c r="S365" s="17"/>
      <c r="T365" s="17"/>
    </row>
    <row r="366">
      <c r="A366" s="327"/>
      <c r="B366" s="121"/>
      <c r="C366" s="327"/>
      <c r="D366" s="127"/>
      <c r="E366" s="327"/>
      <c r="F366" s="121"/>
      <c r="G366" s="327"/>
      <c r="H366" s="121"/>
      <c r="I366" s="334"/>
      <c r="J366" s="127"/>
      <c r="K366" s="334"/>
      <c r="L366" s="127"/>
      <c r="M366" s="334"/>
      <c r="N366" s="127"/>
      <c r="O366" s="327"/>
      <c r="P366" s="121"/>
      <c r="Q366" s="143"/>
      <c r="R366" s="143"/>
      <c r="S366" s="17"/>
      <c r="T366" s="17"/>
    </row>
    <row r="367">
      <c r="A367" s="327"/>
      <c r="B367" s="121"/>
      <c r="C367" s="327"/>
      <c r="D367" s="127"/>
      <c r="E367" s="327"/>
      <c r="F367" s="121"/>
      <c r="G367" s="327"/>
      <c r="H367" s="121"/>
      <c r="I367" s="334"/>
      <c r="J367" s="127"/>
      <c r="K367" s="334"/>
      <c r="L367" s="127"/>
      <c r="M367" s="334"/>
      <c r="N367" s="127"/>
      <c r="O367" s="327"/>
      <c r="P367" s="121"/>
      <c r="Q367" s="143"/>
      <c r="R367" s="143"/>
      <c r="S367" s="17"/>
      <c r="T367" s="17"/>
    </row>
    <row r="368">
      <c r="A368" s="327"/>
      <c r="B368" s="121"/>
      <c r="C368" s="327"/>
      <c r="D368" s="127"/>
      <c r="E368" s="327"/>
      <c r="F368" s="121"/>
      <c r="G368" s="327"/>
      <c r="H368" s="121"/>
      <c r="I368" s="334"/>
      <c r="J368" s="127"/>
      <c r="K368" s="334"/>
      <c r="L368" s="127"/>
      <c r="M368" s="334"/>
      <c r="N368" s="127"/>
      <c r="O368" s="327"/>
      <c r="P368" s="121"/>
      <c r="Q368" s="143"/>
      <c r="R368" s="143"/>
      <c r="S368" s="17"/>
      <c r="T368" s="17"/>
    </row>
    <row r="369">
      <c r="A369" s="327"/>
      <c r="B369" s="121"/>
      <c r="C369" s="327"/>
      <c r="D369" s="127"/>
      <c r="E369" s="327"/>
      <c r="F369" s="121"/>
      <c r="G369" s="327"/>
      <c r="H369" s="121"/>
      <c r="I369" s="334"/>
      <c r="J369" s="127"/>
      <c r="K369" s="334"/>
      <c r="L369" s="127"/>
      <c r="M369" s="334"/>
      <c r="N369" s="127"/>
      <c r="O369" s="327"/>
      <c r="P369" s="121"/>
      <c r="Q369" s="143"/>
      <c r="R369" s="143"/>
      <c r="S369" s="17"/>
      <c r="T369" s="17"/>
    </row>
    <row r="370">
      <c r="A370" s="327"/>
      <c r="B370" s="121"/>
      <c r="C370" s="327"/>
      <c r="D370" s="127"/>
      <c r="E370" s="327"/>
      <c r="F370" s="121"/>
      <c r="G370" s="327"/>
      <c r="H370" s="121"/>
      <c r="I370" s="334"/>
      <c r="J370" s="127"/>
      <c r="K370" s="334"/>
      <c r="L370" s="127"/>
      <c r="M370" s="334"/>
      <c r="N370" s="127"/>
      <c r="O370" s="327"/>
      <c r="P370" s="121"/>
      <c r="Q370" s="143"/>
      <c r="R370" s="143"/>
      <c r="S370" s="17"/>
      <c r="T370" s="17"/>
    </row>
    <row r="371">
      <c r="A371" s="327"/>
      <c r="B371" s="121"/>
      <c r="C371" s="327"/>
      <c r="D371" s="127"/>
      <c r="E371" s="327"/>
      <c r="F371" s="121"/>
      <c r="G371" s="327"/>
      <c r="H371" s="121"/>
      <c r="I371" s="334"/>
      <c r="J371" s="127"/>
      <c r="K371" s="334"/>
      <c r="L371" s="127"/>
      <c r="M371" s="334"/>
      <c r="N371" s="127"/>
      <c r="O371" s="327"/>
      <c r="P371" s="121"/>
      <c r="Q371" s="143"/>
      <c r="R371" s="143"/>
      <c r="S371" s="17"/>
      <c r="T371" s="17"/>
    </row>
    <row r="372">
      <c r="A372" s="327"/>
      <c r="B372" s="121"/>
      <c r="C372" s="327"/>
      <c r="D372" s="127"/>
      <c r="E372" s="327"/>
      <c r="F372" s="121"/>
      <c r="G372" s="327"/>
      <c r="H372" s="121"/>
      <c r="I372" s="334"/>
      <c r="J372" s="127"/>
      <c r="K372" s="334"/>
      <c r="L372" s="127"/>
      <c r="M372" s="334"/>
      <c r="N372" s="127"/>
      <c r="O372" s="327"/>
      <c r="P372" s="121"/>
      <c r="Q372" s="143"/>
      <c r="R372" s="143"/>
      <c r="S372" s="17"/>
      <c r="T372" s="17"/>
    </row>
    <row r="373">
      <c r="A373" s="327"/>
      <c r="B373" s="121"/>
      <c r="C373" s="327"/>
      <c r="D373" s="127"/>
      <c r="E373" s="327"/>
      <c r="F373" s="121"/>
      <c r="G373" s="327"/>
      <c r="H373" s="121"/>
      <c r="I373" s="334"/>
      <c r="J373" s="127"/>
      <c r="K373" s="334"/>
      <c r="L373" s="127"/>
      <c r="M373" s="334"/>
      <c r="N373" s="127"/>
      <c r="O373" s="327"/>
      <c r="P373" s="121"/>
      <c r="Q373" s="143"/>
      <c r="R373" s="143"/>
      <c r="S373" s="17"/>
      <c r="T373" s="17"/>
    </row>
    <row r="374">
      <c r="A374" s="327"/>
      <c r="B374" s="121"/>
      <c r="C374" s="327"/>
      <c r="D374" s="127"/>
      <c r="E374" s="327"/>
      <c r="F374" s="121"/>
      <c r="G374" s="327"/>
      <c r="H374" s="121"/>
      <c r="I374" s="334"/>
      <c r="J374" s="127"/>
      <c r="K374" s="334"/>
      <c r="L374" s="127"/>
      <c r="M374" s="334"/>
      <c r="N374" s="127"/>
      <c r="O374" s="327"/>
      <c r="P374" s="121"/>
      <c r="Q374" s="143"/>
      <c r="R374" s="143"/>
      <c r="S374" s="17"/>
      <c r="T374" s="17"/>
    </row>
    <row r="375">
      <c r="A375" s="327"/>
      <c r="B375" s="121"/>
      <c r="C375" s="327"/>
      <c r="D375" s="127"/>
      <c r="E375" s="327"/>
      <c r="F375" s="121"/>
      <c r="G375" s="327"/>
      <c r="H375" s="121"/>
      <c r="I375" s="334"/>
      <c r="J375" s="127"/>
      <c r="K375" s="334"/>
      <c r="L375" s="127"/>
      <c r="M375" s="334"/>
      <c r="N375" s="127"/>
      <c r="O375" s="327"/>
      <c r="P375" s="121"/>
      <c r="Q375" s="143"/>
      <c r="R375" s="143"/>
      <c r="S375" s="17"/>
      <c r="T375" s="17"/>
    </row>
    <row r="376">
      <c r="A376" s="327"/>
      <c r="B376" s="121"/>
      <c r="C376" s="327"/>
      <c r="D376" s="127"/>
      <c r="E376" s="327"/>
      <c r="F376" s="121"/>
      <c r="G376" s="327"/>
      <c r="H376" s="121"/>
      <c r="I376" s="334"/>
      <c r="J376" s="127"/>
      <c r="K376" s="334"/>
      <c r="L376" s="127"/>
      <c r="M376" s="334"/>
      <c r="N376" s="127"/>
      <c r="O376" s="327"/>
      <c r="P376" s="121"/>
      <c r="Q376" s="143"/>
      <c r="R376" s="143"/>
      <c r="S376" s="17"/>
      <c r="T376" s="17"/>
    </row>
    <row r="377">
      <c r="A377" s="327"/>
      <c r="B377" s="121"/>
      <c r="C377" s="327"/>
      <c r="D377" s="127"/>
      <c r="E377" s="327"/>
      <c r="F377" s="121"/>
      <c r="G377" s="327"/>
      <c r="H377" s="121"/>
      <c r="I377" s="334"/>
      <c r="J377" s="127"/>
      <c r="K377" s="334"/>
      <c r="L377" s="127"/>
      <c r="M377" s="334"/>
      <c r="N377" s="127"/>
      <c r="O377" s="327"/>
      <c r="P377" s="121"/>
      <c r="Q377" s="143"/>
      <c r="R377" s="143"/>
      <c r="S377" s="17"/>
      <c r="T377" s="17"/>
    </row>
    <row r="378">
      <c r="A378" s="327"/>
      <c r="B378" s="121"/>
      <c r="C378" s="327"/>
      <c r="D378" s="127"/>
      <c r="E378" s="327"/>
      <c r="F378" s="121"/>
      <c r="G378" s="327"/>
      <c r="H378" s="121"/>
      <c r="I378" s="334"/>
      <c r="J378" s="127"/>
      <c r="K378" s="334"/>
      <c r="L378" s="127"/>
      <c r="M378" s="334"/>
      <c r="N378" s="127"/>
      <c r="O378" s="327"/>
      <c r="P378" s="121"/>
      <c r="Q378" s="143"/>
      <c r="R378" s="143"/>
      <c r="S378" s="17"/>
      <c r="T378" s="17"/>
    </row>
    <row r="379">
      <c r="A379" s="327"/>
      <c r="B379" s="121"/>
      <c r="C379" s="327"/>
      <c r="D379" s="127"/>
      <c r="E379" s="327"/>
      <c r="F379" s="121"/>
      <c r="G379" s="327"/>
      <c r="H379" s="121"/>
      <c r="I379" s="334"/>
      <c r="J379" s="127"/>
      <c r="K379" s="334"/>
      <c r="L379" s="127"/>
      <c r="M379" s="334"/>
      <c r="N379" s="127"/>
      <c r="O379" s="327"/>
      <c r="P379" s="121"/>
      <c r="Q379" s="143"/>
      <c r="R379" s="143"/>
      <c r="S379" s="17"/>
      <c r="T379" s="17"/>
    </row>
    <row r="380">
      <c r="A380" s="327"/>
      <c r="B380" s="121"/>
      <c r="C380" s="327"/>
      <c r="D380" s="127"/>
      <c r="E380" s="327"/>
      <c r="F380" s="121"/>
      <c r="G380" s="327"/>
      <c r="H380" s="121"/>
      <c r="I380" s="334"/>
      <c r="J380" s="127"/>
      <c r="K380" s="334"/>
      <c r="L380" s="127"/>
      <c r="M380" s="334"/>
      <c r="N380" s="127"/>
      <c r="O380" s="327"/>
      <c r="P380" s="121"/>
      <c r="Q380" s="143"/>
      <c r="R380" s="143"/>
      <c r="S380" s="17"/>
      <c r="T380" s="17"/>
    </row>
    <row r="381">
      <c r="A381" s="327"/>
      <c r="B381" s="121"/>
      <c r="C381" s="327"/>
      <c r="D381" s="127"/>
      <c r="E381" s="327"/>
      <c r="F381" s="121"/>
      <c r="G381" s="327"/>
      <c r="H381" s="121"/>
      <c r="I381" s="334"/>
      <c r="J381" s="127"/>
      <c r="K381" s="334"/>
      <c r="L381" s="127"/>
      <c r="M381" s="334"/>
      <c r="N381" s="127"/>
      <c r="O381" s="327"/>
      <c r="P381" s="121"/>
      <c r="Q381" s="143"/>
      <c r="R381" s="143"/>
      <c r="S381" s="17"/>
      <c r="T381" s="17"/>
    </row>
    <row r="382">
      <c r="A382" s="327"/>
      <c r="B382" s="121"/>
      <c r="C382" s="327"/>
      <c r="D382" s="127"/>
      <c r="E382" s="327"/>
      <c r="F382" s="121"/>
      <c r="G382" s="327"/>
      <c r="H382" s="121"/>
      <c r="I382" s="334"/>
      <c r="J382" s="127"/>
      <c r="K382" s="334"/>
      <c r="L382" s="127"/>
      <c r="M382" s="334"/>
      <c r="N382" s="127"/>
      <c r="O382" s="327"/>
      <c r="P382" s="121"/>
      <c r="Q382" s="143"/>
      <c r="R382" s="143"/>
      <c r="S382" s="17"/>
      <c r="T382" s="17"/>
    </row>
    <row r="383">
      <c r="A383" s="327"/>
      <c r="B383" s="121"/>
      <c r="C383" s="327"/>
      <c r="D383" s="127"/>
      <c r="E383" s="327"/>
      <c r="F383" s="121"/>
      <c r="G383" s="327"/>
      <c r="H383" s="121"/>
      <c r="I383" s="334"/>
      <c r="J383" s="127"/>
      <c r="K383" s="334"/>
      <c r="L383" s="127"/>
      <c r="M383" s="334"/>
      <c r="N383" s="127"/>
      <c r="O383" s="327"/>
      <c r="P383" s="121"/>
      <c r="Q383" s="143"/>
      <c r="R383" s="143"/>
      <c r="S383" s="17"/>
      <c r="T383" s="17"/>
    </row>
    <row r="384">
      <c r="A384" s="327"/>
      <c r="B384" s="121"/>
      <c r="C384" s="327"/>
      <c r="D384" s="127"/>
      <c r="E384" s="327"/>
      <c r="F384" s="121"/>
      <c r="G384" s="327"/>
      <c r="H384" s="121"/>
      <c r="I384" s="334"/>
      <c r="J384" s="127"/>
      <c r="K384" s="334"/>
      <c r="L384" s="127"/>
      <c r="M384" s="334"/>
      <c r="N384" s="127"/>
      <c r="O384" s="327"/>
      <c r="P384" s="121"/>
      <c r="Q384" s="143"/>
      <c r="R384" s="143"/>
      <c r="S384" s="17"/>
      <c r="T384" s="17"/>
    </row>
    <row r="385">
      <c r="A385" s="327"/>
      <c r="B385" s="121"/>
      <c r="C385" s="327"/>
      <c r="D385" s="127"/>
      <c r="E385" s="327"/>
      <c r="F385" s="121"/>
      <c r="G385" s="327"/>
      <c r="H385" s="121"/>
      <c r="I385" s="334"/>
      <c r="J385" s="127"/>
      <c r="K385" s="334"/>
      <c r="L385" s="127"/>
      <c r="M385" s="334"/>
      <c r="N385" s="127"/>
      <c r="O385" s="327"/>
      <c r="P385" s="121"/>
      <c r="Q385" s="143"/>
      <c r="R385" s="143"/>
      <c r="S385" s="17"/>
      <c r="T385" s="17"/>
    </row>
    <row r="386">
      <c r="A386" s="327"/>
      <c r="B386" s="121"/>
      <c r="C386" s="327"/>
      <c r="D386" s="127"/>
      <c r="E386" s="327"/>
      <c r="F386" s="121"/>
      <c r="G386" s="327"/>
      <c r="H386" s="121"/>
      <c r="I386" s="334"/>
      <c r="J386" s="127"/>
      <c r="K386" s="334"/>
      <c r="L386" s="127"/>
      <c r="M386" s="334"/>
      <c r="N386" s="127"/>
      <c r="O386" s="327"/>
      <c r="P386" s="121"/>
      <c r="Q386" s="143"/>
      <c r="R386" s="143"/>
      <c r="S386" s="17"/>
      <c r="T386" s="17"/>
    </row>
    <row r="387">
      <c r="A387" s="327"/>
      <c r="B387" s="121"/>
      <c r="C387" s="327"/>
      <c r="D387" s="127"/>
      <c r="E387" s="327"/>
      <c r="F387" s="121"/>
      <c r="G387" s="327"/>
      <c r="H387" s="121"/>
      <c r="I387" s="334"/>
      <c r="J387" s="127"/>
      <c r="K387" s="334"/>
      <c r="L387" s="127"/>
      <c r="M387" s="334"/>
      <c r="N387" s="127"/>
      <c r="O387" s="327"/>
      <c r="P387" s="121"/>
      <c r="Q387" s="143"/>
      <c r="R387" s="143"/>
      <c r="S387" s="17"/>
      <c r="T387" s="17"/>
    </row>
    <row r="388">
      <c r="A388" s="327"/>
      <c r="B388" s="121"/>
      <c r="C388" s="327"/>
      <c r="D388" s="127"/>
      <c r="E388" s="327"/>
      <c r="F388" s="121"/>
      <c r="G388" s="327"/>
      <c r="H388" s="121"/>
      <c r="I388" s="334"/>
      <c r="J388" s="127"/>
      <c r="K388" s="334"/>
      <c r="L388" s="127"/>
      <c r="M388" s="334"/>
      <c r="N388" s="127"/>
      <c r="O388" s="327"/>
      <c r="P388" s="121"/>
      <c r="Q388" s="143"/>
      <c r="R388" s="143"/>
      <c r="S388" s="17"/>
      <c r="T388" s="17"/>
    </row>
    <row r="389">
      <c r="A389" s="327"/>
      <c r="B389" s="121"/>
      <c r="C389" s="327"/>
      <c r="D389" s="127"/>
      <c r="E389" s="327"/>
      <c r="F389" s="121"/>
      <c r="G389" s="327"/>
      <c r="H389" s="121"/>
      <c r="I389" s="334"/>
      <c r="J389" s="127"/>
      <c r="K389" s="334"/>
      <c r="L389" s="127"/>
      <c r="M389" s="334"/>
      <c r="N389" s="127"/>
      <c r="O389" s="327"/>
      <c r="P389" s="121"/>
      <c r="Q389" s="143"/>
      <c r="R389" s="143"/>
      <c r="S389" s="17"/>
      <c r="T389" s="17"/>
    </row>
    <row r="390">
      <c r="A390" s="327"/>
      <c r="B390" s="121"/>
      <c r="C390" s="327"/>
      <c r="D390" s="127"/>
      <c r="E390" s="327"/>
      <c r="F390" s="121"/>
      <c r="G390" s="327"/>
      <c r="H390" s="121"/>
      <c r="I390" s="334"/>
      <c r="J390" s="127"/>
      <c r="K390" s="334"/>
      <c r="L390" s="127"/>
      <c r="M390" s="334"/>
      <c r="N390" s="127"/>
      <c r="O390" s="327"/>
      <c r="P390" s="121"/>
      <c r="Q390" s="143"/>
      <c r="R390" s="143"/>
      <c r="S390" s="17"/>
      <c r="T390" s="17"/>
    </row>
    <row r="391">
      <c r="A391" s="327"/>
      <c r="B391" s="121"/>
      <c r="C391" s="327"/>
      <c r="D391" s="127"/>
      <c r="E391" s="327"/>
      <c r="F391" s="121"/>
      <c r="G391" s="327"/>
      <c r="H391" s="121"/>
      <c r="I391" s="334"/>
      <c r="J391" s="127"/>
      <c r="K391" s="334"/>
      <c r="L391" s="127"/>
      <c r="M391" s="334"/>
      <c r="N391" s="127"/>
      <c r="O391" s="327"/>
      <c r="P391" s="121"/>
      <c r="Q391" s="143"/>
      <c r="R391" s="143"/>
      <c r="S391" s="17"/>
      <c r="T391" s="17"/>
    </row>
    <row r="392">
      <c r="A392" s="327"/>
      <c r="B392" s="121"/>
      <c r="C392" s="327"/>
      <c r="D392" s="127"/>
      <c r="E392" s="327"/>
      <c r="F392" s="121"/>
      <c r="G392" s="327"/>
      <c r="H392" s="121"/>
      <c r="I392" s="334"/>
      <c r="J392" s="127"/>
      <c r="K392" s="334"/>
      <c r="L392" s="127"/>
      <c r="M392" s="334"/>
      <c r="N392" s="127"/>
      <c r="O392" s="327"/>
      <c r="P392" s="121"/>
      <c r="Q392" s="143"/>
      <c r="R392" s="143"/>
      <c r="S392" s="17"/>
      <c r="T392" s="17"/>
    </row>
    <row r="393">
      <c r="A393" s="327"/>
      <c r="B393" s="121"/>
      <c r="C393" s="327"/>
      <c r="D393" s="127"/>
      <c r="E393" s="327"/>
      <c r="F393" s="121"/>
      <c r="G393" s="327"/>
      <c r="H393" s="121"/>
      <c r="I393" s="334"/>
      <c r="J393" s="127"/>
      <c r="K393" s="334"/>
      <c r="L393" s="127"/>
      <c r="M393" s="334"/>
      <c r="N393" s="127"/>
      <c r="O393" s="327"/>
      <c r="P393" s="121"/>
      <c r="Q393" s="143"/>
      <c r="R393" s="143"/>
      <c r="S393" s="17"/>
      <c r="T393" s="17"/>
    </row>
    <row r="394">
      <c r="A394" s="327"/>
      <c r="B394" s="121"/>
      <c r="C394" s="327"/>
      <c r="D394" s="127"/>
      <c r="E394" s="327"/>
      <c r="F394" s="121"/>
      <c r="G394" s="327"/>
      <c r="H394" s="121"/>
      <c r="I394" s="334"/>
      <c r="J394" s="127"/>
      <c r="K394" s="334"/>
      <c r="L394" s="127"/>
      <c r="M394" s="334"/>
      <c r="N394" s="127"/>
      <c r="O394" s="327"/>
      <c r="P394" s="121"/>
      <c r="Q394" s="143"/>
      <c r="R394" s="143"/>
      <c r="S394" s="17"/>
      <c r="T394" s="17"/>
    </row>
    <row r="395">
      <c r="A395" s="327"/>
      <c r="B395" s="121"/>
      <c r="C395" s="327"/>
      <c r="D395" s="127"/>
      <c r="E395" s="327"/>
      <c r="F395" s="121"/>
      <c r="G395" s="327"/>
      <c r="H395" s="121"/>
      <c r="I395" s="334"/>
      <c r="J395" s="127"/>
      <c r="K395" s="334"/>
      <c r="L395" s="127"/>
      <c r="M395" s="334"/>
      <c r="N395" s="127"/>
      <c r="O395" s="327"/>
      <c r="P395" s="121"/>
      <c r="Q395" s="143"/>
      <c r="R395" s="143"/>
      <c r="S395" s="17"/>
      <c r="T395" s="17"/>
    </row>
    <row r="396">
      <c r="A396" s="327"/>
      <c r="B396" s="121"/>
      <c r="C396" s="327"/>
      <c r="D396" s="127"/>
      <c r="E396" s="327"/>
      <c r="F396" s="121"/>
      <c r="G396" s="327"/>
      <c r="H396" s="121"/>
      <c r="I396" s="334"/>
      <c r="J396" s="127"/>
      <c r="K396" s="334"/>
      <c r="L396" s="127"/>
      <c r="M396" s="334"/>
      <c r="N396" s="127"/>
      <c r="O396" s="327"/>
      <c r="P396" s="121"/>
      <c r="Q396" s="143"/>
      <c r="R396" s="143"/>
      <c r="S396" s="17"/>
      <c r="T396" s="17"/>
    </row>
    <row r="397">
      <c r="A397" s="327"/>
      <c r="B397" s="121"/>
      <c r="C397" s="327"/>
      <c r="D397" s="127"/>
      <c r="E397" s="327"/>
      <c r="F397" s="121"/>
      <c r="G397" s="327"/>
      <c r="H397" s="121"/>
      <c r="I397" s="334"/>
      <c r="J397" s="127"/>
      <c r="K397" s="334"/>
      <c r="L397" s="127"/>
      <c r="M397" s="334"/>
      <c r="N397" s="127"/>
      <c r="O397" s="327"/>
      <c r="P397" s="121"/>
      <c r="Q397" s="143"/>
      <c r="R397" s="143"/>
      <c r="S397" s="17"/>
      <c r="T397" s="17"/>
    </row>
    <row r="398">
      <c r="A398" s="327"/>
      <c r="B398" s="121"/>
      <c r="C398" s="327"/>
      <c r="D398" s="127"/>
      <c r="E398" s="327"/>
      <c r="F398" s="121"/>
      <c r="G398" s="327"/>
      <c r="H398" s="121"/>
      <c r="I398" s="334"/>
      <c r="J398" s="127"/>
      <c r="K398" s="334"/>
      <c r="L398" s="127"/>
      <c r="M398" s="334"/>
      <c r="N398" s="127"/>
      <c r="O398" s="327"/>
      <c r="P398" s="121"/>
      <c r="Q398" s="143"/>
      <c r="R398" s="143"/>
      <c r="S398" s="17"/>
      <c r="T398" s="17"/>
    </row>
    <row r="399">
      <c r="A399" s="327"/>
      <c r="B399" s="121"/>
      <c r="C399" s="327"/>
      <c r="D399" s="127"/>
      <c r="E399" s="327"/>
      <c r="F399" s="121"/>
      <c r="G399" s="327"/>
      <c r="H399" s="121"/>
      <c r="I399" s="334"/>
      <c r="J399" s="127"/>
      <c r="K399" s="334"/>
      <c r="L399" s="127"/>
      <c r="M399" s="334"/>
      <c r="N399" s="127"/>
      <c r="O399" s="327"/>
      <c r="P399" s="121"/>
      <c r="Q399" s="143"/>
      <c r="R399" s="143"/>
      <c r="S399" s="17"/>
      <c r="T399" s="17"/>
    </row>
    <row r="400">
      <c r="A400" s="327"/>
      <c r="B400" s="121"/>
      <c r="C400" s="327"/>
      <c r="D400" s="127"/>
      <c r="E400" s="327"/>
      <c r="F400" s="121"/>
      <c r="G400" s="327"/>
      <c r="H400" s="121"/>
      <c r="I400" s="334"/>
      <c r="J400" s="127"/>
      <c r="K400" s="334"/>
      <c r="L400" s="127"/>
      <c r="M400" s="334"/>
      <c r="N400" s="127"/>
      <c r="O400" s="327"/>
      <c r="P400" s="121"/>
      <c r="Q400" s="143"/>
      <c r="R400" s="143"/>
      <c r="S400" s="17"/>
      <c r="T400" s="17"/>
    </row>
    <row r="401">
      <c r="A401" s="327"/>
      <c r="B401" s="121"/>
      <c r="C401" s="327"/>
      <c r="D401" s="127"/>
      <c r="E401" s="327"/>
      <c r="F401" s="121"/>
      <c r="G401" s="327"/>
      <c r="H401" s="121"/>
      <c r="I401" s="334"/>
      <c r="J401" s="127"/>
      <c r="K401" s="334"/>
      <c r="L401" s="127"/>
      <c r="M401" s="334"/>
      <c r="N401" s="127"/>
      <c r="O401" s="327"/>
      <c r="P401" s="121"/>
      <c r="Q401" s="143"/>
      <c r="R401" s="143"/>
      <c r="S401" s="17"/>
      <c r="T401" s="17"/>
    </row>
    <row r="402">
      <c r="A402" s="327"/>
      <c r="B402" s="121"/>
      <c r="C402" s="327"/>
      <c r="D402" s="127"/>
      <c r="E402" s="327"/>
      <c r="F402" s="121"/>
      <c r="G402" s="327"/>
      <c r="H402" s="121"/>
      <c r="I402" s="334"/>
      <c r="J402" s="127"/>
      <c r="K402" s="334"/>
      <c r="L402" s="127"/>
      <c r="M402" s="334"/>
      <c r="N402" s="127"/>
      <c r="O402" s="327"/>
      <c r="P402" s="121"/>
      <c r="Q402" s="143"/>
      <c r="R402" s="143"/>
      <c r="S402" s="17"/>
      <c r="T402" s="17"/>
    </row>
    <row r="403">
      <c r="A403" s="327"/>
      <c r="B403" s="121"/>
      <c r="C403" s="327"/>
      <c r="D403" s="127"/>
      <c r="E403" s="327"/>
      <c r="F403" s="121"/>
      <c r="G403" s="327"/>
      <c r="H403" s="121"/>
      <c r="I403" s="334"/>
      <c r="J403" s="127"/>
      <c r="K403" s="334"/>
      <c r="L403" s="127"/>
      <c r="M403" s="334"/>
      <c r="N403" s="127"/>
      <c r="O403" s="327"/>
      <c r="P403" s="121"/>
      <c r="Q403" s="143"/>
      <c r="R403" s="143"/>
      <c r="S403" s="17"/>
      <c r="T403" s="17"/>
    </row>
    <row r="404">
      <c r="A404" s="327"/>
      <c r="B404" s="121"/>
      <c r="C404" s="327"/>
      <c r="D404" s="127"/>
      <c r="E404" s="327"/>
      <c r="F404" s="121"/>
      <c r="G404" s="327"/>
      <c r="H404" s="121"/>
      <c r="I404" s="334"/>
      <c r="J404" s="127"/>
      <c r="K404" s="334"/>
      <c r="L404" s="127"/>
      <c r="M404" s="334"/>
      <c r="N404" s="127"/>
      <c r="O404" s="327"/>
      <c r="P404" s="121"/>
      <c r="Q404" s="143"/>
      <c r="R404" s="143"/>
      <c r="S404" s="17"/>
      <c r="T404" s="17"/>
    </row>
    <row r="405">
      <c r="A405" s="327"/>
      <c r="B405" s="121"/>
      <c r="C405" s="327"/>
      <c r="D405" s="127"/>
      <c r="E405" s="327"/>
      <c r="F405" s="121"/>
      <c r="G405" s="327"/>
      <c r="H405" s="121"/>
      <c r="I405" s="334"/>
      <c r="J405" s="127"/>
      <c r="K405" s="334"/>
      <c r="L405" s="127"/>
      <c r="M405" s="334"/>
      <c r="N405" s="127"/>
      <c r="O405" s="327"/>
      <c r="P405" s="121"/>
      <c r="Q405" s="143"/>
      <c r="R405" s="143"/>
      <c r="S405" s="17"/>
      <c r="T405" s="17"/>
    </row>
    <row r="406">
      <c r="A406" s="327"/>
      <c r="B406" s="121"/>
      <c r="C406" s="327"/>
      <c r="D406" s="127"/>
      <c r="E406" s="327"/>
      <c r="F406" s="121"/>
      <c r="G406" s="327"/>
      <c r="H406" s="121"/>
      <c r="I406" s="334"/>
      <c r="J406" s="127"/>
      <c r="K406" s="334"/>
      <c r="L406" s="127"/>
      <c r="M406" s="334"/>
      <c r="N406" s="127"/>
      <c r="O406" s="327"/>
      <c r="P406" s="121"/>
      <c r="Q406" s="143"/>
      <c r="R406" s="143"/>
      <c r="S406" s="17"/>
      <c r="T406" s="17"/>
    </row>
    <row r="407">
      <c r="A407" s="327"/>
      <c r="B407" s="121"/>
      <c r="C407" s="327"/>
      <c r="D407" s="127"/>
      <c r="E407" s="327"/>
      <c r="F407" s="121"/>
      <c r="G407" s="327"/>
      <c r="H407" s="121"/>
      <c r="I407" s="334"/>
      <c r="J407" s="127"/>
      <c r="K407" s="334"/>
      <c r="L407" s="127"/>
      <c r="M407" s="334"/>
      <c r="N407" s="127"/>
      <c r="O407" s="327"/>
      <c r="P407" s="121"/>
      <c r="Q407" s="143"/>
      <c r="R407" s="143"/>
      <c r="S407" s="17"/>
      <c r="T407" s="17"/>
    </row>
    <row r="408">
      <c r="A408" s="327"/>
      <c r="B408" s="121"/>
      <c r="C408" s="327"/>
      <c r="D408" s="127"/>
      <c r="E408" s="327"/>
      <c r="F408" s="121"/>
      <c r="G408" s="327"/>
      <c r="H408" s="121"/>
      <c r="I408" s="334"/>
      <c r="J408" s="127"/>
      <c r="K408" s="334"/>
      <c r="L408" s="127"/>
      <c r="M408" s="334"/>
      <c r="N408" s="127"/>
      <c r="O408" s="327"/>
      <c r="P408" s="121"/>
      <c r="Q408" s="143"/>
      <c r="R408" s="143"/>
      <c r="S408" s="17"/>
      <c r="T408" s="17"/>
    </row>
    <row r="409">
      <c r="A409" s="327"/>
      <c r="B409" s="121"/>
      <c r="C409" s="327"/>
      <c r="D409" s="127"/>
      <c r="E409" s="327"/>
      <c r="F409" s="121"/>
      <c r="G409" s="327"/>
      <c r="H409" s="121"/>
      <c r="I409" s="334"/>
      <c r="J409" s="127"/>
      <c r="K409" s="334"/>
      <c r="L409" s="127"/>
      <c r="M409" s="334"/>
      <c r="N409" s="127"/>
      <c r="O409" s="327"/>
      <c r="P409" s="121"/>
      <c r="Q409" s="143"/>
      <c r="R409" s="143"/>
      <c r="S409" s="17"/>
      <c r="T409" s="17"/>
    </row>
    <row r="410">
      <c r="A410" s="327"/>
      <c r="B410" s="121"/>
      <c r="C410" s="327"/>
      <c r="D410" s="127"/>
      <c r="E410" s="327"/>
      <c r="F410" s="121"/>
      <c r="G410" s="327"/>
      <c r="H410" s="121"/>
      <c r="I410" s="334"/>
      <c r="J410" s="127"/>
      <c r="K410" s="334"/>
      <c r="L410" s="127"/>
      <c r="M410" s="334"/>
      <c r="N410" s="127"/>
      <c r="O410" s="327"/>
      <c r="P410" s="121"/>
      <c r="Q410" s="143"/>
      <c r="R410" s="143"/>
      <c r="S410" s="17"/>
      <c r="T410" s="17"/>
    </row>
    <row r="411">
      <c r="A411" s="327"/>
      <c r="B411" s="121"/>
      <c r="C411" s="327"/>
      <c r="D411" s="127"/>
      <c r="E411" s="327"/>
      <c r="F411" s="121"/>
      <c r="G411" s="327"/>
      <c r="H411" s="121"/>
      <c r="I411" s="334"/>
      <c r="J411" s="127"/>
      <c r="K411" s="334"/>
      <c r="L411" s="127"/>
      <c r="M411" s="334"/>
      <c r="N411" s="127"/>
      <c r="O411" s="327"/>
      <c r="P411" s="121"/>
      <c r="Q411" s="143"/>
      <c r="R411" s="143"/>
      <c r="S411" s="17"/>
      <c r="T411" s="17"/>
    </row>
    <row r="412">
      <c r="A412" s="327"/>
      <c r="B412" s="121"/>
      <c r="C412" s="327"/>
      <c r="D412" s="127"/>
      <c r="E412" s="327"/>
      <c r="F412" s="121"/>
      <c r="G412" s="327"/>
      <c r="H412" s="121"/>
      <c r="I412" s="334"/>
      <c r="J412" s="127"/>
      <c r="K412" s="334"/>
      <c r="L412" s="127"/>
      <c r="M412" s="334"/>
      <c r="N412" s="127"/>
      <c r="O412" s="327"/>
      <c r="P412" s="121"/>
      <c r="Q412" s="143"/>
      <c r="R412" s="143"/>
      <c r="S412" s="17"/>
      <c r="T412" s="17"/>
    </row>
    <row r="413">
      <c r="A413" s="327"/>
      <c r="B413" s="121"/>
      <c r="C413" s="327"/>
      <c r="D413" s="127"/>
      <c r="E413" s="327"/>
      <c r="F413" s="121"/>
      <c r="G413" s="327"/>
      <c r="H413" s="121"/>
      <c r="I413" s="334"/>
      <c r="J413" s="127"/>
      <c r="K413" s="334"/>
      <c r="L413" s="127"/>
      <c r="M413" s="334"/>
      <c r="N413" s="127"/>
      <c r="O413" s="327"/>
      <c r="P413" s="121"/>
      <c r="Q413" s="143"/>
      <c r="R413" s="143"/>
      <c r="S413" s="17"/>
      <c r="T413" s="17"/>
    </row>
    <row r="414">
      <c r="A414" s="327"/>
      <c r="B414" s="121"/>
      <c r="C414" s="327"/>
      <c r="D414" s="127"/>
      <c r="E414" s="327"/>
      <c r="F414" s="121"/>
      <c r="G414" s="327"/>
      <c r="H414" s="121"/>
      <c r="I414" s="334"/>
      <c r="J414" s="127"/>
      <c r="K414" s="334"/>
      <c r="L414" s="127"/>
      <c r="M414" s="334"/>
      <c r="N414" s="127"/>
      <c r="O414" s="327"/>
      <c r="P414" s="121"/>
      <c r="Q414" s="143"/>
      <c r="R414" s="143"/>
      <c r="S414" s="17"/>
      <c r="T414" s="17"/>
    </row>
    <row r="415">
      <c r="A415" s="327"/>
      <c r="B415" s="121"/>
      <c r="C415" s="327"/>
      <c r="D415" s="127"/>
      <c r="E415" s="327"/>
      <c r="F415" s="121"/>
      <c r="G415" s="327"/>
      <c r="H415" s="121"/>
      <c r="I415" s="334"/>
      <c r="J415" s="127"/>
      <c r="K415" s="334"/>
      <c r="L415" s="127"/>
      <c r="M415" s="334"/>
      <c r="N415" s="127"/>
      <c r="O415" s="327"/>
      <c r="P415" s="121"/>
      <c r="Q415" s="143"/>
      <c r="R415" s="143"/>
      <c r="S415" s="17"/>
      <c r="T415" s="17"/>
    </row>
    <row r="416">
      <c r="A416" s="327"/>
      <c r="B416" s="121"/>
      <c r="C416" s="327"/>
      <c r="D416" s="127"/>
      <c r="E416" s="327"/>
      <c r="F416" s="121"/>
      <c r="G416" s="327"/>
      <c r="H416" s="121"/>
      <c r="I416" s="334"/>
      <c r="J416" s="127"/>
      <c r="K416" s="334"/>
      <c r="L416" s="127"/>
      <c r="M416" s="334"/>
      <c r="N416" s="127"/>
      <c r="O416" s="327"/>
      <c r="P416" s="121"/>
      <c r="Q416" s="143"/>
      <c r="R416" s="143"/>
      <c r="S416" s="17"/>
      <c r="T416" s="17"/>
    </row>
    <row r="417">
      <c r="A417" s="327"/>
      <c r="B417" s="121"/>
      <c r="C417" s="327"/>
      <c r="D417" s="127"/>
      <c r="E417" s="327"/>
      <c r="F417" s="121"/>
      <c r="G417" s="327"/>
      <c r="H417" s="121"/>
      <c r="I417" s="334"/>
      <c r="J417" s="127"/>
      <c r="K417" s="334"/>
      <c r="L417" s="127"/>
      <c r="M417" s="334"/>
      <c r="N417" s="127"/>
      <c r="O417" s="327"/>
      <c r="P417" s="121"/>
      <c r="Q417" s="143"/>
      <c r="R417" s="143"/>
      <c r="S417" s="17"/>
      <c r="T417" s="17"/>
    </row>
    <row r="418">
      <c r="A418" s="327"/>
      <c r="B418" s="121"/>
      <c r="C418" s="327"/>
      <c r="D418" s="127"/>
      <c r="E418" s="327"/>
      <c r="F418" s="121"/>
      <c r="G418" s="327"/>
      <c r="H418" s="121"/>
      <c r="I418" s="334"/>
      <c r="J418" s="127"/>
      <c r="K418" s="334"/>
      <c r="L418" s="127"/>
      <c r="M418" s="334"/>
      <c r="N418" s="127"/>
      <c r="O418" s="327"/>
      <c r="P418" s="121"/>
      <c r="Q418" s="143"/>
      <c r="R418" s="143"/>
      <c r="S418" s="17"/>
      <c r="T418" s="17"/>
    </row>
    <row r="419">
      <c r="A419" s="327"/>
      <c r="B419" s="121"/>
      <c r="C419" s="327"/>
      <c r="D419" s="127"/>
      <c r="E419" s="327"/>
      <c r="F419" s="121"/>
      <c r="G419" s="327"/>
      <c r="H419" s="121"/>
      <c r="I419" s="334"/>
      <c r="J419" s="127"/>
      <c r="K419" s="334"/>
      <c r="L419" s="127"/>
      <c r="M419" s="334"/>
      <c r="N419" s="127"/>
      <c r="O419" s="327"/>
      <c r="P419" s="121"/>
      <c r="Q419" s="143"/>
      <c r="R419" s="143"/>
      <c r="S419" s="17"/>
      <c r="T419" s="17"/>
    </row>
    <row r="420">
      <c r="A420" s="327"/>
      <c r="B420" s="121"/>
      <c r="C420" s="327"/>
      <c r="D420" s="127"/>
      <c r="E420" s="327"/>
      <c r="F420" s="121"/>
      <c r="G420" s="327"/>
      <c r="H420" s="121"/>
      <c r="I420" s="334"/>
      <c r="J420" s="127"/>
      <c r="K420" s="334"/>
      <c r="L420" s="127"/>
      <c r="M420" s="334"/>
      <c r="N420" s="127"/>
      <c r="O420" s="327"/>
      <c r="P420" s="121"/>
      <c r="Q420" s="143"/>
      <c r="R420" s="143"/>
      <c r="S420" s="17"/>
      <c r="T420" s="17"/>
    </row>
    <row r="421">
      <c r="A421" s="327"/>
      <c r="B421" s="121"/>
      <c r="C421" s="327"/>
      <c r="D421" s="127"/>
      <c r="E421" s="327"/>
      <c r="F421" s="121"/>
      <c r="G421" s="327"/>
      <c r="H421" s="121"/>
      <c r="I421" s="334"/>
      <c r="J421" s="127"/>
      <c r="K421" s="334"/>
      <c r="L421" s="127"/>
      <c r="M421" s="334"/>
      <c r="N421" s="127"/>
      <c r="O421" s="327"/>
      <c r="P421" s="121"/>
      <c r="Q421" s="143"/>
      <c r="R421" s="143"/>
      <c r="S421" s="17"/>
      <c r="T421" s="17"/>
    </row>
    <row r="422">
      <c r="A422" s="327"/>
      <c r="B422" s="121"/>
      <c r="C422" s="327"/>
      <c r="D422" s="127"/>
      <c r="E422" s="327"/>
      <c r="F422" s="121"/>
      <c r="G422" s="327"/>
      <c r="H422" s="121"/>
      <c r="I422" s="334"/>
      <c r="J422" s="127"/>
      <c r="K422" s="334"/>
      <c r="L422" s="127"/>
      <c r="M422" s="334"/>
      <c r="N422" s="127"/>
      <c r="O422" s="327"/>
      <c r="P422" s="121"/>
      <c r="Q422" s="143"/>
      <c r="R422" s="143"/>
      <c r="S422" s="17"/>
      <c r="T422" s="17"/>
    </row>
    <row r="423">
      <c r="A423" s="327"/>
      <c r="B423" s="121"/>
      <c r="C423" s="327"/>
      <c r="D423" s="127"/>
      <c r="E423" s="327"/>
      <c r="F423" s="121"/>
      <c r="G423" s="327"/>
      <c r="H423" s="121"/>
      <c r="I423" s="334"/>
      <c r="J423" s="127"/>
      <c r="K423" s="334"/>
      <c r="L423" s="127"/>
      <c r="M423" s="334"/>
      <c r="N423" s="127"/>
      <c r="O423" s="327"/>
      <c r="P423" s="121"/>
      <c r="Q423" s="143"/>
      <c r="R423" s="143"/>
      <c r="S423" s="17"/>
      <c r="T423" s="17"/>
    </row>
    <row r="424">
      <c r="A424" s="327"/>
      <c r="B424" s="121"/>
      <c r="C424" s="327"/>
      <c r="D424" s="127"/>
      <c r="E424" s="327"/>
      <c r="F424" s="121"/>
      <c r="G424" s="327"/>
      <c r="H424" s="121"/>
      <c r="I424" s="334"/>
      <c r="J424" s="127"/>
      <c r="K424" s="334"/>
      <c r="L424" s="127"/>
      <c r="M424" s="334"/>
      <c r="N424" s="127"/>
      <c r="O424" s="327"/>
      <c r="P424" s="121"/>
      <c r="Q424" s="143"/>
      <c r="R424" s="143"/>
      <c r="S424" s="17"/>
      <c r="T424" s="17"/>
    </row>
    <row r="425">
      <c r="A425" s="327"/>
      <c r="B425" s="121"/>
      <c r="C425" s="327"/>
      <c r="D425" s="127"/>
      <c r="E425" s="327"/>
      <c r="F425" s="121"/>
      <c r="G425" s="327"/>
      <c r="H425" s="121"/>
      <c r="I425" s="334"/>
      <c r="J425" s="127"/>
      <c r="K425" s="334"/>
      <c r="L425" s="127"/>
      <c r="M425" s="334"/>
      <c r="N425" s="127"/>
      <c r="O425" s="327"/>
      <c r="P425" s="121"/>
      <c r="Q425" s="143"/>
      <c r="R425" s="143"/>
      <c r="S425" s="17"/>
      <c r="T425" s="17"/>
    </row>
    <row r="426">
      <c r="A426" s="327"/>
      <c r="B426" s="121"/>
      <c r="C426" s="327"/>
      <c r="D426" s="127"/>
      <c r="E426" s="327"/>
      <c r="F426" s="121"/>
      <c r="G426" s="327"/>
      <c r="H426" s="121"/>
      <c r="I426" s="334"/>
      <c r="J426" s="127"/>
      <c r="K426" s="334"/>
      <c r="L426" s="127"/>
      <c r="M426" s="334"/>
      <c r="N426" s="127"/>
      <c r="O426" s="327"/>
      <c r="P426" s="121"/>
      <c r="Q426" s="143"/>
      <c r="R426" s="143"/>
      <c r="S426" s="17"/>
      <c r="T426" s="17"/>
    </row>
    <row r="427">
      <c r="A427" s="327"/>
      <c r="B427" s="121"/>
      <c r="C427" s="327"/>
      <c r="D427" s="127"/>
      <c r="E427" s="327"/>
      <c r="F427" s="121"/>
      <c r="G427" s="327"/>
      <c r="H427" s="121"/>
      <c r="I427" s="334"/>
      <c r="J427" s="127"/>
      <c r="K427" s="334"/>
      <c r="L427" s="127"/>
      <c r="M427" s="334"/>
      <c r="N427" s="127"/>
      <c r="O427" s="327"/>
      <c r="P427" s="121"/>
      <c r="Q427" s="143"/>
      <c r="R427" s="143"/>
      <c r="S427" s="17"/>
      <c r="T427" s="17"/>
    </row>
    <row r="428">
      <c r="A428" s="327"/>
      <c r="B428" s="121"/>
      <c r="C428" s="327"/>
      <c r="D428" s="127"/>
      <c r="E428" s="327"/>
      <c r="F428" s="121"/>
      <c r="G428" s="327"/>
      <c r="H428" s="121"/>
      <c r="I428" s="334"/>
      <c r="J428" s="127"/>
      <c r="K428" s="334"/>
      <c r="L428" s="127"/>
      <c r="M428" s="334"/>
      <c r="N428" s="127"/>
      <c r="O428" s="327"/>
      <c r="P428" s="121"/>
      <c r="Q428" s="143"/>
      <c r="R428" s="143"/>
      <c r="S428" s="17"/>
      <c r="T428" s="17"/>
    </row>
    <row r="429">
      <c r="A429" s="327"/>
      <c r="B429" s="121"/>
      <c r="C429" s="327"/>
      <c r="D429" s="127"/>
      <c r="E429" s="327"/>
      <c r="F429" s="121"/>
      <c r="G429" s="327"/>
      <c r="H429" s="121"/>
      <c r="I429" s="334"/>
      <c r="J429" s="127"/>
      <c r="K429" s="334"/>
      <c r="L429" s="127"/>
      <c r="M429" s="334"/>
      <c r="N429" s="127"/>
      <c r="O429" s="327"/>
      <c r="P429" s="121"/>
      <c r="Q429" s="143"/>
      <c r="R429" s="143"/>
      <c r="S429" s="17"/>
      <c r="T429" s="17"/>
    </row>
    <row r="430">
      <c r="A430" s="327"/>
      <c r="B430" s="121"/>
      <c r="C430" s="327"/>
      <c r="D430" s="127"/>
      <c r="E430" s="327"/>
      <c r="F430" s="121"/>
      <c r="G430" s="327"/>
      <c r="H430" s="121"/>
      <c r="I430" s="334"/>
      <c r="J430" s="127"/>
      <c r="K430" s="334"/>
      <c r="L430" s="127"/>
      <c r="M430" s="334"/>
      <c r="N430" s="127"/>
      <c r="O430" s="327"/>
      <c r="P430" s="121"/>
      <c r="Q430" s="143"/>
      <c r="R430" s="143"/>
      <c r="S430" s="17"/>
      <c r="T430" s="17"/>
    </row>
    <row r="431">
      <c r="A431" s="327"/>
      <c r="B431" s="121"/>
      <c r="C431" s="327"/>
      <c r="D431" s="127"/>
      <c r="E431" s="327"/>
      <c r="F431" s="121"/>
      <c r="G431" s="327"/>
      <c r="H431" s="121"/>
      <c r="I431" s="334"/>
      <c r="J431" s="127"/>
      <c r="K431" s="334"/>
      <c r="L431" s="127"/>
      <c r="M431" s="334"/>
      <c r="N431" s="127"/>
      <c r="O431" s="327"/>
      <c r="P431" s="121"/>
      <c r="Q431" s="143"/>
      <c r="R431" s="143"/>
      <c r="S431" s="17"/>
      <c r="T431" s="17"/>
    </row>
    <row r="432">
      <c r="A432" s="327"/>
      <c r="B432" s="121"/>
      <c r="C432" s="327"/>
      <c r="D432" s="127"/>
      <c r="E432" s="327"/>
      <c r="F432" s="121"/>
      <c r="G432" s="327"/>
      <c r="H432" s="121"/>
      <c r="I432" s="334"/>
      <c r="J432" s="127"/>
      <c r="K432" s="334"/>
      <c r="L432" s="127"/>
      <c r="M432" s="334"/>
      <c r="N432" s="127"/>
      <c r="O432" s="327"/>
      <c r="P432" s="121"/>
      <c r="Q432" s="143"/>
      <c r="R432" s="143"/>
      <c r="S432" s="17"/>
      <c r="T432" s="17"/>
    </row>
    <row r="433">
      <c r="A433" s="327"/>
      <c r="B433" s="121"/>
      <c r="C433" s="327"/>
      <c r="D433" s="127"/>
      <c r="E433" s="327"/>
      <c r="F433" s="121"/>
      <c r="G433" s="327"/>
      <c r="H433" s="121"/>
      <c r="I433" s="334"/>
      <c r="J433" s="127"/>
      <c r="K433" s="334"/>
      <c r="L433" s="127"/>
      <c r="M433" s="334"/>
      <c r="N433" s="127"/>
      <c r="O433" s="327"/>
      <c r="P433" s="121"/>
      <c r="Q433" s="143"/>
      <c r="R433" s="143"/>
      <c r="S433" s="17"/>
      <c r="T433" s="17"/>
    </row>
    <row r="434">
      <c r="A434" s="327"/>
      <c r="B434" s="121"/>
      <c r="C434" s="327"/>
      <c r="D434" s="127"/>
      <c r="E434" s="327"/>
      <c r="F434" s="121"/>
      <c r="G434" s="327"/>
      <c r="H434" s="121"/>
      <c r="I434" s="334"/>
      <c r="J434" s="127"/>
      <c r="K434" s="334"/>
      <c r="L434" s="127"/>
      <c r="M434" s="334"/>
      <c r="N434" s="127"/>
      <c r="O434" s="327"/>
      <c r="P434" s="121"/>
      <c r="Q434" s="143"/>
      <c r="R434" s="143"/>
      <c r="S434" s="17"/>
      <c r="T434" s="17"/>
    </row>
    <row r="435">
      <c r="A435" s="327"/>
      <c r="B435" s="121"/>
      <c r="C435" s="327"/>
      <c r="D435" s="127"/>
      <c r="E435" s="327"/>
      <c r="F435" s="121"/>
      <c r="G435" s="327"/>
      <c r="H435" s="121"/>
      <c r="I435" s="334"/>
      <c r="J435" s="127"/>
      <c r="K435" s="334"/>
      <c r="L435" s="127"/>
      <c r="M435" s="334"/>
      <c r="N435" s="127"/>
      <c r="O435" s="327"/>
      <c r="P435" s="121"/>
      <c r="Q435" s="143"/>
      <c r="R435" s="143"/>
      <c r="S435" s="17"/>
      <c r="T435" s="17"/>
    </row>
    <row r="436">
      <c r="A436" s="327"/>
      <c r="B436" s="121"/>
      <c r="C436" s="327"/>
      <c r="D436" s="127"/>
      <c r="E436" s="327"/>
      <c r="F436" s="121"/>
      <c r="G436" s="327"/>
      <c r="H436" s="121"/>
      <c r="I436" s="334"/>
      <c r="J436" s="127"/>
      <c r="K436" s="334"/>
      <c r="L436" s="127"/>
      <c r="M436" s="334"/>
      <c r="N436" s="127"/>
      <c r="O436" s="327"/>
      <c r="P436" s="121"/>
      <c r="Q436" s="143"/>
      <c r="R436" s="143"/>
      <c r="S436" s="17"/>
      <c r="T436" s="17"/>
    </row>
    <row r="437">
      <c r="A437" s="327"/>
      <c r="B437" s="121"/>
      <c r="C437" s="327"/>
      <c r="D437" s="127"/>
      <c r="E437" s="327"/>
      <c r="F437" s="121"/>
      <c r="G437" s="327"/>
      <c r="H437" s="121"/>
      <c r="I437" s="334"/>
      <c r="J437" s="127"/>
      <c r="K437" s="334"/>
      <c r="L437" s="127"/>
      <c r="M437" s="334"/>
      <c r="N437" s="127"/>
      <c r="O437" s="327"/>
      <c r="P437" s="121"/>
      <c r="Q437" s="143"/>
      <c r="R437" s="143"/>
      <c r="S437" s="17"/>
      <c r="T437" s="17"/>
    </row>
    <row r="438">
      <c r="A438" s="327"/>
      <c r="B438" s="121"/>
      <c r="C438" s="327"/>
      <c r="D438" s="127"/>
      <c r="E438" s="327"/>
      <c r="F438" s="121"/>
      <c r="G438" s="327"/>
      <c r="H438" s="121"/>
      <c r="I438" s="334"/>
      <c r="J438" s="127"/>
      <c r="K438" s="334"/>
      <c r="L438" s="127"/>
      <c r="M438" s="334"/>
      <c r="N438" s="127"/>
      <c r="O438" s="327"/>
      <c r="P438" s="121"/>
      <c r="Q438" s="143"/>
      <c r="R438" s="143"/>
      <c r="S438" s="17"/>
      <c r="T438" s="17"/>
    </row>
    <row r="439">
      <c r="A439" s="327"/>
      <c r="B439" s="121"/>
      <c r="C439" s="327"/>
      <c r="D439" s="127"/>
      <c r="E439" s="327"/>
      <c r="F439" s="121"/>
      <c r="G439" s="327"/>
      <c r="H439" s="121"/>
      <c r="I439" s="334"/>
      <c r="J439" s="127"/>
      <c r="K439" s="334"/>
      <c r="L439" s="127"/>
      <c r="M439" s="334"/>
      <c r="N439" s="127"/>
      <c r="O439" s="327"/>
      <c r="P439" s="121"/>
      <c r="Q439" s="143"/>
      <c r="R439" s="143"/>
      <c r="S439" s="17"/>
      <c r="T439" s="17"/>
    </row>
    <row r="440">
      <c r="A440" s="327"/>
      <c r="B440" s="121"/>
      <c r="C440" s="327"/>
      <c r="D440" s="127"/>
      <c r="E440" s="327"/>
      <c r="F440" s="121"/>
      <c r="G440" s="327"/>
      <c r="H440" s="121"/>
      <c r="I440" s="334"/>
      <c r="J440" s="127"/>
      <c r="K440" s="334"/>
      <c r="L440" s="127"/>
      <c r="M440" s="334"/>
      <c r="N440" s="127"/>
      <c r="O440" s="327"/>
      <c r="P440" s="121"/>
      <c r="Q440" s="143"/>
      <c r="R440" s="143"/>
      <c r="S440" s="17"/>
      <c r="T440" s="17"/>
    </row>
    <row r="441">
      <c r="A441" s="327"/>
      <c r="B441" s="121"/>
      <c r="C441" s="327"/>
      <c r="D441" s="127"/>
      <c r="E441" s="327"/>
      <c r="F441" s="121"/>
      <c r="G441" s="327"/>
      <c r="H441" s="121"/>
      <c r="I441" s="334"/>
      <c r="J441" s="127"/>
      <c r="K441" s="334"/>
      <c r="L441" s="127"/>
      <c r="M441" s="334"/>
      <c r="N441" s="127"/>
      <c r="O441" s="327"/>
      <c r="P441" s="121"/>
      <c r="Q441" s="143"/>
      <c r="R441" s="143"/>
      <c r="S441" s="17"/>
      <c r="T441" s="17"/>
    </row>
    <row r="442">
      <c r="A442" s="327"/>
      <c r="B442" s="121"/>
      <c r="C442" s="327"/>
      <c r="D442" s="127"/>
      <c r="E442" s="327"/>
      <c r="F442" s="121"/>
      <c r="G442" s="327"/>
      <c r="H442" s="121"/>
      <c r="I442" s="334"/>
      <c r="J442" s="127"/>
      <c r="K442" s="334"/>
      <c r="L442" s="127"/>
      <c r="M442" s="334"/>
      <c r="N442" s="127"/>
      <c r="O442" s="327"/>
      <c r="P442" s="121"/>
      <c r="Q442" s="143"/>
      <c r="R442" s="143"/>
      <c r="S442" s="17"/>
      <c r="T442" s="17"/>
    </row>
    <row r="443">
      <c r="A443" s="327"/>
      <c r="B443" s="121"/>
      <c r="C443" s="327"/>
      <c r="D443" s="127"/>
      <c r="E443" s="327"/>
      <c r="F443" s="121"/>
      <c r="G443" s="327"/>
      <c r="H443" s="121"/>
      <c r="I443" s="334"/>
      <c r="J443" s="127"/>
      <c r="K443" s="334"/>
      <c r="L443" s="127"/>
      <c r="M443" s="334"/>
      <c r="N443" s="127"/>
      <c r="O443" s="327"/>
      <c r="P443" s="121"/>
      <c r="Q443" s="143"/>
      <c r="R443" s="143"/>
      <c r="S443" s="17"/>
      <c r="T443" s="17"/>
    </row>
    <row r="444">
      <c r="A444" s="327"/>
      <c r="B444" s="121"/>
      <c r="C444" s="327"/>
      <c r="D444" s="127"/>
      <c r="E444" s="327"/>
      <c r="F444" s="121"/>
      <c r="G444" s="327"/>
      <c r="H444" s="121"/>
      <c r="I444" s="334"/>
      <c r="J444" s="127"/>
      <c r="K444" s="334"/>
      <c r="L444" s="127"/>
      <c r="M444" s="334"/>
      <c r="N444" s="127"/>
      <c r="O444" s="327"/>
      <c r="P444" s="121"/>
      <c r="Q444" s="143"/>
      <c r="R444" s="143"/>
      <c r="S444" s="17"/>
      <c r="T444" s="17"/>
    </row>
    <row r="445">
      <c r="A445" s="327"/>
      <c r="B445" s="121"/>
      <c r="C445" s="327"/>
      <c r="D445" s="127"/>
      <c r="E445" s="327"/>
      <c r="F445" s="121"/>
      <c r="G445" s="327"/>
      <c r="H445" s="121"/>
      <c r="I445" s="334"/>
      <c r="J445" s="127"/>
      <c r="K445" s="334"/>
      <c r="L445" s="127"/>
      <c r="M445" s="334"/>
      <c r="N445" s="127"/>
      <c r="O445" s="327"/>
      <c r="P445" s="121"/>
      <c r="Q445" s="143"/>
      <c r="R445" s="143"/>
      <c r="S445" s="17"/>
      <c r="T445" s="17"/>
    </row>
    <row r="446">
      <c r="A446" s="327"/>
      <c r="B446" s="121"/>
      <c r="C446" s="327"/>
      <c r="D446" s="127"/>
      <c r="E446" s="327"/>
      <c r="F446" s="121"/>
      <c r="G446" s="327"/>
      <c r="H446" s="121"/>
      <c r="I446" s="334"/>
      <c r="J446" s="127"/>
      <c r="K446" s="334"/>
      <c r="L446" s="127"/>
      <c r="M446" s="334"/>
      <c r="N446" s="127"/>
      <c r="O446" s="327"/>
      <c r="P446" s="121"/>
      <c r="Q446" s="143"/>
      <c r="R446" s="143"/>
      <c r="S446" s="17"/>
      <c r="T446" s="17"/>
    </row>
    <row r="447">
      <c r="A447" s="327"/>
      <c r="B447" s="121"/>
      <c r="C447" s="327"/>
      <c r="D447" s="127"/>
      <c r="E447" s="327"/>
      <c r="F447" s="121"/>
      <c r="G447" s="327"/>
      <c r="H447" s="121"/>
      <c r="I447" s="334"/>
      <c r="J447" s="127"/>
      <c r="K447" s="334"/>
      <c r="L447" s="127"/>
      <c r="M447" s="334"/>
      <c r="N447" s="127"/>
      <c r="O447" s="327"/>
      <c r="P447" s="121"/>
      <c r="Q447" s="143"/>
      <c r="R447" s="143"/>
      <c r="S447" s="17"/>
      <c r="T447" s="17"/>
    </row>
    <row r="448">
      <c r="A448" s="327"/>
      <c r="B448" s="121"/>
      <c r="C448" s="327"/>
      <c r="D448" s="127"/>
      <c r="E448" s="327"/>
      <c r="F448" s="121"/>
      <c r="G448" s="327"/>
      <c r="H448" s="121"/>
      <c r="I448" s="334"/>
      <c r="J448" s="127"/>
      <c r="K448" s="334"/>
      <c r="L448" s="127"/>
      <c r="M448" s="334"/>
      <c r="N448" s="127"/>
      <c r="O448" s="327"/>
      <c r="P448" s="121"/>
      <c r="Q448" s="143"/>
      <c r="R448" s="143"/>
      <c r="S448" s="17"/>
      <c r="T448" s="17"/>
    </row>
    <row r="449">
      <c r="A449" s="327"/>
      <c r="B449" s="121"/>
      <c r="C449" s="327"/>
      <c r="D449" s="127"/>
      <c r="E449" s="327"/>
      <c r="F449" s="121"/>
      <c r="G449" s="327"/>
      <c r="H449" s="121"/>
      <c r="I449" s="334"/>
      <c r="J449" s="127"/>
      <c r="K449" s="334"/>
      <c r="L449" s="127"/>
      <c r="M449" s="334"/>
      <c r="N449" s="127"/>
      <c r="O449" s="327"/>
      <c r="P449" s="121"/>
      <c r="Q449" s="143"/>
      <c r="R449" s="143"/>
      <c r="S449" s="17"/>
      <c r="T449" s="17"/>
    </row>
    <row r="450">
      <c r="A450" s="327"/>
      <c r="B450" s="121"/>
      <c r="C450" s="327"/>
      <c r="D450" s="127"/>
      <c r="E450" s="327"/>
      <c r="F450" s="121"/>
      <c r="G450" s="327"/>
      <c r="H450" s="121"/>
      <c r="I450" s="334"/>
      <c r="J450" s="127"/>
      <c r="K450" s="334"/>
      <c r="L450" s="127"/>
      <c r="M450" s="334"/>
      <c r="N450" s="127"/>
      <c r="O450" s="327"/>
      <c r="P450" s="121"/>
      <c r="Q450" s="143"/>
      <c r="R450" s="143"/>
      <c r="S450" s="17"/>
      <c r="T450" s="17"/>
    </row>
    <row r="451">
      <c r="A451" s="327"/>
      <c r="B451" s="121"/>
      <c r="C451" s="327"/>
      <c r="D451" s="127"/>
      <c r="E451" s="327"/>
      <c r="F451" s="121"/>
      <c r="G451" s="327"/>
      <c r="H451" s="121"/>
      <c r="I451" s="334"/>
      <c r="J451" s="127"/>
      <c r="K451" s="334"/>
      <c r="L451" s="127"/>
      <c r="M451" s="334"/>
      <c r="N451" s="127"/>
      <c r="O451" s="327"/>
      <c r="P451" s="121"/>
      <c r="Q451" s="143"/>
      <c r="R451" s="143"/>
      <c r="S451" s="17"/>
      <c r="T451" s="17"/>
    </row>
    <row r="452">
      <c r="A452" s="327"/>
      <c r="B452" s="121"/>
      <c r="C452" s="327"/>
      <c r="D452" s="127"/>
      <c r="E452" s="327"/>
      <c r="F452" s="121"/>
      <c r="G452" s="327"/>
      <c r="H452" s="121"/>
      <c r="I452" s="334"/>
      <c r="J452" s="127"/>
      <c r="K452" s="334"/>
      <c r="L452" s="127"/>
      <c r="M452" s="334"/>
      <c r="N452" s="127"/>
      <c r="O452" s="327"/>
      <c r="P452" s="121"/>
      <c r="Q452" s="143"/>
      <c r="R452" s="143"/>
      <c r="S452" s="17"/>
      <c r="T452" s="17"/>
    </row>
    <row r="453">
      <c r="A453" s="327"/>
      <c r="B453" s="121"/>
      <c r="C453" s="327"/>
      <c r="D453" s="127"/>
      <c r="E453" s="327"/>
      <c r="F453" s="121"/>
      <c r="G453" s="327"/>
      <c r="H453" s="121"/>
      <c r="I453" s="334"/>
      <c r="J453" s="127"/>
      <c r="K453" s="334"/>
      <c r="L453" s="127"/>
      <c r="M453" s="334"/>
      <c r="N453" s="127"/>
      <c r="O453" s="327"/>
      <c r="P453" s="121"/>
      <c r="Q453" s="143"/>
      <c r="R453" s="143"/>
      <c r="S453" s="17"/>
      <c r="T453" s="17"/>
    </row>
    <row r="454">
      <c r="A454" s="327"/>
      <c r="B454" s="121"/>
      <c r="C454" s="327"/>
      <c r="D454" s="127"/>
      <c r="E454" s="327"/>
      <c r="F454" s="121"/>
      <c r="G454" s="327"/>
      <c r="H454" s="121"/>
      <c r="I454" s="334"/>
      <c r="J454" s="127"/>
      <c r="K454" s="334"/>
      <c r="L454" s="127"/>
      <c r="M454" s="334"/>
      <c r="N454" s="127"/>
      <c r="O454" s="327"/>
      <c r="P454" s="121"/>
      <c r="Q454" s="143"/>
      <c r="R454" s="143"/>
      <c r="S454" s="17"/>
      <c r="T454" s="17"/>
    </row>
    <row r="455">
      <c r="A455" s="327"/>
      <c r="B455" s="121"/>
      <c r="C455" s="327"/>
      <c r="D455" s="127"/>
      <c r="E455" s="327"/>
      <c r="F455" s="121"/>
      <c r="G455" s="327"/>
      <c r="H455" s="121"/>
      <c r="I455" s="334"/>
      <c r="J455" s="127"/>
      <c r="K455" s="334"/>
      <c r="L455" s="127"/>
      <c r="M455" s="334"/>
      <c r="N455" s="127"/>
      <c r="O455" s="327"/>
      <c r="P455" s="121"/>
      <c r="Q455" s="143"/>
      <c r="R455" s="143"/>
      <c r="S455" s="17"/>
      <c r="T455" s="17"/>
    </row>
    <row r="456">
      <c r="A456" s="327"/>
      <c r="B456" s="121"/>
      <c r="C456" s="327"/>
      <c r="D456" s="127"/>
      <c r="E456" s="327"/>
      <c r="F456" s="121"/>
      <c r="G456" s="327"/>
      <c r="H456" s="121"/>
      <c r="I456" s="334"/>
      <c r="J456" s="127"/>
      <c r="K456" s="334"/>
      <c r="L456" s="127"/>
      <c r="M456" s="334"/>
      <c r="N456" s="127"/>
      <c r="O456" s="327"/>
      <c r="P456" s="121"/>
      <c r="Q456" s="143"/>
      <c r="R456" s="143"/>
      <c r="S456" s="17"/>
      <c r="T456" s="17"/>
    </row>
    <row r="457">
      <c r="A457" s="327"/>
      <c r="B457" s="121"/>
      <c r="C457" s="327"/>
      <c r="D457" s="127"/>
      <c r="E457" s="327"/>
      <c r="F457" s="121"/>
      <c r="G457" s="327"/>
      <c r="H457" s="121"/>
      <c r="I457" s="334"/>
      <c r="J457" s="127"/>
      <c r="K457" s="334"/>
      <c r="L457" s="127"/>
      <c r="M457" s="334"/>
      <c r="N457" s="127"/>
      <c r="O457" s="327"/>
      <c r="P457" s="121"/>
      <c r="Q457" s="143"/>
      <c r="R457" s="143"/>
      <c r="S457" s="17"/>
      <c r="T457" s="17"/>
    </row>
    <row r="458">
      <c r="A458" s="327"/>
      <c r="B458" s="121"/>
      <c r="C458" s="327"/>
      <c r="D458" s="127"/>
      <c r="E458" s="327"/>
      <c r="F458" s="121"/>
      <c r="G458" s="327"/>
      <c r="H458" s="121"/>
      <c r="I458" s="334"/>
      <c r="J458" s="127"/>
      <c r="K458" s="334"/>
      <c r="L458" s="127"/>
      <c r="M458" s="334"/>
      <c r="N458" s="127"/>
      <c r="O458" s="327"/>
      <c r="P458" s="121"/>
      <c r="Q458" s="143"/>
      <c r="R458" s="143"/>
      <c r="S458" s="17"/>
      <c r="T458" s="17"/>
    </row>
    <row r="459">
      <c r="A459" s="327"/>
      <c r="B459" s="121"/>
      <c r="C459" s="327"/>
      <c r="D459" s="127"/>
      <c r="E459" s="327"/>
      <c r="F459" s="121"/>
      <c r="G459" s="327"/>
      <c r="H459" s="121"/>
      <c r="I459" s="334"/>
      <c r="J459" s="127"/>
      <c r="K459" s="334"/>
      <c r="L459" s="127"/>
      <c r="M459" s="334"/>
      <c r="N459" s="127"/>
      <c r="O459" s="327"/>
      <c r="P459" s="121"/>
      <c r="Q459" s="143"/>
      <c r="R459" s="143"/>
      <c r="S459" s="17"/>
      <c r="T459" s="17"/>
    </row>
    <row r="460">
      <c r="A460" s="327"/>
      <c r="B460" s="121"/>
      <c r="C460" s="327"/>
      <c r="D460" s="127"/>
      <c r="E460" s="327"/>
      <c r="F460" s="121"/>
      <c r="G460" s="327"/>
      <c r="H460" s="121"/>
      <c r="I460" s="334"/>
      <c r="J460" s="127"/>
      <c r="K460" s="334"/>
      <c r="L460" s="127"/>
      <c r="M460" s="334"/>
      <c r="N460" s="127"/>
      <c r="O460" s="327"/>
      <c r="P460" s="121"/>
      <c r="Q460" s="143"/>
      <c r="R460" s="143"/>
      <c r="S460" s="17"/>
      <c r="T460" s="17"/>
    </row>
    <row r="461">
      <c r="A461" s="327"/>
      <c r="B461" s="121"/>
      <c r="C461" s="327"/>
      <c r="D461" s="127"/>
      <c r="E461" s="327"/>
      <c r="F461" s="121"/>
      <c r="G461" s="327"/>
      <c r="H461" s="121"/>
      <c r="I461" s="334"/>
      <c r="J461" s="127"/>
      <c r="K461" s="334"/>
      <c r="L461" s="127"/>
      <c r="M461" s="334"/>
      <c r="N461" s="127"/>
      <c r="O461" s="327"/>
      <c r="P461" s="121"/>
      <c r="Q461" s="143"/>
      <c r="R461" s="143"/>
      <c r="S461" s="17"/>
      <c r="T461" s="17"/>
    </row>
    <row r="462">
      <c r="A462" s="327"/>
      <c r="B462" s="121"/>
      <c r="C462" s="327"/>
      <c r="D462" s="127"/>
      <c r="E462" s="327"/>
      <c r="F462" s="121"/>
      <c r="G462" s="327"/>
      <c r="H462" s="121"/>
      <c r="I462" s="334"/>
      <c r="J462" s="127"/>
      <c r="K462" s="334"/>
      <c r="L462" s="127"/>
      <c r="M462" s="334"/>
      <c r="N462" s="127"/>
      <c r="O462" s="327"/>
      <c r="P462" s="121"/>
      <c r="Q462" s="143"/>
      <c r="R462" s="143"/>
      <c r="S462" s="17"/>
      <c r="T462" s="17"/>
    </row>
    <row r="463">
      <c r="A463" s="327"/>
      <c r="B463" s="121"/>
      <c r="C463" s="327"/>
      <c r="D463" s="127"/>
      <c r="E463" s="327"/>
      <c r="F463" s="121"/>
      <c r="G463" s="327"/>
      <c r="H463" s="121"/>
      <c r="I463" s="334"/>
      <c r="J463" s="127"/>
      <c r="K463" s="334"/>
      <c r="L463" s="127"/>
      <c r="M463" s="334"/>
      <c r="N463" s="127"/>
      <c r="O463" s="327"/>
      <c r="P463" s="121"/>
      <c r="Q463" s="143"/>
      <c r="R463" s="143"/>
      <c r="S463" s="17"/>
      <c r="T463" s="17"/>
    </row>
    <row r="464">
      <c r="A464" s="327"/>
      <c r="B464" s="121"/>
      <c r="C464" s="327"/>
      <c r="D464" s="127"/>
      <c r="E464" s="327"/>
      <c r="F464" s="121"/>
      <c r="G464" s="327"/>
      <c r="H464" s="121"/>
      <c r="I464" s="334"/>
      <c r="J464" s="127"/>
      <c r="K464" s="334"/>
      <c r="L464" s="127"/>
      <c r="M464" s="334"/>
      <c r="N464" s="127"/>
      <c r="O464" s="327"/>
      <c r="P464" s="121"/>
      <c r="Q464" s="143"/>
      <c r="R464" s="143"/>
      <c r="S464" s="17"/>
      <c r="T464" s="17"/>
    </row>
    <row r="465">
      <c r="A465" s="327"/>
      <c r="B465" s="121"/>
      <c r="C465" s="327"/>
      <c r="D465" s="127"/>
      <c r="E465" s="327"/>
      <c r="F465" s="121"/>
      <c r="G465" s="327"/>
      <c r="H465" s="121"/>
      <c r="I465" s="334"/>
      <c r="J465" s="127"/>
      <c r="K465" s="334"/>
      <c r="L465" s="127"/>
      <c r="M465" s="334"/>
      <c r="N465" s="127"/>
      <c r="O465" s="327"/>
      <c r="P465" s="121"/>
      <c r="Q465" s="143"/>
      <c r="R465" s="143"/>
      <c r="S465" s="17"/>
      <c r="T465" s="17"/>
    </row>
    <row r="466">
      <c r="A466" s="327"/>
      <c r="B466" s="121"/>
      <c r="C466" s="327"/>
      <c r="D466" s="127"/>
      <c r="E466" s="327"/>
      <c r="F466" s="121"/>
      <c r="G466" s="327"/>
      <c r="H466" s="121"/>
      <c r="I466" s="334"/>
      <c r="J466" s="127"/>
      <c r="K466" s="334"/>
      <c r="L466" s="127"/>
      <c r="M466" s="334"/>
      <c r="N466" s="127"/>
      <c r="O466" s="327"/>
      <c r="P466" s="121"/>
      <c r="Q466" s="143"/>
      <c r="R466" s="143"/>
      <c r="S466" s="17"/>
      <c r="T466" s="17"/>
    </row>
    <row r="467">
      <c r="A467" s="327"/>
      <c r="B467" s="121"/>
      <c r="C467" s="327"/>
      <c r="D467" s="127"/>
      <c r="E467" s="327"/>
      <c r="F467" s="121"/>
      <c r="G467" s="327"/>
      <c r="H467" s="121"/>
      <c r="I467" s="334"/>
      <c r="J467" s="127"/>
      <c r="K467" s="334"/>
      <c r="L467" s="127"/>
      <c r="M467" s="334"/>
      <c r="N467" s="127"/>
      <c r="O467" s="327"/>
      <c r="P467" s="121"/>
      <c r="Q467" s="143"/>
      <c r="R467" s="143"/>
      <c r="S467" s="17"/>
      <c r="T467" s="17"/>
    </row>
    <row r="468">
      <c r="A468" s="327"/>
      <c r="B468" s="121"/>
      <c r="C468" s="327"/>
      <c r="D468" s="127"/>
      <c r="E468" s="327"/>
      <c r="F468" s="121"/>
      <c r="G468" s="327"/>
      <c r="H468" s="121"/>
      <c r="I468" s="334"/>
      <c r="J468" s="127"/>
      <c r="K468" s="334"/>
      <c r="L468" s="127"/>
      <c r="M468" s="334"/>
      <c r="N468" s="127"/>
      <c r="O468" s="327"/>
      <c r="P468" s="121"/>
      <c r="Q468" s="143"/>
      <c r="R468" s="143"/>
      <c r="S468" s="17"/>
      <c r="T468" s="17"/>
    </row>
    <row r="469">
      <c r="A469" s="327"/>
      <c r="B469" s="121"/>
      <c r="C469" s="327"/>
      <c r="D469" s="127"/>
      <c r="E469" s="327"/>
      <c r="F469" s="121"/>
      <c r="G469" s="327"/>
      <c r="H469" s="121"/>
      <c r="I469" s="334"/>
      <c r="J469" s="127"/>
      <c r="K469" s="334"/>
      <c r="L469" s="127"/>
      <c r="M469" s="334"/>
      <c r="N469" s="127"/>
      <c r="O469" s="327"/>
      <c r="P469" s="121"/>
      <c r="Q469" s="143"/>
      <c r="R469" s="143"/>
      <c r="S469" s="17"/>
      <c r="T469" s="17"/>
    </row>
    <row r="470">
      <c r="A470" s="327"/>
      <c r="B470" s="121"/>
      <c r="C470" s="327"/>
      <c r="D470" s="127"/>
      <c r="E470" s="327"/>
      <c r="F470" s="121"/>
      <c r="G470" s="327"/>
      <c r="H470" s="121"/>
      <c r="I470" s="334"/>
      <c r="J470" s="127"/>
      <c r="K470" s="334"/>
      <c r="L470" s="127"/>
      <c r="M470" s="334"/>
      <c r="N470" s="127"/>
      <c r="O470" s="327"/>
      <c r="P470" s="121"/>
      <c r="Q470" s="143"/>
      <c r="R470" s="143"/>
      <c r="S470" s="17"/>
      <c r="T470" s="17"/>
    </row>
    <row r="471">
      <c r="A471" s="327"/>
      <c r="B471" s="121"/>
      <c r="C471" s="327"/>
      <c r="D471" s="127"/>
      <c r="E471" s="327"/>
      <c r="F471" s="121"/>
      <c r="G471" s="327"/>
      <c r="H471" s="121"/>
      <c r="I471" s="334"/>
      <c r="J471" s="127"/>
      <c r="K471" s="334"/>
      <c r="L471" s="127"/>
      <c r="M471" s="334"/>
      <c r="N471" s="127"/>
      <c r="O471" s="327"/>
      <c r="P471" s="121"/>
      <c r="Q471" s="143"/>
      <c r="R471" s="143"/>
      <c r="S471" s="17"/>
      <c r="T471" s="17"/>
    </row>
    <row r="472">
      <c r="A472" s="327"/>
      <c r="B472" s="121"/>
      <c r="C472" s="327"/>
      <c r="D472" s="127"/>
      <c r="E472" s="327"/>
      <c r="F472" s="121"/>
      <c r="G472" s="327"/>
      <c r="H472" s="121"/>
      <c r="I472" s="334"/>
      <c r="J472" s="127"/>
      <c r="K472" s="334"/>
      <c r="L472" s="127"/>
      <c r="M472" s="334"/>
      <c r="N472" s="127"/>
      <c r="O472" s="327"/>
      <c r="P472" s="121"/>
      <c r="Q472" s="143"/>
      <c r="R472" s="143"/>
      <c r="S472" s="17"/>
      <c r="T472" s="17"/>
    </row>
    <row r="473">
      <c r="A473" s="327"/>
      <c r="B473" s="121"/>
      <c r="C473" s="327"/>
      <c r="D473" s="127"/>
      <c r="E473" s="327"/>
      <c r="F473" s="121"/>
      <c r="G473" s="327"/>
      <c r="H473" s="121"/>
      <c r="I473" s="334"/>
      <c r="J473" s="127"/>
      <c r="K473" s="334"/>
      <c r="L473" s="127"/>
      <c r="M473" s="334"/>
      <c r="N473" s="127"/>
      <c r="O473" s="327"/>
      <c r="P473" s="121"/>
      <c r="Q473" s="143"/>
      <c r="R473" s="143"/>
      <c r="S473" s="17"/>
      <c r="T473" s="17"/>
    </row>
    <row r="474">
      <c r="A474" s="327"/>
      <c r="B474" s="121"/>
      <c r="C474" s="327"/>
      <c r="D474" s="127"/>
      <c r="E474" s="327"/>
      <c r="F474" s="121"/>
      <c r="G474" s="327"/>
      <c r="H474" s="121"/>
      <c r="I474" s="334"/>
      <c r="J474" s="127"/>
      <c r="K474" s="334"/>
      <c r="L474" s="127"/>
      <c r="M474" s="334"/>
      <c r="N474" s="127"/>
      <c r="O474" s="327"/>
      <c r="P474" s="121"/>
      <c r="Q474" s="143"/>
      <c r="R474" s="143"/>
      <c r="S474" s="17"/>
      <c r="T474" s="17"/>
    </row>
    <row r="475">
      <c r="A475" s="327"/>
      <c r="B475" s="121"/>
      <c r="C475" s="327"/>
      <c r="D475" s="127"/>
      <c r="E475" s="327"/>
      <c r="F475" s="121"/>
      <c r="G475" s="327"/>
      <c r="H475" s="121"/>
      <c r="I475" s="334"/>
      <c r="J475" s="127"/>
      <c r="K475" s="334"/>
      <c r="L475" s="127"/>
      <c r="M475" s="334"/>
      <c r="N475" s="127"/>
      <c r="O475" s="327"/>
      <c r="P475" s="121"/>
      <c r="Q475" s="143"/>
      <c r="R475" s="143"/>
      <c r="S475" s="17"/>
      <c r="T475" s="17"/>
    </row>
    <row r="476">
      <c r="A476" s="327"/>
      <c r="B476" s="121"/>
      <c r="C476" s="327"/>
      <c r="D476" s="127"/>
      <c r="E476" s="327"/>
      <c r="F476" s="121"/>
      <c r="G476" s="327"/>
      <c r="H476" s="121"/>
      <c r="I476" s="334"/>
      <c r="J476" s="127"/>
      <c r="K476" s="334"/>
      <c r="L476" s="127"/>
      <c r="M476" s="334"/>
      <c r="N476" s="127"/>
      <c r="O476" s="327"/>
      <c r="P476" s="121"/>
      <c r="Q476" s="143"/>
      <c r="R476" s="143"/>
      <c r="S476" s="17"/>
      <c r="T476" s="17"/>
    </row>
    <row r="477">
      <c r="A477" s="327"/>
      <c r="B477" s="121"/>
      <c r="C477" s="327"/>
      <c r="D477" s="127"/>
      <c r="E477" s="327"/>
      <c r="F477" s="121"/>
      <c r="G477" s="327"/>
      <c r="H477" s="121"/>
      <c r="I477" s="334"/>
      <c r="J477" s="127"/>
      <c r="K477" s="334"/>
      <c r="L477" s="127"/>
      <c r="M477" s="334"/>
      <c r="N477" s="127"/>
      <c r="O477" s="327"/>
      <c r="P477" s="121"/>
      <c r="Q477" s="143"/>
      <c r="R477" s="143"/>
      <c r="S477" s="17"/>
      <c r="T477" s="17"/>
    </row>
    <row r="478">
      <c r="A478" s="327"/>
      <c r="B478" s="121"/>
      <c r="C478" s="327"/>
      <c r="D478" s="127"/>
      <c r="E478" s="327"/>
      <c r="F478" s="121"/>
      <c r="G478" s="327"/>
      <c r="H478" s="121"/>
      <c r="I478" s="334"/>
      <c r="J478" s="127"/>
      <c r="K478" s="334"/>
      <c r="L478" s="127"/>
      <c r="M478" s="334"/>
      <c r="N478" s="127"/>
      <c r="O478" s="327"/>
      <c r="P478" s="121"/>
      <c r="Q478" s="143"/>
      <c r="R478" s="143"/>
      <c r="S478" s="17"/>
      <c r="T478" s="17"/>
    </row>
    <row r="479">
      <c r="A479" s="327"/>
      <c r="B479" s="121"/>
      <c r="C479" s="327"/>
      <c r="D479" s="127"/>
      <c r="E479" s="327"/>
      <c r="F479" s="121"/>
      <c r="G479" s="327"/>
      <c r="H479" s="121"/>
      <c r="I479" s="334"/>
      <c r="J479" s="127"/>
      <c r="K479" s="334"/>
      <c r="L479" s="127"/>
      <c r="M479" s="334"/>
      <c r="N479" s="127"/>
      <c r="O479" s="327"/>
      <c r="P479" s="121"/>
      <c r="Q479" s="143"/>
      <c r="R479" s="143"/>
      <c r="S479" s="17"/>
      <c r="T479" s="17"/>
    </row>
    <row r="480">
      <c r="A480" s="327"/>
      <c r="B480" s="121"/>
      <c r="C480" s="327"/>
      <c r="D480" s="127"/>
      <c r="E480" s="327"/>
      <c r="F480" s="121"/>
      <c r="G480" s="327"/>
      <c r="H480" s="121"/>
      <c r="I480" s="334"/>
      <c r="J480" s="127"/>
      <c r="K480" s="334"/>
      <c r="L480" s="127"/>
      <c r="M480" s="334"/>
      <c r="N480" s="127"/>
      <c r="O480" s="327"/>
      <c r="P480" s="121"/>
      <c r="Q480" s="143"/>
      <c r="R480" s="143"/>
      <c r="S480" s="17"/>
      <c r="T480" s="17"/>
    </row>
    <row r="481">
      <c r="A481" s="327"/>
      <c r="B481" s="121"/>
      <c r="C481" s="327"/>
      <c r="D481" s="127"/>
      <c r="E481" s="327"/>
      <c r="F481" s="121"/>
      <c r="G481" s="327"/>
      <c r="H481" s="121"/>
      <c r="I481" s="334"/>
      <c r="J481" s="127"/>
      <c r="K481" s="334"/>
      <c r="L481" s="127"/>
      <c r="M481" s="334"/>
      <c r="N481" s="127"/>
      <c r="O481" s="327"/>
      <c r="P481" s="121"/>
      <c r="Q481" s="143"/>
      <c r="R481" s="143"/>
      <c r="S481" s="17"/>
      <c r="T481" s="17"/>
    </row>
    <row r="482">
      <c r="A482" s="327"/>
      <c r="B482" s="121"/>
      <c r="C482" s="327"/>
      <c r="D482" s="127"/>
      <c r="E482" s="327"/>
      <c r="F482" s="121"/>
      <c r="G482" s="327"/>
      <c r="H482" s="121"/>
      <c r="I482" s="334"/>
      <c r="J482" s="127"/>
      <c r="K482" s="334"/>
      <c r="L482" s="127"/>
      <c r="M482" s="334"/>
      <c r="N482" s="127"/>
      <c r="O482" s="327"/>
      <c r="P482" s="121"/>
      <c r="Q482" s="143"/>
      <c r="R482" s="143"/>
      <c r="S482" s="17"/>
      <c r="T482" s="17"/>
    </row>
    <row r="483">
      <c r="A483" s="327"/>
      <c r="B483" s="121"/>
      <c r="C483" s="327"/>
      <c r="D483" s="127"/>
      <c r="E483" s="327"/>
      <c r="F483" s="121"/>
      <c r="G483" s="327"/>
      <c r="H483" s="121"/>
      <c r="I483" s="334"/>
      <c r="J483" s="127"/>
      <c r="K483" s="334"/>
      <c r="L483" s="127"/>
      <c r="M483" s="334"/>
      <c r="N483" s="127"/>
      <c r="O483" s="327"/>
      <c r="P483" s="121"/>
      <c r="Q483" s="143"/>
      <c r="R483" s="143"/>
      <c r="S483" s="17"/>
      <c r="T483" s="17"/>
    </row>
    <row r="484">
      <c r="A484" s="327"/>
      <c r="B484" s="121"/>
      <c r="C484" s="327"/>
      <c r="D484" s="127"/>
      <c r="E484" s="327"/>
      <c r="F484" s="121"/>
      <c r="G484" s="327"/>
      <c r="H484" s="121"/>
      <c r="I484" s="334"/>
      <c r="J484" s="127"/>
      <c r="K484" s="334"/>
      <c r="L484" s="127"/>
      <c r="M484" s="334"/>
      <c r="N484" s="127"/>
      <c r="O484" s="327"/>
      <c r="P484" s="121"/>
      <c r="Q484" s="143"/>
      <c r="R484" s="143"/>
      <c r="S484" s="17"/>
      <c r="T484" s="17"/>
    </row>
    <row r="485">
      <c r="A485" s="327"/>
      <c r="B485" s="121"/>
      <c r="C485" s="327"/>
      <c r="D485" s="127"/>
      <c r="E485" s="327"/>
      <c r="F485" s="121"/>
      <c r="G485" s="327"/>
      <c r="H485" s="121"/>
      <c r="I485" s="334"/>
      <c r="J485" s="127"/>
      <c r="K485" s="334"/>
      <c r="L485" s="127"/>
      <c r="M485" s="334"/>
      <c r="N485" s="127"/>
      <c r="O485" s="327"/>
      <c r="P485" s="121"/>
      <c r="Q485" s="143"/>
      <c r="R485" s="143"/>
      <c r="S485" s="17"/>
      <c r="T485" s="17"/>
    </row>
    <row r="486">
      <c r="A486" s="327"/>
      <c r="B486" s="121"/>
      <c r="C486" s="327"/>
      <c r="D486" s="127"/>
      <c r="E486" s="327"/>
      <c r="F486" s="121"/>
      <c r="G486" s="327"/>
      <c r="H486" s="121"/>
      <c r="I486" s="334"/>
      <c r="J486" s="127"/>
      <c r="K486" s="334"/>
      <c r="L486" s="127"/>
      <c r="M486" s="334"/>
      <c r="N486" s="127"/>
      <c r="O486" s="327"/>
      <c r="P486" s="121"/>
      <c r="Q486" s="143"/>
      <c r="R486" s="143"/>
      <c r="S486" s="17"/>
      <c r="T486" s="17"/>
    </row>
    <row r="487">
      <c r="A487" s="327"/>
      <c r="B487" s="121"/>
      <c r="C487" s="327"/>
      <c r="D487" s="127"/>
      <c r="E487" s="327"/>
      <c r="F487" s="121"/>
      <c r="G487" s="327"/>
      <c r="H487" s="121"/>
      <c r="I487" s="334"/>
      <c r="J487" s="127"/>
      <c r="K487" s="334"/>
      <c r="L487" s="127"/>
      <c r="M487" s="334"/>
      <c r="N487" s="127"/>
      <c r="O487" s="327"/>
      <c r="P487" s="121"/>
      <c r="Q487" s="143"/>
      <c r="R487" s="143"/>
      <c r="S487" s="17"/>
      <c r="T487" s="17"/>
    </row>
    <row r="488">
      <c r="A488" s="327"/>
      <c r="B488" s="121"/>
      <c r="C488" s="327"/>
      <c r="D488" s="127"/>
      <c r="E488" s="327"/>
      <c r="F488" s="121"/>
      <c r="G488" s="327"/>
      <c r="H488" s="121"/>
      <c r="I488" s="334"/>
      <c r="J488" s="127"/>
      <c r="K488" s="334"/>
      <c r="L488" s="127"/>
      <c r="M488" s="334"/>
      <c r="N488" s="127"/>
      <c r="O488" s="327"/>
      <c r="P488" s="121"/>
      <c r="Q488" s="143"/>
      <c r="R488" s="143"/>
      <c r="S488" s="17"/>
      <c r="T488" s="17"/>
    </row>
    <row r="489">
      <c r="A489" s="327"/>
      <c r="B489" s="121"/>
      <c r="C489" s="327"/>
      <c r="D489" s="127"/>
      <c r="E489" s="327"/>
      <c r="F489" s="121"/>
      <c r="G489" s="327"/>
      <c r="H489" s="121"/>
      <c r="I489" s="334"/>
      <c r="J489" s="127"/>
      <c r="K489" s="334"/>
      <c r="L489" s="127"/>
      <c r="M489" s="334"/>
      <c r="N489" s="127"/>
      <c r="O489" s="327"/>
      <c r="P489" s="121"/>
      <c r="Q489" s="143"/>
      <c r="R489" s="143"/>
      <c r="S489" s="17"/>
      <c r="T489" s="17"/>
    </row>
    <row r="490">
      <c r="A490" s="327"/>
      <c r="B490" s="121"/>
      <c r="C490" s="327"/>
      <c r="D490" s="127"/>
      <c r="E490" s="327"/>
      <c r="F490" s="121"/>
      <c r="G490" s="327"/>
      <c r="H490" s="121"/>
      <c r="I490" s="334"/>
      <c r="J490" s="127"/>
      <c r="K490" s="334"/>
      <c r="L490" s="127"/>
      <c r="M490" s="334"/>
      <c r="N490" s="127"/>
      <c r="O490" s="327"/>
      <c r="P490" s="121"/>
      <c r="Q490" s="143"/>
      <c r="R490" s="143"/>
      <c r="S490" s="17"/>
      <c r="T490" s="17"/>
    </row>
    <row r="491">
      <c r="A491" s="327"/>
      <c r="B491" s="121"/>
      <c r="C491" s="327"/>
      <c r="D491" s="127"/>
      <c r="E491" s="327"/>
      <c r="F491" s="121"/>
      <c r="G491" s="327"/>
      <c r="H491" s="121"/>
      <c r="I491" s="334"/>
      <c r="J491" s="127"/>
      <c r="K491" s="334"/>
      <c r="L491" s="127"/>
      <c r="M491" s="334"/>
      <c r="N491" s="127"/>
      <c r="O491" s="327"/>
      <c r="P491" s="121"/>
      <c r="Q491" s="143"/>
      <c r="R491" s="143"/>
      <c r="S491" s="17"/>
      <c r="T491" s="17"/>
    </row>
    <row r="492">
      <c r="A492" s="327"/>
      <c r="B492" s="121"/>
      <c r="C492" s="327"/>
      <c r="D492" s="127"/>
      <c r="E492" s="327"/>
      <c r="F492" s="121"/>
      <c r="G492" s="327"/>
      <c r="H492" s="121"/>
      <c r="I492" s="334"/>
      <c r="J492" s="127"/>
      <c r="K492" s="334"/>
      <c r="L492" s="127"/>
      <c r="M492" s="334"/>
      <c r="N492" s="127"/>
      <c r="O492" s="327"/>
      <c r="P492" s="121"/>
      <c r="Q492" s="143"/>
      <c r="R492" s="143"/>
      <c r="S492" s="17"/>
      <c r="T492" s="17"/>
    </row>
    <row r="493">
      <c r="A493" s="327"/>
      <c r="B493" s="121"/>
      <c r="C493" s="327"/>
      <c r="D493" s="127"/>
      <c r="E493" s="327"/>
      <c r="F493" s="121"/>
      <c r="G493" s="327"/>
      <c r="H493" s="121"/>
      <c r="I493" s="334"/>
      <c r="J493" s="127"/>
      <c r="K493" s="334"/>
      <c r="L493" s="127"/>
      <c r="M493" s="334"/>
      <c r="N493" s="127"/>
      <c r="O493" s="327"/>
      <c r="P493" s="121"/>
      <c r="Q493" s="143"/>
      <c r="R493" s="143"/>
      <c r="S493" s="17"/>
      <c r="T493" s="17"/>
    </row>
    <row r="494">
      <c r="A494" s="327"/>
      <c r="B494" s="121"/>
      <c r="C494" s="327"/>
      <c r="D494" s="127"/>
      <c r="E494" s="327"/>
      <c r="F494" s="121"/>
      <c r="G494" s="327"/>
      <c r="H494" s="121"/>
      <c r="I494" s="334"/>
      <c r="J494" s="127"/>
      <c r="K494" s="334"/>
      <c r="L494" s="127"/>
      <c r="M494" s="334"/>
      <c r="N494" s="127"/>
      <c r="O494" s="327"/>
      <c r="P494" s="121"/>
      <c r="Q494" s="143"/>
      <c r="R494" s="143"/>
      <c r="S494" s="17"/>
      <c r="T494" s="17"/>
    </row>
    <row r="495">
      <c r="A495" s="327"/>
      <c r="B495" s="121"/>
      <c r="C495" s="327"/>
      <c r="D495" s="127"/>
      <c r="E495" s="327"/>
      <c r="F495" s="121"/>
      <c r="G495" s="327"/>
      <c r="H495" s="121"/>
      <c r="I495" s="334"/>
      <c r="J495" s="127"/>
      <c r="K495" s="334"/>
      <c r="L495" s="127"/>
      <c r="M495" s="334"/>
      <c r="N495" s="127"/>
      <c r="O495" s="327"/>
      <c r="P495" s="121"/>
      <c r="Q495" s="143"/>
      <c r="R495" s="143"/>
      <c r="S495" s="17"/>
      <c r="T495" s="17"/>
    </row>
    <row r="496">
      <c r="A496" s="327"/>
      <c r="B496" s="121"/>
      <c r="C496" s="327"/>
      <c r="D496" s="127"/>
      <c r="E496" s="327"/>
      <c r="F496" s="121"/>
      <c r="G496" s="327"/>
      <c r="H496" s="121"/>
      <c r="I496" s="334"/>
      <c r="J496" s="127"/>
      <c r="K496" s="334"/>
      <c r="L496" s="127"/>
      <c r="M496" s="334"/>
      <c r="N496" s="127"/>
      <c r="O496" s="327"/>
      <c r="P496" s="121"/>
      <c r="Q496" s="143"/>
      <c r="R496" s="143"/>
      <c r="S496" s="17"/>
      <c r="T496" s="17"/>
    </row>
    <row r="497">
      <c r="A497" s="327"/>
      <c r="B497" s="121"/>
      <c r="C497" s="327"/>
      <c r="D497" s="127"/>
      <c r="E497" s="327"/>
      <c r="F497" s="121"/>
      <c r="G497" s="327"/>
      <c r="H497" s="121"/>
      <c r="I497" s="334"/>
      <c r="J497" s="127"/>
      <c r="K497" s="334"/>
      <c r="L497" s="127"/>
      <c r="M497" s="334"/>
      <c r="N497" s="127"/>
      <c r="O497" s="327"/>
      <c r="P497" s="121"/>
      <c r="Q497" s="143"/>
      <c r="R497" s="143"/>
      <c r="S497" s="17"/>
      <c r="T497" s="17"/>
    </row>
    <row r="498">
      <c r="A498" s="327"/>
      <c r="B498" s="121"/>
      <c r="C498" s="327"/>
      <c r="D498" s="127"/>
      <c r="E498" s="327"/>
      <c r="F498" s="121"/>
      <c r="G498" s="327"/>
      <c r="H498" s="121"/>
      <c r="I498" s="334"/>
      <c r="J498" s="127"/>
      <c r="K498" s="334"/>
      <c r="L498" s="127"/>
      <c r="M498" s="334"/>
      <c r="N498" s="127"/>
      <c r="O498" s="327"/>
      <c r="P498" s="121"/>
      <c r="Q498" s="143"/>
      <c r="R498" s="143"/>
      <c r="S498" s="17"/>
      <c r="T498" s="17"/>
    </row>
    <row r="499">
      <c r="A499" s="327"/>
      <c r="B499" s="121"/>
      <c r="C499" s="327"/>
      <c r="D499" s="127"/>
      <c r="E499" s="327"/>
      <c r="F499" s="121"/>
      <c r="G499" s="327"/>
      <c r="H499" s="121"/>
      <c r="I499" s="334"/>
      <c r="J499" s="127"/>
      <c r="K499" s="334"/>
      <c r="L499" s="127"/>
      <c r="M499" s="334"/>
      <c r="N499" s="127"/>
      <c r="O499" s="327"/>
      <c r="P499" s="121"/>
      <c r="Q499" s="143"/>
      <c r="R499" s="143"/>
      <c r="S499" s="17"/>
      <c r="T499" s="17"/>
    </row>
    <row r="500">
      <c r="A500" s="327"/>
      <c r="B500" s="121"/>
      <c r="C500" s="327"/>
      <c r="D500" s="127"/>
      <c r="E500" s="327"/>
      <c r="F500" s="121"/>
      <c r="G500" s="327"/>
      <c r="H500" s="121"/>
      <c r="I500" s="334"/>
      <c r="J500" s="127"/>
      <c r="K500" s="334"/>
      <c r="L500" s="127"/>
      <c r="M500" s="334"/>
      <c r="N500" s="127"/>
      <c r="O500" s="327"/>
      <c r="P500" s="121"/>
      <c r="Q500" s="143"/>
      <c r="R500" s="143"/>
      <c r="S500" s="17"/>
      <c r="T500" s="17"/>
    </row>
    <row r="501">
      <c r="A501" s="327"/>
      <c r="B501" s="121"/>
      <c r="C501" s="327"/>
      <c r="D501" s="127"/>
      <c r="E501" s="327"/>
      <c r="F501" s="121"/>
      <c r="G501" s="327"/>
      <c r="H501" s="121"/>
      <c r="I501" s="334"/>
      <c r="J501" s="127"/>
      <c r="K501" s="334"/>
      <c r="L501" s="127"/>
      <c r="M501" s="334"/>
      <c r="N501" s="127"/>
      <c r="O501" s="327"/>
      <c r="P501" s="121"/>
      <c r="Q501" s="143"/>
      <c r="R501" s="143"/>
      <c r="S501" s="17"/>
      <c r="T501" s="17"/>
    </row>
    <row r="502">
      <c r="A502" s="327"/>
      <c r="B502" s="121"/>
      <c r="C502" s="327"/>
      <c r="D502" s="127"/>
      <c r="E502" s="327"/>
      <c r="F502" s="121"/>
      <c r="G502" s="327"/>
      <c r="H502" s="121"/>
      <c r="I502" s="334"/>
      <c r="J502" s="127"/>
      <c r="K502" s="334"/>
      <c r="L502" s="127"/>
      <c r="M502" s="334"/>
      <c r="N502" s="127"/>
      <c r="O502" s="327"/>
      <c r="P502" s="121"/>
      <c r="Q502" s="143"/>
      <c r="R502" s="143"/>
      <c r="S502" s="17"/>
      <c r="T502" s="17"/>
    </row>
    <row r="503">
      <c r="A503" s="327"/>
      <c r="B503" s="121"/>
      <c r="C503" s="327"/>
      <c r="D503" s="127"/>
      <c r="E503" s="327"/>
      <c r="F503" s="121"/>
      <c r="G503" s="327"/>
      <c r="H503" s="121"/>
      <c r="I503" s="334"/>
      <c r="J503" s="127"/>
      <c r="K503" s="334"/>
      <c r="L503" s="127"/>
      <c r="M503" s="334"/>
      <c r="N503" s="127"/>
      <c r="O503" s="327"/>
      <c r="P503" s="121"/>
      <c r="Q503" s="143"/>
      <c r="R503" s="143"/>
      <c r="S503" s="17"/>
      <c r="T503" s="17"/>
    </row>
    <row r="504">
      <c r="A504" s="327"/>
      <c r="B504" s="121"/>
      <c r="C504" s="327"/>
      <c r="D504" s="127"/>
      <c r="E504" s="327"/>
      <c r="F504" s="121"/>
      <c r="G504" s="327"/>
      <c r="H504" s="121"/>
      <c r="I504" s="334"/>
      <c r="J504" s="127"/>
      <c r="K504" s="334"/>
      <c r="L504" s="127"/>
      <c r="M504" s="334"/>
      <c r="N504" s="127"/>
      <c r="O504" s="327"/>
      <c r="P504" s="121"/>
      <c r="Q504" s="143"/>
      <c r="R504" s="143"/>
      <c r="S504" s="17"/>
      <c r="T504" s="17"/>
    </row>
    <row r="505">
      <c r="A505" s="327"/>
      <c r="B505" s="121"/>
      <c r="C505" s="327"/>
      <c r="D505" s="127"/>
      <c r="E505" s="327"/>
      <c r="F505" s="121"/>
      <c r="G505" s="327"/>
      <c r="H505" s="121"/>
      <c r="I505" s="334"/>
      <c r="J505" s="127"/>
      <c r="K505" s="334"/>
      <c r="L505" s="127"/>
      <c r="M505" s="334"/>
      <c r="N505" s="127"/>
      <c r="O505" s="327"/>
      <c r="P505" s="121"/>
      <c r="Q505" s="143"/>
      <c r="R505" s="143"/>
      <c r="S505" s="17"/>
      <c r="T505" s="17"/>
    </row>
    <row r="506">
      <c r="A506" s="327"/>
      <c r="B506" s="121"/>
      <c r="C506" s="327"/>
      <c r="D506" s="127"/>
      <c r="E506" s="327"/>
      <c r="F506" s="121"/>
      <c r="G506" s="327"/>
      <c r="H506" s="121"/>
      <c r="I506" s="334"/>
      <c r="J506" s="127"/>
      <c r="K506" s="334"/>
      <c r="L506" s="127"/>
      <c r="M506" s="334"/>
      <c r="N506" s="127"/>
      <c r="O506" s="327"/>
      <c r="P506" s="121"/>
      <c r="Q506" s="143"/>
      <c r="R506" s="143"/>
      <c r="S506" s="17"/>
      <c r="T506" s="17"/>
    </row>
    <row r="507">
      <c r="A507" s="327"/>
      <c r="B507" s="121"/>
      <c r="C507" s="327"/>
      <c r="D507" s="127"/>
      <c r="E507" s="327"/>
      <c r="F507" s="121"/>
      <c r="G507" s="327"/>
      <c r="H507" s="121"/>
      <c r="I507" s="334"/>
      <c r="J507" s="127"/>
      <c r="K507" s="334"/>
      <c r="L507" s="127"/>
      <c r="M507" s="334"/>
      <c r="N507" s="127"/>
      <c r="O507" s="327"/>
      <c r="P507" s="121"/>
      <c r="Q507" s="143"/>
      <c r="R507" s="143"/>
      <c r="S507" s="17"/>
      <c r="T507" s="17"/>
    </row>
    <row r="508">
      <c r="A508" s="327"/>
      <c r="B508" s="121"/>
      <c r="C508" s="327"/>
      <c r="D508" s="127"/>
      <c r="E508" s="327"/>
      <c r="F508" s="121"/>
      <c r="G508" s="327"/>
      <c r="H508" s="121"/>
      <c r="I508" s="334"/>
      <c r="J508" s="127"/>
      <c r="K508" s="334"/>
      <c r="L508" s="127"/>
      <c r="M508" s="334"/>
      <c r="N508" s="127"/>
      <c r="O508" s="327"/>
      <c r="P508" s="121"/>
      <c r="Q508" s="143"/>
      <c r="R508" s="143"/>
      <c r="S508" s="17"/>
      <c r="T508" s="17"/>
    </row>
    <row r="509">
      <c r="A509" s="327"/>
      <c r="B509" s="121"/>
      <c r="C509" s="327"/>
      <c r="D509" s="127"/>
      <c r="E509" s="327"/>
      <c r="F509" s="121"/>
      <c r="G509" s="327"/>
      <c r="H509" s="121"/>
      <c r="I509" s="334"/>
      <c r="J509" s="127"/>
      <c r="K509" s="334"/>
      <c r="L509" s="127"/>
      <c r="M509" s="334"/>
      <c r="N509" s="127"/>
      <c r="O509" s="327"/>
      <c r="P509" s="121"/>
      <c r="Q509" s="143"/>
      <c r="R509" s="143"/>
      <c r="S509" s="17"/>
      <c r="T509" s="17"/>
    </row>
    <row r="510">
      <c r="A510" s="327"/>
      <c r="B510" s="121"/>
      <c r="C510" s="327"/>
      <c r="D510" s="127"/>
      <c r="E510" s="327"/>
      <c r="F510" s="121"/>
      <c r="G510" s="327"/>
      <c r="H510" s="121"/>
      <c r="I510" s="334"/>
      <c r="J510" s="127"/>
      <c r="K510" s="334"/>
      <c r="L510" s="127"/>
      <c r="M510" s="334"/>
      <c r="N510" s="127"/>
      <c r="O510" s="327"/>
      <c r="P510" s="121"/>
      <c r="Q510" s="143"/>
      <c r="R510" s="143"/>
      <c r="S510" s="17"/>
      <c r="T510" s="17"/>
    </row>
    <row r="511">
      <c r="A511" s="327"/>
      <c r="B511" s="121"/>
      <c r="C511" s="327"/>
      <c r="D511" s="127"/>
      <c r="E511" s="327"/>
      <c r="F511" s="121"/>
      <c r="G511" s="327"/>
      <c r="H511" s="121"/>
      <c r="I511" s="334"/>
      <c r="J511" s="127"/>
      <c r="K511" s="334"/>
      <c r="L511" s="127"/>
      <c r="M511" s="334"/>
      <c r="N511" s="127"/>
      <c r="O511" s="327"/>
      <c r="P511" s="121"/>
      <c r="Q511" s="143"/>
      <c r="R511" s="143"/>
      <c r="S511" s="17"/>
      <c r="T511" s="17"/>
    </row>
    <row r="512">
      <c r="A512" s="327"/>
      <c r="B512" s="121"/>
      <c r="C512" s="327"/>
      <c r="D512" s="127"/>
      <c r="E512" s="327"/>
      <c r="F512" s="121"/>
      <c r="G512" s="327"/>
      <c r="H512" s="121"/>
      <c r="I512" s="334"/>
      <c r="J512" s="127"/>
      <c r="K512" s="334"/>
      <c r="L512" s="127"/>
      <c r="M512" s="334"/>
      <c r="N512" s="127"/>
      <c r="O512" s="327"/>
      <c r="P512" s="121"/>
      <c r="Q512" s="143"/>
      <c r="R512" s="143"/>
      <c r="S512" s="17"/>
      <c r="T512" s="17"/>
    </row>
    <row r="513">
      <c r="A513" s="327"/>
      <c r="B513" s="121"/>
      <c r="C513" s="327"/>
      <c r="D513" s="127"/>
      <c r="E513" s="327"/>
      <c r="F513" s="121"/>
      <c r="G513" s="327"/>
      <c r="H513" s="121"/>
      <c r="I513" s="334"/>
      <c r="J513" s="127"/>
      <c r="K513" s="334"/>
      <c r="L513" s="127"/>
      <c r="M513" s="334"/>
      <c r="N513" s="127"/>
      <c r="O513" s="327"/>
      <c r="P513" s="121"/>
      <c r="Q513" s="143"/>
      <c r="R513" s="143"/>
      <c r="S513" s="17"/>
      <c r="T513" s="17"/>
    </row>
    <row r="514">
      <c r="A514" s="327"/>
      <c r="B514" s="121"/>
      <c r="C514" s="327"/>
      <c r="D514" s="127"/>
      <c r="E514" s="327"/>
      <c r="F514" s="121"/>
      <c r="G514" s="327"/>
      <c r="H514" s="121"/>
      <c r="I514" s="334"/>
      <c r="J514" s="127"/>
      <c r="K514" s="334"/>
      <c r="L514" s="127"/>
      <c r="M514" s="334"/>
      <c r="N514" s="127"/>
      <c r="O514" s="327"/>
      <c r="P514" s="121"/>
      <c r="Q514" s="143"/>
      <c r="R514" s="143"/>
      <c r="S514" s="17"/>
      <c r="T514" s="17"/>
    </row>
    <row r="515">
      <c r="A515" s="327"/>
      <c r="B515" s="121"/>
      <c r="C515" s="327"/>
      <c r="D515" s="127"/>
      <c r="E515" s="327"/>
      <c r="F515" s="121"/>
      <c r="G515" s="327"/>
      <c r="H515" s="121"/>
      <c r="I515" s="334"/>
      <c r="J515" s="127"/>
      <c r="K515" s="334"/>
      <c r="L515" s="127"/>
      <c r="M515" s="334"/>
      <c r="N515" s="127"/>
      <c r="O515" s="327"/>
      <c r="P515" s="121"/>
      <c r="Q515" s="143"/>
      <c r="R515" s="143"/>
      <c r="S515" s="17"/>
      <c r="T515" s="17"/>
    </row>
    <row r="516">
      <c r="A516" s="327"/>
      <c r="B516" s="121"/>
      <c r="C516" s="327"/>
      <c r="D516" s="127"/>
      <c r="E516" s="327"/>
      <c r="F516" s="121"/>
      <c r="G516" s="327"/>
      <c r="H516" s="121"/>
      <c r="I516" s="334"/>
      <c r="J516" s="127"/>
      <c r="K516" s="334"/>
      <c r="L516" s="127"/>
      <c r="M516" s="334"/>
      <c r="N516" s="127"/>
      <c r="O516" s="327"/>
      <c r="P516" s="121"/>
      <c r="Q516" s="143"/>
      <c r="R516" s="143"/>
      <c r="S516" s="17"/>
      <c r="T516" s="17"/>
    </row>
    <row r="517">
      <c r="A517" s="327"/>
      <c r="B517" s="121"/>
      <c r="C517" s="327"/>
      <c r="D517" s="127"/>
      <c r="E517" s="327"/>
      <c r="F517" s="121"/>
      <c r="G517" s="327"/>
      <c r="H517" s="121"/>
      <c r="I517" s="334"/>
      <c r="J517" s="127"/>
      <c r="K517" s="334"/>
      <c r="L517" s="127"/>
      <c r="M517" s="334"/>
      <c r="N517" s="127"/>
      <c r="O517" s="327"/>
      <c r="P517" s="121"/>
      <c r="Q517" s="143"/>
      <c r="R517" s="143"/>
      <c r="S517" s="17"/>
      <c r="T517" s="17"/>
    </row>
    <row r="518">
      <c r="A518" s="327"/>
      <c r="B518" s="121"/>
      <c r="C518" s="327"/>
      <c r="D518" s="127"/>
      <c r="E518" s="327"/>
      <c r="F518" s="121"/>
      <c r="G518" s="327"/>
      <c r="H518" s="121"/>
      <c r="I518" s="334"/>
      <c r="J518" s="127"/>
      <c r="K518" s="334"/>
      <c r="L518" s="127"/>
      <c r="M518" s="334"/>
      <c r="N518" s="127"/>
      <c r="O518" s="327"/>
      <c r="P518" s="121"/>
      <c r="Q518" s="143"/>
      <c r="R518" s="143"/>
      <c r="S518" s="17"/>
      <c r="T518" s="17"/>
    </row>
    <row r="519">
      <c r="A519" s="327"/>
      <c r="B519" s="121"/>
      <c r="C519" s="327"/>
      <c r="D519" s="127"/>
      <c r="E519" s="327"/>
      <c r="F519" s="121"/>
      <c r="G519" s="327"/>
      <c r="H519" s="121"/>
      <c r="I519" s="334"/>
      <c r="J519" s="127"/>
      <c r="K519" s="334"/>
      <c r="L519" s="127"/>
      <c r="M519" s="334"/>
      <c r="N519" s="127"/>
      <c r="O519" s="327"/>
      <c r="P519" s="121"/>
      <c r="Q519" s="143"/>
      <c r="R519" s="143"/>
      <c r="S519" s="17"/>
      <c r="T519" s="17"/>
    </row>
    <row r="520">
      <c r="A520" s="327"/>
      <c r="B520" s="121"/>
      <c r="C520" s="327"/>
      <c r="D520" s="127"/>
      <c r="E520" s="327"/>
      <c r="F520" s="121"/>
      <c r="G520" s="327"/>
      <c r="H520" s="121"/>
      <c r="I520" s="334"/>
      <c r="J520" s="127"/>
      <c r="K520" s="334"/>
      <c r="L520" s="127"/>
      <c r="M520" s="334"/>
      <c r="N520" s="127"/>
      <c r="O520" s="327"/>
      <c r="P520" s="121"/>
      <c r="Q520" s="143"/>
      <c r="R520" s="143"/>
      <c r="S520" s="17"/>
      <c r="T520" s="17"/>
    </row>
    <row r="521">
      <c r="A521" s="327"/>
      <c r="B521" s="121"/>
      <c r="C521" s="327"/>
      <c r="D521" s="127"/>
      <c r="E521" s="327"/>
      <c r="F521" s="121"/>
      <c r="G521" s="327"/>
      <c r="H521" s="121"/>
      <c r="I521" s="334"/>
      <c r="J521" s="127"/>
      <c r="K521" s="334"/>
      <c r="L521" s="127"/>
      <c r="M521" s="334"/>
      <c r="N521" s="127"/>
      <c r="O521" s="327"/>
      <c r="P521" s="121"/>
      <c r="Q521" s="143"/>
      <c r="R521" s="143"/>
      <c r="S521" s="17"/>
      <c r="T521" s="17"/>
    </row>
    <row r="522">
      <c r="A522" s="327"/>
      <c r="B522" s="121"/>
      <c r="C522" s="327"/>
      <c r="D522" s="127"/>
      <c r="E522" s="327"/>
      <c r="F522" s="121"/>
      <c r="G522" s="327"/>
      <c r="H522" s="121"/>
      <c r="I522" s="334"/>
      <c r="J522" s="127"/>
      <c r="K522" s="334"/>
      <c r="L522" s="127"/>
      <c r="M522" s="334"/>
      <c r="N522" s="127"/>
      <c r="O522" s="327"/>
      <c r="P522" s="121"/>
      <c r="Q522" s="143"/>
      <c r="R522" s="143"/>
      <c r="S522" s="17"/>
      <c r="T522" s="17"/>
    </row>
    <row r="523">
      <c r="A523" s="327"/>
      <c r="B523" s="121"/>
      <c r="C523" s="327"/>
      <c r="D523" s="127"/>
      <c r="E523" s="327"/>
      <c r="F523" s="121"/>
      <c r="G523" s="327"/>
      <c r="H523" s="121"/>
      <c r="I523" s="334"/>
      <c r="J523" s="127"/>
      <c r="K523" s="334"/>
      <c r="L523" s="127"/>
      <c r="M523" s="334"/>
      <c r="N523" s="127"/>
      <c r="O523" s="327"/>
      <c r="P523" s="121"/>
      <c r="Q523" s="143"/>
      <c r="R523" s="143"/>
      <c r="S523" s="17"/>
      <c r="T523" s="17"/>
    </row>
    <row r="524">
      <c r="A524" s="327"/>
      <c r="B524" s="121"/>
      <c r="C524" s="327"/>
      <c r="D524" s="127"/>
      <c r="E524" s="327"/>
      <c r="F524" s="121"/>
      <c r="G524" s="327"/>
      <c r="H524" s="121"/>
      <c r="I524" s="334"/>
      <c r="J524" s="127"/>
      <c r="K524" s="334"/>
      <c r="L524" s="127"/>
      <c r="M524" s="334"/>
      <c r="N524" s="127"/>
      <c r="O524" s="327"/>
      <c r="P524" s="121"/>
      <c r="Q524" s="143"/>
      <c r="R524" s="143"/>
      <c r="S524" s="17"/>
      <c r="T524" s="17"/>
    </row>
    <row r="525">
      <c r="A525" s="327"/>
      <c r="B525" s="121"/>
      <c r="C525" s="327"/>
      <c r="D525" s="127"/>
      <c r="E525" s="327"/>
      <c r="F525" s="121"/>
      <c r="G525" s="327"/>
      <c r="H525" s="121"/>
      <c r="I525" s="334"/>
      <c r="J525" s="127"/>
      <c r="K525" s="334"/>
      <c r="L525" s="127"/>
      <c r="M525" s="334"/>
      <c r="N525" s="127"/>
      <c r="O525" s="327"/>
      <c r="P525" s="121"/>
      <c r="Q525" s="143"/>
      <c r="R525" s="143"/>
      <c r="S525" s="17"/>
      <c r="T525" s="17"/>
    </row>
    <row r="526">
      <c r="A526" s="327"/>
      <c r="B526" s="121"/>
      <c r="C526" s="327"/>
      <c r="D526" s="127"/>
      <c r="E526" s="327"/>
      <c r="F526" s="121"/>
      <c r="G526" s="327"/>
      <c r="H526" s="121"/>
      <c r="I526" s="334"/>
      <c r="J526" s="127"/>
      <c r="K526" s="334"/>
      <c r="L526" s="127"/>
      <c r="M526" s="334"/>
      <c r="N526" s="127"/>
      <c r="O526" s="327"/>
      <c r="P526" s="121"/>
      <c r="Q526" s="143"/>
      <c r="R526" s="143"/>
      <c r="S526" s="17"/>
      <c r="T526" s="17"/>
    </row>
    <row r="527">
      <c r="A527" s="327"/>
      <c r="B527" s="121"/>
      <c r="C527" s="327"/>
      <c r="D527" s="127"/>
      <c r="E527" s="327"/>
      <c r="F527" s="121"/>
      <c r="G527" s="327"/>
      <c r="H527" s="121"/>
      <c r="I527" s="334"/>
      <c r="J527" s="127"/>
      <c r="K527" s="334"/>
      <c r="L527" s="127"/>
      <c r="M527" s="334"/>
      <c r="N527" s="127"/>
      <c r="O527" s="327"/>
      <c r="P527" s="121"/>
      <c r="Q527" s="143"/>
      <c r="R527" s="143"/>
      <c r="S527" s="17"/>
      <c r="T527" s="17"/>
    </row>
    <row r="528">
      <c r="A528" s="327"/>
      <c r="B528" s="121"/>
      <c r="C528" s="327"/>
      <c r="D528" s="127"/>
      <c r="E528" s="327"/>
      <c r="F528" s="121"/>
      <c r="G528" s="327"/>
      <c r="H528" s="121"/>
      <c r="I528" s="334"/>
      <c r="J528" s="127"/>
      <c r="K528" s="334"/>
      <c r="L528" s="127"/>
      <c r="M528" s="334"/>
      <c r="N528" s="127"/>
      <c r="O528" s="327"/>
      <c r="P528" s="121"/>
      <c r="Q528" s="143"/>
      <c r="R528" s="143"/>
      <c r="S528" s="17"/>
      <c r="T528" s="17"/>
    </row>
    <row r="529">
      <c r="A529" s="327"/>
      <c r="B529" s="121"/>
      <c r="C529" s="327"/>
      <c r="D529" s="127"/>
      <c r="E529" s="327"/>
      <c r="F529" s="121"/>
      <c r="G529" s="327"/>
      <c r="H529" s="121"/>
      <c r="I529" s="334"/>
      <c r="J529" s="127"/>
      <c r="K529" s="334"/>
      <c r="L529" s="127"/>
      <c r="M529" s="334"/>
      <c r="N529" s="127"/>
      <c r="O529" s="327"/>
      <c r="P529" s="121"/>
      <c r="Q529" s="143"/>
      <c r="R529" s="143"/>
      <c r="S529" s="17"/>
      <c r="T529" s="17"/>
    </row>
    <row r="530">
      <c r="A530" s="327"/>
      <c r="B530" s="121"/>
      <c r="C530" s="327"/>
      <c r="D530" s="127"/>
      <c r="E530" s="327"/>
      <c r="F530" s="121"/>
      <c r="G530" s="327"/>
      <c r="H530" s="121"/>
      <c r="I530" s="334"/>
      <c r="J530" s="127"/>
      <c r="K530" s="334"/>
      <c r="L530" s="127"/>
      <c r="M530" s="334"/>
      <c r="N530" s="127"/>
      <c r="O530" s="327"/>
      <c r="P530" s="121"/>
      <c r="Q530" s="143"/>
      <c r="R530" s="143"/>
      <c r="S530" s="17"/>
      <c r="T530" s="17"/>
    </row>
    <row r="531">
      <c r="A531" s="327"/>
      <c r="B531" s="121"/>
      <c r="C531" s="327"/>
      <c r="D531" s="127"/>
      <c r="E531" s="327"/>
      <c r="F531" s="121"/>
      <c r="G531" s="327"/>
      <c r="H531" s="121"/>
      <c r="I531" s="334"/>
      <c r="J531" s="127"/>
      <c r="K531" s="334"/>
      <c r="L531" s="127"/>
      <c r="M531" s="334"/>
      <c r="N531" s="127"/>
      <c r="O531" s="327"/>
      <c r="P531" s="121"/>
      <c r="Q531" s="143"/>
      <c r="R531" s="143"/>
      <c r="S531" s="17"/>
      <c r="T531" s="17"/>
    </row>
    <row r="532">
      <c r="A532" s="327"/>
      <c r="B532" s="121"/>
      <c r="C532" s="327"/>
      <c r="D532" s="127"/>
      <c r="E532" s="327"/>
      <c r="F532" s="121"/>
      <c r="G532" s="327"/>
      <c r="H532" s="121"/>
      <c r="I532" s="334"/>
      <c r="J532" s="127"/>
      <c r="K532" s="334"/>
      <c r="L532" s="127"/>
      <c r="M532" s="334"/>
      <c r="N532" s="127"/>
      <c r="O532" s="327"/>
      <c r="P532" s="121"/>
      <c r="Q532" s="143"/>
      <c r="R532" s="143"/>
      <c r="S532" s="17"/>
      <c r="T532" s="17"/>
    </row>
    <row r="533">
      <c r="A533" s="327"/>
      <c r="B533" s="121"/>
      <c r="C533" s="327"/>
      <c r="D533" s="127"/>
      <c r="E533" s="327"/>
      <c r="F533" s="121"/>
      <c r="G533" s="327"/>
      <c r="H533" s="121"/>
      <c r="I533" s="334"/>
      <c r="J533" s="127"/>
      <c r="K533" s="334"/>
      <c r="L533" s="127"/>
      <c r="M533" s="334"/>
      <c r="N533" s="127"/>
      <c r="O533" s="327"/>
      <c r="P533" s="121"/>
      <c r="Q533" s="143"/>
      <c r="R533" s="143"/>
      <c r="S533" s="17"/>
      <c r="T533" s="17"/>
    </row>
    <row r="534">
      <c r="A534" s="327"/>
      <c r="B534" s="121"/>
      <c r="C534" s="327"/>
      <c r="D534" s="127"/>
      <c r="E534" s="327"/>
      <c r="F534" s="121"/>
      <c r="G534" s="327"/>
      <c r="H534" s="121"/>
      <c r="I534" s="334"/>
      <c r="J534" s="127"/>
      <c r="K534" s="334"/>
      <c r="L534" s="127"/>
      <c r="M534" s="334"/>
      <c r="N534" s="127"/>
      <c r="O534" s="327"/>
      <c r="P534" s="121"/>
      <c r="Q534" s="143"/>
      <c r="R534" s="143"/>
      <c r="S534" s="17"/>
      <c r="T534" s="17"/>
    </row>
    <row r="535">
      <c r="A535" s="327"/>
      <c r="B535" s="121"/>
      <c r="C535" s="327"/>
      <c r="D535" s="127"/>
      <c r="E535" s="327"/>
      <c r="F535" s="121"/>
      <c r="G535" s="327"/>
      <c r="H535" s="121"/>
      <c r="I535" s="334"/>
      <c r="J535" s="127"/>
      <c r="K535" s="334"/>
      <c r="L535" s="127"/>
      <c r="M535" s="334"/>
      <c r="N535" s="127"/>
      <c r="O535" s="327"/>
      <c r="P535" s="121"/>
      <c r="Q535" s="143"/>
      <c r="R535" s="143"/>
      <c r="S535" s="17"/>
      <c r="T535" s="17"/>
    </row>
    <row r="536">
      <c r="A536" s="327"/>
      <c r="B536" s="121"/>
      <c r="C536" s="327"/>
      <c r="D536" s="127"/>
      <c r="E536" s="327"/>
      <c r="F536" s="121"/>
      <c r="G536" s="327"/>
      <c r="H536" s="121"/>
      <c r="I536" s="334"/>
      <c r="J536" s="127"/>
      <c r="K536" s="334"/>
      <c r="L536" s="127"/>
      <c r="M536" s="334"/>
      <c r="N536" s="127"/>
      <c r="O536" s="327"/>
      <c r="P536" s="121"/>
      <c r="Q536" s="143"/>
      <c r="R536" s="143"/>
      <c r="S536" s="17"/>
      <c r="T536" s="17"/>
    </row>
    <row r="537">
      <c r="A537" s="327"/>
      <c r="B537" s="121"/>
      <c r="C537" s="327"/>
      <c r="D537" s="127"/>
      <c r="E537" s="327"/>
      <c r="F537" s="121"/>
      <c r="G537" s="327"/>
      <c r="H537" s="121"/>
      <c r="I537" s="334"/>
      <c r="J537" s="127"/>
      <c r="K537" s="334"/>
      <c r="L537" s="127"/>
      <c r="M537" s="334"/>
      <c r="N537" s="127"/>
      <c r="O537" s="327"/>
      <c r="P537" s="121"/>
      <c r="Q537" s="143"/>
      <c r="R537" s="143"/>
      <c r="S537" s="17"/>
      <c r="T537" s="17"/>
    </row>
    <row r="538">
      <c r="A538" s="327"/>
      <c r="B538" s="121"/>
      <c r="C538" s="327"/>
      <c r="D538" s="127"/>
      <c r="E538" s="327"/>
      <c r="F538" s="121"/>
      <c r="G538" s="327"/>
      <c r="H538" s="121"/>
      <c r="I538" s="334"/>
      <c r="J538" s="127"/>
      <c r="K538" s="334"/>
      <c r="L538" s="127"/>
      <c r="M538" s="334"/>
      <c r="N538" s="127"/>
      <c r="O538" s="327"/>
      <c r="P538" s="121"/>
      <c r="Q538" s="143"/>
      <c r="R538" s="143"/>
      <c r="S538" s="17"/>
      <c r="T538" s="17"/>
    </row>
    <row r="539">
      <c r="A539" s="327"/>
      <c r="B539" s="121"/>
      <c r="C539" s="327"/>
      <c r="D539" s="127"/>
      <c r="E539" s="327"/>
      <c r="F539" s="121"/>
      <c r="G539" s="327"/>
      <c r="H539" s="121"/>
      <c r="I539" s="334"/>
      <c r="J539" s="127"/>
      <c r="K539" s="334"/>
      <c r="L539" s="127"/>
      <c r="M539" s="334"/>
      <c r="N539" s="127"/>
      <c r="O539" s="327"/>
      <c r="P539" s="121"/>
      <c r="Q539" s="143"/>
      <c r="R539" s="143"/>
      <c r="S539" s="17"/>
      <c r="T539" s="17"/>
    </row>
    <row r="540">
      <c r="A540" s="327"/>
      <c r="B540" s="121"/>
      <c r="C540" s="327"/>
      <c r="D540" s="127"/>
      <c r="E540" s="327"/>
      <c r="F540" s="121"/>
      <c r="G540" s="327"/>
      <c r="H540" s="121"/>
      <c r="I540" s="334"/>
      <c r="J540" s="127"/>
      <c r="K540" s="334"/>
      <c r="L540" s="127"/>
      <c r="M540" s="334"/>
      <c r="N540" s="127"/>
      <c r="O540" s="327"/>
      <c r="P540" s="121"/>
      <c r="Q540" s="143"/>
      <c r="R540" s="143"/>
      <c r="S540" s="17"/>
      <c r="T540" s="17"/>
    </row>
    <row r="541">
      <c r="A541" s="327"/>
      <c r="B541" s="121"/>
      <c r="C541" s="327"/>
      <c r="D541" s="127"/>
      <c r="E541" s="327"/>
      <c r="F541" s="121"/>
      <c r="G541" s="327"/>
      <c r="H541" s="121"/>
      <c r="I541" s="334"/>
      <c r="J541" s="127"/>
      <c r="K541" s="334"/>
      <c r="L541" s="127"/>
      <c r="M541" s="334"/>
      <c r="N541" s="127"/>
      <c r="O541" s="327"/>
      <c r="P541" s="121"/>
      <c r="Q541" s="143"/>
      <c r="R541" s="143"/>
      <c r="S541" s="17"/>
      <c r="T541" s="17"/>
    </row>
    <row r="542">
      <c r="A542" s="327"/>
      <c r="B542" s="121"/>
      <c r="C542" s="327"/>
      <c r="D542" s="127"/>
      <c r="E542" s="327"/>
      <c r="F542" s="121"/>
      <c r="G542" s="327"/>
      <c r="H542" s="121"/>
      <c r="I542" s="334"/>
      <c r="J542" s="127"/>
      <c r="K542" s="334"/>
      <c r="L542" s="127"/>
      <c r="M542" s="334"/>
      <c r="N542" s="127"/>
      <c r="O542" s="327"/>
      <c r="P542" s="121"/>
      <c r="Q542" s="143"/>
      <c r="R542" s="143"/>
      <c r="S542" s="17"/>
      <c r="T542" s="17"/>
    </row>
    <row r="543">
      <c r="A543" s="327"/>
      <c r="B543" s="121"/>
      <c r="C543" s="327"/>
      <c r="D543" s="127"/>
      <c r="E543" s="327"/>
      <c r="F543" s="121"/>
      <c r="G543" s="327"/>
      <c r="H543" s="121"/>
      <c r="I543" s="334"/>
      <c r="J543" s="127"/>
      <c r="K543" s="334"/>
      <c r="L543" s="127"/>
      <c r="M543" s="334"/>
      <c r="N543" s="127"/>
      <c r="O543" s="327"/>
      <c r="P543" s="121"/>
      <c r="Q543" s="143"/>
      <c r="R543" s="143"/>
      <c r="S543" s="17"/>
      <c r="T543" s="17"/>
    </row>
    <row r="544">
      <c r="A544" s="327"/>
      <c r="B544" s="121"/>
      <c r="C544" s="327"/>
      <c r="D544" s="127"/>
      <c r="E544" s="327"/>
      <c r="F544" s="121"/>
      <c r="G544" s="327"/>
      <c r="H544" s="121"/>
      <c r="I544" s="334"/>
      <c r="J544" s="127"/>
      <c r="K544" s="334"/>
      <c r="L544" s="127"/>
      <c r="M544" s="334"/>
      <c r="N544" s="127"/>
      <c r="O544" s="327"/>
      <c r="P544" s="121"/>
      <c r="Q544" s="143"/>
      <c r="R544" s="143"/>
      <c r="S544" s="17"/>
      <c r="T544" s="17"/>
    </row>
    <row r="545">
      <c r="A545" s="327"/>
      <c r="B545" s="121"/>
      <c r="C545" s="327"/>
      <c r="D545" s="127"/>
      <c r="E545" s="327"/>
      <c r="F545" s="121"/>
      <c r="G545" s="327"/>
      <c r="H545" s="121"/>
      <c r="I545" s="334"/>
      <c r="J545" s="127"/>
      <c r="K545" s="334"/>
      <c r="L545" s="127"/>
      <c r="M545" s="334"/>
      <c r="N545" s="127"/>
      <c r="O545" s="327"/>
      <c r="P545" s="121"/>
      <c r="Q545" s="143"/>
      <c r="R545" s="143"/>
      <c r="S545" s="17"/>
      <c r="T545" s="17"/>
    </row>
    <row r="546">
      <c r="A546" s="327"/>
      <c r="B546" s="121"/>
      <c r="C546" s="327"/>
      <c r="D546" s="127"/>
      <c r="E546" s="327"/>
      <c r="F546" s="121"/>
      <c r="G546" s="327"/>
      <c r="H546" s="121"/>
      <c r="I546" s="334"/>
      <c r="J546" s="127"/>
      <c r="K546" s="334"/>
      <c r="L546" s="127"/>
      <c r="M546" s="334"/>
      <c r="N546" s="127"/>
      <c r="O546" s="327"/>
      <c r="P546" s="121"/>
      <c r="Q546" s="143"/>
      <c r="R546" s="143"/>
      <c r="S546" s="17"/>
      <c r="T546" s="17"/>
    </row>
    <row r="547">
      <c r="A547" s="327"/>
      <c r="B547" s="121"/>
      <c r="C547" s="327"/>
      <c r="D547" s="127"/>
      <c r="E547" s="327"/>
      <c r="F547" s="121"/>
      <c r="G547" s="327"/>
      <c r="H547" s="121"/>
      <c r="I547" s="334"/>
      <c r="J547" s="127"/>
      <c r="K547" s="334"/>
      <c r="L547" s="127"/>
      <c r="M547" s="334"/>
      <c r="N547" s="127"/>
      <c r="O547" s="327"/>
      <c r="P547" s="121"/>
      <c r="Q547" s="143"/>
      <c r="R547" s="143"/>
      <c r="S547" s="17"/>
      <c r="T547" s="17"/>
    </row>
    <row r="548">
      <c r="A548" s="327"/>
      <c r="B548" s="121"/>
      <c r="C548" s="327"/>
      <c r="D548" s="127"/>
      <c r="E548" s="327"/>
      <c r="F548" s="121"/>
      <c r="G548" s="327"/>
      <c r="H548" s="121"/>
      <c r="I548" s="334"/>
      <c r="J548" s="127"/>
      <c r="K548" s="334"/>
      <c r="L548" s="127"/>
      <c r="M548" s="334"/>
      <c r="N548" s="127"/>
      <c r="O548" s="327"/>
      <c r="P548" s="121"/>
      <c r="Q548" s="143"/>
      <c r="R548" s="143"/>
      <c r="S548" s="17"/>
      <c r="T548" s="17"/>
    </row>
    <row r="549">
      <c r="A549" s="327"/>
      <c r="B549" s="121"/>
      <c r="C549" s="327"/>
      <c r="D549" s="127"/>
      <c r="E549" s="327"/>
      <c r="F549" s="121"/>
      <c r="G549" s="327"/>
      <c r="H549" s="121"/>
      <c r="I549" s="334"/>
      <c r="J549" s="127"/>
      <c r="K549" s="334"/>
      <c r="L549" s="127"/>
      <c r="M549" s="334"/>
      <c r="N549" s="127"/>
      <c r="O549" s="327"/>
      <c r="P549" s="121"/>
      <c r="Q549" s="143"/>
      <c r="R549" s="143"/>
      <c r="S549" s="17"/>
      <c r="T549" s="17"/>
    </row>
    <row r="550">
      <c r="A550" s="327"/>
      <c r="B550" s="121"/>
      <c r="C550" s="327"/>
      <c r="D550" s="127"/>
      <c r="E550" s="327"/>
      <c r="F550" s="121"/>
      <c r="G550" s="327"/>
      <c r="H550" s="121"/>
      <c r="I550" s="334"/>
      <c r="J550" s="127"/>
      <c r="K550" s="334"/>
      <c r="L550" s="127"/>
      <c r="M550" s="334"/>
      <c r="N550" s="127"/>
      <c r="O550" s="327"/>
      <c r="P550" s="121"/>
      <c r="Q550" s="143"/>
      <c r="R550" s="143"/>
      <c r="S550" s="17"/>
      <c r="T550" s="17"/>
    </row>
    <row r="551">
      <c r="A551" s="327"/>
      <c r="B551" s="121"/>
      <c r="C551" s="327"/>
      <c r="D551" s="127"/>
      <c r="E551" s="327"/>
      <c r="F551" s="121"/>
      <c r="G551" s="327"/>
      <c r="H551" s="121"/>
      <c r="I551" s="334"/>
      <c r="J551" s="127"/>
      <c r="K551" s="334"/>
      <c r="L551" s="127"/>
      <c r="M551" s="334"/>
      <c r="N551" s="127"/>
      <c r="O551" s="327"/>
      <c r="P551" s="121"/>
      <c r="Q551" s="143"/>
      <c r="R551" s="143"/>
      <c r="S551" s="17"/>
      <c r="T551" s="17"/>
    </row>
    <row r="552">
      <c r="A552" s="327"/>
      <c r="B552" s="121"/>
      <c r="C552" s="327"/>
      <c r="D552" s="127"/>
      <c r="E552" s="327"/>
      <c r="F552" s="121"/>
      <c r="G552" s="327"/>
      <c r="H552" s="121"/>
      <c r="I552" s="334"/>
      <c r="J552" s="127"/>
      <c r="K552" s="334"/>
      <c r="L552" s="127"/>
      <c r="M552" s="334"/>
      <c r="N552" s="127"/>
      <c r="O552" s="327"/>
      <c r="P552" s="121"/>
      <c r="Q552" s="143"/>
      <c r="R552" s="143"/>
      <c r="S552" s="17"/>
      <c r="T552" s="17"/>
    </row>
    <row r="553">
      <c r="A553" s="327"/>
      <c r="B553" s="121"/>
      <c r="C553" s="327"/>
      <c r="D553" s="127"/>
      <c r="E553" s="327"/>
      <c r="F553" s="121"/>
      <c r="G553" s="327"/>
      <c r="H553" s="121"/>
      <c r="I553" s="334"/>
      <c r="J553" s="127"/>
      <c r="K553" s="334"/>
      <c r="L553" s="127"/>
      <c r="M553" s="334"/>
      <c r="N553" s="127"/>
      <c r="O553" s="327"/>
      <c r="P553" s="121"/>
      <c r="Q553" s="143"/>
      <c r="R553" s="143"/>
      <c r="S553" s="17"/>
      <c r="T553" s="17"/>
    </row>
    <row r="554">
      <c r="A554" s="327"/>
      <c r="B554" s="121"/>
      <c r="C554" s="327"/>
      <c r="D554" s="127"/>
      <c r="E554" s="327"/>
      <c r="F554" s="121"/>
      <c r="G554" s="327"/>
      <c r="H554" s="121"/>
      <c r="I554" s="334"/>
      <c r="J554" s="127"/>
      <c r="K554" s="334"/>
      <c r="L554" s="127"/>
      <c r="M554" s="334"/>
      <c r="N554" s="127"/>
      <c r="O554" s="327"/>
      <c r="P554" s="121"/>
      <c r="Q554" s="143"/>
      <c r="R554" s="143"/>
      <c r="S554" s="17"/>
      <c r="T554" s="17"/>
    </row>
    <row r="555">
      <c r="A555" s="327"/>
      <c r="B555" s="121"/>
      <c r="C555" s="327"/>
      <c r="D555" s="127"/>
      <c r="E555" s="327"/>
      <c r="F555" s="121"/>
      <c r="G555" s="327"/>
      <c r="H555" s="121"/>
      <c r="I555" s="334"/>
      <c r="J555" s="127"/>
      <c r="K555" s="334"/>
      <c r="L555" s="127"/>
      <c r="M555" s="334"/>
      <c r="N555" s="127"/>
      <c r="O555" s="327"/>
      <c r="P555" s="121"/>
      <c r="Q555" s="143"/>
      <c r="R555" s="143"/>
      <c r="S555" s="17"/>
      <c r="T555" s="17"/>
    </row>
    <row r="556">
      <c r="A556" s="327"/>
      <c r="B556" s="121"/>
      <c r="C556" s="327"/>
      <c r="D556" s="127"/>
      <c r="E556" s="327"/>
      <c r="F556" s="121"/>
      <c r="G556" s="327"/>
      <c r="H556" s="121"/>
      <c r="I556" s="334"/>
      <c r="J556" s="127"/>
      <c r="K556" s="334"/>
      <c r="L556" s="127"/>
      <c r="M556" s="334"/>
      <c r="N556" s="127"/>
      <c r="O556" s="327"/>
      <c r="P556" s="121"/>
      <c r="Q556" s="143"/>
      <c r="R556" s="143"/>
      <c r="S556" s="17"/>
      <c r="T556" s="17"/>
    </row>
    <row r="557">
      <c r="A557" s="327"/>
      <c r="B557" s="121"/>
      <c r="C557" s="327"/>
      <c r="D557" s="127"/>
      <c r="E557" s="327"/>
      <c r="F557" s="121"/>
      <c r="G557" s="327"/>
      <c r="H557" s="121"/>
      <c r="I557" s="334"/>
      <c r="J557" s="127"/>
      <c r="K557" s="334"/>
      <c r="L557" s="127"/>
      <c r="M557" s="334"/>
      <c r="N557" s="127"/>
      <c r="O557" s="327"/>
      <c r="P557" s="121"/>
      <c r="Q557" s="143"/>
      <c r="R557" s="143"/>
      <c r="S557" s="17"/>
      <c r="T557" s="17"/>
    </row>
    <row r="558">
      <c r="A558" s="327"/>
      <c r="B558" s="121"/>
      <c r="C558" s="327"/>
      <c r="D558" s="127"/>
      <c r="E558" s="327"/>
      <c r="F558" s="121"/>
      <c r="G558" s="327"/>
      <c r="H558" s="121"/>
      <c r="I558" s="334"/>
      <c r="J558" s="127"/>
      <c r="K558" s="334"/>
      <c r="L558" s="127"/>
      <c r="M558" s="334"/>
      <c r="N558" s="127"/>
      <c r="O558" s="327"/>
      <c r="P558" s="121"/>
      <c r="Q558" s="143"/>
      <c r="R558" s="143"/>
      <c r="S558" s="17"/>
      <c r="T558" s="17"/>
    </row>
    <row r="559">
      <c r="A559" s="327"/>
      <c r="B559" s="121"/>
      <c r="C559" s="327"/>
      <c r="D559" s="127"/>
      <c r="E559" s="327"/>
      <c r="F559" s="121"/>
      <c r="G559" s="327"/>
      <c r="H559" s="121"/>
      <c r="I559" s="334"/>
      <c r="J559" s="127"/>
      <c r="K559" s="334"/>
      <c r="L559" s="127"/>
      <c r="M559" s="334"/>
      <c r="N559" s="127"/>
      <c r="O559" s="327"/>
      <c r="P559" s="121"/>
      <c r="Q559" s="143"/>
      <c r="R559" s="143"/>
      <c r="S559" s="17"/>
      <c r="T559" s="17"/>
    </row>
    <row r="560">
      <c r="A560" s="327"/>
      <c r="B560" s="121"/>
      <c r="C560" s="327"/>
      <c r="D560" s="127"/>
      <c r="E560" s="327"/>
      <c r="F560" s="121"/>
      <c r="G560" s="327"/>
      <c r="H560" s="121"/>
      <c r="I560" s="334"/>
      <c r="J560" s="127"/>
      <c r="K560" s="334"/>
      <c r="L560" s="127"/>
      <c r="M560" s="334"/>
      <c r="N560" s="127"/>
      <c r="O560" s="327"/>
      <c r="P560" s="121"/>
      <c r="Q560" s="143"/>
      <c r="R560" s="143"/>
      <c r="S560" s="17"/>
      <c r="T560" s="17"/>
    </row>
    <row r="561">
      <c r="A561" s="327"/>
      <c r="B561" s="121"/>
      <c r="C561" s="327"/>
      <c r="D561" s="127"/>
      <c r="E561" s="327"/>
      <c r="F561" s="121"/>
      <c r="G561" s="327"/>
      <c r="H561" s="121"/>
      <c r="I561" s="334"/>
      <c r="J561" s="127"/>
      <c r="K561" s="334"/>
      <c r="L561" s="127"/>
      <c r="M561" s="334"/>
      <c r="N561" s="127"/>
      <c r="O561" s="327"/>
      <c r="P561" s="121"/>
      <c r="Q561" s="143"/>
      <c r="R561" s="143"/>
      <c r="S561" s="17"/>
      <c r="T561" s="17"/>
    </row>
    <row r="562">
      <c r="A562" s="327"/>
      <c r="B562" s="121"/>
      <c r="C562" s="327"/>
      <c r="D562" s="127"/>
      <c r="E562" s="327"/>
      <c r="F562" s="121"/>
      <c r="G562" s="327"/>
      <c r="H562" s="121"/>
      <c r="I562" s="334"/>
      <c r="J562" s="127"/>
      <c r="K562" s="334"/>
      <c r="L562" s="127"/>
      <c r="M562" s="334"/>
      <c r="N562" s="127"/>
      <c r="O562" s="327"/>
      <c r="P562" s="121"/>
      <c r="Q562" s="143"/>
      <c r="R562" s="143"/>
      <c r="S562" s="17"/>
      <c r="T562" s="17"/>
    </row>
    <row r="563">
      <c r="A563" s="327"/>
      <c r="B563" s="121"/>
      <c r="C563" s="327"/>
      <c r="D563" s="127"/>
      <c r="E563" s="327"/>
      <c r="F563" s="121"/>
      <c r="G563" s="327"/>
      <c r="H563" s="121"/>
      <c r="I563" s="334"/>
      <c r="J563" s="127"/>
      <c r="K563" s="334"/>
      <c r="L563" s="127"/>
      <c r="M563" s="334"/>
      <c r="N563" s="127"/>
      <c r="O563" s="327"/>
      <c r="P563" s="121"/>
      <c r="Q563" s="143"/>
      <c r="R563" s="143"/>
      <c r="S563" s="17"/>
      <c r="T563" s="17"/>
    </row>
    <row r="564">
      <c r="A564" s="327"/>
      <c r="B564" s="121"/>
      <c r="C564" s="327"/>
      <c r="D564" s="127"/>
      <c r="E564" s="327"/>
      <c r="F564" s="121"/>
      <c r="G564" s="327"/>
      <c r="H564" s="121"/>
      <c r="I564" s="334"/>
      <c r="J564" s="127"/>
      <c r="K564" s="334"/>
      <c r="L564" s="127"/>
      <c r="M564" s="334"/>
      <c r="N564" s="127"/>
      <c r="O564" s="327"/>
      <c r="P564" s="121"/>
      <c r="Q564" s="143"/>
      <c r="R564" s="143"/>
      <c r="S564" s="17"/>
      <c r="T564" s="17"/>
    </row>
    <row r="565">
      <c r="A565" s="327"/>
      <c r="B565" s="121"/>
      <c r="C565" s="327"/>
      <c r="D565" s="127"/>
      <c r="E565" s="327"/>
      <c r="F565" s="121"/>
      <c r="G565" s="327"/>
      <c r="H565" s="121"/>
      <c r="I565" s="334"/>
      <c r="J565" s="127"/>
      <c r="K565" s="334"/>
      <c r="L565" s="127"/>
      <c r="M565" s="334"/>
      <c r="N565" s="127"/>
      <c r="O565" s="327"/>
      <c r="P565" s="121"/>
      <c r="Q565" s="143"/>
      <c r="R565" s="143"/>
      <c r="S565" s="17"/>
      <c r="T565" s="17"/>
    </row>
    <row r="566">
      <c r="A566" s="327"/>
      <c r="B566" s="121"/>
      <c r="C566" s="327"/>
      <c r="D566" s="127"/>
      <c r="E566" s="327"/>
      <c r="F566" s="121"/>
      <c r="G566" s="327"/>
      <c r="H566" s="121"/>
      <c r="I566" s="334"/>
      <c r="J566" s="127"/>
      <c r="K566" s="334"/>
      <c r="L566" s="127"/>
      <c r="M566" s="334"/>
      <c r="N566" s="127"/>
      <c r="O566" s="327"/>
      <c r="P566" s="121"/>
      <c r="Q566" s="143"/>
      <c r="R566" s="143"/>
      <c r="S566" s="17"/>
      <c r="T566" s="17"/>
    </row>
    <row r="567">
      <c r="A567" s="327"/>
      <c r="B567" s="121"/>
      <c r="C567" s="327"/>
      <c r="D567" s="127"/>
      <c r="E567" s="327"/>
      <c r="F567" s="121"/>
      <c r="G567" s="327"/>
      <c r="H567" s="121"/>
      <c r="I567" s="334"/>
      <c r="J567" s="127"/>
      <c r="K567" s="334"/>
      <c r="L567" s="127"/>
      <c r="M567" s="334"/>
      <c r="N567" s="127"/>
      <c r="O567" s="327"/>
      <c r="P567" s="121"/>
      <c r="Q567" s="143"/>
      <c r="R567" s="143"/>
      <c r="S567" s="17"/>
      <c r="T567" s="17"/>
    </row>
    <row r="568">
      <c r="A568" s="327"/>
      <c r="B568" s="121"/>
      <c r="C568" s="327"/>
      <c r="D568" s="127"/>
      <c r="E568" s="327"/>
      <c r="F568" s="121"/>
      <c r="G568" s="327"/>
      <c r="H568" s="121"/>
      <c r="I568" s="334"/>
      <c r="J568" s="127"/>
      <c r="K568" s="334"/>
      <c r="L568" s="127"/>
      <c r="M568" s="334"/>
      <c r="N568" s="127"/>
      <c r="O568" s="327"/>
      <c r="P568" s="121"/>
      <c r="Q568" s="143"/>
      <c r="R568" s="143"/>
      <c r="S568" s="17"/>
      <c r="T568" s="17"/>
    </row>
    <row r="569">
      <c r="A569" s="327"/>
      <c r="B569" s="121"/>
      <c r="C569" s="327"/>
      <c r="D569" s="127"/>
      <c r="E569" s="327"/>
      <c r="F569" s="121"/>
      <c r="G569" s="327"/>
      <c r="H569" s="121"/>
      <c r="I569" s="334"/>
      <c r="J569" s="127"/>
      <c r="K569" s="334"/>
      <c r="L569" s="127"/>
      <c r="M569" s="334"/>
      <c r="N569" s="127"/>
      <c r="O569" s="327"/>
      <c r="P569" s="121"/>
      <c r="Q569" s="143"/>
      <c r="R569" s="143"/>
      <c r="S569" s="17"/>
      <c r="T569" s="17"/>
    </row>
    <row r="570">
      <c r="A570" s="327"/>
      <c r="B570" s="121"/>
      <c r="C570" s="327"/>
      <c r="D570" s="127"/>
      <c r="E570" s="327"/>
      <c r="F570" s="121"/>
      <c r="G570" s="327"/>
      <c r="H570" s="121"/>
      <c r="I570" s="334"/>
      <c r="J570" s="127"/>
      <c r="K570" s="334"/>
      <c r="L570" s="127"/>
      <c r="M570" s="334"/>
      <c r="N570" s="127"/>
      <c r="O570" s="327"/>
      <c r="P570" s="121"/>
      <c r="Q570" s="143"/>
      <c r="R570" s="143"/>
      <c r="S570" s="17"/>
      <c r="T570" s="17"/>
    </row>
    <row r="571">
      <c r="A571" s="327"/>
      <c r="B571" s="121"/>
      <c r="C571" s="327"/>
      <c r="D571" s="127"/>
      <c r="E571" s="327"/>
      <c r="F571" s="121"/>
      <c r="G571" s="327"/>
      <c r="H571" s="121"/>
      <c r="I571" s="334"/>
      <c r="J571" s="127"/>
      <c r="K571" s="334"/>
      <c r="L571" s="127"/>
      <c r="M571" s="334"/>
      <c r="N571" s="127"/>
      <c r="O571" s="327"/>
      <c r="P571" s="121"/>
      <c r="Q571" s="143"/>
      <c r="R571" s="143"/>
      <c r="S571" s="17"/>
      <c r="T571" s="17"/>
    </row>
    <row r="572">
      <c r="A572" s="327"/>
      <c r="B572" s="121"/>
      <c r="C572" s="327"/>
      <c r="D572" s="127"/>
      <c r="E572" s="327"/>
      <c r="F572" s="121"/>
      <c r="G572" s="327"/>
      <c r="H572" s="121"/>
      <c r="I572" s="334"/>
      <c r="J572" s="127"/>
      <c r="K572" s="334"/>
      <c r="L572" s="127"/>
      <c r="M572" s="334"/>
      <c r="N572" s="127"/>
      <c r="O572" s="327"/>
      <c r="P572" s="121"/>
      <c r="Q572" s="143"/>
      <c r="R572" s="143"/>
      <c r="S572" s="17"/>
      <c r="T572" s="17"/>
    </row>
    <row r="573">
      <c r="A573" s="327"/>
      <c r="B573" s="121"/>
      <c r="C573" s="327"/>
      <c r="D573" s="127"/>
      <c r="E573" s="327"/>
      <c r="F573" s="121"/>
      <c r="G573" s="327"/>
      <c r="H573" s="121"/>
      <c r="I573" s="334"/>
      <c r="J573" s="127"/>
      <c r="K573" s="334"/>
      <c r="L573" s="127"/>
      <c r="M573" s="334"/>
      <c r="N573" s="127"/>
      <c r="O573" s="327"/>
      <c r="P573" s="121"/>
      <c r="Q573" s="143"/>
      <c r="R573" s="143"/>
      <c r="S573" s="17"/>
      <c r="T573" s="17"/>
    </row>
    <row r="574">
      <c r="A574" s="327"/>
      <c r="B574" s="121"/>
      <c r="C574" s="327"/>
      <c r="D574" s="127"/>
      <c r="E574" s="327"/>
      <c r="F574" s="121"/>
      <c r="G574" s="327"/>
      <c r="H574" s="121"/>
      <c r="I574" s="334"/>
      <c r="J574" s="127"/>
      <c r="K574" s="334"/>
      <c r="L574" s="127"/>
      <c r="M574" s="334"/>
      <c r="N574" s="127"/>
      <c r="O574" s="327"/>
      <c r="P574" s="121"/>
      <c r="Q574" s="143"/>
      <c r="R574" s="143"/>
      <c r="S574" s="17"/>
      <c r="T574" s="17"/>
    </row>
    <row r="575">
      <c r="A575" s="327"/>
      <c r="B575" s="121"/>
      <c r="C575" s="327"/>
      <c r="D575" s="127"/>
      <c r="E575" s="327"/>
      <c r="F575" s="121"/>
      <c r="G575" s="327"/>
      <c r="H575" s="121"/>
      <c r="I575" s="334"/>
      <c r="J575" s="127"/>
      <c r="K575" s="334"/>
      <c r="L575" s="127"/>
      <c r="M575" s="334"/>
      <c r="N575" s="127"/>
      <c r="O575" s="327"/>
      <c r="P575" s="121"/>
      <c r="Q575" s="143"/>
      <c r="R575" s="143"/>
      <c r="S575" s="17"/>
      <c r="T575" s="17"/>
    </row>
    <row r="576">
      <c r="A576" s="327"/>
      <c r="B576" s="121"/>
      <c r="C576" s="327"/>
      <c r="D576" s="127"/>
      <c r="E576" s="327"/>
      <c r="F576" s="121"/>
      <c r="G576" s="327"/>
      <c r="H576" s="121"/>
      <c r="I576" s="334"/>
      <c r="J576" s="127"/>
      <c r="K576" s="334"/>
      <c r="L576" s="127"/>
      <c r="M576" s="334"/>
      <c r="N576" s="127"/>
      <c r="O576" s="327"/>
      <c r="P576" s="121"/>
      <c r="Q576" s="143"/>
      <c r="R576" s="143"/>
      <c r="S576" s="17"/>
      <c r="T576" s="17"/>
    </row>
    <row r="577">
      <c r="A577" s="327"/>
      <c r="B577" s="121"/>
      <c r="C577" s="327"/>
      <c r="D577" s="127"/>
      <c r="E577" s="327"/>
      <c r="F577" s="121"/>
      <c r="G577" s="327"/>
      <c r="H577" s="121"/>
      <c r="I577" s="334"/>
      <c r="J577" s="127"/>
      <c r="K577" s="334"/>
      <c r="L577" s="127"/>
      <c r="M577" s="334"/>
      <c r="N577" s="127"/>
      <c r="O577" s="327"/>
      <c r="P577" s="121"/>
      <c r="Q577" s="143"/>
      <c r="R577" s="143"/>
      <c r="S577" s="17"/>
      <c r="T577" s="17"/>
    </row>
    <row r="578">
      <c r="A578" s="327"/>
      <c r="B578" s="121"/>
      <c r="C578" s="327"/>
      <c r="D578" s="127"/>
      <c r="E578" s="327"/>
      <c r="F578" s="121"/>
      <c r="G578" s="327"/>
      <c r="H578" s="121"/>
      <c r="I578" s="334"/>
      <c r="J578" s="127"/>
      <c r="K578" s="334"/>
      <c r="L578" s="127"/>
      <c r="M578" s="334"/>
      <c r="N578" s="127"/>
      <c r="O578" s="327"/>
      <c r="P578" s="121"/>
      <c r="Q578" s="143"/>
      <c r="R578" s="143"/>
      <c r="S578" s="17"/>
      <c r="T578" s="17"/>
    </row>
    <row r="579">
      <c r="A579" s="327"/>
      <c r="B579" s="121"/>
      <c r="C579" s="327"/>
      <c r="D579" s="127"/>
      <c r="E579" s="327"/>
      <c r="F579" s="121"/>
      <c r="G579" s="327"/>
      <c r="H579" s="121"/>
      <c r="I579" s="334"/>
      <c r="J579" s="127"/>
      <c r="K579" s="334"/>
      <c r="L579" s="127"/>
      <c r="M579" s="334"/>
      <c r="N579" s="127"/>
      <c r="O579" s="327"/>
      <c r="P579" s="121"/>
      <c r="Q579" s="143"/>
      <c r="R579" s="143"/>
      <c r="S579" s="17"/>
      <c r="T579" s="17"/>
    </row>
    <row r="580">
      <c r="A580" s="327"/>
      <c r="B580" s="121"/>
      <c r="C580" s="327"/>
      <c r="D580" s="127"/>
      <c r="E580" s="327"/>
      <c r="F580" s="121"/>
      <c r="G580" s="327"/>
      <c r="H580" s="121"/>
      <c r="I580" s="334"/>
      <c r="J580" s="127"/>
      <c r="K580" s="334"/>
      <c r="L580" s="127"/>
      <c r="M580" s="334"/>
      <c r="N580" s="127"/>
      <c r="O580" s="327"/>
      <c r="P580" s="121"/>
      <c r="Q580" s="143"/>
      <c r="R580" s="143"/>
      <c r="S580" s="17"/>
      <c r="T580" s="17"/>
    </row>
    <row r="581">
      <c r="A581" s="327"/>
      <c r="B581" s="121"/>
      <c r="C581" s="327"/>
      <c r="D581" s="127"/>
      <c r="E581" s="327"/>
      <c r="F581" s="121"/>
      <c r="G581" s="327"/>
      <c r="H581" s="121"/>
      <c r="I581" s="334"/>
      <c r="J581" s="127"/>
      <c r="K581" s="334"/>
      <c r="L581" s="127"/>
      <c r="M581" s="334"/>
      <c r="N581" s="127"/>
      <c r="O581" s="327"/>
      <c r="P581" s="121"/>
      <c r="Q581" s="143"/>
      <c r="R581" s="143"/>
      <c r="S581" s="17"/>
      <c r="T581" s="17"/>
    </row>
    <row r="582">
      <c r="A582" s="327"/>
      <c r="B582" s="121"/>
      <c r="C582" s="327"/>
      <c r="D582" s="127"/>
      <c r="E582" s="327"/>
      <c r="F582" s="121"/>
      <c r="G582" s="327"/>
      <c r="H582" s="121"/>
      <c r="I582" s="334"/>
      <c r="J582" s="127"/>
      <c r="K582" s="334"/>
      <c r="L582" s="127"/>
      <c r="M582" s="334"/>
      <c r="N582" s="127"/>
      <c r="O582" s="327"/>
      <c r="P582" s="121"/>
      <c r="Q582" s="143"/>
      <c r="R582" s="143"/>
      <c r="S582" s="17"/>
      <c r="T582" s="17"/>
    </row>
    <row r="583">
      <c r="A583" s="327"/>
      <c r="B583" s="121"/>
      <c r="C583" s="327"/>
      <c r="D583" s="127"/>
      <c r="E583" s="327"/>
      <c r="F583" s="121"/>
      <c r="G583" s="327"/>
      <c r="H583" s="121"/>
      <c r="I583" s="334"/>
      <c r="J583" s="127"/>
      <c r="K583" s="334"/>
      <c r="L583" s="127"/>
      <c r="M583" s="334"/>
      <c r="N583" s="127"/>
      <c r="O583" s="327"/>
      <c r="P583" s="121"/>
      <c r="Q583" s="143"/>
      <c r="R583" s="143"/>
      <c r="S583" s="17"/>
      <c r="T583" s="17"/>
    </row>
    <row r="584">
      <c r="A584" s="327"/>
      <c r="B584" s="121"/>
      <c r="C584" s="327"/>
      <c r="D584" s="127"/>
      <c r="E584" s="327"/>
      <c r="F584" s="121"/>
      <c r="G584" s="327"/>
      <c r="H584" s="121"/>
      <c r="I584" s="334"/>
      <c r="J584" s="127"/>
      <c r="K584" s="334"/>
      <c r="L584" s="127"/>
      <c r="M584" s="334"/>
      <c r="N584" s="127"/>
      <c r="O584" s="327"/>
      <c r="P584" s="121"/>
      <c r="Q584" s="143"/>
      <c r="R584" s="143"/>
      <c r="S584" s="17"/>
      <c r="T584" s="17"/>
    </row>
    <row r="585">
      <c r="A585" s="327"/>
      <c r="B585" s="121"/>
      <c r="C585" s="327"/>
      <c r="D585" s="127"/>
      <c r="E585" s="327"/>
      <c r="F585" s="121"/>
      <c r="G585" s="327"/>
      <c r="H585" s="121"/>
      <c r="I585" s="334"/>
      <c r="J585" s="127"/>
      <c r="K585" s="334"/>
      <c r="L585" s="127"/>
      <c r="M585" s="334"/>
      <c r="N585" s="127"/>
      <c r="O585" s="327"/>
      <c r="P585" s="121"/>
      <c r="Q585" s="143"/>
      <c r="R585" s="143"/>
      <c r="S585" s="17"/>
      <c r="T585" s="17"/>
    </row>
    <row r="586">
      <c r="A586" s="327"/>
      <c r="B586" s="121"/>
      <c r="C586" s="327"/>
      <c r="D586" s="127"/>
      <c r="E586" s="327"/>
      <c r="F586" s="121"/>
      <c r="G586" s="327"/>
      <c r="H586" s="121"/>
      <c r="I586" s="334"/>
      <c r="J586" s="127"/>
      <c r="K586" s="334"/>
      <c r="L586" s="127"/>
      <c r="M586" s="334"/>
      <c r="N586" s="127"/>
      <c r="O586" s="327"/>
      <c r="P586" s="121"/>
      <c r="Q586" s="143"/>
      <c r="R586" s="143"/>
      <c r="S586" s="17"/>
      <c r="T586" s="17"/>
    </row>
    <row r="587">
      <c r="A587" s="327"/>
      <c r="B587" s="121"/>
      <c r="C587" s="327"/>
      <c r="D587" s="127"/>
      <c r="E587" s="327"/>
      <c r="F587" s="121"/>
      <c r="G587" s="327"/>
      <c r="H587" s="121"/>
      <c r="I587" s="334"/>
      <c r="J587" s="127"/>
      <c r="K587" s="334"/>
      <c r="L587" s="127"/>
      <c r="M587" s="334"/>
      <c r="N587" s="127"/>
      <c r="O587" s="327"/>
      <c r="P587" s="121"/>
      <c r="Q587" s="143"/>
      <c r="R587" s="143"/>
      <c r="S587" s="17"/>
      <c r="T587" s="17"/>
    </row>
    <row r="588">
      <c r="A588" s="327"/>
      <c r="B588" s="121"/>
      <c r="C588" s="327"/>
      <c r="D588" s="127"/>
      <c r="E588" s="327"/>
      <c r="F588" s="121"/>
      <c r="G588" s="327"/>
      <c r="H588" s="121"/>
      <c r="I588" s="334"/>
      <c r="J588" s="127"/>
      <c r="K588" s="334"/>
      <c r="L588" s="127"/>
      <c r="M588" s="334"/>
      <c r="N588" s="127"/>
      <c r="O588" s="327"/>
      <c r="P588" s="121"/>
      <c r="Q588" s="143"/>
      <c r="R588" s="143"/>
      <c r="S588" s="17"/>
      <c r="T588" s="17"/>
    </row>
    <row r="589">
      <c r="A589" s="327"/>
      <c r="B589" s="121"/>
      <c r="C589" s="327"/>
      <c r="D589" s="127"/>
      <c r="E589" s="327"/>
      <c r="F589" s="121"/>
      <c r="G589" s="327"/>
      <c r="H589" s="121"/>
      <c r="I589" s="334"/>
      <c r="J589" s="127"/>
      <c r="K589" s="334"/>
      <c r="L589" s="127"/>
      <c r="M589" s="334"/>
      <c r="N589" s="127"/>
      <c r="O589" s="327"/>
      <c r="P589" s="121"/>
      <c r="Q589" s="143"/>
      <c r="R589" s="143"/>
      <c r="S589" s="17"/>
      <c r="T589" s="17"/>
    </row>
    <row r="590">
      <c r="A590" s="327"/>
      <c r="B590" s="121"/>
      <c r="C590" s="327"/>
      <c r="D590" s="127"/>
      <c r="E590" s="327"/>
      <c r="F590" s="121"/>
      <c r="G590" s="327"/>
      <c r="H590" s="121"/>
      <c r="I590" s="334"/>
      <c r="J590" s="127"/>
      <c r="K590" s="334"/>
      <c r="L590" s="127"/>
      <c r="M590" s="334"/>
      <c r="N590" s="127"/>
      <c r="O590" s="327"/>
      <c r="P590" s="121"/>
      <c r="Q590" s="143"/>
      <c r="R590" s="143"/>
      <c r="S590" s="17"/>
      <c r="T590" s="17"/>
    </row>
    <row r="591">
      <c r="A591" s="327"/>
      <c r="B591" s="121"/>
      <c r="C591" s="327"/>
      <c r="D591" s="127"/>
      <c r="E591" s="327"/>
      <c r="F591" s="121"/>
      <c r="G591" s="327"/>
      <c r="H591" s="121"/>
      <c r="I591" s="334"/>
      <c r="J591" s="127"/>
      <c r="K591" s="334"/>
      <c r="L591" s="127"/>
      <c r="M591" s="334"/>
      <c r="N591" s="127"/>
      <c r="O591" s="327"/>
      <c r="P591" s="121"/>
      <c r="Q591" s="143"/>
      <c r="R591" s="143"/>
      <c r="S591" s="17"/>
      <c r="T591" s="17"/>
    </row>
    <row r="592">
      <c r="A592" s="327"/>
      <c r="B592" s="121"/>
      <c r="C592" s="327"/>
      <c r="D592" s="127"/>
      <c r="E592" s="327"/>
      <c r="F592" s="121"/>
      <c r="G592" s="327"/>
      <c r="H592" s="121"/>
      <c r="I592" s="334"/>
      <c r="J592" s="127"/>
      <c r="K592" s="334"/>
      <c r="L592" s="127"/>
      <c r="M592" s="334"/>
      <c r="N592" s="127"/>
      <c r="O592" s="327"/>
      <c r="P592" s="121"/>
      <c r="Q592" s="143"/>
      <c r="R592" s="143"/>
      <c r="S592" s="17"/>
      <c r="T592" s="17"/>
    </row>
    <row r="593">
      <c r="A593" s="327"/>
      <c r="B593" s="121"/>
      <c r="C593" s="327"/>
      <c r="D593" s="127"/>
      <c r="E593" s="327"/>
      <c r="F593" s="121"/>
      <c r="G593" s="327"/>
      <c r="H593" s="121"/>
      <c r="I593" s="334"/>
      <c r="J593" s="127"/>
      <c r="K593" s="334"/>
      <c r="L593" s="127"/>
      <c r="M593" s="334"/>
      <c r="N593" s="127"/>
      <c r="O593" s="327"/>
      <c r="P593" s="121"/>
      <c r="Q593" s="143"/>
      <c r="R593" s="143"/>
      <c r="S593" s="17"/>
      <c r="T593" s="17"/>
    </row>
    <row r="594">
      <c r="A594" s="327"/>
      <c r="B594" s="121"/>
      <c r="C594" s="327"/>
      <c r="D594" s="127"/>
      <c r="E594" s="327"/>
      <c r="F594" s="121"/>
      <c r="G594" s="327"/>
      <c r="H594" s="121"/>
      <c r="I594" s="334"/>
      <c r="J594" s="127"/>
      <c r="K594" s="334"/>
      <c r="L594" s="127"/>
      <c r="M594" s="334"/>
      <c r="N594" s="127"/>
      <c r="O594" s="327"/>
      <c r="P594" s="121"/>
      <c r="Q594" s="143"/>
      <c r="R594" s="143"/>
      <c r="S594" s="17"/>
      <c r="T594" s="17"/>
    </row>
    <row r="595">
      <c r="A595" s="327"/>
      <c r="B595" s="121"/>
      <c r="C595" s="327"/>
      <c r="D595" s="127"/>
      <c r="E595" s="327"/>
      <c r="F595" s="121"/>
      <c r="G595" s="327"/>
      <c r="H595" s="121"/>
      <c r="I595" s="334"/>
      <c r="J595" s="127"/>
      <c r="K595" s="334"/>
      <c r="L595" s="127"/>
      <c r="M595" s="334"/>
      <c r="N595" s="127"/>
      <c r="O595" s="327"/>
      <c r="P595" s="121"/>
      <c r="Q595" s="143"/>
      <c r="R595" s="143"/>
      <c r="S595" s="17"/>
      <c r="T595" s="17"/>
    </row>
    <row r="596">
      <c r="A596" s="327"/>
      <c r="B596" s="121"/>
      <c r="C596" s="327"/>
      <c r="D596" s="127"/>
      <c r="E596" s="327"/>
      <c r="F596" s="121"/>
      <c r="G596" s="327"/>
      <c r="H596" s="121"/>
      <c r="I596" s="334"/>
      <c r="J596" s="127"/>
      <c r="K596" s="334"/>
      <c r="L596" s="127"/>
      <c r="M596" s="334"/>
      <c r="N596" s="127"/>
      <c r="O596" s="327"/>
      <c r="P596" s="121"/>
      <c r="Q596" s="143"/>
      <c r="R596" s="143"/>
      <c r="S596" s="17"/>
      <c r="T596" s="17"/>
    </row>
    <row r="597">
      <c r="A597" s="327"/>
      <c r="B597" s="121"/>
      <c r="C597" s="327"/>
      <c r="D597" s="127"/>
      <c r="E597" s="327"/>
      <c r="F597" s="121"/>
      <c r="G597" s="327"/>
      <c r="H597" s="121"/>
      <c r="I597" s="334"/>
      <c r="J597" s="127"/>
      <c r="K597" s="334"/>
      <c r="L597" s="127"/>
      <c r="M597" s="334"/>
      <c r="N597" s="127"/>
      <c r="O597" s="327"/>
      <c r="P597" s="121"/>
      <c r="Q597" s="143"/>
      <c r="R597" s="143"/>
      <c r="S597" s="17"/>
      <c r="T597" s="17"/>
    </row>
    <row r="598">
      <c r="A598" s="327"/>
      <c r="B598" s="121"/>
      <c r="C598" s="327"/>
      <c r="D598" s="127"/>
      <c r="E598" s="327"/>
      <c r="F598" s="121"/>
      <c r="G598" s="327"/>
      <c r="H598" s="121"/>
      <c r="I598" s="334"/>
      <c r="J598" s="127"/>
      <c r="K598" s="334"/>
      <c r="L598" s="127"/>
      <c r="M598" s="334"/>
      <c r="N598" s="127"/>
      <c r="O598" s="327"/>
      <c r="P598" s="121"/>
      <c r="Q598" s="143"/>
      <c r="R598" s="143"/>
      <c r="S598" s="17"/>
      <c r="T598" s="17"/>
    </row>
    <row r="599">
      <c r="A599" s="327"/>
      <c r="B599" s="121"/>
      <c r="C599" s="327"/>
      <c r="D599" s="127"/>
      <c r="E599" s="327"/>
      <c r="F599" s="121"/>
      <c r="G599" s="327"/>
      <c r="H599" s="121"/>
      <c r="I599" s="334"/>
      <c r="J599" s="127"/>
      <c r="K599" s="334"/>
      <c r="L599" s="127"/>
      <c r="M599" s="334"/>
      <c r="N599" s="127"/>
      <c r="O599" s="327"/>
      <c r="P599" s="121"/>
      <c r="Q599" s="143"/>
      <c r="R599" s="143"/>
      <c r="S599" s="17"/>
      <c r="T599" s="17"/>
    </row>
    <row r="600">
      <c r="A600" s="327"/>
      <c r="B600" s="121"/>
      <c r="C600" s="327"/>
      <c r="D600" s="127"/>
      <c r="E600" s="327"/>
      <c r="F600" s="121"/>
      <c r="G600" s="327"/>
      <c r="H600" s="121"/>
      <c r="I600" s="334"/>
      <c r="J600" s="127"/>
      <c r="K600" s="334"/>
      <c r="L600" s="127"/>
      <c r="M600" s="334"/>
      <c r="N600" s="127"/>
      <c r="O600" s="327"/>
      <c r="P600" s="121"/>
      <c r="Q600" s="143"/>
      <c r="R600" s="143"/>
      <c r="S600" s="17"/>
      <c r="T600" s="17"/>
    </row>
    <row r="601">
      <c r="A601" s="327"/>
      <c r="B601" s="121"/>
      <c r="C601" s="327"/>
      <c r="D601" s="127"/>
      <c r="E601" s="327"/>
      <c r="F601" s="121"/>
      <c r="G601" s="327"/>
      <c r="H601" s="121"/>
      <c r="I601" s="334"/>
      <c r="J601" s="127"/>
      <c r="K601" s="334"/>
      <c r="L601" s="127"/>
      <c r="M601" s="334"/>
      <c r="N601" s="127"/>
      <c r="O601" s="327"/>
      <c r="P601" s="121"/>
      <c r="Q601" s="143"/>
      <c r="R601" s="143"/>
      <c r="S601" s="17"/>
      <c r="T601" s="17"/>
    </row>
    <row r="602">
      <c r="A602" s="327"/>
      <c r="B602" s="121"/>
      <c r="C602" s="327"/>
      <c r="D602" s="127"/>
      <c r="E602" s="327"/>
      <c r="F602" s="121"/>
      <c r="G602" s="327"/>
      <c r="H602" s="121"/>
      <c r="I602" s="334"/>
      <c r="J602" s="127"/>
      <c r="K602" s="334"/>
      <c r="L602" s="127"/>
      <c r="M602" s="334"/>
      <c r="N602" s="127"/>
      <c r="O602" s="327"/>
      <c r="P602" s="121"/>
      <c r="Q602" s="143"/>
      <c r="R602" s="143"/>
      <c r="S602" s="17"/>
      <c r="T602" s="17"/>
    </row>
    <row r="603">
      <c r="A603" s="327"/>
      <c r="B603" s="121"/>
      <c r="C603" s="327"/>
      <c r="D603" s="127"/>
      <c r="E603" s="327"/>
      <c r="F603" s="121"/>
      <c r="G603" s="327"/>
      <c r="H603" s="121"/>
      <c r="I603" s="334"/>
      <c r="J603" s="127"/>
      <c r="K603" s="334"/>
      <c r="L603" s="127"/>
      <c r="M603" s="334"/>
      <c r="N603" s="127"/>
      <c r="O603" s="327"/>
      <c r="P603" s="121"/>
      <c r="Q603" s="143"/>
      <c r="R603" s="143"/>
      <c r="S603" s="17"/>
      <c r="T603" s="17"/>
    </row>
    <row r="604">
      <c r="A604" s="327"/>
      <c r="B604" s="121"/>
      <c r="C604" s="327"/>
      <c r="D604" s="127"/>
      <c r="E604" s="327"/>
      <c r="F604" s="121"/>
      <c r="G604" s="327"/>
      <c r="H604" s="121"/>
      <c r="I604" s="334"/>
      <c r="J604" s="127"/>
      <c r="K604" s="334"/>
      <c r="L604" s="127"/>
      <c r="M604" s="334"/>
      <c r="N604" s="127"/>
      <c r="O604" s="327"/>
      <c r="P604" s="121"/>
      <c r="Q604" s="143"/>
      <c r="R604" s="143"/>
      <c r="S604" s="17"/>
      <c r="T604" s="17"/>
    </row>
    <row r="605">
      <c r="A605" s="327"/>
      <c r="B605" s="121"/>
      <c r="C605" s="327"/>
      <c r="D605" s="127"/>
      <c r="E605" s="327"/>
      <c r="F605" s="121"/>
      <c r="G605" s="327"/>
      <c r="H605" s="121"/>
      <c r="I605" s="334"/>
      <c r="J605" s="127"/>
      <c r="K605" s="334"/>
      <c r="L605" s="127"/>
      <c r="M605" s="334"/>
      <c r="N605" s="127"/>
      <c r="O605" s="327"/>
      <c r="P605" s="121"/>
      <c r="Q605" s="143"/>
      <c r="R605" s="143"/>
      <c r="S605" s="17"/>
      <c r="T605" s="17"/>
    </row>
    <row r="606">
      <c r="A606" s="327"/>
      <c r="B606" s="121"/>
      <c r="C606" s="327"/>
      <c r="D606" s="127"/>
      <c r="E606" s="327"/>
      <c r="F606" s="121"/>
      <c r="G606" s="327"/>
      <c r="H606" s="121"/>
      <c r="I606" s="334"/>
      <c r="J606" s="127"/>
      <c r="K606" s="334"/>
      <c r="L606" s="127"/>
      <c r="M606" s="334"/>
      <c r="N606" s="127"/>
      <c r="O606" s="327"/>
      <c r="P606" s="121"/>
      <c r="Q606" s="143"/>
      <c r="R606" s="143"/>
      <c r="S606" s="17"/>
      <c r="T606" s="17"/>
    </row>
    <row r="607">
      <c r="A607" s="327"/>
      <c r="B607" s="121"/>
      <c r="C607" s="327"/>
      <c r="D607" s="127"/>
      <c r="E607" s="327"/>
      <c r="F607" s="121"/>
      <c r="G607" s="327"/>
      <c r="H607" s="121"/>
      <c r="I607" s="334"/>
      <c r="J607" s="127"/>
      <c r="K607" s="334"/>
      <c r="L607" s="127"/>
      <c r="M607" s="334"/>
      <c r="N607" s="127"/>
      <c r="O607" s="327"/>
      <c r="P607" s="121"/>
      <c r="Q607" s="143"/>
      <c r="R607" s="143"/>
      <c r="S607" s="17"/>
      <c r="T607" s="17"/>
    </row>
    <row r="608">
      <c r="A608" s="327"/>
      <c r="B608" s="121"/>
      <c r="C608" s="327"/>
      <c r="D608" s="127"/>
      <c r="E608" s="327"/>
      <c r="F608" s="121"/>
      <c r="G608" s="327"/>
      <c r="H608" s="121"/>
      <c r="I608" s="334"/>
      <c r="J608" s="127"/>
      <c r="K608" s="334"/>
      <c r="L608" s="127"/>
      <c r="M608" s="334"/>
      <c r="N608" s="127"/>
      <c r="O608" s="327"/>
      <c r="P608" s="121"/>
      <c r="Q608" s="143"/>
      <c r="R608" s="143"/>
      <c r="S608" s="17"/>
      <c r="T608" s="17"/>
    </row>
    <row r="609">
      <c r="A609" s="327"/>
      <c r="B609" s="121"/>
      <c r="C609" s="327"/>
      <c r="D609" s="127"/>
      <c r="E609" s="327"/>
      <c r="F609" s="121"/>
      <c r="G609" s="327"/>
      <c r="H609" s="121"/>
      <c r="I609" s="334"/>
      <c r="J609" s="127"/>
      <c r="K609" s="334"/>
      <c r="L609" s="127"/>
      <c r="M609" s="334"/>
      <c r="N609" s="127"/>
      <c r="O609" s="327"/>
      <c r="P609" s="121"/>
      <c r="Q609" s="143"/>
      <c r="R609" s="143"/>
      <c r="S609" s="17"/>
      <c r="T609" s="17"/>
    </row>
    <row r="610">
      <c r="A610" s="327"/>
      <c r="B610" s="121"/>
      <c r="C610" s="327"/>
      <c r="D610" s="127"/>
      <c r="E610" s="327"/>
      <c r="F610" s="121"/>
      <c r="G610" s="327"/>
      <c r="H610" s="121"/>
      <c r="I610" s="334"/>
      <c r="J610" s="127"/>
      <c r="K610" s="334"/>
      <c r="L610" s="127"/>
      <c r="M610" s="334"/>
      <c r="N610" s="127"/>
      <c r="O610" s="327"/>
      <c r="P610" s="121"/>
      <c r="Q610" s="143"/>
      <c r="R610" s="143"/>
      <c r="S610" s="17"/>
      <c r="T610" s="17"/>
    </row>
    <row r="611">
      <c r="A611" s="327"/>
      <c r="B611" s="121"/>
      <c r="C611" s="327"/>
      <c r="D611" s="127"/>
      <c r="E611" s="327"/>
      <c r="F611" s="121"/>
      <c r="G611" s="327"/>
      <c r="H611" s="121"/>
      <c r="I611" s="334"/>
      <c r="J611" s="127"/>
      <c r="K611" s="334"/>
      <c r="L611" s="127"/>
      <c r="M611" s="334"/>
      <c r="N611" s="127"/>
      <c r="O611" s="327"/>
      <c r="P611" s="121"/>
      <c r="Q611" s="143"/>
      <c r="R611" s="143"/>
      <c r="S611" s="17"/>
      <c r="T611" s="17"/>
    </row>
    <row r="612">
      <c r="A612" s="327"/>
      <c r="B612" s="121"/>
      <c r="C612" s="327"/>
      <c r="D612" s="127"/>
      <c r="E612" s="327"/>
      <c r="F612" s="121"/>
      <c r="G612" s="327"/>
      <c r="H612" s="121"/>
      <c r="I612" s="334"/>
      <c r="J612" s="127"/>
      <c r="K612" s="334"/>
      <c r="L612" s="127"/>
      <c r="M612" s="334"/>
      <c r="N612" s="127"/>
      <c r="O612" s="327"/>
      <c r="P612" s="121"/>
      <c r="Q612" s="143"/>
      <c r="R612" s="143"/>
      <c r="S612" s="17"/>
      <c r="T612" s="17"/>
    </row>
    <row r="613">
      <c r="A613" s="327"/>
      <c r="B613" s="121"/>
      <c r="C613" s="327"/>
      <c r="D613" s="127"/>
      <c r="E613" s="327"/>
      <c r="F613" s="121"/>
      <c r="G613" s="327"/>
      <c r="H613" s="121"/>
      <c r="I613" s="334"/>
      <c r="J613" s="127"/>
      <c r="K613" s="334"/>
      <c r="L613" s="127"/>
      <c r="M613" s="334"/>
      <c r="N613" s="127"/>
      <c r="O613" s="327"/>
      <c r="P613" s="121"/>
      <c r="Q613" s="143"/>
      <c r="R613" s="143"/>
      <c r="S613" s="17"/>
      <c r="T613" s="17"/>
    </row>
    <row r="614">
      <c r="A614" s="327"/>
      <c r="B614" s="121"/>
      <c r="C614" s="327"/>
      <c r="D614" s="127"/>
      <c r="E614" s="327"/>
      <c r="F614" s="121"/>
      <c r="G614" s="327"/>
      <c r="H614" s="121"/>
      <c r="I614" s="334"/>
      <c r="J614" s="127"/>
      <c r="K614" s="334"/>
      <c r="L614" s="127"/>
      <c r="M614" s="334"/>
      <c r="N614" s="127"/>
      <c r="O614" s="327"/>
      <c r="P614" s="121"/>
      <c r="Q614" s="143"/>
      <c r="R614" s="143"/>
      <c r="S614" s="17"/>
      <c r="T614" s="17"/>
    </row>
    <row r="615">
      <c r="A615" s="327"/>
      <c r="B615" s="121"/>
      <c r="C615" s="327"/>
      <c r="D615" s="127"/>
      <c r="E615" s="327"/>
      <c r="F615" s="121"/>
      <c r="G615" s="327"/>
      <c r="H615" s="121"/>
      <c r="I615" s="334"/>
      <c r="J615" s="127"/>
      <c r="K615" s="334"/>
      <c r="L615" s="127"/>
      <c r="M615" s="334"/>
      <c r="N615" s="127"/>
      <c r="O615" s="327"/>
      <c r="P615" s="121"/>
      <c r="Q615" s="143"/>
      <c r="R615" s="143"/>
      <c r="S615" s="17"/>
      <c r="T615" s="17"/>
    </row>
    <row r="616">
      <c r="A616" s="327"/>
      <c r="B616" s="121"/>
      <c r="C616" s="327"/>
      <c r="D616" s="127"/>
      <c r="E616" s="327"/>
      <c r="F616" s="121"/>
      <c r="G616" s="327"/>
      <c r="H616" s="121"/>
      <c r="I616" s="334"/>
      <c r="J616" s="127"/>
      <c r="K616" s="334"/>
      <c r="L616" s="127"/>
      <c r="M616" s="334"/>
      <c r="N616" s="127"/>
      <c r="O616" s="327"/>
      <c r="P616" s="121"/>
      <c r="Q616" s="143"/>
      <c r="R616" s="143"/>
      <c r="S616" s="17"/>
      <c r="T616" s="17"/>
    </row>
    <row r="617">
      <c r="A617" s="327"/>
      <c r="B617" s="121"/>
      <c r="C617" s="327"/>
      <c r="D617" s="127"/>
      <c r="E617" s="327"/>
      <c r="F617" s="121"/>
      <c r="G617" s="327"/>
      <c r="H617" s="121"/>
      <c r="I617" s="334"/>
      <c r="J617" s="127"/>
      <c r="K617" s="334"/>
      <c r="L617" s="127"/>
      <c r="M617" s="334"/>
      <c r="N617" s="127"/>
      <c r="O617" s="327"/>
      <c r="P617" s="121"/>
      <c r="Q617" s="143"/>
      <c r="R617" s="143"/>
      <c r="S617" s="17"/>
      <c r="T617" s="17"/>
    </row>
    <row r="618">
      <c r="A618" s="327"/>
      <c r="B618" s="121"/>
      <c r="C618" s="327"/>
      <c r="D618" s="127"/>
      <c r="E618" s="327"/>
      <c r="F618" s="121"/>
      <c r="G618" s="327"/>
      <c r="H618" s="121"/>
      <c r="I618" s="334"/>
      <c r="J618" s="127"/>
      <c r="K618" s="334"/>
      <c r="L618" s="127"/>
      <c r="M618" s="334"/>
      <c r="N618" s="127"/>
      <c r="O618" s="327"/>
      <c r="P618" s="121"/>
      <c r="Q618" s="143"/>
      <c r="R618" s="143"/>
      <c r="S618" s="17"/>
      <c r="T618" s="17"/>
    </row>
    <row r="619">
      <c r="A619" s="327"/>
      <c r="B619" s="121"/>
      <c r="C619" s="327"/>
      <c r="D619" s="127"/>
      <c r="E619" s="327"/>
      <c r="F619" s="121"/>
      <c r="G619" s="327"/>
      <c r="H619" s="121"/>
      <c r="I619" s="334"/>
      <c r="J619" s="127"/>
      <c r="K619" s="334"/>
      <c r="L619" s="127"/>
      <c r="M619" s="334"/>
      <c r="N619" s="127"/>
      <c r="O619" s="327"/>
      <c r="P619" s="121"/>
      <c r="Q619" s="143"/>
      <c r="R619" s="143"/>
      <c r="S619" s="17"/>
      <c r="T619" s="17"/>
    </row>
    <row r="620">
      <c r="A620" s="327"/>
      <c r="B620" s="121"/>
      <c r="C620" s="327"/>
      <c r="D620" s="127"/>
      <c r="E620" s="327"/>
      <c r="F620" s="121"/>
      <c r="G620" s="327"/>
      <c r="H620" s="121"/>
      <c r="I620" s="334"/>
      <c r="J620" s="127"/>
      <c r="K620" s="334"/>
      <c r="L620" s="127"/>
      <c r="M620" s="334"/>
      <c r="N620" s="127"/>
      <c r="O620" s="327"/>
      <c r="P620" s="121"/>
      <c r="Q620" s="143"/>
      <c r="R620" s="143"/>
      <c r="S620" s="17"/>
      <c r="T620" s="17"/>
    </row>
    <row r="621">
      <c r="A621" s="327"/>
      <c r="B621" s="121"/>
      <c r="C621" s="327"/>
      <c r="D621" s="127"/>
      <c r="E621" s="327"/>
      <c r="F621" s="121"/>
      <c r="G621" s="327"/>
      <c r="H621" s="121"/>
      <c r="I621" s="334"/>
      <c r="J621" s="127"/>
      <c r="K621" s="334"/>
      <c r="L621" s="127"/>
      <c r="M621" s="334"/>
      <c r="N621" s="127"/>
      <c r="O621" s="327"/>
      <c r="P621" s="121"/>
      <c r="Q621" s="143"/>
      <c r="R621" s="143"/>
      <c r="S621" s="17"/>
      <c r="T621" s="17"/>
    </row>
    <row r="622">
      <c r="A622" s="327"/>
      <c r="B622" s="121"/>
      <c r="C622" s="327"/>
      <c r="D622" s="127"/>
      <c r="E622" s="327"/>
      <c r="F622" s="121"/>
      <c r="G622" s="327"/>
      <c r="H622" s="121"/>
      <c r="I622" s="334"/>
      <c r="J622" s="127"/>
      <c r="K622" s="334"/>
      <c r="L622" s="127"/>
      <c r="M622" s="334"/>
      <c r="N622" s="127"/>
      <c r="O622" s="327"/>
      <c r="P622" s="121"/>
      <c r="Q622" s="143"/>
      <c r="R622" s="143"/>
      <c r="S622" s="17"/>
      <c r="T622" s="17"/>
    </row>
    <row r="623">
      <c r="A623" s="327"/>
      <c r="B623" s="121"/>
      <c r="C623" s="327"/>
      <c r="D623" s="127"/>
      <c r="E623" s="327"/>
      <c r="F623" s="121"/>
      <c r="G623" s="327"/>
      <c r="H623" s="121"/>
      <c r="I623" s="334"/>
      <c r="J623" s="127"/>
      <c r="K623" s="334"/>
      <c r="L623" s="127"/>
      <c r="M623" s="334"/>
      <c r="N623" s="127"/>
      <c r="O623" s="327"/>
      <c r="P623" s="121"/>
      <c r="Q623" s="143"/>
      <c r="R623" s="143"/>
      <c r="S623" s="17"/>
      <c r="T623" s="17"/>
    </row>
    <row r="624">
      <c r="A624" s="327"/>
      <c r="B624" s="121"/>
      <c r="C624" s="327"/>
      <c r="D624" s="127"/>
      <c r="E624" s="327"/>
      <c r="F624" s="121"/>
      <c r="G624" s="327"/>
      <c r="H624" s="121"/>
      <c r="I624" s="334"/>
      <c r="J624" s="127"/>
      <c r="K624" s="334"/>
      <c r="L624" s="127"/>
      <c r="M624" s="334"/>
      <c r="N624" s="127"/>
      <c r="O624" s="327"/>
      <c r="P624" s="121"/>
      <c r="Q624" s="143"/>
      <c r="R624" s="143"/>
      <c r="S624" s="17"/>
      <c r="T624" s="17"/>
    </row>
    <row r="625">
      <c r="A625" s="327"/>
      <c r="B625" s="121"/>
      <c r="C625" s="327"/>
      <c r="D625" s="127"/>
      <c r="E625" s="327"/>
      <c r="F625" s="121"/>
      <c r="G625" s="327"/>
      <c r="H625" s="121"/>
      <c r="I625" s="334"/>
      <c r="J625" s="127"/>
      <c r="K625" s="334"/>
      <c r="L625" s="127"/>
      <c r="M625" s="334"/>
      <c r="N625" s="127"/>
      <c r="O625" s="327"/>
      <c r="P625" s="121"/>
      <c r="Q625" s="143"/>
      <c r="R625" s="143"/>
      <c r="S625" s="17"/>
      <c r="T625" s="17"/>
    </row>
    <row r="626">
      <c r="A626" s="327"/>
      <c r="B626" s="121"/>
      <c r="C626" s="327"/>
      <c r="D626" s="127"/>
      <c r="E626" s="327"/>
      <c r="F626" s="121"/>
      <c r="G626" s="327"/>
      <c r="H626" s="121"/>
      <c r="I626" s="334"/>
      <c r="J626" s="127"/>
      <c r="K626" s="334"/>
      <c r="L626" s="127"/>
      <c r="M626" s="334"/>
      <c r="N626" s="127"/>
      <c r="O626" s="327"/>
      <c r="P626" s="121"/>
      <c r="Q626" s="143"/>
      <c r="R626" s="143"/>
      <c r="S626" s="17"/>
      <c r="T626" s="17"/>
    </row>
    <row r="627">
      <c r="A627" s="327"/>
      <c r="B627" s="121"/>
      <c r="C627" s="327"/>
      <c r="D627" s="127"/>
      <c r="E627" s="327"/>
      <c r="F627" s="121"/>
      <c r="G627" s="327"/>
      <c r="H627" s="121"/>
      <c r="I627" s="334"/>
      <c r="J627" s="127"/>
      <c r="K627" s="334"/>
      <c r="L627" s="127"/>
      <c r="M627" s="334"/>
      <c r="N627" s="127"/>
      <c r="O627" s="327"/>
      <c r="P627" s="121"/>
      <c r="Q627" s="143"/>
      <c r="R627" s="143"/>
      <c r="S627" s="17"/>
      <c r="T627" s="17"/>
    </row>
    <row r="628">
      <c r="A628" s="327"/>
      <c r="B628" s="121"/>
      <c r="C628" s="327"/>
      <c r="D628" s="127"/>
      <c r="E628" s="327"/>
      <c r="F628" s="121"/>
      <c r="G628" s="327"/>
      <c r="H628" s="121"/>
      <c r="I628" s="334"/>
      <c r="J628" s="127"/>
      <c r="K628" s="334"/>
      <c r="L628" s="127"/>
      <c r="M628" s="334"/>
      <c r="N628" s="127"/>
      <c r="O628" s="327"/>
      <c r="P628" s="121"/>
      <c r="Q628" s="143"/>
      <c r="R628" s="143"/>
      <c r="S628" s="17"/>
      <c r="T628" s="17"/>
    </row>
    <row r="629">
      <c r="A629" s="327"/>
      <c r="B629" s="121"/>
      <c r="C629" s="327"/>
      <c r="D629" s="127"/>
      <c r="E629" s="327"/>
      <c r="F629" s="121"/>
      <c r="G629" s="327"/>
      <c r="H629" s="121"/>
      <c r="I629" s="334"/>
      <c r="J629" s="127"/>
      <c r="K629" s="334"/>
      <c r="L629" s="127"/>
      <c r="M629" s="334"/>
      <c r="N629" s="127"/>
      <c r="O629" s="327"/>
      <c r="P629" s="121"/>
      <c r="Q629" s="143"/>
      <c r="R629" s="143"/>
      <c r="S629" s="17"/>
      <c r="T629" s="17"/>
    </row>
    <row r="630">
      <c r="A630" s="327"/>
      <c r="B630" s="121"/>
      <c r="C630" s="327"/>
      <c r="D630" s="127"/>
      <c r="E630" s="327"/>
      <c r="F630" s="121"/>
      <c r="G630" s="327"/>
      <c r="H630" s="121"/>
      <c r="I630" s="334"/>
      <c r="J630" s="127"/>
      <c r="K630" s="334"/>
      <c r="L630" s="127"/>
      <c r="M630" s="334"/>
      <c r="N630" s="127"/>
      <c r="O630" s="327"/>
      <c r="P630" s="121"/>
      <c r="Q630" s="143"/>
      <c r="R630" s="143"/>
      <c r="S630" s="17"/>
      <c r="T630" s="17"/>
    </row>
    <row r="631">
      <c r="A631" s="327"/>
      <c r="B631" s="121"/>
      <c r="C631" s="327"/>
      <c r="D631" s="127"/>
      <c r="E631" s="327"/>
      <c r="F631" s="121"/>
      <c r="G631" s="327"/>
      <c r="H631" s="121"/>
      <c r="I631" s="334"/>
      <c r="J631" s="127"/>
      <c r="K631" s="334"/>
      <c r="L631" s="127"/>
      <c r="M631" s="334"/>
      <c r="N631" s="127"/>
      <c r="O631" s="327"/>
      <c r="P631" s="121"/>
      <c r="Q631" s="143"/>
      <c r="R631" s="143"/>
      <c r="S631" s="17"/>
      <c r="T631" s="17"/>
    </row>
    <row r="632">
      <c r="A632" s="327"/>
      <c r="B632" s="121"/>
      <c r="C632" s="327"/>
      <c r="D632" s="127"/>
      <c r="E632" s="327"/>
      <c r="F632" s="121"/>
      <c r="G632" s="327"/>
      <c r="H632" s="121"/>
      <c r="I632" s="334"/>
      <c r="J632" s="127"/>
      <c r="K632" s="334"/>
      <c r="L632" s="127"/>
      <c r="M632" s="334"/>
      <c r="N632" s="127"/>
      <c r="O632" s="327"/>
      <c r="P632" s="121"/>
      <c r="Q632" s="143"/>
      <c r="R632" s="143"/>
      <c r="S632" s="17"/>
      <c r="T632" s="17"/>
    </row>
    <row r="633">
      <c r="A633" s="327"/>
      <c r="B633" s="121"/>
      <c r="C633" s="327"/>
      <c r="D633" s="127"/>
      <c r="E633" s="327"/>
      <c r="F633" s="121"/>
      <c r="G633" s="327"/>
      <c r="H633" s="121"/>
      <c r="I633" s="334"/>
      <c r="J633" s="127"/>
      <c r="K633" s="334"/>
      <c r="L633" s="127"/>
      <c r="M633" s="334"/>
      <c r="N633" s="127"/>
      <c r="O633" s="327"/>
      <c r="P633" s="121"/>
      <c r="Q633" s="143"/>
      <c r="R633" s="143"/>
      <c r="S633" s="17"/>
      <c r="T633" s="17"/>
    </row>
    <row r="634">
      <c r="A634" s="327"/>
      <c r="B634" s="121"/>
      <c r="C634" s="327"/>
      <c r="D634" s="127"/>
      <c r="E634" s="327"/>
      <c r="F634" s="121"/>
      <c r="G634" s="327"/>
      <c r="H634" s="121"/>
      <c r="I634" s="334"/>
      <c r="J634" s="127"/>
      <c r="K634" s="334"/>
      <c r="L634" s="127"/>
      <c r="M634" s="334"/>
      <c r="N634" s="127"/>
      <c r="O634" s="327"/>
      <c r="P634" s="121"/>
      <c r="Q634" s="143"/>
      <c r="R634" s="143"/>
      <c r="S634" s="17"/>
      <c r="T634" s="17"/>
    </row>
    <row r="635">
      <c r="A635" s="327"/>
      <c r="B635" s="121"/>
      <c r="C635" s="327"/>
      <c r="D635" s="127"/>
      <c r="E635" s="327"/>
      <c r="F635" s="121"/>
      <c r="G635" s="327"/>
      <c r="H635" s="121"/>
      <c r="I635" s="334"/>
      <c r="J635" s="127"/>
      <c r="K635" s="334"/>
      <c r="L635" s="127"/>
      <c r="M635" s="334"/>
      <c r="N635" s="127"/>
      <c r="O635" s="327"/>
      <c r="P635" s="121"/>
      <c r="Q635" s="143"/>
      <c r="R635" s="143"/>
      <c r="S635" s="17"/>
      <c r="T635" s="17"/>
    </row>
    <row r="636">
      <c r="A636" s="327"/>
      <c r="B636" s="121"/>
      <c r="C636" s="327"/>
      <c r="D636" s="127"/>
      <c r="E636" s="327"/>
      <c r="F636" s="121"/>
      <c r="G636" s="327"/>
      <c r="H636" s="121"/>
      <c r="I636" s="334"/>
      <c r="J636" s="127"/>
      <c r="K636" s="334"/>
      <c r="L636" s="127"/>
      <c r="M636" s="334"/>
      <c r="N636" s="127"/>
      <c r="O636" s="327"/>
      <c r="P636" s="121"/>
      <c r="Q636" s="143"/>
      <c r="R636" s="143"/>
      <c r="S636" s="17"/>
      <c r="T636" s="17"/>
    </row>
    <row r="637">
      <c r="A637" s="327"/>
      <c r="B637" s="121"/>
      <c r="C637" s="327"/>
      <c r="D637" s="127"/>
      <c r="E637" s="327"/>
      <c r="F637" s="121"/>
      <c r="G637" s="327"/>
      <c r="H637" s="121"/>
      <c r="I637" s="334"/>
      <c r="J637" s="127"/>
      <c r="K637" s="334"/>
      <c r="L637" s="127"/>
      <c r="M637" s="334"/>
      <c r="N637" s="127"/>
      <c r="O637" s="327"/>
      <c r="P637" s="121"/>
      <c r="Q637" s="143"/>
      <c r="R637" s="143"/>
      <c r="S637" s="17"/>
      <c r="T637" s="17"/>
    </row>
    <row r="638">
      <c r="A638" s="327"/>
      <c r="B638" s="121"/>
      <c r="C638" s="327"/>
      <c r="D638" s="127"/>
      <c r="E638" s="327"/>
      <c r="F638" s="121"/>
      <c r="G638" s="327"/>
      <c r="H638" s="121"/>
      <c r="I638" s="334"/>
      <c r="J638" s="127"/>
      <c r="K638" s="334"/>
      <c r="L638" s="127"/>
      <c r="M638" s="334"/>
      <c r="N638" s="127"/>
      <c r="O638" s="327"/>
      <c r="P638" s="121"/>
      <c r="Q638" s="143"/>
      <c r="R638" s="143"/>
      <c r="S638" s="17"/>
      <c r="T638" s="17"/>
    </row>
    <row r="639">
      <c r="A639" s="327"/>
      <c r="B639" s="121"/>
      <c r="C639" s="327"/>
      <c r="D639" s="127"/>
      <c r="E639" s="327"/>
      <c r="F639" s="121"/>
      <c r="G639" s="327"/>
      <c r="H639" s="121"/>
      <c r="I639" s="334"/>
      <c r="J639" s="127"/>
      <c r="K639" s="334"/>
      <c r="L639" s="127"/>
      <c r="M639" s="334"/>
      <c r="N639" s="127"/>
      <c r="O639" s="327"/>
      <c r="P639" s="121"/>
      <c r="Q639" s="143"/>
      <c r="R639" s="143"/>
      <c r="S639" s="17"/>
      <c r="T639" s="17"/>
    </row>
    <row r="640">
      <c r="A640" s="327"/>
      <c r="B640" s="121"/>
      <c r="C640" s="327"/>
      <c r="D640" s="127"/>
      <c r="E640" s="327"/>
      <c r="F640" s="121"/>
      <c r="G640" s="327"/>
      <c r="H640" s="121"/>
      <c r="I640" s="334"/>
      <c r="J640" s="127"/>
      <c r="K640" s="334"/>
      <c r="L640" s="127"/>
      <c r="M640" s="334"/>
      <c r="N640" s="127"/>
      <c r="O640" s="327"/>
      <c r="P640" s="121"/>
      <c r="Q640" s="143"/>
      <c r="R640" s="143"/>
      <c r="S640" s="17"/>
      <c r="T640" s="17"/>
    </row>
    <row r="641">
      <c r="A641" s="327"/>
      <c r="B641" s="121"/>
      <c r="C641" s="327"/>
      <c r="D641" s="127"/>
      <c r="E641" s="327"/>
      <c r="F641" s="121"/>
      <c r="G641" s="327"/>
      <c r="H641" s="121"/>
      <c r="I641" s="334"/>
      <c r="J641" s="127"/>
      <c r="K641" s="334"/>
      <c r="L641" s="127"/>
      <c r="M641" s="334"/>
      <c r="N641" s="127"/>
      <c r="O641" s="327"/>
      <c r="P641" s="121"/>
      <c r="Q641" s="143"/>
      <c r="R641" s="143"/>
      <c r="S641" s="17"/>
      <c r="T641" s="17"/>
    </row>
    <row r="642">
      <c r="A642" s="327"/>
      <c r="B642" s="121"/>
      <c r="C642" s="327"/>
      <c r="D642" s="127"/>
      <c r="E642" s="327"/>
      <c r="F642" s="121"/>
      <c r="G642" s="327"/>
      <c r="H642" s="121"/>
      <c r="I642" s="334"/>
      <c r="J642" s="127"/>
      <c r="K642" s="334"/>
      <c r="L642" s="127"/>
      <c r="M642" s="334"/>
      <c r="N642" s="127"/>
      <c r="O642" s="327"/>
      <c r="P642" s="121"/>
      <c r="Q642" s="143"/>
      <c r="R642" s="143"/>
      <c r="S642" s="17"/>
      <c r="T642" s="17"/>
    </row>
    <row r="643">
      <c r="A643" s="327"/>
      <c r="B643" s="121"/>
      <c r="C643" s="327"/>
      <c r="D643" s="127"/>
      <c r="E643" s="327"/>
      <c r="F643" s="121"/>
      <c r="G643" s="327"/>
      <c r="H643" s="121"/>
      <c r="I643" s="334"/>
      <c r="J643" s="127"/>
      <c r="K643" s="334"/>
      <c r="L643" s="127"/>
      <c r="M643" s="334"/>
      <c r="N643" s="127"/>
      <c r="O643" s="327"/>
      <c r="P643" s="121"/>
      <c r="Q643" s="143"/>
      <c r="R643" s="143"/>
      <c r="S643" s="17"/>
      <c r="T643" s="17"/>
    </row>
    <row r="644">
      <c r="A644" s="327"/>
      <c r="B644" s="121"/>
      <c r="C644" s="327"/>
      <c r="D644" s="127"/>
      <c r="E644" s="327"/>
      <c r="F644" s="121"/>
      <c r="G644" s="327"/>
      <c r="H644" s="121"/>
      <c r="I644" s="334"/>
      <c r="J644" s="127"/>
      <c r="K644" s="334"/>
      <c r="L644" s="127"/>
      <c r="M644" s="334"/>
      <c r="N644" s="127"/>
      <c r="O644" s="327"/>
      <c r="P644" s="121"/>
      <c r="Q644" s="143"/>
      <c r="R644" s="143"/>
      <c r="S644" s="17"/>
      <c r="T644" s="17"/>
    </row>
    <row r="645">
      <c r="A645" s="327"/>
      <c r="B645" s="121"/>
      <c r="C645" s="327"/>
      <c r="D645" s="127"/>
      <c r="E645" s="327"/>
      <c r="F645" s="121"/>
      <c r="G645" s="327"/>
      <c r="H645" s="121"/>
      <c r="I645" s="334"/>
      <c r="J645" s="127"/>
      <c r="K645" s="334"/>
      <c r="L645" s="127"/>
      <c r="M645" s="334"/>
      <c r="N645" s="127"/>
      <c r="O645" s="327"/>
      <c r="P645" s="121"/>
      <c r="Q645" s="143"/>
      <c r="R645" s="143"/>
      <c r="S645" s="17"/>
      <c r="T645" s="17"/>
    </row>
    <row r="646">
      <c r="A646" s="327"/>
      <c r="B646" s="121"/>
      <c r="C646" s="327"/>
      <c r="D646" s="127"/>
      <c r="E646" s="327"/>
      <c r="F646" s="121"/>
      <c r="G646" s="327"/>
      <c r="H646" s="121"/>
      <c r="I646" s="334"/>
      <c r="J646" s="127"/>
      <c r="K646" s="334"/>
      <c r="L646" s="127"/>
      <c r="M646" s="334"/>
      <c r="N646" s="127"/>
      <c r="O646" s="327"/>
      <c r="P646" s="121"/>
      <c r="Q646" s="143"/>
      <c r="R646" s="143"/>
      <c r="S646" s="17"/>
      <c r="T646" s="17"/>
    </row>
    <row r="647">
      <c r="A647" s="327"/>
      <c r="B647" s="121"/>
      <c r="C647" s="327"/>
      <c r="D647" s="127"/>
      <c r="E647" s="327"/>
      <c r="F647" s="121"/>
      <c r="G647" s="327"/>
      <c r="H647" s="121"/>
      <c r="I647" s="334"/>
      <c r="J647" s="127"/>
      <c r="K647" s="334"/>
      <c r="L647" s="127"/>
      <c r="M647" s="334"/>
      <c r="N647" s="127"/>
      <c r="O647" s="327"/>
      <c r="P647" s="121"/>
      <c r="Q647" s="143"/>
      <c r="R647" s="143"/>
      <c r="S647" s="17"/>
      <c r="T647" s="17"/>
    </row>
    <row r="648">
      <c r="A648" s="327"/>
      <c r="B648" s="121"/>
      <c r="C648" s="327"/>
      <c r="D648" s="127"/>
      <c r="E648" s="327"/>
      <c r="F648" s="121"/>
      <c r="G648" s="327"/>
      <c r="H648" s="121"/>
      <c r="I648" s="334"/>
      <c r="J648" s="127"/>
      <c r="K648" s="334"/>
      <c r="L648" s="127"/>
      <c r="M648" s="334"/>
      <c r="N648" s="127"/>
      <c r="O648" s="327"/>
      <c r="P648" s="121"/>
      <c r="Q648" s="143"/>
      <c r="R648" s="143"/>
      <c r="S648" s="17"/>
      <c r="T648" s="17"/>
    </row>
    <row r="649">
      <c r="A649" s="327"/>
      <c r="B649" s="121"/>
      <c r="C649" s="327"/>
      <c r="D649" s="127"/>
      <c r="E649" s="327"/>
      <c r="F649" s="121"/>
      <c r="G649" s="327"/>
      <c r="H649" s="121"/>
      <c r="I649" s="334"/>
      <c r="J649" s="127"/>
      <c r="K649" s="334"/>
      <c r="L649" s="127"/>
      <c r="M649" s="334"/>
      <c r="N649" s="127"/>
      <c r="O649" s="327"/>
      <c r="P649" s="121"/>
      <c r="Q649" s="143"/>
      <c r="R649" s="143"/>
      <c r="S649" s="17"/>
      <c r="T649" s="17"/>
    </row>
    <row r="650">
      <c r="A650" s="327"/>
      <c r="B650" s="121"/>
      <c r="C650" s="327"/>
      <c r="D650" s="127"/>
      <c r="E650" s="327"/>
      <c r="F650" s="121"/>
      <c r="G650" s="327"/>
      <c r="H650" s="121"/>
      <c r="I650" s="334"/>
      <c r="J650" s="127"/>
      <c r="K650" s="334"/>
      <c r="L650" s="127"/>
      <c r="M650" s="334"/>
      <c r="N650" s="127"/>
      <c r="O650" s="327"/>
      <c r="P650" s="121"/>
      <c r="Q650" s="143"/>
      <c r="R650" s="143"/>
      <c r="S650" s="17"/>
      <c r="T650" s="17"/>
    </row>
    <row r="651">
      <c r="A651" s="327"/>
      <c r="B651" s="121"/>
      <c r="C651" s="327"/>
      <c r="D651" s="127"/>
      <c r="E651" s="327"/>
      <c r="F651" s="121"/>
      <c r="G651" s="327"/>
      <c r="H651" s="121"/>
      <c r="I651" s="334"/>
      <c r="J651" s="127"/>
      <c r="K651" s="334"/>
      <c r="L651" s="127"/>
      <c r="M651" s="334"/>
      <c r="N651" s="127"/>
      <c r="O651" s="327"/>
      <c r="P651" s="121"/>
      <c r="Q651" s="143"/>
      <c r="R651" s="143"/>
      <c r="S651" s="17"/>
      <c r="T651" s="17"/>
    </row>
    <row r="652">
      <c r="A652" s="327"/>
      <c r="B652" s="121"/>
      <c r="C652" s="327"/>
      <c r="D652" s="127"/>
      <c r="E652" s="327"/>
      <c r="F652" s="121"/>
      <c r="G652" s="327"/>
      <c r="H652" s="121"/>
      <c r="I652" s="334"/>
      <c r="J652" s="127"/>
      <c r="K652" s="334"/>
      <c r="L652" s="127"/>
      <c r="M652" s="334"/>
      <c r="N652" s="127"/>
      <c r="O652" s="327"/>
      <c r="P652" s="121"/>
      <c r="Q652" s="143"/>
      <c r="R652" s="143"/>
      <c r="S652" s="17"/>
      <c r="T652" s="17"/>
    </row>
    <row r="653">
      <c r="A653" s="327"/>
      <c r="B653" s="121"/>
      <c r="C653" s="327"/>
      <c r="D653" s="127"/>
      <c r="E653" s="327"/>
      <c r="F653" s="121"/>
      <c r="G653" s="327"/>
      <c r="H653" s="121"/>
      <c r="I653" s="334"/>
      <c r="J653" s="127"/>
      <c r="K653" s="334"/>
      <c r="L653" s="127"/>
      <c r="M653" s="334"/>
      <c r="N653" s="127"/>
      <c r="O653" s="327"/>
      <c r="P653" s="121"/>
      <c r="Q653" s="143"/>
      <c r="R653" s="143"/>
      <c r="S653" s="17"/>
      <c r="T653" s="17"/>
    </row>
    <row r="654">
      <c r="A654" s="327"/>
      <c r="B654" s="121"/>
      <c r="C654" s="327"/>
      <c r="D654" s="127"/>
      <c r="E654" s="327"/>
      <c r="F654" s="121"/>
      <c r="G654" s="327"/>
      <c r="H654" s="121"/>
      <c r="I654" s="334"/>
      <c r="J654" s="127"/>
      <c r="K654" s="334"/>
      <c r="L654" s="127"/>
      <c r="M654" s="334"/>
      <c r="N654" s="127"/>
      <c r="O654" s="327"/>
      <c r="P654" s="121"/>
      <c r="Q654" s="143"/>
      <c r="R654" s="143"/>
      <c r="S654" s="17"/>
      <c r="T654" s="17"/>
    </row>
    <row r="655">
      <c r="A655" s="327"/>
      <c r="B655" s="121"/>
      <c r="C655" s="327"/>
      <c r="D655" s="127"/>
      <c r="E655" s="327"/>
      <c r="F655" s="121"/>
      <c r="G655" s="327"/>
      <c r="H655" s="121"/>
      <c r="I655" s="334"/>
      <c r="J655" s="127"/>
      <c r="K655" s="334"/>
      <c r="L655" s="127"/>
      <c r="M655" s="334"/>
      <c r="N655" s="127"/>
      <c r="O655" s="327"/>
      <c r="P655" s="121"/>
      <c r="Q655" s="143"/>
      <c r="R655" s="143"/>
      <c r="S655" s="17"/>
      <c r="T655" s="17"/>
    </row>
    <row r="656">
      <c r="A656" s="327"/>
      <c r="B656" s="121"/>
      <c r="C656" s="327"/>
      <c r="D656" s="127"/>
      <c r="E656" s="327"/>
      <c r="F656" s="121"/>
      <c r="G656" s="327"/>
      <c r="H656" s="121"/>
      <c r="I656" s="334"/>
      <c r="J656" s="127"/>
      <c r="K656" s="334"/>
      <c r="L656" s="127"/>
      <c r="M656" s="334"/>
      <c r="N656" s="127"/>
      <c r="O656" s="327"/>
      <c r="P656" s="121"/>
      <c r="Q656" s="143"/>
      <c r="R656" s="143"/>
      <c r="S656" s="17"/>
      <c r="T656" s="17"/>
    </row>
    <row r="657">
      <c r="A657" s="327"/>
      <c r="B657" s="121"/>
      <c r="C657" s="327"/>
      <c r="D657" s="127"/>
      <c r="E657" s="327"/>
      <c r="F657" s="121"/>
      <c r="G657" s="327"/>
      <c r="H657" s="121"/>
      <c r="I657" s="334"/>
      <c r="J657" s="127"/>
      <c r="K657" s="334"/>
      <c r="L657" s="127"/>
      <c r="M657" s="334"/>
      <c r="N657" s="127"/>
      <c r="O657" s="327"/>
      <c r="P657" s="121"/>
      <c r="Q657" s="143"/>
      <c r="R657" s="143"/>
      <c r="S657" s="17"/>
      <c r="T657" s="17"/>
    </row>
    <row r="658">
      <c r="A658" s="327"/>
      <c r="B658" s="121"/>
      <c r="C658" s="327"/>
      <c r="D658" s="127"/>
      <c r="E658" s="327"/>
      <c r="F658" s="121"/>
      <c r="G658" s="327"/>
      <c r="H658" s="121"/>
      <c r="I658" s="334"/>
      <c r="J658" s="127"/>
      <c r="K658" s="334"/>
      <c r="L658" s="127"/>
      <c r="M658" s="334"/>
      <c r="N658" s="127"/>
      <c r="O658" s="327"/>
      <c r="P658" s="121"/>
      <c r="Q658" s="143"/>
      <c r="R658" s="143"/>
      <c r="S658" s="17"/>
      <c r="T658" s="17"/>
    </row>
    <row r="659">
      <c r="A659" s="327"/>
      <c r="B659" s="121"/>
      <c r="C659" s="327"/>
      <c r="D659" s="127"/>
      <c r="E659" s="327"/>
      <c r="F659" s="121"/>
      <c r="G659" s="327"/>
      <c r="H659" s="121"/>
      <c r="I659" s="334"/>
      <c r="J659" s="127"/>
      <c r="K659" s="334"/>
      <c r="L659" s="127"/>
      <c r="M659" s="334"/>
      <c r="N659" s="127"/>
      <c r="O659" s="327"/>
      <c r="P659" s="121"/>
      <c r="Q659" s="143"/>
      <c r="R659" s="143"/>
      <c r="S659" s="17"/>
      <c r="T659" s="17"/>
    </row>
    <row r="660">
      <c r="A660" s="327"/>
      <c r="B660" s="121"/>
      <c r="C660" s="327"/>
      <c r="D660" s="127"/>
      <c r="E660" s="327"/>
      <c r="F660" s="121"/>
      <c r="G660" s="327"/>
      <c r="H660" s="121"/>
      <c r="I660" s="334"/>
      <c r="J660" s="127"/>
      <c r="K660" s="334"/>
      <c r="L660" s="127"/>
      <c r="M660" s="334"/>
      <c r="N660" s="127"/>
      <c r="O660" s="327"/>
      <c r="P660" s="121"/>
      <c r="Q660" s="143"/>
      <c r="R660" s="143"/>
      <c r="S660" s="17"/>
      <c r="T660" s="17"/>
    </row>
    <row r="661">
      <c r="A661" s="327"/>
      <c r="B661" s="121"/>
      <c r="C661" s="327"/>
      <c r="D661" s="127"/>
      <c r="E661" s="327"/>
      <c r="F661" s="121"/>
      <c r="G661" s="327"/>
      <c r="H661" s="121"/>
      <c r="I661" s="334"/>
      <c r="J661" s="127"/>
      <c r="K661" s="334"/>
      <c r="L661" s="127"/>
      <c r="M661" s="334"/>
      <c r="N661" s="127"/>
      <c r="O661" s="327"/>
      <c r="P661" s="121"/>
      <c r="Q661" s="143"/>
      <c r="R661" s="143"/>
      <c r="S661" s="17"/>
      <c r="T661" s="17"/>
    </row>
    <row r="662">
      <c r="A662" s="327"/>
      <c r="B662" s="121"/>
      <c r="C662" s="327"/>
      <c r="D662" s="127"/>
      <c r="E662" s="327"/>
      <c r="F662" s="121"/>
      <c r="G662" s="327"/>
      <c r="H662" s="121"/>
      <c r="I662" s="334"/>
      <c r="J662" s="127"/>
      <c r="K662" s="334"/>
      <c r="L662" s="127"/>
      <c r="M662" s="334"/>
      <c r="N662" s="127"/>
      <c r="O662" s="327"/>
      <c r="P662" s="121"/>
      <c r="Q662" s="143"/>
      <c r="R662" s="143"/>
      <c r="S662" s="17"/>
      <c r="T662" s="17"/>
    </row>
    <row r="663">
      <c r="A663" s="327"/>
      <c r="B663" s="121"/>
      <c r="C663" s="327"/>
      <c r="D663" s="127"/>
      <c r="E663" s="327"/>
      <c r="F663" s="121"/>
      <c r="G663" s="327"/>
      <c r="H663" s="121"/>
      <c r="I663" s="334"/>
      <c r="J663" s="127"/>
      <c r="K663" s="334"/>
      <c r="L663" s="127"/>
      <c r="M663" s="334"/>
      <c r="N663" s="127"/>
      <c r="O663" s="327"/>
      <c r="P663" s="121"/>
      <c r="Q663" s="143"/>
      <c r="R663" s="143"/>
      <c r="S663" s="17"/>
      <c r="T663" s="17"/>
    </row>
    <row r="664">
      <c r="A664" s="327"/>
      <c r="B664" s="121"/>
      <c r="C664" s="327"/>
      <c r="D664" s="127"/>
      <c r="E664" s="327"/>
      <c r="F664" s="121"/>
      <c r="G664" s="327"/>
      <c r="H664" s="121"/>
      <c r="I664" s="334"/>
      <c r="J664" s="127"/>
      <c r="K664" s="334"/>
      <c r="L664" s="127"/>
      <c r="M664" s="334"/>
      <c r="N664" s="127"/>
      <c r="O664" s="327"/>
      <c r="P664" s="121"/>
      <c r="Q664" s="143"/>
      <c r="R664" s="143"/>
      <c r="S664" s="17"/>
      <c r="T664" s="17"/>
    </row>
    <row r="665">
      <c r="A665" s="327"/>
      <c r="B665" s="121"/>
      <c r="C665" s="327"/>
      <c r="D665" s="127"/>
      <c r="E665" s="327"/>
      <c r="F665" s="121"/>
      <c r="G665" s="327"/>
      <c r="H665" s="121"/>
      <c r="I665" s="334"/>
      <c r="J665" s="127"/>
      <c r="K665" s="334"/>
      <c r="L665" s="127"/>
      <c r="M665" s="334"/>
      <c r="N665" s="127"/>
      <c r="O665" s="327"/>
      <c r="P665" s="121"/>
      <c r="Q665" s="143"/>
      <c r="R665" s="143"/>
      <c r="S665" s="17"/>
      <c r="T665" s="17"/>
    </row>
    <row r="666">
      <c r="A666" s="327"/>
      <c r="B666" s="121"/>
      <c r="C666" s="327"/>
      <c r="D666" s="127"/>
      <c r="E666" s="327"/>
      <c r="F666" s="121"/>
      <c r="G666" s="327"/>
      <c r="H666" s="121"/>
      <c r="I666" s="334"/>
      <c r="J666" s="127"/>
      <c r="K666" s="334"/>
      <c r="L666" s="127"/>
      <c r="M666" s="334"/>
      <c r="N666" s="127"/>
      <c r="O666" s="327"/>
      <c r="P666" s="121"/>
      <c r="Q666" s="143"/>
      <c r="R666" s="143"/>
      <c r="S666" s="17"/>
      <c r="T666" s="17"/>
    </row>
    <row r="667">
      <c r="A667" s="327"/>
      <c r="B667" s="121"/>
      <c r="C667" s="327"/>
      <c r="D667" s="127"/>
      <c r="E667" s="327"/>
      <c r="F667" s="121"/>
      <c r="G667" s="327"/>
      <c r="H667" s="121"/>
      <c r="I667" s="334"/>
      <c r="J667" s="127"/>
      <c r="K667" s="334"/>
      <c r="L667" s="127"/>
      <c r="M667" s="334"/>
      <c r="N667" s="127"/>
      <c r="O667" s="327"/>
      <c r="P667" s="121"/>
      <c r="Q667" s="143"/>
      <c r="R667" s="143"/>
      <c r="S667" s="17"/>
      <c r="T667" s="17"/>
    </row>
    <row r="668">
      <c r="A668" s="327"/>
      <c r="B668" s="121"/>
      <c r="C668" s="327"/>
      <c r="D668" s="127"/>
      <c r="E668" s="327"/>
      <c r="F668" s="121"/>
      <c r="G668" s="327"/>
      <c r="H668" s="121"/>
      <c r="I668" s="334"/>
      <c r="J668" s="127"/>
      <c r="K668" s="334"/>
      <c r="L668" s="127"/>
      <c r="M668" s="334"/>
      <c r="N668" s="127"/>
      <c r="O668" s="327"/>
      <c r="P668" s="121"/>
      <c r="Q668" s="143"/>
      <c r="R668" s="143"/>
      <c r="S668" s="17"/>
      <c r="T668" s="17"/>
    </row>
    <row r="669">
      <c r="A669" s="327"/>
      <c r="B669" s="121"/>
      <c r="C669" s="327"/>
      <c r="D669" s="127"/>
      <c r="E669" s="327"/>
      <c r="F669" s="121"/>
      <c r="G669" s="327"/>
      <c r="H669" s="121"/>
      <c r="I669" s="334"/>
      <c r="J669" s="127"/>
      <c r="K669" s="334"/>
      <c r="L669" s="127"/>
      <c r="M669" s="334"/>
      <c r="N669" s="127"/>
      <c r="O669" s="327"/>
      <c r="P669" s="121"/>
      <c r="Q669" s="143"/>
      <c r="R669" s="143"/>
      <c r="S669" s="17"/>
      <c r="T669" s="17"/>
    </row>
    <row r="670">
      <c r="A670" s="327"/>
      <c r="B670" s="121"/>
      <c r="C670" s="327"/>
      <c r="D670" s="127"/>
      <c r="E670" s="327"/>
      <c r="F670" s="121"/>
      <c r="G670" s="327"/>
      <c r="H670" s="121"/>
      <c r="I670" s="334"/>
      <c r="J670" s="127"/>
      <c r="K670" s="334"/>
      <c r="L670" s="127"/>
      <c r="M670" s="334"/>
      <c r="N670" s="127"/>
      <c r="O670" s="327"/>
      <c r="P670" s="121"/>
      <c r="Q670" s="143"/>
      <c r="R670" s="143"/>
      <c r="S670" s="17"/>
      <c r="T670" s="17"/>
    </row>
    <row r="671">
      <c r="A671" s="327"/>
      <c r="B671" s="121"/>
      <c r="C671" s="327"/>
      <c r="D671" s="127"/>
      <c r="E671" s="327"/>
      <c r="F671" s="121"/>
      <c r="G671" s="327"/>
      <c r="H671" s="121"/>
      <c r="I671" s="334"/>
      <c r="J671" s="127"/>
      <c r="K671" s="334"/>
      <c r="L671" s="127"/>
      <c r="M671" s="334"/>
      <c r="N671" s="127"/>
      <c r="O671" s="327"/>
      <c r="P671" s="121"/>
      <c r="Q671" s="143"/>
      <c r="R671" s="143"/>
      <c r="S671" s="17"/>
      <c r="T671" s="17"/>
    </row>
    <row r="672">
      <c r="A672" s="327"/>
      <c r="B672" s="121"/>
      <c r="C672" s="327"/>
      <c r="D672" s="127"/>
      <c r="E672" s="327"/>
      <c r="F672" s="121"/>
      <c r="G672" s="327"/>
      <c r="H672" s="121"/>
      <c r="I672" s="334"/>
      <c r="J672" s="127"/>
      <c r="K672" s="334"/>
      <c r="L672" s="127"/>
      <c r="M672" s="334"/>
      <c r="N672" s="127"/>
      <c r="O672" s="327"/>
      <c r="P672" s="121"/>
      <c r="Q672" s="143"/>
      <c r="R672" s="143"/>
      <c r="S672" s="17"/>
      <c r="T672" s="17"/>
    </row>
    <row r="673">
      <c r="A673" s="327"/>
      <c r="B673" s="121"/>
      <c r="C673" s="327"/>
      <c r="D673" s="127"/>
      <c r="E673" s="327"/>
      <c r="F673" s="121"/>
      <c r="G673" s="327"/>
      <c r="H673" s="121"/>
      <c r="I673" s="334"/>
      <c r="J673" s="127"/>
      <c r="K673" s="334"/>
      <c r="L673" s="127"/>
      <c r="M673" s="334"/>
      <c r="N673" s="127"/>
      <c r="O673" s="327"/>
      <c r="P673" s="121"/>
      <c r="Q673" s="143"/>
      <c r="R673" s="143"/>
      <c r="S673" s="17"/>
      <c r="T673" s="17"/>
    </row>
    <row r="674">
      <c r="A674" s="327"/>
      <c r="B674" s="121"/>
      <c r="C674" s="327"/>
      <c r="D674" s="127"/>
      <c r="E674" s="327"/>
      <c r="F674" s="121"/>
      <c r="G674" s="327"/>
      <c r="H674" s="121"/>
      <c r="I674" s="334"/>
      <c r="J674" s="127"/>
      <c r="K674" s="334"/>
      <c r="L674" s="127"/>
      <c r="M674" s="334"/>
      <c r="N674" s="127"/>
      <c r="O674" s="327"/>
      <c r="P674" s="121"/>
      <c r="Q674" s="143"/>
      <c r="R674" s="143"/>
      <c r="S674" s="17"/>
      <c r="T674" s="17"/>
    </row>
    <row r="675">
      <c r="A675" s="327"/>
      <c r="B675" s="121"/>
      <c r="C675" s="327"/>
      <c r="D675" s="127"/>
      <c r="E675" s="327"/>
      <c r="F675" s="121"/>
      <c r="G675" s="327"/>
      <c r="H675" s="121"/>
      <c r="I675" s="334"/>
      <c r="J675" s="127"/>
      <c r="K675" s="334"/>
      <c r="L675" s="127"/>
      <c r="M675" s="334"/>
      <c r="N675" s="127"/>
      <c r="O675" s="327"/>
      <c r="P675" s="121"/>
      <c r="Q675" s="143"/>
      <c r="R675" s="143"/>
      <c r="S675" s="17"/>
      <c r="T675" s="17"/>
    </row>
    <row r="676">
      <c r="A676" s="327"/>
      <c r="B676" s="121"/>
      <c r="C676" s="327"/>
      <c r="D676" s="127"/>
      <c r="E676" s="327"/>
      <c r="F676" s="121"/>
      <c r="G676" s="327"/>
      <c r="H676" s="121"/>
      <c r="I676" s="334"/>
      <c r="J676" s="127"/>
      <c r="K676" s="334"/>
      <c r="L676" s="127"/>
      <c r="M676" s="334"/>
      <c r="N676" s="127"/>
      <c r="O676" s="327"/>
      <c r="P676" s="121"/>
      <c r="Q676" s="143"/>
      <c r="R676" s="143"/>
      <c r="S676" s="17"/>
      <c r="T676" s="17"/>
    </row>
    <row r="677">
      <c r="A677" s="327"/>
      <c r="B677" s="121"/>
      <c r="C677" s="327"/>
      <c r="D677" s="127"/>
      <c r="E677" s="327"/>
      <c r="F677" s="121"/>
      <c r="G677" s="327"/>
      <c r="H677" s="121"/>
      <c r="I677" s="334"/>
      <c r="J677" s="127"/>
      <c r="K677" s="334"/>
      <c r="L677" s="127"/>
      <c r="M677" s="334"/>
      <c r="N677" s="127"/>
      <c r="O677" s="327"/>
      <c r="P677" s="121"/>
      <c r="Q677" s="143"/>
      <c r="R677" s="143"/>
      <c r="S677" s="17"/>
      <c r="T677" s="17"/>
    </row>
    <row r="678">
      <c r="A678" s="327"/>
      <c r="B678" s="121"/>
      <c r="C678" s="327"/>
      <c r="D678" s="127"/>
      <c r="E678" s="327"/>
      <c r="F678" s="121"/>
      <c r="G678" s="327"/>
      <c r="H678" s="121"/>
      <c r="I678" s="334"/>
      <c r="J678" s="127"/>
      <c r="K678" s="334"/>
      <c r="L678" s="127"/>
      <c r="M678" s="334"/>
      <c r="N678" s="127"/>
      <c r="O678" s="327"/>
      <c r="P678" s="121"/>
      <c r="Q678" s="143"/>
      <c r="R678" s="143"/>
      <c r="S678" s="17"/>
      <c r="T678" s="17"/>
    </row>
    <row r="679">
      <c r="A679" s="327"/>
      <c r="B679" s="121"/>
      <c r="C679" s="327"/>
      <c r="D679" s="127"/>
      <c r="E679" s="327"/>
      <c r="F679" s="121"/>
      <c r="G679" s="327"/>
      <c r="H679" s="121"/>
      <c r="I679" s="334"/>
      <c r="J679" s="127"/>
      <c r="K679" s="334"/>
      <c r="L679" s="127"/>
      <c r="M679" s="334"/>
      <c r="N679" s="127"/>
      <c r="O679" s="327"/>
      <c r="P679" s="121"/>
      <c r="Q679" s="143"/>
      <c r="R679" s="143"/>
      <c r="S679" s="17"/>
      <c r="T679" s="17"/>
    </row>
    <row r="680">
      <c r="A680" s="327"/>
      <c r="B680" s="121"/>
      <c r="C680" s="327"/>
      <c r="D680" s="127"/>
      <c r="E680" s="327"/>
      <c r="F680" s="121"/>
      <c r="G680" s="327"/>
      <c r="H680" s="121"/>
      <c r="I680" s="334"/>
      <c r="J680" s="127"/>
      <c r="K680" s="334"/>
      <c r="L680" s="127"/>
      <c r="M680" s="334"/>
      <c r="N680" s="127"/>
      <c r="O680" s="327"/>
      <c r="P680" s="121"/>
      <c r="Q680" s="143"/>
      <c r="R680" s="143"/>
      <c r="S680" s="17"/>
      <c r="T680" s="17"/>
    </row>
    <row r="681">
      <c r="A681" s="327"/>
      <c r="B681" s="121"/>
      <c r="C681" s="327"/>
      <c r="D681" s="127"/>
      <c r="E681" s="327"/>
      <c r="F681" s="121"/>
      <c r="G681" s="327"/>
      <c r="H681" s="121"/>
      <c r="I681" s="334"/>
      <c r="J681" s="127"/>
      <c r="K681" s="334"/>
      <c r="L681" s="127"/>
      <c r="M681" s="334"/>
      <c r="N681" s="127"/>
      <c r="O681" s="327"/>
      <c r="P681" s="121"/>
      <c r="Q681" s="143"/>
      <c r="R681" s="143"/>
      <c r="S681" s="17"/>
      <c r="T681" s="17"/>
    </row>
    <row r="682">
      <c r="A682" s="327"/>
      <c r="B682" s="121"/>
      <c r="C682" s="327"/>
      <c r="D682" s="127"/>
      <c r="E682" s="327"/>
      <c r="F682" s="121"/>
      <c r="G682" s="327"/>
      <c r="H682" s="121"/>
      <c r="I682" s="334"/>
      <c r="J682" s="127"/>
      <c r="K682" s="334"/>
      <c r="L682" s="127"/>
      <c r="M682" s="334"/>
      <c r="N682" s="127"/>
      <c r="O682" s="327"/>
      <c r="P682" s="121"/>
      <c r="Q682" s="143"/>
      <c r="R682" s="143"/>
      <c r="S682" s="17"/>
      <c r="T682" s="17"/>
    </row>
    <row r="683">
      <c r="A683" s="327"/>
      <c r="B683" s="121"/>
      <c r="C683" s="327"/>
      <c r="D683" s="127"/>
      <c r="E683" s="327"/>
      <c r="F683" s="121"/>
      <c r="G683" s="327"/>
      <c r="H683" s="121"/>
      <c r="I683" s="334"/>
      <c r="J683" s="127"/>
      <c r="K683" s="334"/>
      <c r="L683" s="127"/>
      <c r="M683" s="334"/>
      <c r="N683" s="127"/>
      <c r="O683" s="327"/>
      <c r="P683" s="121"/>
      <c r="Q683" s="143"/>
      <c r="R683" s="143"/>
      <c r="S683" s="17"/>
      <c r="T683" s="17"/>
    </row>
    <row r="684">
      <c r="A684" s="327"/>
      <c r="B684" s="121"/>
      <c r="C684" s="327"/>
      <c r="D684" s="127"/>
      <c r="E684" s="327"/>
      <c r="F684" s="121"/>
      <c r="G684" s="327"/>
      <c r="H684" s="121"/>
      <c r="I684" s="334"/>
      <c r="J684" s="127"/>
      <c r="K684" s="334"/>
      <c r="L684" s="127"/>
      <c r="M684" s="334"/>
      <c r="N684" s="127"/>
      <c r="O684" s="327"/>
      <c r="P684" s="121"/>
      <c r="Q684" s="143"/>
      <c r="R684" s="143"/>
      <c r="S684" s="17"/>
      <c r="T684" s="17"/>
    </row>
    <row r="685">
      <c r="A685" s="327"/>
      <c r="B685" s="121"/>
      <c r="C685" s="327"/>
      <c r="D685" s="127"/>
      <c r="E685" s="327"/>
      <c r="F685" s="121"/>
      <c r="G685" s="327"/>
      <c r="H685" s="121"/>
      <c r="I685" s="334"/>
      <c r="J685" s="127"/>
      <c r="K685" s="334"/>
      <c r="L685" s="127"/>
      <c r="M685" s="334"/>
      <c r="N685" s="127"/>
      <c r="O685" s="327"/>
      <c r="P685" s="121"/>
      <c r="Q685" s="143"/>
      <c r="R685" s="143"/>
      <c r="S685" s="17"/>
      <c r="T685" s="17"/>
    </row>
    <row r="686">
      <c r="A686" s="327"/>
      <c r="B686" s="121"/>
      <c r="C686" s="327"/>
      <c r="D686" s="127"/>
      <c r="E686" s="327"/>
      <c r="F686" s="121"/>
      <c r="G686" s="327"/>
      <c r="H686" s="121"/>
      <c r="I686" s="334"/>
      <c r="J686" s="127"/>
      <c r="K686" s="334"/>
      <c r="L686" s="127"/>
      <c r="M686" s="334"/>
      <c r="N686" s="127"/>
      <c r="O686" s="327"/>
      <c r="P686" s="121"/>
      <c r="Q686" s="143"/>
      <c r="R686" s="143"/>
      <c r="S686" s="17"/>
      <c r="T686" s="17"/>
    </row>
    <row r="687">
      <c r="A687" s="327"/>
      <c r="B687" s="121"/>
      <c r="C687" s="327"/>
      <c r="D687" s="127"/>
      <c r="E687" s="327"/>
      <c r="F687" s="121"/>
      <c r="G687" s="327"/>
      <c r="H687" s="121"/>
      <c r="I687" s="334"/>
      <c r="J687" s="127"/>
      <c r="K687" s="334"/>
      <c r="L687" s="127"/>
      <c r="M687" s="334"/>
      <c r="N687" s="127"/>
      <c r="O687" s="327"/>
      <c r="P687" s="121"/>
      <c r="Q687" s="143"/>
      <c r="R687" s="143"/>
      <c r="S687" s="17"/>
      <c r="T687" s="17"/>
    </row>
    <row r="688">
      <c r="A688" s="327"/>
      <c r="B688" s="121"/>
      <c r="C688" s="327"/>
      <c r="D688" s="127"/>
      <c r="E688" s="327"/>
      <c r="F688" s="121"/>
      <c r="G688" s="327"/>
      <c r="H688" s="121"/>
      <c r="I688" s="334"/>
      <c r="J688" s="127"/>
      <c r="K688" s="334"/>
      <c r="L688" s="127"/>
      <c r="M688" s="334"/>
      <c r="N688" s="127"/>
      <c r="O688" s="327"/>
      <c r="P688" s="121"/>
      <c r="Q688" s="143"/>
      <c r="R688" s="143"/>
      <c r="S688" s="17"/>
      <c r="T688" s="17"/>
    </row>
    <row r="689">
      <c r="A689" s="327"/>
      <c r="B689" s="121"/>
      <c r="C689" s="327"/>
      <c r="D689" s="127"/>
      <c r="E689" s="327"/>
      <c r="F689" s="121"/>
      <c r="G689" s="327"/>
      <c r="H689" s="121"/>
      <c r="I689" s="334"/>
      <c r="J689" s="127"/>
      <c r="K689" s="334"/>
      <c r="L689" s="127"/>
      <c r="M689" s="334"/>
      <c r="N689" s="127"/>
      <c r="O689" s="327"/>
      <c r="P689" s="121"/>
      <c r="Q689" s="143"/>
      <c r="R689" s="143"/>
      <c r="S689" s="17"/>
      <c r="T689" s="17"/>
    </row>
    <row r="690">
      <c r="A690" s="327"/>
      <c r="B690" s="121"/>
      <c r="C690" s="327"/>
      <c r="D690" s="127"/>
      <c r="E690" s="327"/>
      <c r="F690" s="121"/>
      <c r="G690" s="327"/>
      <c r="H690" s="121"/>
      <c r="I690" s="334"/>
      <c r="J690" s="127"/>
      <c r="K690" s="334"/>
      <c r="L690" s="127"/>
      <c r="M690" s="334"/>
      <c r="N690" s="127"/>
      <c r="O690" s="327"/>
      <c r="P690" s="121"/>
      <c r="Q690" s="143"/>
      <c r="R690" s="143"/>
      <c r="S690" s="17"/>
      <c r="T690" s="17"/>
    </row>
    <row r="691">
      <c r="A691" s="327"/>
      <c r="B691" s="121"/>
      <c r="C691" s="327"/>
      <c r="D691" s="127"/>
      <c r="E691" s="327"/>
      <c r="F691" s="121"/>
      <c r="G691" s="327"/>
      <c r="H691" s="121"/>
      <c r="I691" s="334"/>
      <c r="J691" s="127"/>
      <c r="K691" s="334"/>
      <c r="L691" s="127"/>
      <c r="M691" s="334"/>
      <c r="N691" s="127"/>
      <c r="O691" s="327"/>
      <c r="P691" s="121"/>
      <c r="Q691" s="143"/>
      <c r="R691" s="143"/>
      <c r="S691" s="17"/>
      <c r="T691" s="17"/>
    </row>
    <row r="692">
      <c r="A692" s="327"/>
      <c r="B692" s="121"/>
      <c r="C692" s="327"/>
      <c r="D692" s="127"/>
      <c r="E692" s="327"/>
      <c r="F692" s="121"/>
      <c r="G692" s="327"/>
      <c r="H692" s="121"/>
      <c r="I692" s="334"/>
      <c r="J692" s="127"/>
      <c r="K692" s="334"/>
      <c r="L692" s="127"/>
      <c r="M692" s="334"/>
      <c r="N692" s="127"/>
      <c r="O692" s="327"/>
      <c r="P692" s="121"/>
      <c r="Q692" s="143"/>
      <c r="R692" s="143"/>
      <c r="S692" s="17"/>
      <c r="T692" s="17"/>
    </row>
    <row r="693">
      <c r="A693" s="327"/>
      <c r="B693" s="121"/>
      <c r="C693" s="327"/>
      <c r="D693" s="127"/>
      <c r="E693" s="327"/>
      <c r="F693" s="121"/>
      <c r="G693" s="327"/>
      <c r="H693" s="121"/>
      <c r="I693" s="334"/>
      <c r="J693" s="127"/>
      <c r="K693" s="334"/>
      <c r="L693" s="127"/>
      <c r="M693" s="334"/>
      <c r="N693" s="127"/>
      <c r="O693" s="327"/>
      <c r="P693" s="121"/>
      <c r="Q693" s="143"/>
      <c r="R693" s="143"/>
      <c r="S693" s="17"/>
      <c r="T693" s="17"/>
    </row>
    <row r="694">
      <c r="A694" s="327"/>
      <c r="B694" s="121"/>
      <c r="C694" s="327"/>
      <c r="D694" s="127"/>
      <c r="E694" s="327"/>
      <c r="F694" s="121"/>
      <c r="G694" s="327"/>
      <c r="H694" s="121"/>
      <c r="I694" s="334"/>
      <c r="J694" s="127"/>
      <c r="K694" s="334"/>
      <c r="L694" s="127"/>
      <c r="M694" s="334"/>
      <c r="N694" s="127"/>
      <c r="O694" s="327"/>
      <c r="P694" s="121"/>
      <c r="Q694" s="143"/>
      <c r="R694" s="143"/>
      <c r="S694" s="17"/>
      <c r="T694" s="17"/>
    </row>
    <row r="695">
      <c r="A695" s="327"/>
      <c r="B695" s="121"/>
      <c r="C695" s="327"/>
      <c r="D695" s="127"/>
      <c r="E695" s="327"/>
      <c r="F695" s="121"/>
      <c r="G695" s="327"/>
      <c r="H695" s="121"/>
      <c r="I695" s="334"/>
      <c r="J695" s="127"/>
      <c r="K695" s="334"/>
      <c r="L695" s="127"/>
      <c r="M695" s="334"/>
      <c r="N695" s="127"/>
      <c r="O695" s="327"/>
      <c r="P695" s="121"/>
      <c r="Q695" s="143"/>
      <c r="R695" s="143"/>
      <c r="S695" s="17"/>
      <c r="T695" s="17"/>
    </row>
    <row r="696">
      <c r="A696" s="327"/>
      <c r="B696" s="121"/>
      <c r="C696" s="327"/>
      <c r="D696" s="127"/>
      <c r="E696" s="327"/>
      <c r="F696" s="121"/>
      <c r="G696" s="327"/>
      <c r="H696" s="121"/>
      <c r="I696" s="334"/>
      <c r="J696" s="127"/>
      <c r="K696" s="334"/>
      <c r="L696" s="127"/>
      <c r="M696" s="334"/>
      <c r="N696" s="127"/>
      <c r="O696" s="327"/>
      <c r="P696" s="121"/>
      <c r="Q696" s="143"/>
      <c r="R696" s="143"/>
      <c r="S696" s="17"/>
      <c r="T696" s="17"/>
    </row>
    <row r="697">
      <c r="A697" s="327"/>
      <c r="B697" s="121"/>
      <c r="C697" s="327"/>
      <c r="D697" s="127"/>
      <c r="E697" s="327"/>
      <c r="F697" s="121"/>
      <c r="G697" s="327"/>
      <c r="H697" s="121"/>
      <c r="I697" s="334"/>
      <c r="J697" s="127"/>
      <c r="K697" s="334"/>
      <c r="L697" s="127"/>
      <c r="M697" s="334"/>
      <c r="N697" s="127"/>
      <c r="O697" s="327"/>
      <c r="P697" s="121"/>
      <c r="Q697" s="143"/>
      <c r="R697" s="143"/>
      <c r="S697" s="17"/>
      <c r="T697" s="17"/>
    </row>
    <row r="698">
      <c r="A698" s="327"/>
      <c r="B698" s="121"/>
      <c r="C698" s="327"/>
      <c r="D698" s="127"/>
      <c r="E698" s="327"/>
      <c r="F698" s="121"/>
      <c r="G698" s="327"/>
      <c r="H698" s="121"/>
      <c r="I698" s="334"/>
      <c r="J698" s="127"/>
      <c r="K698" s="334"/>
      <c r="L698" s="127"/>
      <c r="M698" s="334"/>
      <c r="N698" s="127"/>
      <c r="O698" s="327"/>
      <c r="P698" s="121"/>
      <c r="Q698" s="143"/>
      <c r="R698" s="143"/>
      <c r="S698" s="17"/>
      <c r="T698" s="17"/>
    </row>
    <row r="699">
      <c r="A699" s="327"/>
      <c r="B699" s="121"/>
      <c r="C699" s="327"/>
      <c r="D699" s="127"/>
      <c r="E699" s="327"/>
      <c r="F699" s="121"/>
      <c r="G699" s="327"/>
      <c r="H699" s="121"/>
      <c r="I699" s="334"/>
      <c r="J699" s="127"/>
      <c r="K699" s="334"/>
      <c r="L699" s="127"/>
      <c r="M699" s="334"/>
      <c r="N699" s="127"/>
      <c r="O699" s="327"/>
      <c r="P699" s="121"/>
      <c r="Q699" s="143"/>
      <c r="R699" s="143"/>
      <c r="S699" s="17"/>
      <c r="T699" s="17"/>
    </row>
    <row r="700">
      <c r="A700" s="327"/>
      <c r="B700" s="121"/>
      <c r="C700" s="327"/>
      <c r="D700" s="127"/>
      <c r="E700" s="327"/>
      <c r="F700" s="121"/>
      <c r="G700" s="327"/>
      <c r="H700" s="121"/>
      <c r="I700" s="334"/>
      <c r="J700" s="127"/>
      <c r="K700" s="334"/>
      <c r="L700" s="127"/>
      <c r="M700" s="334"/>
      <c r="N700" s="127"/>
      <c r="O700" s="327"/>
      <c r="P700" s="121"/>
      <c r="Q700" s="143"/>
      <c r="R700" s="143"/>
      <c r="S700" s="17"/>
      <c r="T700" s="17"/>
    </row>
    <row r="701">
      <c r="A701" s="327"/>
      <c r="B701" s="121"/>
      <c r="C701" s="327"/>
      <c r="D701" s="127"/>
      <c r="E701" s="327"/>
      <c r="F701" s="121"/>
      <c r="G701" s="327"/>
      <c r="H701" s="121"/>
      <c r="I701" s="334"/>
      <c r="J701" s="127"/>
      <c r="K701" s="334"/>
      <c r="L701" s="127"/>
      <c r="M701" s="334"/>
      <c r="N701" s="127"/>
      <c r="O701" s="327"/>
      <c r="P701" s="121"/>
      <c r="Q701" s="143"/>
      <c r="R701" s="143"/>
      <c r="S701" s="17"/>
      <c r="T701" s="17"/>
    </row>
    <row r="702">
      <c r="A702" s="327"/>
      <c r="B702" s="121"/>
      <c r="C702" s="327"/>
      <c r="D702" s="127"/>
      <c r="E702" s="327"/>
      <c r="F702" s="121"/>
      <c r="G702" s="327"/>
      <c r="H702" s="121"/>
      <c r="I702" s="334"/>
      <c r="J702" s="127"/>
      <c r="K702" s="334"/>
      <c r="L702" s="127"/>
      <c r="M702" s="334"/>
      <c r="N702" s="127"/>
      <c r="O702" s="327"/>
      <c r="P702" s="121"/>
      <c r="Q702" s="143"/>
      <c r="R702" s="143"/>
      <c r="S702" s="17"/>
      <c r="T702" s="17"/>
    </row>
    <row r="703">
      <c r="A703" s="327"/>
      <c r="B703" s="121"/>
      <c r="C703" s="327"/>
      <c r="D703" s="127"/>
      <c r="E703" s="327"/>
      <c r="F703" s="121"/>
      <c r="G703" s="327"/>
      <c r="H703" s="121"/>
      <c r="I703" s="334"/>
      <c r="J703" s="127"/>
      <c r="K703" s="334"/>
      <c r="L703" s="127"/>
      <c r="M703" s="334"/>
      <c r="N703" s="127"/>
      <c r="O703" s="327"/>
      <c r="P703" s="121"/>
      <c r="Q703" s="143"/>
      <c r="R703" s="143"/>
      <c r="S703" s="17"/>
      <c r="T703" s="17"/>
    </row>
    <row r="704">
      <c r="A704" s="327"/>
      <c r="B704" s="121"/>
      <c r="C704" s="327"/>
      <c r="D704" s="127"/>
      <c r="E704" s="327"/>
      <c r="F704" s="121"/>
      <c r="G704" s="327"/>
      <c r="H704" s="121"/>
      <c r="I704" s="334"/>
      <c r="J704" s="127"/>
      <c r="K704" s="334"/>
      <c r="L704" s="127"/>
      <c r="M704" s="334"/>
      <c r="N704" s="127"/>
      <c r="O704" s="327"/>
      <c r="P704" s="121"/>
      <c r="Q704" s="143"/>
      <c r="R704" s="143"/>
      <c r="S704" s="17"/>
      <c r="T704" s="17"/>
    </row>
    <row r="705">
      <c r="A705" s="327"/>
      <c r="B705" s="121"/>
      <c r="C705" s="327"/>
      <c r="D705" s="127"/>
      <c r="E705" s="327"/>
      <c r="F705" s="121"/>
      <c r="G705" s="327"/>
      <c r="H705" s="121"/>
      <c r="I705" s="334"/>
      <c r="J705" s="127"/>
      <c r="K705" s="334"/>
      <c r="L705" s="127"/>
      <c r="M705" s="334"/>
      <c r="N705" s="127"/>
      <c r="O705" s="327"/>
      <c r="P705" s="121"/>
      <c r="Q705" s="143"/>
      <c r="R705" s="143"/>
      <c r="S705" s="17"/>
      <c r="T705" s="17"/>
    </row>
    <row r="706">
      <c r="A706" s="327"/>
      <c r="B706" s="121"/>
      <c r="C706" s="327"/>
      <c r="D706" s="127"/>
      <c r="E706" s="327"/>
      <c r="F706" s="121"/>
      <c r="G706" s="327"/>
      <c r="H706" s="121"/>
      <c r="I706" s="334"/>
      <c r="J706" s="127"/>
      <c r="K706" s="334"/>
      <c r="L706" s="127"/>
      <c r="M706" s="334"/>
      <c r="N706" s="127"/>
      <c r="O706" s="327"/>
      <c r="P706" s="121"/>
      <c r="Q706" s="143"/>
      <c r="R706" s="143"/>
      <c r="S706" s="17"/>
      <c r="T706" s="17"/>
    </row>
    <row r="707">
      <c r="A707" s="327"/>
      <c r="B707" s="121"/>
      <c r="C707" s="327"/>
      <c r="D707" s="127"/>
      <c r="E707" s="327"/>
      <c r="F707" s="121"/>
      <c r="G707" s="327"/>
      <c r="H707" s="121"/>
      <c r="I707" s="334"/>
      <c r="J707" s="127"/>
      <c r="K707" s="334"/>
      <c r="L707" s="127"/>
      <c r="M707" s="334"/>
      <c r="N707" s="127"/>
      <c r="O707" s="327"/>
      <c r="P707" s="121"/>
      <c r="Q707" s="143"/>
      <c r="R707" s="143"/>
      <c r="S707" s="17"/>
      <c r="T707" s="17"/>
    </row>
    <row r="708">
      <c r="A708" s="327"/>
      <c r="B708" s="121"/>
      <c r="C708" s="327"/>
      <c r="D708" s="127"/>
      <c r="E708" s="327"/>
      <c r="F708" s="121"/>
      <c r="G708" s="327"/>
      <c r="H708" s="121"/>
      <c r="I708" s="334"/>
      <c r="J708" s="127"/>
      <c r="K708" s="334"/>
      <c r="L708" s="127"/>
      <c r="M708" s="334"/>
      <c r="N708" s="127"/>
      <c r="O708" s="327"/>
      <c r="P708" s="121"/>
      <c r="Q708" s="143"/>
      <c r="R708" s="143"/>
      <c r="S708" s="17"/>
      <c r="T708" s="17"/>
    </row>
    <row r="709">
      <c r="A709" s="327"/>
      <c r="B709" s="121"/>
      <c r="C709" s="327"/>
      <c r="D709" s="127"/>
      <c r="E709" s="327"/>
      <c r="F709" s="121"/>
      <c r="G709" s="327"/>
      <c r="H709" s="121"/>
      <c r="I709" s="334"/>
      <c r="J709" s="127"/>
      <c r="K709" s="334"/>
      <c r="L709" s="127"/>
      <c r="M709" s="334"/>
      <c r="N709" s="127"/>
      <c r="O709" s="327"/>
      <c r="P709" s="121"/>
      <c r="Q709" s="143"/>
      <c r="R709" s="143"/>
      <c r="S709" s="17"/>
      <c r="T709" s="17"/>
    </row>
    <row r="710">
      <c r="A710" s="327"/>
      <c r="B710" s="121"/>
      <c r="C710" s="327"/>
      <c r="D710" s="127"/>
      <c r="E710" s="327"/>
      <c r="F710" s="121"/>
      <c r="G710" s="327"/>
      <c r="H710" s="121"/>
      <c r="I710" s="334"/>
      <c r="J710" s="127"/>
      <c r="K710" s="334"/>
      <c r="L710" s="127"/>
      <c r="M710" s="334"/>
      <c r="N710" s="127"/>
      <c r="O710" s="327"/>
      <c r="P710" s="121"/>
      <c r="Q710" s="143"/>
      <c r="R710" s="143"/>
      <c r="S710" s="17"/>
      <c r="T710" s="17"/>
    </row>
    <row r="711">
      <c r="A711" s="327"/>
      <c r="B711" s="121"/>
      <c r="C711" s="327"/>
      <c r="D711" s="127"/>
      <c r="E711" s="327"/>
      <c r="F711" s="121"/>
      <c r="G711" s="327"/>
      <c r="H711" s="121"/>
      <c r="I711" s="334"/>
      <c r="J711" s="127"/>
      <c r="K711" s="334"/>
      <c r="L711" s="127"/>
      <c r="M711" s="334"/>
      <c r="N711" s="127"/>
      <c r="O711" s="327"/>
      <c r="P711" s="121"/>
      <c r="Q711" s="143"/>
      <c r="R711" s="143"/>
      <c r="S711" s="17"/>
      <c r="T711" s="17"/>
    </row>
    <row r="712">
      <c r="A712" s="327"/>
      <c r="B712" s="121"/>
      <c r="C712" s="327"/>
      <c r="D712" s="127"/>
      <c r="E712" s="327"/>
      <c r="F712" s="121"/>
      <c r="G712" s="327"/>
      <c r="H712" s="121"/>
      <c r="I712" s="334"/>
      <c r="J712" s="127"/>
      <c r="K712" s="334"/>
      <c r="L712" s="127"/>
      <c r="M712" s="334"/>
      <c r="N712" s="127"/>
      <c r="O712" s="327"/>
      <c r="P712" s="121"/>
      <c r="Q712" s="143"/>
      <c r="R712" s="143"/>
      <c r="S712" s="17"/>
      <c r="T712" s="17"/>
    </row>
    <row r="713">
      <c r="A713" s="327"/>
      <c r="B713" s="121"/>
      <c r="C713" s="327"/>
      <c r="D713" s="127"/>
      <c r="E713" s="327"/>
      <c r="F713" s="121"/>
      <c r="G713" s="327"/>
      <c r="H713" s="121"/>
      <c r="I713" s="334"/>
      <c r="J713" s="127"/>
      <c r="K713" s="334"/>
      <c r="L713" s="127"/>
      <c r="M713" s="334"/>
      <c r="N713" s="127"/>
      <c r="O713" s="327"/>
      <c r="P713" s="121"/>
      <c r="Q713" s="143"/>
      <c r="R713" s="143"/>
      <c r="S713" s="17"/>
      <c r="T713" s="17"/>
    </row>
    <row r="714">
      <c r="A714" s="327"/>
      <c r="B714" s="121"/>
      <c r="C714" s="327"/>
      <c r="D714" s="127"/>
      <c r="E714" s="327"/>
      <c r="F714" s="121"/>
      <c r="G714" s="327"/>
      <c r="H714" s="121"/>
      <c r="I714" s="334"/>
      <c r="J714" s="127"/>
      <c r="K714" s="334"/>
      <c r="L714" s="127"/>
      <c r="M714" s="334"/>
      <c r="N714" s="127"/>
      <c r="O714" s="327"/>
      <c r="P714" s="121"/>
      <c r="Q714" s="143"/>
      <c r="R714" s="143"/>
      <c r="S714" s="17"/>
      <c r="T714" s="17"/>
    </row>
    <row r="715">
      <c r="A715" s="327"/>
      <c r="B715" s="121"/>
      <c r="C715" s="327"/>
      <c r="D715" s="127"/>
      <c r="E715" s="327"/>
      <c r="F715" s="121"/>
      <c r="G715" s="327"/>
      <c r="H715" s="121"/>
      <c r="I715" s="334"/>
      <c r="J715" s="127"/>
      <c r="K715" s="334"/>
      <c r="L715" s="127"/>
      <c r="M715" s="334"/>
      <c r="N715" s="127"/>
      <c r="O715" s="327"/>
      <c r="P715" s="121"/>
      <c r="Q715" s="143"/>
      <c r="R715" s="143"/>
      <c r="S715" s="17"/>
      <c r="T715" s="17"/>
    </row>
    <row r="716">
      <c r="A716" s="327"/>
      <c r="B716" s="121"/>
      <c r="C716" s="327"/>
      <c r="D716" s="127"/>
      <c r="E716" s="327"/>
      <c r="F716" s="121"/>
      <c r="G716" s="327"/>
      <c r="H716" s="121"/>
      <c r="I716" s="334"/>
      <c r="J716" s="127"/>
      <c r="K716" s="334"/>
      <c r="L716" s="127"/>
      <c r="M716" s="334"/>
      <c r="N716" s="127"/>
      <c r="O716" s="327"/>
      <c r="P716" s="121"/>
      <c r="Q716" s="143"/>
      <c r="R716" s="143"/>
      <c r="S716" s="17"/>
      <c r="T716" s="17"/>
    </row>
    <row r="717">
      <c r="A717" s="327"/>
      <c r="B717" s="121"/>
      <c r="C717" s="327"/>
      <c r="D717" s="127"/>
      <c r="E717" s="327"/>
      <c r="F717" s="121"/>
      <c r="G717" s="327"/>
      <c r="H717" s="121"/>
      <c r="I717" s="334"/>
      <c r="J717" s="127"/>
      <c r="K717" s="334"/>
      <c r="L717" s="127"/>
      <c r="M717" s="334"/>
      <c r="N717" s="127"/>
      <c r="O717" s="327"/>
      <c r="P717" s="121"/>
      <c r="Q717" s="143"/>
      <c r="R717" s="143"/>
      <c r="S717" s="17"/>
      <c r="T717" s="17"/>
    </row>
    <row r="718">
      <c r="A718" s="327"/>
      <c r="B718" s="121"/>
      <c r="C718" s="327"/>
      <c r="D718" s="127"/>
      <c r="E718" s="327"/>
      <c r="F718" s="121"/>
      <c r="G718" s="327"/>
      <c r="H718" s="121"/>
      <c r="I718" s="334"/>
      <c r="J718" s="127"/>
      <c r="K718" s="334"/>
      <c r="L718" s="127"/>
      <c r="M718" s="334"/>
      <c r="N718" s="127"/>
      <c r="O718" s="327"/>
      <c r="P718" s="121"/>
      <c r="Q718" s="143"/>
      <c r="R718" s="143"/>
      <c r="S718" s="17"/>
      <c r="T718" s="17"/>
    </row>
    <row r="719">
      <c r="A719" s="327"/>
      <c r="B719" s="121"/>
      <c r="C719" s="327"/>
      <c r="D719" s="127"/>
      <c r="E719" s="327"/>
      <c r="F719" s="121"/>
      <c r="G719" s="327"/>
      <c r="H719" s="121"/>
      <c r="I719" s="334"/>
      <c r="J719" s="127"/>
      <c r="K719" s="334"/>
      <c r="L719" s="127"/>
      <c r="M719" s="334"/>
      <c r="N719" s="127"/>
      <c r="O719" s="327"/>
      <c r="P719" s="121"/>
      <c r="Q719" s="143"/>
      <c r="R719" s="143"/>
      <c r="S719" s="17"/>
      <c r="T719" s="17"/>
    </row>
    <row r="720">
      <c r="A720" s="327"/>
      <c r="B720" s="121"/>
      <c r="C720" s="327"/>
      <c r="D720" s="127"/>
      <c r="E720" s="327"/>
      <c r="F720" s="121"/>
      <c r="G720" s="327"/>
      <c r="H720" s="121"/>
      <c r="I720" s="334"/>
      <c r="J720" s="127"/>
      <c r="K720" s="334"/>
      <c r="L720" s="127"/>
      <c r="M720" s="334"/>
      <c r="N720" s="127"/>
      <c r="O720" s="327"/>
      <c r="P720" s="121"/>
      <c r="Q720" s="143"/>
      <c r="R720" s="143"/>
      <c r="S720" s="17"/>
      <c r="T720" s="17"/>
    </row>
    <row r="721">
      <c r="A721" s="327"/>
      <c r="B721" s="121"/>
      <c r="C721" s="327"/>
      <c r="D721" s="127"/>
      <c r="E721" s="327"/>
      <c r="F721" s="121"/>
      <c r="G721" s="327"/>
      <c r="H721" s="121"/>
      <c r="I721" s="334"/>
      <c r="J721" s="127"/>
      <c r="K721" s="334"/>
      <c r="L721" s="127"/>
      <c r="M721" s="334"/>
      <c r="N721" s="127"/>
      <c r="O721" s="327"/>
      <c r="P721" s="121"/>
      <c r="Q721" s="143"/>
      <c r="R721" s="143"/>
      <c r="S721" s="17"/>
      <c r="T721" s="17"/>
    </row>
    <row r="722">
      <c r="A722" s="327"/>
      <c r="B722" s="121"/>
      <c r="C722" s="327"/>
      <c r="D722" s="127"/>
      <c r="E722" s="327"/>
      <c r="F722" s="121"/>
      <c r="G722" s="327"/>
      <c r="H722" s="121"/>
      <c r="I722" s="334"/>
      <c r="J722" s="127"/>
      <c r="K722" s="334"/>
      <c r="L722" s="127"/>
      <c r="M722" s="334"/>
      <c r="N722" s="127"/>
      <c r="O722" s="327"/>
      <c r="P722" s="121"/>
      <c r="Q722" s="143"/>
      <c r="R722" s="143"/>
      <c r="S722" s="17"/>
      <c r="T722" s="17"/>
    </row>
    <row r="723">
      <c r="A723" s="327"/>
      <c r="B723" s="121"/>
      <c r="C723" s="327"/>
      <c r="D723" s="127"/>
      <c r="E723" s="327"/>
      <c r="F723" s="121"/>
      <c r="G723" s="327"/>
      <c r="H723" s="121"/>
      <c r="I723" s="334"/>
      <c r="J723" s="127"/>
      <c r="K723" s="334"/>
      <c r="L723" s="127"/>
      <c r="M723" s="334"/>
      <c r="N723" s="127"/>
      <c r="O723" s="327"/>
      <c r="P723" s="121"/>
      <c r="Q723" s="143"/>
      <c r="R723" s="143"/>
      <c r="S723" s="17"/>
      <c r="T723" s="17"/>
    </row>
    <row r="724">
      <c r="A724" s="327"/>
      <c r="B724" s="121"/>
      <c r="C724" s="327"/>
      <c r="D724" s="127"/>
      <c r="E724" s="327"/>
      <c r="F724" s="121"/>
      <c r="G724" s="327"/>
      <c r="H724" s="121"/>
      <c r="I724" s="334"/>
      <c r="J724" s="127"/>
      <c r="K724" s="334"/>
      <c r="L724" s="127"/>
      <c r="M724" s="334"/>
      <c r="N724" s="127"/>
      <c r="O724" s="327"/>
      <c r="P724" s="121"/>
      <c r="Q724" s="143"/>
      <c r="R724" s="143"/>
      <c r="S724" s="17"/>
      <c r="T724" s="17"/>
    </row>
    <row r="725">
      <c r="A725" s="327"/>
      <c r="B725" s="121"/>
      <c r="C725" s="327"/>
      <c r="D725" s="127"/>
      <c r="E725" s="327"/>
      <c r="F725" s="121"/>
      <c r="G725" s="327"/>
      <c r="H725" s="121"/>
      <c r="I725" s="334"/>
      <c r="J725" s="127"/>
      <c r="K725" s="334"/>
      <c r="L725" s="127"/>
      <c r="M725" s="334"/>
      <c r="N725" s="127"/>
      <c r="O725" s="327"/>
      <c r="P725" s="121"/>
      <c r="Q725" s="143"/>
      <c r="R725" s="143"/>
      <c r="S725" s="17"/>
      <c r="T725" s="17"/>
    </row>
    <row r="726">
      <c r="A726" s="327"/>
      <c r="B726" s="121"/>
      <c r="C726" s="327"/>
      <c r="D726" s="127"/>
      <c r="E726" s="327"/>
      <c r="F726" s="121"/>
      <c r="G726" s="327"/>
      <c r="H726" s="121"/>
      <c r="I726" s="334"/>
      <c r="J726" s="127"/>
      <c r="K726" s="334"/>
      <c r="L726" s="127"/>
      <c r="M726" s="334"/>
      <c r="N726" s="127"/>
      <c r="O726" s="327"/>
      <c r="P726" s="121"/>
      <c r="Q726" s="143"/>
      <c r="R726" s="143"/>
      <c r="S726" s="17"/>
      <c r="T726" s="17"/>
    </row>
    <row r="727">
      <c r="A727" s="327"/>
      <c r="B727" s="121"/>
      <c r="C727" s="327"/>
      <c r="D727" s="127"/>
      <c r="E727" s="327"/>
      <c r="F727" s="121"/>
      <c r="G727" s="327"/>
      <c r="H727" s="121"/>
      <c r="I727" s="334"/>
      <c r="J727" s="127"/>
      <c r="K727" s="334"/>
      <c r="L727" s="127"/>
      <c r="M727" s="334"/>
      <c r="N727" s="127"/>
      <c r="O727" s="327"/>
      <c r="P727" s="121"/>
      <c r="Q727" s="143"/>
      <c r="R727" s="143"/>
      <c r="S727" s="17"/>
      <c r="T727" s="17"/>
    </row>
    <row r="728">
      <c r="A728" s="327"/>
      <c r="B728" s="121"/>
      <c r="C728" s="327"/>
      <c r="D728" s="127"/>
      <c r="E728" s="327"/>
      <c r="F728" s="121"/>
      <c r="G728" s="327"/>
      <c r="H728" s="121"/>
      <c r="I728" s="334"/>
      <c r="J728" s="127"/>
      <c r="K728" s="334"/>
      <c r="L728" s="127"/>
      <c r="M728" s="334"/>
      <c r="N728" s="127"/>
      <c r="O728" s="327"/>
      <c r="P728" s="121"/>
      <c r="Q728" s="143"/>
      <c r="R728" s="143"/>
      <c r="S728" s="17"/>
      <c r="T728" s="17"/>
    </row>
    <row r="729">
      <c r="A729" s="327"/>
      <c r="B729" s="121"/>
      <c r="C729" s="327"/>
      <c r="D729" s="127"/>
      <c r="E729" s="327"/>
      <c r="F729" s="121"/>
      <c r="G729" s="327"/>
      <c r="H729" s="121"/>
      <c r="I729" s="334"/>
      <c r="J729" s="127"/>
      <c r="K729" s="334"/>
      <c r="L729" s="127"/>
      <c r="M729" s="334"/>
      <c r="N729" s="127"/>
      <c r="O729" s="327"/>
      <c r="P729" s="121"/>
      <c r="Q729" s="143"/>
      <c r="R729" s="143"/>
      <c r="S729" s="17"/>
      <c r="T729" s="17"/>
    </row>
    <row r="730">
      <c r="A730" s="327"/>
      <c r="B730" s="121"/>
      <c r="C730" s="327"/>
      <c r="D730" s="127"/>
      <c r="E730" s="327"/>
      <c r="F730" s="121"/>
      <c r="G730" s="327"/>
      <c r="H730" s="121"/>
      <c r="I730" s="334"/>
      <c r="J730" s="127"/>
      <c r="K730" s="334"/>
      <c r="L730" s="127"/>
      <c r="M730" s="334"/>
      <c r="N730" s="127"/>
      <c r="O730" s="327"/>
      <c r="P730" s="121"/>
      <c r="Q730" s="143"/>
      <c r="R730" s="143"/>
      <c r="S730" s="17"/>
      <c r="T730" s="17"/>
    </row>
    <row r="731">
      <c r="A731" s="327"/>
      <c r="B731" s="121"/>
      <c r="C731" s="327"/>
      <c r="D731" s="127"/>
      <c r="E731" s="327"/>
      <c r="F731" s="121"/>
      <c r="G731" s="327"/>
      <c r="H731" s="121"/>
      <c r="I731" s="334"/>
      <c r="J731" s="127"/>
      <c r="K731" s="334"/>
      <c r="L731" s="127"/>
      <c r="M731" s="334"/>
      <c r="N731" s="127"/>
      <c r="O731" s="327"/>
      <c r="P731" s="121"/>
      <c r="Q731" s="143"/>
      <c r="R731" s="143"/>
      <c r="S731" s="17"/>
      <c r="T731" s="17"/>
    </row>
    <row r="732">
      <c r="A732" s="327"/>
      <c r="B732" s="121"/>
      <c r="C732" s="327"/>
      <c r="D732" s="127"/>
      <c r="E732" s="327"/>
      <c r="F732" s="121"/>
      <c r="G732" s="327"/>
      <c r="H732" s="121"/>
      <c r="I732" s="334"/>
      <c r="J732" s="127"/>
      <c r="K732" s="334"/>
      <c r="L732" s="127"/>
      <c r="M732" s="334"/>
      <c r="N732" s="127"/>
      <c r="O732" s="327"/>
      <c r="P732" s="121"/>
      <c r="Q732" s="143"/>
      <c r="R732" s="143"/>
      <c r="S732" s="17"/>
      <c r="T732" s="17"/>
    </row>
    <row r="733">
      <c r="A733" s="327"/>
      <c r="B733" s="121"/>
      <c r="C733" s="327"/>
      <c r="D733" s="127"/>
      <c r="E733" s="327"/>
      <c r="F733" s="121"/>
      <c r="G733" s="327"/>
      <c r="H733" s="121"/>
      <c r="I733" s="334"/>
      <c r="J733" s="127"/>
      <c r="K733" s="334"/>
      <c r="L733" s="127"/>
      <c r="M733" s="334"/>
      <c r="N733" s="127"/>
      <c r="O733" s="327"/>
      <c r="P733" s="121"/>
      <c r="Q733" s="143"/>
      <c r="R733" s="143"/>
      <c r="S733" s="17"/>
      <c r="T733" s="17"/>
    </row>
    <row r="734">
      <c r="A734" s="327"/>
      <c r="B734" s="121"/>
      <c r="C734" s="327"/>
      <c r="D734" s="127"/>
      <c r="E734" s="327"/>
      <c r="F734" s="121"/>
      <c r="G734" s="327"/>
      <c r="H734" s="121"/>
      <c r="I734" s="334"/>
      <c r="J734" s="127"/>
      <c r="K734" s="334"/>
      <c r="L734" s="127"/>
      <c r="M734" s="334"/>
      <c r="N734" s="127"/>
      <c r="O734" s="327"/>
      <c r="P734" s="121"/>
      <c r="Q734" s="143"/>
      <c r="R734" s="143"/>
      <c r="S734" s="17"/>
      <c r="T734" s="17"/>
    </row>
    <row r="735">
      <c r="A735" s="327"/>
      <c r="B735" s="121"/>
      <c r="C735" s="327"/>
      <c r="D735" s="127"/>
      <c r="E735" s="327"/>
      <c r="F735" s="121"/>
      <c r="G735" s="327"/>
      <c r="H735" s="121"/>
      <c r="I735" s="334"/>
      <c r="J735" s="127"/>
      <c r="K735" s="334"/>
      <c r="L735" s="127"/>
      <c r="M735" s="334"/>
      <c r="N735" s="127"/>
      <c r="O735" s="327"/>
      <c r="P735" s="121"/>
      <c r="Q735" s="143"/>
      <c r="R735" s="143"/>
      <c r="S735" s="17"/>
      <c r="T735" s="17"/>
    </row>
    <row r="736">
      <c r="A736" s="327"/>
      <c r="B736" s="121"/>
      <c r="C736" s="327"/>
      <c r="D736" s="127"/>
      <c r="E736" s="327"/>
      <c r="F736" s="121"/>
      <c r="G736" s="327"/>
      <c r="H736" s="121"/>
      <c r="I736" s="334"/>
      <c r="J736" s="127"/>
      <c r="K736" s="334"/>
      <c r="L736" s="127"/>
      <c r="M736" s="334"/>
      <c r="N736" s="127"/>
      <c r="O736" s="327"/>
      <c r="P736" s="121"/>
      <c r="Q736" s="143"/>
      <c r="R736" s="143"/>
      <c r="S736" s="17"/>
      <c r="T736" s="17"/>
    </row>
    <row r="737">
      <c r="A737" s="327"/>
      <c r="B737" s="121"/>
      <c r="C737" s="327"/>
      <c r="D737" s="127"/>
      <c r="E737" s="327"/>
      <c r="F737" s="121"/>
      <c r="G737" s="327"/>
      <c r="H737" s="121"/>
      <c r="I737" s="334"/>
      <c r="J737" s="127"/>
      <c r="K737" s="334"/>
      <c r="L737" s="127"/>
      <c r="M737" s="334"/>
      <c r="N737" s="127"/>
      <c r="O737" s="327"/>
      <c r="P737" s="121"/>
      <c r="Q737" s="143"/>
      <c r="R737" s="143"/>
      <c r="S737" s="17"/>
      <c r="T737" s="17"/>
    </row>
    <row r="738">
      <c r="A738" s="327"/>
      <c r="B738" s="121"/>
      <c r="C738" s="327"/>
      <c r="D738" s="127"/>
      <c r="E738" s="327"/>
      <c r="F738" s="121"/>
      <c r="G738" s="327"/>
      <c r="H738" s="121"/>
      <c r="I738" s="334"/>
      <c r="J738" s="127"/>
      <c r="K738" s="334"/>
      <c r="L738" s="127"/>
      <c r="M738" s="334"/>
      <c r="N738" s="127"/>
      <c r="O738" s="327"/>
      <c r="P738" s="121"/>
      <c r="Q738" s="143"/>
      <c r="R738" s="143"/>
      <c r="S738" s="17"/>
      <c r="T738" s="17"/>
    </row>
    <row r="739">
      <c r="A739" s="327"/>
      <c r="B739" s="121"/>
      <c r="C739" s="327"/>
      <c r="D739" s="127"/>
      <c r="E739" s="327"/>
      <c r="F739" s="121"/>
      <c r="G739" s="327"/>
      <c r="H739" s="121"/>
      <c r="I739" s="334"/>
      <c r="J739" s="127"/>
      <c r="K739" s="334"/>
      <c r="L739" s="127"/>
      <c r="M739" s="334"/>
      <c r="N739" s="127"/>
      <c r="O739" s="327"/>
      <c r="P739" s="121"/>
      <c r="Q739" s="143"/>
      <c r="R739" s="143"/>
      <c r="S739" s="17"/>
      <c r="T739" s="17"/>
    </row>
    <row r="740">
      <c r="A740" s="327"/>
      <c r="B740" s="121"/>
      <c r="C740" s="327"/>
      <c r="D740" s="127"/>
      <c r="E740" s="327"/>
      <c r="F740" s="121"/>
      <c r="G740" s="327"/>
      <c r="H740" s="121"/>
      <c r="I740" s="334"/>
      <c r="J740" s="127"/>
      <c r="K740" s="334"/>
      <c r="L740" s="127"/>
      <c r="M740" s="334"/>
      <c r="N740" s="127"/>
      <c r="O740" s="327"/>
      <c r="P740" s="121"/>
      <c r="Q740" s="143"/>
      <c r="R740" s="143"/>
      <c r="S740" s="17"/>
      <c r="T740" s="17"/>
    </row>
    <row r="741">
      <c r="A741" s="327"/>
      <c r="B741" s="121"/>
      <c r="C741" s="327"/>
      <c r="D741" s="127"/>
      <c r="E741" s="327"/>
      <c r="F741" s="121"/>
      <c r="G741" s="327"/>
      <c r="H741" s="121"/>
      <c r="I741" s="334"/>
      <c r="J741" s="127"/>
      <c r="K741" s="334"/>
      <c r="L741" s="127"/>
      <c r="M741" s="334"/>
      <c r="N741" s="127"/>
      <c r="O741" s="327"/>
      <c r="P741" s="121"/>
      <c r="Q741" s="143"/>
      <c r="R741" s="143"/>
      <c r="S741" s="17"/>
      <c r="T741" s="17"/>
    </row>
    <row r="742">
      <c r="A742" s="327"/>
      <c r="B742" s="121"/>
      <c r="C742" s="327"/>
      <c r="D742" s="127"/>
      <c r="E742" s="327"/>
      <c r="F742" s="121"/>
      <c r="G742" s="327"/>
      <c r="H742" s="121"/>
      <c r="I742" s="334"/>
      <c r="J742" s="127"/>
      <c r="K742" s="334"/>
      <c r="L742" s="127"/>
      <c r="M742" s="334"/>
      <c r="N742" s="127"/>
      <c r="O742" s="327"/>
      <c r="P742" s="121"/>
      <c r="Q742" s="143"/>
      <c r="R742" s="143"/>
      <c r="S742" s="17"/>
      <c r="T742" s="17"/>
    </row>
    <row r="743">
      <c r="A743" s="327"/>
      <c r="B743" s="121"/>
      <c r="C743" s="327"/>
      <c r="D743" s="127"/>
      <c r="E743" s="327"/>
      <c r="F743" s="121"/>
      <c r="G743" s="327"/>
      <c r="H743" s="121"/>
      <c r="I743" s="334"/>
      <c r="J743" s="127"/>
      <c r="K743" s="334"/>
      <c r="L743" s="127"/>
      <c r="M743" s="334"/>
      <c r="N743" s="127"/>
      <c r="O743" s="327"/>
      <c r="P743" s="121"/>
      <c r="Q743" s="143"/>
      <c r="R743" s="143"/>
      <c r="S743" s="17"/>
      <c r="T743" s="17"/>
    </row>
    <row r="744">
      <c r="A744" s="327"/>
      <c r="B744" s="121"/>
      <c r="C744" s="327"/>
      <c r="D744" s="127"/>
      <c r="E744" s="327"/>
      <c r="F744" s="121"/>
      <c r="G744" s="327"/>
      <c r="H744" s="121"/>
      <c r="I744" s="334"/>
      <c r="J744" s="127"/>
      <c r="K744" s="334"/>
      <c r="L744" s="127"/>
      <c r="M744" s="334"/>
      <c r="N744" s="127"/>
      <c r="O744" s="327"/>
      <c r="P744" s="121"/>
      <c r="Q744" s="143"/>
      <c r="R744" s="143"/>
      <c r="S744" s="17"/>
      <c r="T744" s="17"/>
    </row>
    <row r="745">
      <c r="A745" s="327"/>
      <c r="B745" s="121"/>
      <c r="C745" s="327"/>
      <c r="D745" s="127"/>
      <c r="E745" s="327"/>
      <c r="F745" s="121"/>
      <c r="G745" s="327"/>
      <c r="H745" s="121"/>
      <c r="I745" s="334"/>
      <c r="J745" s="127"/>
      <c r="K745" s="334"/>
      <c r="L745" s="127"/>
      <c r="M745" s="334"/>
      <c r="N745" s="127"/>
      <c r="O745" s="327"/>
      <c r="P745" s="121"/>
      <c r="Q745" s="143"/>
      <c r="R745" s="143"/>
      <c r="S745" s="17"/>
      <c r="T745" s="17"/>
    </row>
    <row r="746">
      <c r="A746" s="327"/>
      <c r="B746" s="121"/>
      <c r="C746" s="327"/>
      <c r="D746" s="127"/>
      <c r="E746" s="327"/>
      <c r="F746" s="121"/>
      <c r="G746" s="327"/>
      <c r="H746" s="121"/>
      <c r="I746" s="334"/>
      <c r="J746" s="127"/>
      <c r="K746" s="334"/>
      <c r="L746" s="127"/>
      <c r="M746" s="334"/>
      <c r="N746" s="127"/>
      <c r="O746" s="327"/>
      <c r="P746" s="121"/>
      <c r="Q746" s="143"/>
      <c r="R746" s="143"/>
      <c r="S746" s="17"/>
      <c r="T746" s="17"/>
    </row>
    <row r="747">
      <c r="A747" s="327"/>
      <c r="B747" s="121"/>
      <c r="C747" s="327"/>
      <c r="D747" s="127"/>
      <c r="E747" s="327"/>
      <c r="F747" s="121"/>
      <c r="G747" s="327"/>
      <c r="H747" s="121"/>
      <c r="I747" s="334"/>
      <c r="J747" s="127"/>
      <c r="K747" s="334"/>
      <c r="L747" s="127"/>
      <c r="M747" s="334"/>
      <c r="N747" s="127"/>
      <c r="O747" s="327"/>
      <c r="P747" s="121"/>
      <c r="Q747" s="143"/>
      <c r="R747" s="143"/>
      <c r="S747" s="17"/>
      <c r="T747" s="17"/>
    </row>
    <row r="748">
      <c r="A748" s="327"/>
      <c r="B748" s="121"/>
      <c r="C748" s="327"/>
      <c r="D748" s="127"/>
      <c r="E748" s="327"/>
      <c r="F748" s="121"/>
      <c r="G748" s="327"/>
      <c r="H748" s="121"/>
      <c r="I748" s="334"/>
      <c r="J748" s="127"/>
      <c r="K748" s="334"/>
      <c r="L748" s="127"/>
      <c r="M748" s="334"/>
      <c r="N748" s="127"/>
      <c r="O748" s="327"/>
      <c r="P748" s="121"/>
      <c r="Q748" s="143"/>
      <c r="R748" s="143"/>
      <c r="S748" s="17"/>
      <c r="T748" s="17"/>
    </row>
    <row r="749">
      <c r="A749" s="327"/>
      <c r="B749" s="121"/>
      <c r="C749" s="327"/>
      <c r="D749" s="127"/>
      <c r="E749" s="327"/>
      <c r="F749" s="121"/>
      <c r="G749" s="327"/>
      <c r="H749" s="121"/>
      <c r="I749" s="334"/>
      <c r="J749" s="127"/>
      <c r="K749" s="334"/>
      <c r="L749" s="127"/>
      <c r="M749" s="334"/>
      <c r="N749" s="127"/>
      <c r="O749" s="327"/>
      <c r="P749" s="121"/>
      <c r="Q749" s="143"/>
      <c r="R749" s="143"/>
      <c r="S749" s="17"/>
      <c r="T749" s="17"/>
    </row>
    <row r="750">
      <c r="A750" s="327"/>
      <c r="B750" s="121"/>
      <c r="C750" s="327"/>
      <c r="D750" s="127"/>
      <c r="E750" s="327"/>
      <c r="F750" s="121"/>
      <c r="G750" s="327"/>
      <c r="H750" s="121"/>
      <c r="I750" s="334"/>
      <c r="J750" s="127"/>
      <c r="K750" s="334"/>
      <c r="L750" s="127"/>
      <c r="M750" s="334"/>
      <c r="N750" s="127"/>
      <c r="O750" s="327"/>
      <c r="P750" s="121"/>
      <c r="Q750" s="143"/>
      <c r="R750" s="143"/>
      <c r="S750" s="17"/>
      <c r="T750" s="17"/>
    </row>
    <row r="751">
      <c r="A751" s="327"/>
      <c r="B751" s="121"/>
      <c r="C751" s="327"/>
      <c r="D751" s="127"/>
      <c r="E751" s="327"/>
      <c r="F751" s="121"/>
      <c r="G751" s="327"/>
      <c r="H751" s="121"/>
      <c r="I751" s="334"/>
      <c r="J751" s="127"/>
      <c r="K751" s="334"/>
      <c r="L751" s="127"/>
      <c r="M751" s="334"/>
      <c r="N751" s="127"/>
      <c r="O751" s="327"/>
      <c r="P751" s="121"/>
      <c r="Q751" s="143"/>
      <c r="R751" s="143"/>
      <c r="S751" s="17"/>
      <c r="T751" s="17"/>
    </row>
    <row r="752">
      <c r="A752" s="327"/>
      <c r="B752" s="121"/>
      <c r="C752" s="327"/>
      <c r="D752" s="127"/>
      <c r="E752" s="327"/>
      <c r="F752" s="121"/>
      <c r="G752" s="327"/>
      <c r="H752" s="121"/>
      <c r="I752" s="334"/>
      <c r="J752" s="127"/>
      <c r="K752" s="334"/>
      <c r="L752" s="127"/>
      <c r="M752" s="334"/>
      <c r="N752" s="127"/>
      <c r="O752" s="327"/>
      <c r="P752" s="121"/>
      <c r="Q752" s="143"/>
      <c r="R752" s="143"/>
      <c r="S752" s="17"/>
      <c r="T752" s="17"/>
    </row>
    <row r="753">
      <c r="A753" s="327"/>
      <c r="B753" s="121"/>
      <c r="C753" s="327"/>
      <c r="D753" s="127"/>
      <c r="E753" s="327"/>
      <c r="F753" s="121"/>
      <c r="G753" s="327"/>
      <c r="H753" s="121"/>
      <c r="I753" s="334"/>
      <c r="J753" s="127"/>
      <c r="K753" s="334"/>
      <c r="L753" s="127"/>
      <c r="M753" s="334"/>
      <c r="N753" s="127"/>
      <c r="O753" s="327"/>
      <c r="P753" s="121"/>
      <c r="Q753" s="143"/>
      <c r="R753" s="143"/>
      <c r="S753" s="17"/>
      <c r="T753" s="17"/>
    </row>
    <row r="754">
      <c r="A754" s="327"/>
      <c r="B754" s="121"/>
      <c r="C754" s="327"/>
      <c r="D754" s="127"/>
      <c r="E754" s="327"/>
      <c r="F754" s="121"/>
      <c r="G754" s="327"/>
      <c r="H754" s="121"/>
      <c r="I754" s="334"/>
      <c r="J754" s="127"/>
      <c r="K754" s="334"/>
      <c r="L754" s="127"/>
      <c r="M754" s="334"/>
      <c r="N754" s="127"/>
      <c r="O754" s="327"/>
      <c r="P754" s="121"/>
      <c r="Q754" s="143"/>
      <c r="R754" s="143"/>
      <c r="S754" s="17"/>
      <c r="T754" s="17"/>
    </row>
    <row r="755">
      <c r="A755" s="327"/>
      <c r="B755" s="121"/>
      <c r="C755" s="327"/>
      <c r="D755" s="127"/>
      <c r="E755" s="327"/>
      <c r="F755" s="121"/>
      <c r="G755" s="327"/>
      <c r="H755" s="121"/>
      <c r="I755" s="334"/>
      <c r="J755" s="127"/>
      <c r="K755" s="334"/>
      <c r="L755" s="127"/>
      <c r="M755" s="334"/>
      <c r="N755" s="127"/>
      <c r="O755" s="327"/>
      <c r="P755" s="121"/>
      <c r="Q755" s="143"/>
      <c r="R755" s="143"/>
      <c r="S755" s="17"/>
      <c r="T755" s="17"/>
    </row>
    <row r="756">
      <c r="A756" s="327"/>
      <c r="B756" s="121"/>
      <c r="C756" s="327"/>
      <c r="D756" s="127"/>
      <c r="E756" s="327"/>
      <c r="F756" s="121"/>
      <c r="G756" s="327"/>
      <c r="H756" s="121"/>
      <c r="I756" s="334"/>
      <c r="J756" s="127"/>
      <c r="K756" s="334"/>
      <c r="L756" s="127"/>
      <c r="M756" s="334"/>
      <c r="N756" s="127"/>
      <c r="O756" s="327"/>
      <c r="P756" s="121"/>
      <c r="Q756" s="143"/>
      <c r="R756" s="143"/>
      <c r="S756" s="17"/>
      <c r="T756" s="17"/>
    </row>
    <row r="757">
      <c r="A757" s="327"/>
      <c r="B757" s="121"/>
      <c r="C757" s="327"/>
      <c r="D757" s="127"/>
      <c r="E757" s="327"/>
      <c r="F757" s="121"/>
      <c r="G757" s="327"/>
      <c r="H757" s="121"/>
      <c r="I757" s="334"/>
      <c r="J757" s="127"/>
      <c r="K757" s="334"/>
      <c r="L757" s="127"/>
      <c r="M757" s="334"/>
      <c r="N757" s="127"/>
      <c r="O757" s="327"/>
      <c r="P757" s="121"/>
      <c r="Q757" s="143"/>
      <c r="R757" s="143"/>
      <c r="S757" s="17"/>
      <c r="T757" s="17"/>
    </row>
    <row r="758">
      <c r="A758" s="327"/>
      <c r="B758" s="121"/>
      <c r="C758" s="327"/>
      <c r="D758" s="127"/>
      <c r="E758" s="327"/>
      <c r="F758" s="121"/>
      <c r="G758" s="327"/>
      <c r="H758" s="121"/>
      <c r="I758" s="334"/>
      <c r="J758" s="127"/>
      <c r="K758" s="334"/>
      <c r="L758" s="127"/>
      <c r="M758" s="334"/>
      <c r="N758" s="127"/>
      <c r="O758" s="327"/>
      <c r="P758" s="121"/>
      <c r="Q758" s="143"/>
      <c r="R758" s="143"/>
      <c r="S758" s="17"/>
      <c r="T758" s="17"/>
    </row>
    <row r="759">
      <c r="A759" s="327"/>
      <c r="B759" s="121"/>
      <c r="C759" s="327"/>
      <c r="D759" s="127"/>
      <c r="E759" s="327"/>
      <c r="F759" s="121"/>
      <c r="G759" s="327"/>
      <c r="H759" s="121"/>
      <c r="I759" s="334"/>
      <c r="J759" s="127"/>
      <c r="K759" s="334"/>
      <c r="L759" s="127"/>
      <c r="M759" s="334"/>
      <c r="N759" s="127"/>
      <c r="O759" s="327"/>
      <c r="P759" s="121"/>
      <c r="Q759" s="143"/>
      <c r="R759" s="143"/>
      <c r="S759" s="17"/>
      <c r="T759" s="17"/>
    </row>
    <row r="760">
      <c r="A760" s="327"/>
      <c r="B760" s="121"/>
      <c r="C760" s="327"/>
      <c r="D760" s="127"/>
      <c r="E760" s="327"/>
      <c r="F760" s="121"/>
      <c r="G760" s="327"/>
      <c r="H760" s="121"/>
      <c r="I760" s="334"/>
      <c r="J760" s="127"/>
      <c r="K760" s="334"/>
      <c r="L760" s="127"/>
      <c r="M760" s="334"/>
      <c r="N760" s="127"/>
      <c r="O760" s="327"/>
      <c r="P760" s="121"/>
      <c r="Q760" s="143"/>
      <c r="R760" s="143"/>
      <c r="S760" s="17"/>
      <c r="T760" s="17"/>
    </row>
    <row r="761">
      <c r="A761" s="327"/>
      <c r="B761" s="121"/>
      <c r="C761" s="327"/>
      <c r="D761" s="127"/>
      <c r="E761" s="327"/>
      <c r="F761" s="121"/>
      <c r="G761" s="327"/>
      <c r="H761" s="121"/>
      <c r="I761" s="334"/>
      <c r="J761" s="127"/>
      <c r="K761" s="334"/>
      <c r="L761" s="127"/>
      <c r="M761" s="334"/>
      <c r="N761" s="127"/>
      <c r="O761" s="327"/>
      <c r="P761" s="121"/>
      <c r="Q761" s="143"/>
      <c r="R761" s="143"/>
      <c r="S761" s="17"/>
      <c r="T761" s="17"/>
    </row>
    <row r="762">
      <c r="A762" s="327"/>
      <c r="B762" s="121"/>
      <c r="C762" s="327"/>
      <c r="D762" s="127"/>
      <c r="E762" s="327"/>
      <c r="F762" s="121"/>
      <c r="G762" s="327"/>
      <c r="H762" s="121"/>
      <c r="I762" s="334"/>
      <c r="J762" s="127"/>
      <c r="K762" s="334"/>
      <c r="L762" s="127"/>
      <c r="M762" s="334"/>
      <c r="N762" s="127"/>
      <c r="O762" s="327"/>
      <c r="P762" s="121"/>
      <c r="Q762" s="143"/>
      <c r="R762" s="143"/>
      <c r="S762" s="17"/>
      <c r="T762" s="17"/>
    </row>
    <row r="763">
      <c r="A763" s="327"/>
      <c r="B763" s="121"/>
      <c r="C763" s="327"/>
      <c r="D763" s="127"/>
      <c r="E763" s="327"/>
      <c r="F763" s="121"/>
      <c r="G763" s="327"/>
      <c r="H763" s="121"/>
      <c r="I763" s="334"/>
      <c r="J763" s="127"/>
      <c r="K763" s="334"/>
      <c r="L763" s="127"/>
      <c r="M763" s="334"/>
      <c r="N763" s="127"/>
      <c r="O763" s="327"/>
      <c r="P763" s="121"/>
      <c r="Q763" s="143"/>
      <c r="R763" s="143"/>
      <c r="S763" s="17"/>
      <c r="T763" s="17"/>
    </row>
    <row r="764">
      <c r="A764" s="327"/>
      <c r="B764" s="121"/>
      <c r="C764" s="327"/>
      <c r="D764" s="127"/>
      <c r="E764" s="327"/>
      <c r="F764" s="121"/>
      <c r="G764" s="327"/>
      <c r="H764" s="121"/>
      <c r="I764" s="334"/>
      <c r="J764" s="127"/>
      <c r="K764" s="334"/>
      <c r="L764" s="127"/>
      <c r="M764" s="334"/>
      <c r="N764" s="127"/>
      <c r="O764" s="327"/>
      <c r="P764" s="121"/>
      <c r="Q764" s="143"/>
      <c r="R764" s="143"/>
      <c r="S764" s="17"/>
      <c r="T764" s="17"/>
    </row>
    <row r="765">
      <c r="A765" s="327"/>
      <c r="B765" s="121"/>
      <c r="C765" s="327"/>
      <c r="D765" s="127"/>
      <c r="E765" s="327"/>
      <c r="F765" s="121"/>
      <c r="G765" s="327"/>
      <c r="H765" s="121"/>
      <c r="I765" s="334"/>
      <c r="J765" s="127"/>
      <c r="K765" s="334"/>
      <c r="L765" s="127"/>
      <c r="M765" s="334"/>
      <c r="N765" s="127"/>
      <c r="O765" s="327"/>
      <c r="P765" s="121"/>
      <c r="Q765" s="143"/>
      <c r="R765" s="143"/>
      <c r="S765" s="17"/>
      <c r="T765" s="17"/>
    </row>
    <row r="766">
      <c r="A766" s="327"/>
      <c r="B766" s="121"/>
      <c r="C766" s="327"/>
      <c r="D766" s="127"/>
      <c r="E766" s="327"/>
      <c r="F766" s="121"/>
      <c r="G766" s="327"/>
      <c r="H766" s="121"/>
      <c r="I766" s="334"/>
      <c r="J766" s="127"/>
      <c r="K766" s="334"/>
      <c r="L766" s="127"/>
      <c r="M766" s="334"/>
      <c r="N766" s="127"/>
      <c r="O766" s="327"/>
      <c r="P766" s="121"/>
      <c r="Q766" s="143"/>
      <c r="R766" s="143"/>
      <c r="S766" s="17"/>
      <c r="T766" s="17"/>
    </row>
    <row r="767">
      <c r="A767" s="327"/>
      <c r="B767" s="121"/>
      <c r="C767" s="327"/>
      <c r="D767" s="127"/>
      <c r="E767" s="327"/>
      <c r="F767" s="121"/>
      <c r="G767" s="327"/>
      <c r="H767" s="121"/>
      <c r="I767" s="334"/>
      <c r="J767" s="127"/>
      <c r="K767" s="334"/>
      <c r="L767" s="127"/>
      <c r="M767" s="334"/>
      <c r="N767" s="127"/>
      <c r="O767" s="327"/>
      <c r="P767" s="121"/>
      <c r="Q767" s="143"/>
      <c r="R767" s="143"/>
      <c r="S767" s="17"/>
      <c r="T767" s="17"/>
    </row>
    <row r="768">
      <c r="A768" s="327"/>
      <c r="B768" s="121"/>
      <c r="C768" s="327"/>
      <c r="D768" s="127"/>
      <c r="E768" s="327"/>
      <c r="F768" s="121"/>
      <c r="G768" s="327"/>
      <c r="H768" s="121"/>
      <c r="I768" s="334"/>
      <c r="J768" s="127"/>
      <c r="K768" s="334"/>
      <c r="L768" s="127"/>
      <c r="M768" s="334"/>
      <c r="N768" s="127"/>
      <c r="O768" s="327"/>
      <c r="P768" s="121"/>
      <c r="Q768" s="143"/>
      <c r="R768" s="143"/>
      <c r="S768" s="17"/>
      <c r="T768" s="17"/>
    </row>
    <row r="769">
      <c r="A769" s="327"/>
      <c r="B769" s="121"/>
      <c r="C769" s="327"/>
      <c r="D769" s="127"/>
      <c r="E769" s="327"/>
      <c r="F769" s="121"/>
      <c r="G769" s="327"/>
      <c r="H769" s="121"/>
      <c r="I769" s="334"/>
      <c r="J769" s="127"/>
      <c r="K769" s="334"/>
      <c r="L769" s="127"/>
      <c r="M769" s="334"/>
      <c r="N769" s="127"/>
      <c r="O769" s="327"/>
      <c r="P769" s="121"/>
      <c r="Q769" s="143"/>
      <c r="R769" s="143"/>
      <c r="S769" s="17"/>
      <c r="T769" s="17"/>
    </row>
    <row r="770">
      <c r="A770" s="327"/>
      <c r="B770" s="121"/>
      <c r="C770" s="327"/>
      <c r="D770" s="127"/>
      <c r="E770" s="327"/>
      <c r="F770" s="121"/>
      <c r="G770" s="327"/>
      <c r="H770" s="121"/>
      <c r="I770" s="334"/>
      <c r="J770" s="127"/>
      <c r="K770" s="334"/>
      <c r="L770" s="127"/>
      <c r="M770" s="334"/>
      <c r="N770" s="127"/>
      <c r="O770" s="327"/>
      <c r="P770" s="121"/>
      <c r="Q770" s="143"/>
      <c r="R770" s="143"/>
      <c r="S770" s="17"/>
      <c r="T770" s="17"/>
    </row>
    <row r="771">
      <c r="A771" s="327"/>
      <c r="B771" s="121"/>
      <c r="C771" s="327"/>
      <c r="D771" s="127"/>
      <c r="E771" s="327"/>
      <c r="F771" s="121"/>
      <c r="G771" s="327"/>
      <c r="H771" s="121"/>
      <c r="I771" s="334"/>
      <c r="J771" s="127"/>
      <c r="K771" s="334"/>
      <c r="L771" s="127"/>
      <c r="M771" s="334"/>
      <c r="N771" s="127"/>
      <c r="O771" s="327"/>
      <c r="P771" s="121"/>
      <c r="Q771" s="143"/>
      <c r="R771" s="143"/>
      <c r="S771" s="17"/>
      <c r="T771" s="17"/>
    </row>
    <row r="772">
      <c r="A772" s="327"/>
      <c r="B772" s="121"/>
      <c r="C772" s="327"/>
      <c r="D772" s="127"/>
      <c r="E772" s="327"/>
      <c r="F772" s="121"/>
      <c r="G772" s="327"/>
      <c r="H772" s="121"/>
      <c r="I772" s="334"/>
      <c r="J772" s="127"/>
      <c r="K772" s="334"/>
      <c r="L772" s="127"/>
      <c r="M772" s="334"/>
      <c r="N772" s="127"/>
      <c r="O772" s="327"/>
      <c r="P772" s="121"/>
      <c r="Q772" s="143"/>
      <c r="R772" s="143"/>
      <c r="S772" s="17"/>
      <c r="T772" s="17"/>
    </row>
    <row r="773">
      <c r="A773" s="327"/>
      <c r="B773" s="121"/>
      <c r="C773" s="327"/>
      <c r="D773" s="127"/>
      <c r="E773" s="327"/>
      <c r="F773" s="121"/>
      <c r="G773" s="327"/>
      <c r="H773" s="121"/>
      <c r="I773" s="334"/>
      <c r="J773" s="127"/>
      <c r="K773" s="334"/>
      <c r="L773" s="127"/>
      <c r="M773" s="334"/>
      <c r="N773" s="127"/>
      <c r="O773" s="327"/>
      <c r="P773" s="121"/>
      <c r="Q773" s="143"/>
      <c r="R773" s="143"/>
      <c r="S773" s="17"/>
      <c r="T773" s="17"/>
    </row>
    <row r="774">
      <c r="A774" s="327"/>
      <c r="B774" s="121"/>
      <c r="C774" s="327"/>
      <c r="D774" s="127"/>
      <c r="E774" s="327"/>
      <c r="F774" s="121"/>
      <c r="G774" s="327"/>
      <c r="H774" s="121"/>
      <c r="I774" s="334"/>
      <c r="J774" s="127"/>
      <c r="K774" s="334"/>
      <c r="L774" s="127"/>
      <c r="M774" s="334"/>
      <c r="N774" s="127"/>
      <c r="O774" s="327"/>
      <c r="P774" s="121"/>
      <c r="Q774" s="143"/>
      <c r="R774" s="143"/>
      <c r="S774" s="17"/>
      <c r="T774" s="17"/>
    </row>
    <row r="775">
      <c r="A775" s="327"/>
      <c r="B775" s="121"/>
      <c r="C775" s="327"/>
      <c r="D775" s="127"/>
      <c r="E775" s="327"/>
      <c r="F775" s="121"/>
      <c r="G775" s="327"/>
      <c r="H775" s="121"/>
      <c r="I775" s="334"/>
      <c r="J775" s="127"/>
      <c r="K775" s="334"/>
      <c r="L775" s="127"/>
      <c r="M775" s="334"/>
      <c r="N775" s="127"/>
      <c r="O775" s="327"/>
      <c r="P775" s="121"/>
      <c r="Q775" s="143"/>
      <c r="R775" s="143"/>
      <c r="S775" s="17"/>
      <c r="T775" s="17"/>
    </row>
    <row r="776">
      <c r="A776" s="327"/>
      <c r="B776" s="121"/>
      <c r="C776" s="327"/>
      <c r="D776" s="127"/>
      <c r="E776" s="327"/>
      <c r="F776" s="121"/>
      <c r="G776" s="327"/>
      <c r="H776" s="121"/>
      <c r="I776" s="334"/>
      <c r="J776" s="127"/>
      <c r="K776" s="334"/>
      <c r="L776" s="127"/>
      <c r="M776" s="334"/>
      <c r="N776" s="127"/>
      <c r="O776" s="327"/>
      <c r="P776" s="121"/>
      <c r="Q776" s="143"/>
      <c r="R776" s="143"/>
      <c r="S776" s="17"/>
      <c r="T776" s="17"/>
    </row>
    <row r="777">
      <c r="A777" s="327"/>
      <c r="B777" s="121"/>
      <c r="C777" s="327"/>
      <c r="D777" s="127"/>
      <c r="E777" s="327"/>
      <c r="F777" s="121"/>
      <c r="G777" s="327"/>
      <c r="H777" s="121"/>
      <c r="I777" s="334"/>
      <c r="J777" s="127"/>
      <c r="K777" s="334"/>
      <c r="L777" s="127"/>
      <c r="M777" s="334"/>
      <c r="N777" s="127"/>
      <c r="O777" s="327"/>
      <c r="P777" s="121"/>
      <c r="Q777" s="143"/>
      <c r="R777" s="143"/>
      <c r="S777" s="17"/>
      <c r="T777" s="17"/>
    </row>
    <row r="778">
      <c r="A778" s="327"/>
      <c r="B778" s="121"/>
      <c r="C778" s="327"/>
      <c r="D778" s="127"/>
      <c r="E778" s="327"/>
      <c r="F778" s="121"/>
      <c r="G778" s="327"/>
      <c r="H778" s="121"/>
      <c r="I778" s="334"/>
      <c r="J778" s="127"/>
      <c r="K778" s="334"/>
      <c r="L778" s="127"/>
      <c r="M778" s="334"/>
      <c r="N778" s="127"/>
      <c r="O778" s="327"/>
      <c r="P778" s="121"/>
      <c r="Q778" s="143"/>
      <c r="R778" s="143"/>
      <c r="S778" s="17"/>
      <c r="T778" s="17"/>
    </row>
    <row r="779">
      <c r="A779" s="327"/>
      <c r="B779" s="121"/>
      <c r="C779" s="327"/>
      <c r="D779" s="127"/>
      <c r="E779" s="327"/>
      <c r="F779" s="121"/>
      <c r="G779" s="327"/>
      <c r="H779" s="121"/>
      <c r="I779" s="334"/>
      <c r="J779" s="127"/>
      <c r="K779" s="334"/>
      <c r="L779" s="127"/>
      <c r="M779" s="334"/>
      <c r="N779" s="127"/>
      <c r="O779" s="327"/>
      <c r="P779" s="121"/>
      <c r="Q779" s="143"/>
      <c r="R779" s="143"/>
      <c r="S779" s="17"/>
      <c r="T779" s="17"/>
    </row>
    <row r="780">
      <c r="A780" s="327"/>
      <c r="B780" s="121"/>
      <c r="C780" s="327"/>
      <c r="D780" s="127"/>
      <c r="E780" s="327"/>
      <c r="F780" s="121"/>
      <c r="G780" s="327"/>
      <c r="H780" s="121"/>
      <c r="I780" s="334"/>
      <c r="J780" s="127"/>
      <c r="K780" s="334"/>
      <c r="L780" s="127"/>
      <c r="M780" s="334"/>
      <c r="N780" s="127"/>
      <c r="O780" s="327"/>
      <c r="P780" s="121"/>
      <c r="Q780" s="143"/>
      <c r="R780" s="143"/>
      <c r="S780" s="17"/>
      <c r="T780" s="17"/>
    </row>
    <row r="781">
      <c r="A781" s="327"/>
      <c r="B781" s="121"/>
      <c r="C781" s="327"/>
      <c r="D781" s="127"/>
      <c r="E781" s="327"/>
      <c r="F781" s="121"/>
      <c r="G781" s="327"/>
      <c r="H781" s="121"/>
      <c r="I781" s="334"/>
      <c r="J781" s="127"/>
      <c r="K781" s="334"/>
      <c r="L781" s="127"/>
      <c r="M781" s="334"/>
      <c r="N781" s="127"/>
      <c r="O781" s="327"/>
      <c r="P781" s="121"/>
      <c r="Q781" s="143"/>
      <c r="R781" s="143"/>
      <c r="S781" s="17"/>
      <c r="T781" s="17"/>
    </row>
    <row r="782">
      <c r="A782" s="327"/>
      <c r="B782" s="121"/>
      <c r="C782" s="327"/>
      <c r="D782" s="127"/>
      <c r="E782" s="327"/>
      <c r="F782" s="121"/>
      <c r="G782" s="327"/>
      <c r="H782" s="121"/>
      <c r="I782" s="334"/>
      <c r="J782" s="127"/>
      <c r="K782" s="334"/>
      <c r="L782" s="127"/>
      <c r="M782" s="334"/>
      <c r="N782" s="127"/>
      <c r="O782" s="327"/>
      <c r="P782" s="121"/>
      <c r="Q782" s="143"/>
      <c r="R782" s="143"/>
      <c r="S782" s="17"/>
      <c r="T782" s="17"/>
    </row>
    <row r="783">
      <c r="A783" s="327"/>
      <c r="B783" s="121"/>
      <c r="C783" s="327"/>
      <c r="D783" s="127"/>
      <c r="E783" s="327"/>
      <c r="F783" s="121"/>
      <c r="G783" s="327"/>
      <c r="H783" s="121"/>
      <c r="I783" s="334"/>
      <c r="J783" s="127"/>
      <c r="K783" s="334"/>
      <c r="L783" s="127"/>
      <c r="M783" s="334"/>
      <c r="N783" s="127"/>
      <c r="O783" s="327"/>
      <c r="P783" s="121"/>
      <c r="Q783" s="143"/>
      <c r="R783" s="143"/>
      <c r="S783" s="17"/>
      <c r="T783" s="17"/>
    </row>
    <row r="784">
      <c r="A784" s="327"/>
      <c r="B784" s="121"/>
      <c r="C784" s="327"/>
      <c r="D784" s="127"/>
      <c r="E784" s="327"/>
      <c r="F784" s="121"/>
      <c r="G784" s="327"/>
      <c r="H784" s="121"/>
      <c r="I784" s="334"/>
      <c r="J784" s="127"/>
      <c r="K784" s="334"/>
      <c r="L784" s="127"/>
      <c r="M784" s="334"/>
      <c r="N784" s="127"/>
      <c r="O784" s="327"/>
      <c r="P784" s="121"/>
      <c r="Q784" s="143"/>
      <c r="R784" s="143"/>
      <c r="S784" s="17"/>
      <c r="T784" s="17"/>
    </row>
    <row r="785">
      <c r="A785" s="327"/>
      <c r="B785" s="121"/>
      <c r="C785" s="327"/>
      <c r="D785" s="127"/>
      <c r="E785" s="327"/>
      <c r="F785" s="121"/>
      <c r="G785" s="327"/>
      <c r="H785" s="121"/>
      <c r="I785" s="334"/>
      <c r="J785" s="127"/>
      <c r="K785" s="334"/>
      <c r="L785" s="127"/>
      <c r="M785" s="334"/>
      <c r="N785" s="127"/>
      <c r="O785" s="327"/>
      <c r="P785" s="121"/>
      <c r="Q785" s="143"/>
      <c r="R785" s="143"/>
      <c r="S785" s="17"/>
      <c r="T785" s="17"/>
    </row>
    <row r="786">
      <c r="A786" s="327"/>
      <c r="B786" s="121"/>
      <c r="C786" s="327"/>
      <c r="D786" s="127"/>
      <c r="E786" s="327"/>
      <c r="F786" s="121"/>
      <c r="G786" s="327"/>
      <c r="H786" s="121"/>
      <c r="I786" s="334"/>
      <c r="J786" s="127"/>
      <c r="K786" s="334"/>
      <c r="L786" s="127"/>
      <c r="M786" s="334"/>
      <c r="N786" s="127"/>
      <c r="O786" s="327"/>
      <c r="P786" s="121"/>
      <c r="Q786" s="143"/>
      <c r="R786" s="143"/>
      <c r="S786" s="17"/>
      <c r="T786" s="17"/>
    </row>
    <row r="787">
      <c r="A787" s="327"/>
      <c r="B787" s="121"/>
      <c r="C787" s="327"/>
      <c r="D787" s="127"/>
      <c r="E787" s="327"/>
      <c r="F787" s="121"/>
      <c r="G787" s="327"/>
      <c r="H787" s="121"/>
      <c r="I787" s="334"/>
      <c r="J787" s="127"/>
      <c r="K787" s="334"/>
      <c r="L787" s="127"/>
      <c r="M787" s="334"/>
      <c r="N787" s="127"/>
      <c r="O787" s="327"/>
      <c r="P787" s="121"/>
      <c r="Q787" s="143"/>
      <c r="R787" s="143"/>
      <c r="S787" s="17"/>
      <c r="T787" s="17"/>
    </row>
    <row r="788">
      <c r="A788" s="327"/>
      <c r="B788" s="121"/>
      <c r="C788" s="327"/>
      <c r="D788" s="127"/>
      <c r="E788" s="327"/>
      <c r="F788" s="121"/>
      <c r="G788" s="327"/>
      <c r="H788" s="121"/>
      <c r="I788" s="334"/>
      <c r="J788" s="127"/>
      <c r="K788" s="334"/>
      <c r="L788" s="127"/>
      <c r="M788" s="334"/>
      <c r="N788" s="127"/>
      <c r="O788" s="327"/>
      <c r="P788" s="121"/>
      <c r="Q788" s="143"/>
      <c r="R788" s="143"/>
      <c r="S788" s="17"/>
      <c r="T788" s="17"/>
    </row>
    <row r="789">
      <c r="A789" s="327"/>
      <c r="B789" s="121"/>
      <c r="C789" s="327"/>
      <c r="D789" s="127"/>
      <c r="E789" s="327"/>
      <c r="F789" s="121"/>
      <c r="G789" s="327"/>
      <c r="H789" s="121"/>
      <c r="I789" s="334"/>
      <c r="J789" s="127"/>
      <c r="K789" s="334"/>
      <c r="L789" s="127"/>
      <c r="M789" s="334"/>
      <c r="N789" s="127"/>
      <c r="O789" s="327"/>
      <c r="P789" s="121"/>
      <c r="Q789" s="143"/>
      <c r="R789" s="143"/>
      <c r="S789" s="17"/>
      <c r="T789" s="17"/>
    </row>
    <row r="790">
      <c r="A790" s="327"/>
      <c r="B790" s="121"/>
      <c r="C790" s="327"/>
      <c r="D790" s="127"/>
      <c r="E790" s="327"/>
      <c r="F790" s="121"/>
      <c r="G790" s="327"/>
      <c r="H790" s="121"/>
      <c r="I790" s="334"/>
      <c r="J790" s="127"/>
      <c r="K790" s="334"/>
      <c r="L790" s="127"/>
      <c r="M790" s="334"/>
      <c r="N790" s="127"/>
      <c r="O790" s="327"/>
      <c r="P790" s="121"/>
      <c r="Q790" s="143"/>
      <c r="R790" s="143"/>
      <c r="S790" s="17"/>
      <c r="T790" s="17"/>
    </row>
    <row r="791">
      <c r="A791" s="327"/>
      <c r="B791" s="121"/>
      <c r="C791" s="327"/>
      <c r="D791" s="127"/>
      <c r="E791" s="327"/>
      <c r="F791" s="121"/>
      <c r="G791" s="327"/>
      <c r="H791" s="121"/>
      <c r="I791" s="334"/>
      <c r="J791" s="127"/>
      <c r="K791" s="334"/>
      <c r="L791" s="127"/>
      <c r="M791" s="334"/>
      <c r="N791" s="127"/>
      <c r="O791" s="327"/>
      <c r="P791" s="121"/>
      <c r="Q791" s="143"/>
      <c r="R791" s="143"/>
      <c r="S791" s="17"/>
      <c r="T791" s="17"/>
    </row>
    <row r="792">
      <c r="A792" s="327"/>
      <c r="B792" s="121"/>
      <c r="C792" s="327"/>
      <c r="D792" s="127"/>
      <c r="E792" s="327"/>
      <c r="F792" s="121"/>
      <c r="G792" s="327"/>
      <c r="H792" s="121"/>
      <c r="I792" s="334"/>
      <c r="J792" s="127"/>
      <c r="K792" s="334"/>
      <c r="L792" s="127"/>
      <c r="M792" s="334"/>
      <c r="N792" s="127"/>
      <c r="O792" s="327"/>
      <c r="P792" s="121"/>
      <c r="Q792" s="143"/>
      <c r="R792" s="143"/>
      <c r="S792" s="17"/>
      <c r="T792" s="17"/>
    </row>
    <row r="793">
      <c r="A793" s="327"/>
      <c r="B793" s="121"/>
      <c r="C793" s="327"/>
      <c r="D793" s="127"/>
      <c r="E793" s="327"/>
      <c r="F793" s="121"/>
      <c r="G793" s="327"/>
      <c r="H793" s="121"/>
      <c r="I793" s="334"/>
      <c r="J793" s="127"/>
      <c r="K793" s="334"/>
      <c r="L793" s="127"/>
      <c r="M793" s="334"/>
      <c r="N793" s="127"/>
      <c r="O793" s="327"/>
      <c r="P793" s="121"/>
      <c r="Q793" s="143"/>
      <c r="R793" s="143"/>
      <c r="S793" s="17"/>
      <c r="T793" s="17"/>
    </row>
    <row r="794">
      <c r="A794" s="327"/>
      <c r="B794" s="121"/>
      <c r="C794" s="327"/>
      <c r="D794" s="127"/>
      <c r="E794" s="327"/>
      <c r="F794" s="121"/>
      <c r="G794" s="327"/>
      <c r="H794" s="121"/>
      <c r="I794" s="334"/>
      <c r="J794" s="127"/>
      <c r="K794" s="334"/>
      <c r="L794" s="127"/>
      <c r="M794" s="334"/>
      <c r="N794" s="127"/>
      <c r="O794" s="327"/>
      <c r="P794" s="121"/>
      <c r="Q794" s="143"/>
      <c r="R794" s="143"/>
      <c r="S794" s="17"/>
      <c r="T794" s="17"/>
    </row>
    <row r="795">
      <c r="A795" s="327"/>
      <c r="B795" s="121"/>
      <c r="C795" s="327"/>
      <c r="D795" s="127"/>
      <c r="E795" s="327"/>
      <c r="F795" s="121"/>
      <c r="G795" s="327"/>
      <c r="H795" s="121"/>
      <c r="I795" s="334"/>
      <c r="J795" s="127"/>
      <c r="K795" s="334"/>
      <c r="L795" s="127"/>
      <c r="M795" s="334"/>
      <c r="N795" s="127"/>
      <c r="O795" s="327"/>
      <c r="P795" s="121"/>
      <c r="Q795" s="143"/>
      <c r="R795" s="143"/>
      <c r="S795" s="17"/>
      <c r="T795" s="17"/>
    </row>
    <row r="796">
      <c r="A796" s="327"/>
      <c r="B796" s="121"/>
      <c r="C796" s="327"/>
      <c r="D796" s="127"/>
      <c r="E796" s="327"/>
      <c r="F796" s="121"/>
      <c r="G796" s="327"/>
      <c r="H796" s="121"/>
      <c r="I796" s="334"/>
      <c r="J796" s="127"/>
      <c r="K796" s="334"/>
      <c r="L796" s="127"/>
      <c r="M796" s="334"/>
      <c r="N796" s="127"/>
      <c r="O796" s="327"/>
      <c r="P796" s="121"/>
      <c r="Q796" s="143"/>
      <c r="R796" s="143"/>
      <c r="S796" s="17"/>
      <c r="T796" s="17"/>
    </row>
    <row r="797">
      <c r="A797" s="327"/>
      <c r="B797" s="121"/>
      <c r="C797" s="327"/>
      <c r="D797" s="127"/>
      <c r="E797" s="327"/>
      <c r="F797" s="121"/>
      <c r="G797" s="327"/>
      <c r="H797" s="121"/>
      <c r="I797" s="334"/>
      <c r="J797" s="127"/>
      <c r="K797" s="334"/>
      <c r="L797" s="127"/>
      <c r="M797" s="334"/>
      <c r="N797" s="127"/>
      <c r="O797" s="327"/>
      <c r="P797" s="121"/>
      <c r="Q797" s="143"/>
      <c r="R797" s="143"/>
      <c r="S797" s="17"/>
      <c r="T797" s="17"/>
    </row>
    <row r="798">
      <c r="A798" s="327"/>
      <c r="B798" s="121"/>
      <c r="C798" s="327"/>
      <c r="D798" s="127"/>
      <c r="E798" s="327"/>
      <c r="F798" s="121"/>
      <c r="G798" s="327"/>
      <c r="H798" s="121"/>
      <c r="I798" s="334"/>
      <c r="J798" s="127"/>
      <c r="K798" s="334"/>
      <c r="L798" s="127"/>
      <c r="M798" s="334"/>
      <c r="N798" s="127"/>
      <c r="O798" s="327"/>
      <c r="P798" s="121"/>
      <c r="Q798" s="143"/>
      <c r="R798" s="143"/>
      <c r="S798" s="17"/>
      <c r="T798" s="17"/>
    </row>
    <row r="799">
      <c r="A799" s="327"/>
      <c r="B799" s="121"/>
      <c r="C799" s="327"/>
      <c r="D799" s="127"/>
      <c r="E799" s="327"/>
      <c r="F799" s="121"/>
      <c r="G799" s="327"/>
      <c r="H799" s="121"/>
      <c r="I799" s="334"/>
      <c r="J799" s="127"/>
      <c r="K799" s="334"/>
      <c r="L799" s="127"/>
      <c r="M799" s="334"/>
      <c r="N799" s="127"/>
      <c r="O799" s="327"/>
      <c r="P799" s="121"/>
      <c r="Q799" s="143"/>
      <c r="R799" s="143"/>
      <c r="S799" s="17"/>
      <c r="T799" s="17"/>
    </row>
    <row r="800">
      <c r="A800" s="327"/>
      <c r="B800" s="121"/>
      <c r="C800" s="327"/>
      <c r="D800" s="127"/>
      <c r="E800" s="327"/>
      <c r="F800" s="121"/>
      <c r="G800" s="327"/>
      <c r="H800" s="121"/>
      <c r="I800" s="334"/>
      <c r="J800" s="127"/>
      <c r="K800" s="334"/>
      <c r="L800" s="127"/>
      <c r="M800" s="334"/>
      <c r="N800" s="127"/>
      <c r="O800" s="327"/>
      <c r="P800" s="121"/>
      <c r="Q800" s="143"/>
      <c r="R800" s="143"/>
      <c r="S800" s="17"/>
      <c r="T800" s="17"/>
    </row>
    <row r="801">
      <c r="A801" s="327"/>
      <c r="B801" s="121"/>
      <c r="C801" s="327"/>
      <c r="D801" s="127"/>
      <c r="E801" s="327"/>
      <c r="F801" s="121"/>
      <c r="G801" s="327"/>
      <c r="H801" s="121"/>
      <c r="I801" s="334"/>
      <c r="J801" s="127"/>
      <c r="K801" s="334"/>
      <c r="L801" s="127"/>
      <c r="M801" s="334"/>
      <c r="N801" s="127"/>
      <c r="O801" s="327"/>
      <c r="P801" s="121"/>
      <c r="Q801" s="143"/>
      <c r="R801" s="143"/>
      <c r="S801" s="17"/>
      <c r="T801" s="17"/>
    </row>
    <row r="802">
      <c r="A802" s="327"/>
      <c r="B802" s="121"/>
      <c r="C802" s="327"/>
      <c r="D802" s="127"/>
      <c r="E802" s="327"/>
      <c r="F802" s="121"/>
      <c r="G802" s="327"/>
      <c r="H802" s="121"/>
      <c r="I802" s="334"/>
      <c r="J802" s="127"/>
      <c r="K802" s="334"/>
      <c r="L802" s="127"/>
      <c r="M802" s="334"/>
      <c r="N802" s="127"/>
      <c r="O802" s="327"/>
      <c r="P802" s="121"/>
      <c r="Q802" s="143"/>
      <c r="R802" s="143"/>
      <c r="S802" s="17"/>
      <c r="T802" s="17"/>
    </row>
    <row r="803">
      <c r="A803" s="327"/>
      <c r="B803" s="121"/>
      <c r="C803" s="327"/>
      <c r="D803" s="127"/>
      <c r="E803" s="327"/>
      <c r="F803" s="121"/>
      <c r="G803" s="327"/>
      <c r="H803" s="121"/>
      <c r="I803" s="334"/>
      <c r="J803" s="127"/>
      <c r="K803" s="334"/>
      <c r="L803" s="127"/>
      <c r="M803" s="334"/>
      <c r="N803" s="127"/>
      <c r="O803" s="327"/>
      <c r="P803" s="121"/>
      <c r="Q803" s="143"/>
      <c r="R803" s="143"/>
      <c r="S803" s="17"/>
      <c r="T803" s="17"/>
    </row>
    <row r="804">
      <c r="A804" s="327"/>
      <c r="B804" s="121"/>
      <c r="C804" s="327"/>
      <c r="D804" s="127"/>
      <c r="E804" s="327"/>
      <c r="F804" s="121"/>
      <c r="G804" s="327"/>
      <c r="H804" s="121"/>
      <c r="I804" s="334"/>
      <c r="J804" s="127"/>
      <c r="K804" s="334"/>
      <c r="L804" s="127"/>
      <c r="M804" s="334"/>
      <c r="N804" s="127"/>
      <c r="O804" s="327"/>
      <c r="P804" s="121"/>
      <c r="Q804" s="143"/>
      <c r="R804" s="143"/>
      <c r="S804" s="17"/>
      <c r="T804" s="17"/>
    </row>
    <row r="805">
      <c r="A805" s="327"/>
      <c r="B805" s="121"/>
      <c r="C805" s="327"/>
      <c r="D805" s="127"/>
      <c r="E805" s="327"/>
      <c r="F805" s="121"/>
      <c r="G805" s="327"/>
      <c r="H805" s="121"/>
      <c r="I805" s="334"/>
      <c r="J805" s="127"/>
      <c r="K805" s="334"/>
      <c r="L805" s="127"/>
      <c r="M805" s="334"/>
      <c r="N805" s="127"/>
      <c r="O805" s="327"/>
      <c r="P805" s="121"/>
      <c r="Q805" s="143"/>
      <c r="R805" s="143"/>
      <c r="S805" s="17"/>
      <c r="T805" s="17"/>
    </row>
    <row r="806">
      <c r="A806" s="327"/>
      <c r="B806" s="121"/>
      <c r="C806" s="327"/>
      <c r="D806" s="127"/>
      <c r="E806" s="327"/>
      <c r="F806" s="121"/>
      <c r="G806" s="327"/>
      <c r="H806" s="121"/>
      <c r="I806" s="334"/>
      <c r="J806" s="127"/>
      <c r="K806" s="334"/>
      <c r="L806" s="127"/>
      <c r="M806" s="334"/>
      <c r="N806" s="127"/>
      <c r="O806" s="327"/>
      <c r="P806" s="121"/>
      <c r="Q806" s="143"/>
      <c r="R806" s="143"/>
      <c r="S806" s="17"/>
      <c r="T806" s="17"/>
    </row>
    <row r="807">
      <c r="A807" s="327"/>
      <c r="B807" s="121"/>
      <c r="C807" s="327"/>
      <c r="D807" s="127"/>
      <c r="E807" s="327"/>
      <c r="F807" s="121"/>
      <c r="G807" s="327"/>
      <c r="H807" s="121"/>
      <c r="I807" s="334"/>
      <c r="J807" s="127"/>
      <c r="K807" s="334"/>
      <c r="L807" s="127"/>
      <c r="M807" s="334"/>
      <c r="N807" s="127"/>
      <c r="O807" s="327"/>
      <c r="P807" s="121"/>
      <c r="Q807" s="143"/>
      <c r="R807" s="143"/>
      <c r="S807" s="17"/>
      <c r="T807" s="17"/>
    </row>
    <row r="808">
      <c r="A808" s="327"/>
      <c r="B808" s="121"/>
      <c r="C808" s="327"/>
      <c r="D808" s="127"/>
      <c r="E808" s="327"/>
      <c r="F808" s="121"/>
      <c r="G808" s="327"/>
      <c r="H808" s="121"/>
      <c r="I808" s="334"/>
      <c r="J808" s="127"/>
      <c r="K808" s="334"/>
      <c r="L808" s="127"/>
      <c r="M808" s="334"/>
      <c r="N808" s="127"/>
      <c r="O808" s="327"/>
      <c r="P808" s="121"/>
      <c r="Q808" s="143"/>
      <c r="R808" s="143"/>
      <c r="S808" s="17"/>
      <c r="T808" s="17"/>
    </row>
    <row r="809">
      <c r="A809" s="327"/>
      <c r="B809" s="121"/>
      <c r="C809" s="327"/>
      <c r="D809" s="127"/>
      <c r="E809" s="327"/>
      <c r="F809" s="121"/>
      <c r="G809" s="327"/>
      <c r="H809" s="121"/>
      <c r="I809" s="334"/>
      <c r="J809" s="127"/>
      <c r="K809" s="334"/>
      <c r="L809" s="127"/>
      <c r="M809" s="334"/>
      <c r="N809" s="127"/>
      <c r="O809" s="327"/>
      <c r="P809" s="121"/>
      <c r="Q809" s="143"/>
      <c r="R809" s="143"/>
      <c r="S809" s="17"/>
      <c r="T809" s="17"/>
    </row>
    <row r="810">
      <c r="A810" s="327"/>
      <c r="B810" s="121"/>
      <c r="C810" s="327"/>
      <c r="D810" s="127"/>
      <c r="E810" s="327"/>
      <c r="F810" s="121"/>
      <c r="G810" s="327"/>
      <c r="H810" s="121"/>
      <c r="I810" s="334"/>
      <c r="J810" s="127"/>
      <c r="K810" s="334"/>
      <c r="L810" s="127"/>
      <c r="M810" s="334"/>
      <c r="N810" s="127"/>
      <c r="O810" s="327"/>
      <c r="P810" s="121"/>
      <c r="Q810" s="143"/>
      <c r="R810" s="143"/>
      <c r="S810" s="17"/>
      <c r="T810" s="17"/>
    </row>
    <row r="811">
      <c r="A811" s="327"/>
      <c r="B811" s="121"/>
      <c r="C811" s="327"/>
      <c r="D811" s="127"/>
      <c r="E811" s="327"/>
      <c r="F811" s="121"/>
      <c r="G811" s="327"/>
      <c r="H811" s="121"/>
      <c r="I811" s="334"/>
      <c r="J811" s="127"/>
      <c r="K811" s="334"/>
      <c r="L811" s="127"/>
      <c r="M811" s="334"/>
      <c r="N811" s="127"/>
      <c r="O811" s="327"/>
      <c r="P811" s="121"/>
      <c r="Q811" s="143"/>
      <c r="R811" s="143"/>
      <c r="S811" s="17"/>
      <c r="T811" s="17"/>
    </row>
    <row r="812">
      <c r="A812" s="327"/>
      <c r="B812" s="121"/>
      <c r="C812" s="327"/>
      <c r="D812" s="127"/>
      <c r="E812" s="327"/>
      <c r="F812" s="121"/>
      <c r="G812" s="327"/>
      <c r="H812" s="121"/>
      <c r="I812" s="334"/>
      <c r="J812" s="127"/>
      <c r="K812" s="334"/>
      <c r="L812" s="127"/>
      <c r="M812" s="334"/>
      <c r="N812" s="127"/>
      <c r="O812" s="327"/>
      <c r="P812" s="121"/>
      <c r="Q812" s="143"/>
      <c r="R812" s="143"/>
      <c r="S812" s="17"/>
      <c r="T812" s="17"/>
    </row>
    <row r="813">
      <c r="A813" s="327"/>
      <c r="B813" s="121"/>
      <c r="C813" s="327"/>
      <c r="D813" s="127"/>
      <c r="E813" s="327"/>
      <c r="F813" s="121"/>
      <c r="G813" s="327"/>
      <c r="H813" s="121"/>
      <c r="I813" s="334"/>
      <c r="J813" s="127"/>
      <c r="K813" s="334"/>
      <c r="L813" s="127"/>
      <c r="M813" s="334"/>
      <c r="N813" s="127"/>
      <c r="O813" s="327"/>
      <c r="P813" s="121"/>
      <c r="Q813" s="143"/>
      <c r="R813" s="143"/>
      <c r="S813" s="17"/>
      <c r="T813" s="17"/>
    </row>
    <row r="814">
      <c r="A814" s="327"/>
      <c r="B814" s="121"/>
      <c r="C814" s="327"/>
      <c r="D814" s="127"/>
      <c r="E814" s="327"/>
      <c r="F814" s="121"/>
      <c r="G814" s="327"/>
      <c r="H814" s="121"/>
      <c r="I814" s="334"/>
      <c r="J814" s="127"/>
      <c r="K814" s="334"/>
      <c r="L814" s="127"/>
      <c r="M814" s="334"/>
      <c r="N814" s="127"/>
      <c r="O814" s="327"/>
      <c r="P814" s="121"/>
      <c r="Q814" s="143"/>
      <c r="R814" s="143"/>
      <c r="S814" s="17"/>
      <c r="T814" s="17"/>
    </row>
    <row r="815">
      <c r="A815" s="327"/>
      <c r="B815" s="121"/>
      <c r="C815" s="327"/>
      <c r="D815" s="127"/>
      <c r="E815" s="327"/>
      <c r="F815" s="121"/>
      <c r="G815" s="327"/>
      <c r="H815" s="121"/>
      <c r="I815" s="334"/>
      <c r="J815" s="127"/>
      <c r="K815" s="334"/>
      <c r="L815" s="127"/>
      <c r="M815" s="334"/>
      <c r="N815" s="127"/>
      <c r="O815" s="327"/>
      <c r="P815" s="121"/>
      <c r="Q815" s="143"/>
      <c r="R815" s="143"/>
      <c r="S815" s="17"/>
      <c r="T815" s="17"/>
    </row>
    <row r="816">
      <c r="A816" s="327"/>
      <c r="B816" s="121"/>
      <c r="C816" s="327"/>
      <c r="D816" s="127"/>
      <c r="E816" s="327"/>
      <c r="F816" s="121"/>
      <c r="G816" s="327"/>
      <c r="H816" s="121"/>
      <c r="I816" s="334"/>
      <c r="J816" s="127"/>
      <c r="K816" s="334"/>
      <c r="L816" s="127"/>
      <c r="M816" s="334"/>
      <c r="N816" s="127"/>
      <c r="O816" s="327"/>
      <c r="P816" s="121"/>
      <c r="Q816" s="143"/>
      <c r="R816" s="143"/>
      <c r="S816" s="17"/>
      <c r="T816" s="17"/>
    </row>
    <row r="817">
      <c r="A817" s="327"/>
      <c r="B817" s="121"/>
      <c r="C817" s="327"/>
      <c r="D817" s="127"/>
      <c r="E817" s="327"/>
      <c r="F817" s="121"/>
      <c r="G817" s="327"/>
      <c r="H817" s="121"/>
      <c r="I817" s="334"/>
      <c r="J817" s="127"/>
      <c r="K817" s="334"/>
      <c r="L817" s="127"/>
      <c r="M817" s="334"/>
      <c r="N817" s="127"/>
      <c r="O817" s="327"/>
      <c r="P817" s="121"/>
      <c r="Q817" s="143"/>
      <c r="R817" s="143"/>
      <c r="S817" s="17"/>
      <c r="T817" s="17"/>
    </row>
    <row r="818">
      <c r="A818" s="327"/>
      <c r="B818" s="121"/>
      <c r="C818" s="327"/>
      <c r="D818" s="127"/>
      <c r="E818" s="327"/>
      <c r="F818" s="121"/>
      <c r="G818" s="327"/>
      <c r="H818" s="121"/>
      <c r="I818" s="334"/>
      <c r="J818" s="127"/>
      <c r="K818" s="334"/>
      <c r="L818" s="127"/>
      <c r="M818" s="334"/>
      <c r="N818" s="127"/>
      <c r="O818" s="327"/>
      <c r="P818" s="121"/>
      <c r="Q818" s="143"/>
      <c r="R818" s="143"/>
      <c r="S818" s="17"/>
      <c r="T818" s="17"/>
    </row>
    <row r="819">
      <c r="A819" s="327"/>
      <c r="B819" s="121"/>
      <c r="C819" s="327"/>
      <c r="D819" s="127"/>
      <c r="E819" s="327"/>
      <c r="F819" s="121"/>
      <c r="G819" s="327"/>
      <c r="H819" s="121"/>
      <c r="I819" s="334"/>
      <c r="J819" s="127"/>
      <c r="K819" s="334"/>
      <c r="L819" s="127"/>
      <c r="M819" s="334"/>
      <c r="N819" s="127"/>
      <c r="O819" s="327"/>
      <c r="P819" s="121"/>
      <c r="Q819" s="143"/>
      <c r="R819" s="143"/>
      <c r="S819" s="17"/>
      <c r="T819" s="17"/>
    </row>
    <row r="820">
      <c r="A820" s="327"/>
      <c r="B820" s="121"/>
      <c r="C820" s="327"/>
      <c r="D820" s="127"/>
      <c r="E820" s="327"/>
      <c r="F820" s="121"/>
      <c r="G820" s="327"/>
      <c r="H820" s="121"/>
      <c r="I820" s="334"/>
      <c r="J820" s="127"/>
      <c r="K820" s="334"/>
      <c r="L820" s="127"/>
      <c r="M820" s="334"/>
      <c r="N820" s="127"/>
      <c r="O820" s="327"/>
      <c r="P820" s="121"/>
      <c r="Q820" s="143"/>
      <c r="R820" s="143"/>
      <c r="S820" s="17"/>
      <c r="T820" s="17"/>
    </row>
    <row r="821">
      <c r="A821" s="327"/>
      <c r="B821" s="121"/>
      <c r="C821" s="327"/>
      <c r="D821" s="127"/>
      <c r="E821" s="327"/>
      <c r="F821" s="121"/>
      <c r="G821" s="327"/>
      <c r="H821" s="121"/>
      <c r="I821" s="334"/>
      <c r="J821" s="127"/>
      <c r="K821" s="334"/>
      <c r="L821" s="127"/>
      <c r="M821" s="334"/>
      <c r="N821" s="127"/>
      <c r="O821" s="327"/>
      <c r="P821" s="121"/>
      <c r="Q821" s="143"/>
      <c r="R821" s="143"/>
      <c r="S821" s="17"/>
      <c r="T821" s="17"/>
    </row>
    <row r="822">
      <c r="A822" s="327"/>
      <c r="B822" s="121"/>
      <c r="C822" s="327"/>
      <c r="D822" s="127"/>
      <c r="E822" s="327"/>
      <c r="F822" s="121"/>
      <c r="G822" s="327"/>
      <c r="H822" s="121"/>
      <c r="I822" s="334"/>
      <c r="J822" s="127"/>
      <c r="K822" s="334"/>
      <c r="L822" s="127"/>
      <c r="M822" s="334"/>
      <c r="N822" s="127"/>
      <c r="O822" s="327"/>
      <c r="P822" s="121"/>
      <c r="Q822" s="143"/>
      <c r="R822" s="143"/>
      <c r="S822" s="17"/>
      <c r="T822" s="17"/>
    </row>
    <row r="823">
      <c r="A823" s="327"/>
      <c r="B823" s="121"/>
      <c r="C823" s="327"/>
      <c r="D823" s="127"/>
      <c r="E823" s="327"/>
      <c r="F823" s="121"/>
      <c r="G823" s="327"/>
      <c r="H823" s="121"/>
      <c r="I823" s="334"/>
      <c r="J823" s="127"/>
      <c r="K823" s="334"/>
      <c r="L823" s="127"/>
      <c r="M823" s="334"/>
      <c r="N823" s="127"/>
      <c r="O823" s="327"/>
      <c r="P823" s="121"/>
      <c r="Q823" s="143"/>
      <c r="R823" s="143"/>
      <c r="S823" s="17"/>
      <c r="T823" s="17"/>
    </row>
    <row r="824">
      <c r="A824" s="327"/>
      <c r="B824" s="121"/>
      <c r="C824" s="327"/>
      <c r="D824" s="127"/>
      <c r="E824" s="327"/>
      <c r="F824" s="121"/>
      <c r="G824" s="327"/>
      <c r="H824" s="121"/>
      <c r="I824" s="334"/>
      <c r="J824" s="127"/>
      <c r="K824" s="334"/>
      <c r="L824" s="127"/>
      <c r="M824" s="334"/>
      <c r="N824" s="127"/>
      <c r="O824" s="327"/>
      <c r="P824" s="121"/>
      <c r="Q824" s="143"/>
      <c r="R824" s="143"/>
      <c r="S824" s="17"/>
      <c r="T824" s="17"/>
    </row>
    <row r="825">
      <c r="A825" s="327"/>
      <c r="B825" s="121"/>
      <c r="C825" s="327"/>
      <c r="D825" s="127"/>
      <c r="E825" s="327"/>
      <c r="F825" s="121"/>
      <c r="G825" s="327"/>
      <c r="H825" s="121"/>
      <c r="I825" s="334"/>
      <c r="J825" s="127"/>
      <c r="K825" s="334"/>
      <c r="L825" s="127"/>
      <c r="M825" s="334"/>
      <c r="N825" s="127"/>
      <c r="O825" s="327"/>
      <c r="P825" s="121"/>
      <c r="Q825" s="143"/>
      <c r="R825" s="143"/>
      <c r="S825" s="17"/>
      <c r="T825" s="17"/>
    </row>
    <row r="826">
      <c r="A826" s="327"/>
      <c r="B826" s="121"/>
      <c r="C826" s="327"/>
      <c r="D826" s="127"/>
      <c r="E826" s="327"/>
      <c r="F826" s="121"/>
      <c r="G826" s="327"/>
      <c r="H826" s="121"/>
      <c r="I826" s="334"/>
      <c r="J826" s="127"/>
      <c r="K826" s="334"/>
      <c r="L826" s="127"/>
      <c r="M826" s="334"/>
      <c r="N826" s="127"/>
      <c r="O826" s="327"/>
      <c r="P826" s="121"/>
      <c r="Q826" s="143"/>
      <c r="R826" s="143"/>
      <c r="S826" s="17"/>
      <c r="T826" s="17"/>
    </row>
    <row r="827">
      <c r="A827" s="327"/>
      <c r="B827" s="121"/>
      <c r="C827" s="327"/>
      <c r="D827" s="127"/>
      <c r="E827" s="327"/>
      <c r="F827" s="121"/>
      <c r="G827" s="327"/>
      <c r="H827" s="121"/>
      <c r="I827" s="334"/>
      <c r="J827" s="127"/>
      <c r="K827" s="334"/>
      <c r="L827" s="127"/>
      <c r="M827" s="334"/>
      <c r="N827" s="127"/>
      <c r="O827" s="327"/>
      <c r="P827" s="121"/>
      <c r="Q827" s="143"/>
      <c r="R827" s="143"/>
      <c r="S827" s="17"/>
      <c r="T827" s="17"/>
    </row>
    <row r="828">
      <c r="A828" s="327"/>
      <c r="B828" s="121"/>
      <c r="C828" s="327"/>
      <c r="D828" s="127"/>
      <c r="E828" s="327"/>
      <c r="F828" s="121"/>
      <c r="G828" s="327"/>
      <c r="H828" s="121"/>
      <c r="I828" s="334"/>
      <c r="J828" s="127"/>
      <c r="K828" s="334"/>
      <c r="L828" s="127"/>
      <c r="M828" s="334"/>
      <c r="N828" s="127"/>
      <c r="O828" s="327"/>
      <c r="P828" s="121"/>
      <c r="Q828" s="143"/>
      <c r="R828" s="143"/>
      <c r="S828" s="17"/>
      <c r="T828" s="17"/>
    </row>
    <row r="829">
      <c r="A829" s="327"/>
      <c r="B829" s="121"/>
      <c r="C829" s="327"/>
      <c r="D829" s="127"/>
      <c r="E829" s="327"/>
      <c r="F829" s="121"/>
      <c r="G829" s="327"/>
      <c r="H829" s="121"/>
      <c r="I829" s="334"/>
      <c r="J829" s="127"/>
      <c r="K829" s="334"/>
      <c r="L829" s="127"/>
      <c r="M829" s="334"/>
      <c r="N829" s="127"/>
      <c r="O829" s="327"/>
      <c r="P829" s="121"/>
      <c r="Q829" s="143"/>
      <c r="R829" s="143"/>
      <c r="S829" s="17"/>
      <c r="T829" s="17"/>
    </row>
    <row r="830">
      <c r="A830" s="327"/>
      <c r="B830" s="121"/>
      <c r="C830" s="327"/>
      <c r="D830" s="127"/>
      <c r="E830" s="327"/>
      <c r="F830" s="121"/>
      <c r="G830" s="327"/>
      <c r="H830" s="121"/>
      <c r="I830" s="334"/>
      <c r="J830" s="127"/>
      <c r="K830" s="334"/>
      <c r="L830" s="127"/>
      <c r="M830" s="334"/>
      <c r="N830" s="127"/>
      <c r="O830" s="327"/>
      <c r="P830" s="121"/>
      <c r="Q830" s="143"/>
      <c r="R830" s="143"/>
      <c r="S830" s="17"/>
      <c r="T830" s="17"/>
    </row>
    <row r="831">
      <c r="A831" s="327"/>
      <c r="B831" s="121"/>
      <c r="C831" s="327"/>
      <c r="D831" s="127"/>
      <c r="E831" s="327"/>
      <c r="F831" s="121"/>
      <c r="G831" s="327"/>
      <c r="H831" s="121"/>
      <c r="I831" s="334"/>
      <c r="J831" s="127"/>
      <c r="K831" s="334"/>
      <c r="L831" s="127"/>
      <c r="M831" s="334"/>
      <c r="N831" s="127"/>
      <c r="O831" s="327"/>
      <c r="P831" s="121"/>
      <c r="Q831" s="143"/>
      <c r="R831" s="143"/>
      <c r="S831" s="17"/>
      <c r="T831" s="17"/>
    </row>
    <row r="832">
      <c r="A832" s="327"/>
      <c r="B832" s="121"/>
      <c r="C832" s="327"/>
      <c r="D832" s="127"/>
      <c r="E832" s="327"/>
      <c r="F832" s="121"/>
      <c r="G832" s="327"/>
      <c r="H832" s="121"/>
      <c r="I832" s="334"/>
      <c r="J832" s="127"/>
      <c r="K832" s="334"/>
      <c r="L832" s="127"/>
      <c r="M832" s="334"/>
      <c r="N832" s="127"/>
      <c r="O832" s="327"/>
      <c r="P832" s="121"/>
      <c r="Q832" s="143"/>
      <c r="R832" s="143"/>
      <c r="S832" s="17"/>
      <c r="T832" s="17"/>
    </row>
    <row r="833">
      <c r="A833" s="327"/>
      <c r="B833" s="121"/>
      <c r="C833" s="327"/>
      <c r="D833" s="127"/>
      <c r="E833" s="327"/>
      <c r="F833" s="121"/>
      <c r="G833" s="327"/>
      <c r="H833" s="121"/>
      <c r="I833" s="334"/>
      <c r="J833" s="127"/>
      <c r="K833" s="334"/>
      <c r="L833" s="127"/>
      <c r="M833" s="334"/>
      <c r="N833" s="127"/>
      <c r="O833" s="327"/>
      <c r="P833" s="121"/>
      <c r="Q833" s="143"/>
      <c r="R833" s="143"/>
      <c r="S833" s="17"/>
      <c r="T833" s="17"/>
    </row>
    <row r="834">
      <c r="A834" s="327"/>
      <c r="B834" s="121"/>
      <c r="C834" s="327"/>
      <c r="D834" s="127"/>
      <c r="E834" s="327"/>
      <c r="F834" s="121"/>
      <c r="G834" s="327"/>
      <c r="H834" s="121"/>
      <c r="I834" s="334"/>
      <c r="J834" s="127"/>
      <c r="K834" s="334"/>
      <c r="L834" s="127"/>
      <c r="M834" s="334"/>
      <c r="N834" s="127"/>
      <c r="O834" s="327"/>
      <c r="P834" s="121"/>
      <c r="Q834" s="143"/>
      <c r="R834" s="143"/>
      <c r="S834" s="17"/>
      <c r="T834" s="17"/>
    </row>
    <row r="835">
      <c r="A835" s="327"/>
      <c r="B835" s="121"/>
      <c r="C835" s="327"/>
      <c r="D835" s="127"/>
      <c r="E835" s="327"/>
      <c r="F835" s="121"/>
      <c r="G835" s="327"/>
      <c r="H835" s="121"/>
      <c r="I835" s="334"/>
      <c r="J835" s="127"/>
      <c r="K835" s="334"/>
      <c r="L835" s="127"/>
      <c r="M835" s="334"/>
      <c r="N835" s="127"/>
      <c r="O835" s="327"/>
      <c r="P835" s="121"/>
      <c r="Q835" s="143"/>
      <c r="R835" s="143"/>
      <c r="S835" s="17"/>
      <c r="T835" s="17"/>
    </row>
    <row r="836">
      <c r="A836" s="327"/>
      <c r="B836" s="121"/>
      <c r="C836" s="327"/>
      <c r="D836" s="127"/>
      <c r="E836" s="327"/>
      <c r="F836" s="121"/>
      <c r="G836" s="327"/>
      <c r="H836" s="121"/>
      <c r="I836" s="334"/>
      <c r="J836" s="127"/>
      <c r="K836" s="334"/>
      <c r="L836" s="127"/>
      <c r="M836" s="334"/>
      <c r="N836" s="127"/>
      <c r="O836" s="327"/>
      <c r="P836" s="121"/>
      <c r="Q836" s="143"/>
      <c r="R836" s="143"/>
      <c r="S836" s="17"/>
      <c r="T836" s="17"/>
    </row>
    <row r="837">
      <c r="A837" s="327"/>
      <c r="B837" s="121"/>
      <c r="C837" s="327"/>
      <c r="D837" s="127"/>
      <c r="E837" s="327"/>
      <c r="F837" s="121"/>
      <c r="G837" s="327"/>
      <c r="H837" s="121"/>
      <c r="I837" s="334"/>
      <c r="J837" s="127"/>
      <c r="K837" s="334"/>
      <c r="L837" s="127"/>
      <c r="M837" s="334"/>
      <c r="N837" s="127"/>
      <c r="O837" s="327"/>
      <c r="P837" s="121"/>
      <c r="Q837" s="143"/>
      <c r="R837" s="143"/>
      <c r="S837" s="17"/>
      <c r="T837" s="17"/>
    </row>
    <row r="838">
      <c r="A838" s="327"/>
      <c r="B838" s="121"/>
      <c r="C838" s="327"/>
      <c r="D838" s="127"/>
      <c r="E838" s="327"/>
      <c r="F838" s="121"/>
      <c r="G838" s="327"/>
      <c r="H838" s="121"/>
      <c r="I838" s="334"/>
      <c r="J838" s="127"/>
      <c r="K838" s="334"/>
      <c r="L838" s="127"/>
      <c r="M838" s="334"/>
      <c r="N838" s="127"/>
      <c r="O838" s="327"/>
      <c r="P838" s="121"/>
      <c r="Q838" s="143"/>
      <c r="R838" s="143"/>
      <c r="S838" s="17"/>
      <c r="T838" s="17"/>
    </row>
    <row r="839">
      <c r="A839" s="327"/>
      <c r="B839" s="121"/>
      <c r="C839" s="327"/>
      <c r="D839" s="127"/>
      <c r="E839" s="327"/>
      <c r="F839" s="121"/>
      <c r="G839" s="327"/>
      <c r="H839" s="121"/>
      <c r="I839" s="334"/>
      <c r="J839" s="127"/>
      <c r="K839" s="334"/>
      <c r="L839" s="127"/>
      <c r="M839" s="334"/>
      <c r="N839" s="127"/>
      <c r="O839" s="327"/>
      <c r="P839" s="121"/>
      <c r="Q839" s="143"/>
      <c r="R839" s="143"/>
      <c r="S839" s="17"/>
      <c r="T839" s="17"/>
    </row>
    <row r="840">
      <c r="A840" s="327"/>
      <c r="B840" s="121"/>
      <c r="C840" s="327"/>
      <c r="D840" s="127"/>
      <c r="E840" s="327"/>
      <c r="F840" s="121"/>
      <c r="G840" s="327"/>
      <c r="H840" s="121"/>
      <c r="I840" s="334"/>
      <c r="J840" s="127"/>
      <c r="K840" s="334"/>
      <c r="L840" s="127"/>
      <c r="M840" s="334"/>
      <c r="N840" s="127"/>
      <c r="O840" s="327"/>
      <c r="P840" s="121"/>
      <c r="Q840" s="143"/>
      <c r="R840" s="143"/>
      <c r="S840" s="17"/>
      <c r="T840" s="17"/>
    </row>
    <row r="841">
      <c r="A841" s="327"/>
      <c r="B841" s="121"/>
      <c r="C841" s="327"/>
      <c r="D841" s="127"/>
      <c r="E841" s="327"/>
      <c r="F841" s="121"/>
      <c r="G841" s="327"/>
      <c r="H841" s="121"/>
      <c r="I841" s="334"/>
      <c r="J841" s="127"/>
      <c r="K841" s="334"/>
      <c r="L841" s="127"/>
      <c r="M841" s="334"/>
      <c r="N841" s="127"/>
      <c r="O841" s="327"/>
      <c r="P841" s="121"/>
      <c r="Q841" s="143"/>
      <c r="R841" s="143"/>
      <c r="S841" s="17"/>
      <c r="T841" s="17"/>
    </row>
    <row r="842">
      <c r="A842" s="327"/>
      <c r="B842" s="121"/>
      <c r="C842" s="327"/>
      <c r="D842" s="127"/>
      <c r="E842" s="327"/>
      <c r="F842" s="121"/>
      <c r="G842" s="327"/>
      <c r="H842" s="121"/>
      <c r="I842" s="334"/>
      <c r="J842" s="127"/>
      <c r="K842" s="334"/>
      <c r="L842" s="127"/>
      <c r="M842" s="334"/>
      <c r="N842" s="127"/>
      <c r="O842" s="327"/>
      <c r="P842" s="121"/>
      <c r="Q842" s="143"/>
      <c r="R842" s="143"/>
      <c r="S842" s="17"/>
      <c r="T842" s="17"/>
    </row>
    <row r="843">
      <c r="A843" s="327"/>
      <c r="B843" s="121"/>
      <c r="C843" s="327"/>
      <c r="D843" s="127"/>
      <c r="E843" s="327"/>
      <c r="F843" s="121"/>
      <c r="G843" s="327"/>
      <c r="H843" s="121"/>
      <c r="I843" s="334"/>
      <c r="J843" s="127"/>
      <c r="K843" s="334"/>
      <c r="L843" s="127"/>
      <c r="M843" s="334"/>
      <c r="N843" s="127"/>
      <c r="O843" s="327"/>
      <c r="P843" s="121"/>
      <c r="Q843" s="143"/>
      <c r="R843" s="143"/>
      <c r="S843" s="17"/>
      <c r="T843" s="17"/>
    </row>
    <row r="844">
      <c r="A844" s="327"/>
      <c r="B844" s="121"/>
      <c r="C844" s="327"/>
      <c r="D844" s="127"/>
      <c r="E844" s="327"/>
      <c r="F844" s="121"/>
      <c r="G844" s="327"/>
      <c r="H844" s="121"/>
      <c r="I844" s="334"/>
      <c r="J844" s="127"/>
      <c r="K844" s="334"/>
      <c r="L844" s="127"/>
      <c r="M844" s="334"/>
      <c r="N844" s="127"/>
      <c r="O844" s="327"/>
      <c r="P844" s="121"/>
      <c r="Q844" s="143"/>
      <c r="R844" s="143"/>
      <c r="S844" s="17"/>
      <c r="T844" s="17"/>
    </row>
    <row r="845">
      <c r="A845" s="327"/>
      <c r="B845" s="121"/>
      <c r="C845" s="327"/>
      <c r="D845" s="127"/>
      <c r="E845" s="327"/>
      <c r="F845" s="121"/>
      <c r="G845" s="327"/>
      <c r="H845" s="121"/>
      <c r="I845" s="334"/>
      <c r="J845" s="127"/>
      <c r="K845" s="334"/>
      <c r="L845" s="127"/>
      <c r="M845" s="334"/>
      <c r="N845" s="127"/>
      <c r="O845" s="327"/>
      <c r="P845" s="121"/>
      <c r="Q845" s="143"/>
      <c r="R845" s="143"/>
      <c r="S845" s="17"/>
      <c r="T845" s="17"/>
    </row>
    <row r="846">
      <c r="A846" s="327"/>
      <c r="B846" s="121"/>
      <c r="C846" s="327"/>
      <c r="D846" s="127"/>
      <c r="E846" s="327"/>
      <c r="F846" s="121"/>
      <c r="G846" s="327"/>
      <c r="H846" s="121"/>
      <c r="I846" s="334"/>
      <c r="J846" s="127"/>
      <c r="K846" s="334"/>
      <c r="L846" s="127"/>
      <c r="M846" s="334"/>
      <c r="N846" s="127"/>
      <c r="O846" s="327"/>
      <c r="P846" s="121"/>
      <c r="Q846" s="143"/>
      <c r="R846" s="143"/>
      <c r="S846" s="17"/>
      <c r="T846" s="17"/>
    </row>
    <row r="847">
      <c r="A847" s="327"/>
      <c r="B847" s="121"/>
      <c r="C847" s="327"/>
      <c r="D847" s="127"/>
      <c r="E847" s="327"/>
      <c r="F847" s="121"/>
      <c r="G847" s="327"/>
      <c r="H847" s="121"/>
      <c r="I847" s="334"/>
      <c r="J847" s="127"/>
      <c r="K847" s="334"/>
      <c r="L847" s="127"/>
      <c r="M847" s="334"/>
      <c r="N847" s="127"/>
      <c r="O847" s="327"/>
      <c r="P847" s="121"/>
      <c r="Q847" s="143"/>
      <c r="R847" s="143"/>
      <c r="S847" s="17"/>
      <c r="T847" s="17"/>
    </row>
    <row r="848">
      <c r="A848" s="327"/>
      <c r="B848" s="121"/>
      <c r="C848" s="327"/>
      <c r="D848" s="127"/>
      <c r="E848" s="327"/>
      <c r="F848" s="121"/>
      <c r="G848" s="327"/>
      <c r="H848" s="121"/>
      <c r="I848" s="334"/>
      <c r="J848" s="127"/>
      <c r="K848" s="334"/>
      <c r="L848" s="127"/>
      <c r="M848" s="334"/>
      <c r="N848" s="127"/>
      <c r="O848" s="327"/>
      <c r="P848" s="121"/>
      <c r="Q848" s="143"/>
      <c r="R848" s="143"/>
      <c r="S848" s="17"/>
      <c r="T848" s="17"/>
    </row>
    <row r="849">
      <c r="A849" s="327"/>
      <c r="B849" s="121"/>
      <c r="C849" s="327"/>
      <c r="D849" s="127"/>
      <c r="E849" s="327"/>
      <c r="F849" s="121"/>
      <c r="G849" s="327"/>
      <c r="H849" s="121"/>
      <c r="I849" s="334"/>
      <c r="J849" s="127"/>
      <c r="K849" s="334"/>
      <c r="L849" s="127"/>
      <c r="M849" s="334"/>
      <c r="N849" s="127"/>
      <c r="O849" s="327"/>
      <c r="P849" s="121"/>
      <c r="Q849" s="143"/>
      <c r="R849" s="143"/>
      <c r="S849" s="17"/>
      <c r="T849" s="17"/>
    </row>
    <row r="850">
      <c r="A850" s="327"/>
      <c r="B850" s="121"/>
      <c r="C850" s="327"/>
      <c r="D850" s="127"/>
      <c r="E850" s="327"/>
      <c r="F850" s="121"/>
      <c r="G850" s="327"/>
      <c r="H850" s="121"/>
      <c r="I850" s="334"/>
      <c r="J850" s="127"/>
      <c r="K850" s="334"/>
      <c r="L850" s="127"/>
      <c r="M850" s="334"/>
      <c r="N850" s="127"/>
      <c r="O850" s="327"/>
      <c r="P850" s="121"/>
      <c r="Q850" s="143"/>
      <c r="R850" s="143"/>
      <c r="S850" s="17"/>
      <c r="T850" s="17"/>
    </row>
    <row r="851">
      <c r="A851" s="327"/>
      <c r="B851" s="121"/>
      <c r="C851" s="327"/>
      <c r="D851" s="127"/>
      <c r="E851" s="327"/>
      <c r="F851" s="121"/>
      <c r="G851" s="327"/>
      <c r="H851" s="121"/>
      <c r="I851" s="334"/>
      <c r="J851" s="127"/>
      <c r="K851" s="334"/>
      <c r="L851" s="127"/>
      <c r="M851" s="334"/>
      <c r="N851" s="127"/>
      <c r="O851" s="327"/>
      <c r="P851" s="121"/>
      <c r="Q851" s="143"/>
      <c r="R851" s="143"/>
      <c r="S851" s="17"/>
      <c r="T851" s="17"/>
    </row>
    <row r="852">
      <c r="A852" s="327"/>
      <c r="B852" s="121"/>
      <c r="C852" s="327"/>
      <c r="D852" s="127"/>
      <c r="E852" s="327"/>
      <c r="F852" s="121"/>
      <c r="G852" s="327"/>
      <c r="H852" s="121"/>
      <c r="I852" s="334"/>
      <c r="J852" s="127"/>
      <c r="K852" s="334"/>
      <c r="L852" s="127"/>
      <c r="M852" s="334"/>
      <c r="N852" s="127"/>
      <c r="O852" s="327"/>
      <c r="P852" s="121"/>
      <c r="Q852" s="143"/>
      <c r="R852" s="143"/>
      <c r="S852" s="17"/>
      <c r="T852" s="17"/>
    </row>
    <row r="853">
      <c r="A853" s="327"/>
      <c r="B853" s="121"/>
      <c r="C853" s="327"/>
      <c r="D853" s="127"/>
      <c r="E853" s="327"/>
      <c r="F853" s="121"/>
      <c r="G853" s="327"/>
      <c r="H853" s="121"/>
      <c r="I853" s="334"/>
      <c r="J853" s="127"/>
      <c r="K853" s="334"/>
      <c r="L853" s="127"/>
      <c r="M853" s="334"/>
      <c r="N853" s="127"/>
      <c r="O853" s="327"/>
      <c r="P853" s="121"/>
      <c r="Q853" s="143"/>
      <c r="R853" s="143"/>
      <c r="S853" s="17"/>
      <c r="T853" s="17"/>
    </row>
    <row r="854">
      <c r="A854" s="327"/>
      <c r="B854" s="121"/>
      <c r="C854" s="327"/>
      <c r="D854" s="127"/>
      <c r="E854" s="327"/>
      <c r="F854" s="121"/>
      <c r="G854" s="327"/>
      <c r="H854" s="121"/>
      <c r="I854" s="334"/>
      <c r="J854" s="127"/>
      <c r="K854" s="334"/>
      <c r="L854" s="127"/>
      <c r="M854" s="334"/>
      <c r="N854" s="127"/>
      <c r="O854" s="327"/>
      <c r="P854" s="121"/>
      <c r="Q854" s="143"/>
      <c r="R854" s="143"/>
      <c r="S854" s="17"/>
      <c r="T854" s="17"/>
    </row>
    <row r="855">
      <c r="A855" s="327"/>
      <c r="B855" s="121"/>
      <c r="C855" s="327"/>
      <c r="D855" s="127"/>
      <c r="E855" s="327"/>
      <c r="F855" s="121"/>
      <c r="G855" s="327"/>
      <c r="H855" s="121"/>
      <c r="I855" s="334"/>
      <c r="J855" s="127"/>
      <c r="K855" s="334"/>
      <c r="L855" s="127"/>
      <c r="M855" s="334"/>
      <c r="N855" s="127"/>
      <c r="O855" s="327"/>
      <c r="P855" s="121"/>
      <c r="Q855" s="143"/>
      <c r="R855" s="143"/>
      <c r="S855" s="17"/>
      <c r="T855" s="17"/>
    </row>
    <row r="856">
      <c r="A856" s="327"/>
      <c r="B856" s="121"/>
      <c r="C856" s="327"/>
      <c r="D856" s="127"/>
      <c r="E856" s="327"/>
      <c r="F856" s="121"/>
      <c r="G856" s="327"/>
      <c r="H856" s="121"/>
      <c r="I856" s="334"/>
      <c r="J856" s="127"/>
      <c r="K856" s="334"/>
      <c r="L856" s="127"/>
      <c r="M856" s="334"/>
      <c r="N856" s="127"/>
      <c r="O856" s="327"/>
      <c r="P856" s="121"/>
      <c r="Q856" s="143"/>
      <c r="R856" s="143"/>
      <c r="S856" s="17"/>
      <c r="T856" s="17"/>
    </row>
    <row r="857">
      <c r="A857" s="327"/>
      <c r="B857" s="121"/>
      <c r="C857" s="327"/>
      <c r="D857" s="127"/>
      <c r="E857" s="327"/>
      <c r="F857" s="121"/>
      <c r="G857" s="327"/>
      <c r="H857" s="121"/>
      <c r="I857" s="334"/>
      <c r="J857" s="127"/>
      <c r="K857" s="334"/>
      <c r="L857" s="127"/>
      <c r="M857" s="334"/>
      <c r="N857" s="127"/>
      <c r="O857" s="327"/>
      <c r="P857" s="121"/>
      <c r="Q857" s="143"/>
      <c r="R857" s="143"/>
      <c r="S857" s="17"/>
      <c r="T857" s="17"/>
    </row>
    <row r="858">
      <c r="A858" s="327"/>
      <c r="B858" s="121"/>
      <c r="C858" s="327"/>
      <c r="D858" s="127"/>
      <c r="E858" s="327"/>
      <c r="F858" s="121"/>
      <c r="G858" s="327"/>
      <c r="H858" s="121"/>
      <c r="I858" s="334"/>
      <c r="J858" s="127"/>
      <c r="K858" s="334"/>
      <c r="L858" s="127"/>
      <c r="M858" s="334"/>
      <c r="N858" s="127"/>
      <c r="O858" s="327"/>
      <c r="P858" s="121"/>
      <c r="Q858" s="143"/>
      <c r="R858" s="143"/>
      <c r="S858" s="17"/>
      <c r="T858" s="17"/>
    </row>
    <row r="859">
      <c r="A859" s="327"/>
      <c r="B859" s="121"/>
      <c r="C859" s="327"/>
      <c r="D859" s="127"/>
      <c r="E859" s="327"/>
      <c r="F859" s="121"/>
      <c r="G859" s="327"/>
      <c r="H859" s="121"/>
      <c r="I859" s="334"/>
      <c r="J859" s="127"/>
      <c r="K859" s="334"/>
      <c r="L859" s="127"/>
      <c r="M859" s="334"/>
      <c r="N859" s="127"/>
      <c r="O859" s="327"/>
      <c r="P859" s="121"/>
      <c r="Q859" s="143"/>
      <c r="R859" s="143"/>
      <c r="S859" s="17"/>
      <c r="T859" s="17"/>
    </row>
    <row r="860">
      <c r="A860" s="327"/>
      <c r="B860" s="121"/>
      <c r="C860" s="327"/>
      <c r="D860" s="127"/>
      <c r="E860" s="327"/>
      <c r="F860" s="121"/>
      <c r="G860" s="327"/>
      <c r="H860" s="121"/>
      <c r="I860" s="334"/>
      <c r="J860" s="127"/>
      <c r="K860" s="334"/>
      <c r="L860" s="127"/>
      <c r="M860" s="334"/>
      <c r="N860" s="127"/>
      <c r="O860" s="327"/>
      <c r="P860" s="121"/>
      <c r="Q860" s="143"/>
      <c r="R860" s="143"/>
      <c r="S860" s="17"/>
      <c r="T860" s="17"/>
    </row>
    <row r="861">
      <c r="A861" s="327"/>
      <c r="B861" s="121"/>
      <c r="C861" s="327"/>
      <c r="D861" s="127"/>
      <c r="E861" s="327"/>
      <c r="F861" s="121"/>
      <c r="G861" s="327"/>
      <c r="H861" s="121"/>
      <c r="I861" s="334"/>
      <c r="J861" s="127"/>
      <c r="K861" s="334"/>
      <c r="L861" s="127"/>
      <c r="M861" s="334"/>
      <c r="N861" s="127"/>
      <c r="O861" s="327"/>
      <c r="P861" s="121"/>
      <c r="Q861" s="143"/>
      <c r="R861" s="143"/>
      <c r="S861" s="17"/>
      <c r="T861" s="17"/>
    </row>
    <row r="862">
      <c r="A862" s="327"/>
      <c r="B862" s="121"/>
      <c r="C862" s="327"/>
      <c r="D862" s="127"/>
      <c r="E862" s="327"/>
      <c r="F862" s="121"/>
      <c r="G862" s="327"/>
      <c r="H862" s="121"/>
      <c r="I862" s="334"/>
      <c r="J862" s="127"/>
      <c r="K862" s="334"/>
      <c r="L862" s="127"/>
      <c r="M862" s="334"/>
      <c r="N862" s="127"/>
      <c r="O862" s="327"/>
      <c r="P862" s="121"/>
      <c r="Q862" s="143"/>
      <c r="R862" s="143"/>
      <c r="S862" s="17"/>
      <c r="T862" s="17"/>
    </row>
    <row r="863">
      <c r="A863" s="327"/>
      <c r="B863" s="121"/>
      <c r="C863" s="327"/>
      <c r="D863" s="127"/>
      <c r="E863" s="327"/>
      <c r="F863" s="121"/>
      <c r="G863" s="327"/>
      <c r="H863" s="121"/>
      <c r="I863" s="334"/>
      <c r="J863" s="127"/>
      <c r="K863" s="334"/>
      <c r="L863" s="127"/>
      <c r="M863" s="334"/>
      <c r="N863" s="127"/>
      <c r="O863" s="327"/>
      <c r="P863" s="121"/>
      <c r="Q863" s="143"/>
      <c r="R863" s="143"/>
      <c r="S863" s="17"/>
      <c r="T863" s="17"/>
    </row>
    <row r="864">
      <c r="A864" s="327"/>
      <c r="B864" s="121"/>
      <c r="C864" s="327"/>
      <c r="D864" s="127"/>
      <c r="E864" s="327"/>
      <c r="F864" s="121"/>
      <c r="G864" s="327"/>
      <c r="H864" s="121"/>
      <c r="I864" s="334"/>
      <c r="J864" s="127"/>
      <c r="K864" s="334"/>
      <c r="L864" s="127"/>
      <c r="M864" s="334"/>
      <c r="N864" s="127"/>
      <c r="O864" s="327"/>
      <c r="P864" s="121"/>
      <c r="Q864" s="143"/>
      <c r="R864" s="143"/>
      <c r="S864" s="17"/>
      <c r="T864" s="17"/>
    </row>
    <row r="865">
      <c r="A865" s="327"/>
      <c r="B865" s="121"/>
      <c r="C865" s="327"/>
      <c r="D865" s="127"/>
      <c r="E865" s="327"/>
      <c r="F865" s="121"/>
      <c r="G865" s="327"/>
      <c r="H865" s="121"/>
      <c r="I865" s="334"/>
      <c r="J865" s="127"/>
      <c r="K865" s="334"/>
      <c r="L865" s="127"/>
      <c r="M865" s="334"/>
      <c r="N865" s="127"/>
      <c r="O865" s="327"/>
      <c r="P865" s="121"/>
      <c r="Q865" s="143"/>
      <c r="R865" s="143"/>
      <c r="S865" s="17"/>
      <c r="T865" s="17"/>
    </row>
    <row r="866">
      <c r="A866" s="327"/>
      <c r="B866" s="121"/>
      <c r="C866" s="327"/>
      <c r="D866" s="127"/>
      <c r="E866" s="327"/>
      <c r="F866" s="121"/>
      <c r="G866" s="327"/>
      <c r="H866" s="121"/>
      <c r="I866" s="334"/>
      <c r="J866" s="127"/>
      <c r="K866" s="334"/>
      <c r="L866" s="127"/>
      <c r="M866" s="334"/>
      <c r="N866" s="127"/>
      <c r="O866" s="327"/>
      <c r="P866" s="121"/>
      <c r="Q866" s="143"/>
      <c r="R866" s="143"/>
      <c r="S866" s="17"/>
      <c r="T866" s="17"/>
    </row>
    <row r="867">
      <c r="A867" s="327"/>
      <c r="B867" s="121"/>
      <c r="C867" s="327"/>
      <c r="D867" s="127"/>
      <c r="E867" s="327"/>
      <c r="F867" s="121"/>
      <c r="G867" s="327"/>
      <c r="H867" s="121"/>
      <c r="I867" s="334"/>
      <c r="J867" s="127"/>
      <c r="K867" s="334"/>
      <c r="L867" s="127"/>
      <c r="M867" s="334"/>
      <c r="N867" s="127"/>
      <c r="O867" s="327"/>
      <c r="P867" s="121"/>
      <c r="Q867" s="143"/>
      <c r="R867" s="143"/>
      <c r="S867" s="17"/>
      <c r="T867" s="17"/>
    </row>
    <row r="868">
      <c r="A868" s="327"/>
      <c r="B868" s="121"/>
      <c r="C868" s="327"/>
      <c r="D868" s="127"/>
      <c r="E868" s="327"/>
      <c r="F868" s="121"/>
      <c r="G868" s="327"/>
      <c r="H868" s="121"/>
      <c r="I868" s="334"/>
      <c r="J868" s="127"/>
      <c r="K868" s="334"/>
      <c r="L868" s="127"/>
      <c r="M868" s="334"/>
      <c r="N868" s="127"/>
      <c r="O868" s="327"/>
      <c r="P868" s="121"/>
      <c r="Q868" s="143"/>
      <c r="R868" s="143"/>
      <c r="S868" s="17"/>
      <c r="T868" s="17"/>
    </row>
    <row r="869">
      <c r="A869" s="327"/>
      <c r="B869" s="121"/>
      <c r="C869" s="327"/>
      <c r="D869" s="127"/>
      <c r="E869" s="327"/>
      <c r="F869" s="121"/>
      <c r="G869" s="327"/>
      <c r="H869" s="121"/>
      <c r="I869" s="334"/>
      <c r="J869" s="127"/>
      <c r="K869" s="334"/>
      <c r="L869" s="127"/>
      <c r="M869" s="334"/>
      <c r="N869" s="127"/>
      <c r="O869" s="327"/>
      <c r="P869" s="121"/>
      <c r="Q869" s="143"/>
      <c r="R869" s="143"/>
      <c r="S869" s="17"/>
      <c r="T869" s="17"/>
    </row>
    <row r="870">
      <c r="A870" s="327"/>
      <c r="B870" s="121"/>
      <c r="C870" s="327"/>
      <c r="D870" s="127"/>
      <c r="E870" s="327"/>
      <c r="F870" s="121"/>
      <c r="G870" s="327"/>
      <c r="H870" s="121"/>
      <c r="I870" s="334"/>
      <c r="J870" s="127"/>
      <c r="K870" s="334"/>
      <c r="L870" s="127"/>
      <c r="M870" s="334"/>
      <c r="N870" s="127"/>
      <c r="O870" s="327"/>
      <c r="P870" s="121"/>
      <c r="Q870" s="143"/>
      <c r="R870" s="143"/>
      <c r="S870" s="17"/>
      <c r="T870" s="17"/>
    </row>
    <row r="871">
      <c r="A871" s="327"/>
      <c r="B871" s="121"/>
      <c r="C871" s="327"/>
      <c r="D871" s="127"/>
      <c r="E871" s="327"/>
      <c r="F871" s="121"/>
      <c r="G871" s="327"/>
      <c r="H871" s="121"/>
      <c r="I871" s="334"/>
      <c r="J871" s="127"/>
      <c r="K871" s="334"/>
      <c r="L871" s="127"/>
      <c r="M871" s="334"/>
      <c r="N871" s="127"/>
      <c r="O871" s="327"/>
      <c r="P871" s="121"/>
      <c r="Q871" s="143"/>
      <c r="R871" s="143"/>
      <c r="S871" s="17"/>
      <c r="T871" s="17"/>
    </row>
    <row r="872">
      <c r="A872" s="327"/>
      <c r="B872" s="121"/>
      <c r="C872" s="327"/>
      <c r="D872" s="127"/>
      <c r="E872" s="327"/>
      <c r="F872" s="121"/>
      <c r="G872" s="327"/>
      <c r="H872" s="121"/>
      <c r="I872" s="334"/>
      <c r="J872" s="127"/>
      <c r="K872" s="334"/>
      <c r="L872" s="127"/>
      <c r="M872" s="334"/>
      <c r="N872" s="127"/>
      <c r="O872" s="327"/>
      <c r="P872" s="121"/>
      <c r="Q872" s="143"/>
      <c r="R872" s="143"/>
      <c r="S872" s="17"/>
      <c r="T872" s="17"/>
    </row>
    <row r="873">
      <c r="A873" s="327"/>
      <c r="B873" s="121"/>
      <c r="C873" s="327"/>
      <c r="D873" s="127"/>
      <c r="E873" s="327"/>
      <c r="F873" s="121"/>
      <c r="G873" s="327"/>
      <c r="H873" s="121"/>
      <c r="I873" s="334"/>
      <c r="J873" s="127"/>
      <c r="K873" s="334"/>
      <c r="L873" s="127"/>
      <c r="M873" s="334"/>
      <c r="N873" s="127"/>
      <c r="O873" s="327"/>
      <c r="P873" s="121"/>
      <c r="Q873" s="143"/>
      <c r="R873" s="143"/>
      <c r="S873" s="17"/>
      <c r="T873" s="17"/>
    </row>
    <row r="874">
      <c r="A874" s="327"/>
      <c r="B874" s="121"/>
      <c r="C874" s="327"/>
      <c r="D874" s="127"/>
      <c r="E874" s="327"/>
      <c r="F874" s="121"/>
      <c r="G874" s="327"/>
      <c r="H874" s="121"/>
      <c r="I874" s="334"/>
      <c r="J874" s="127"/>
      <c r="K874" s="334"/>
      <c r="L874" s="127"/>
      <c r="M874" s="334"/>
      <c r="N874" s="127"/>
      <c r="O874" s="327"/>
      <c r="P874" s="121"/>
      <c r="Q874" s="143"/>
      <c r="R874" s="143"/>
      <c r="S874" s="17"/>
      <c r="T874" s="17"/>
    </row>
    <row r="875">
      <c r="A875" s="327"/>
      <c r="B875" s="121"/>
      <c r="C875" s="327"/>
      <c r="D875" s="127"/>
      <c r="E875" s="327"/>
      <c r="F875" s="121"/>
      <c r="G875" s="327"/>
      <c r="H875" s="121"/>
      <c r="I875" s="334"/>
      <c r="J875" s="127"/>
      <c r="K875" s="334"/>
      <c r="L875" s="127"/>
      <c r="M875" s="334"/>
      <c r="N875" s="127"/>
      <c r="O875" s="327"/>
      <c r="P875" s="121"/>
      <c r="Q875" s="143"/>
      <c r="R875" s="143"/>
      <c r="S875" s="17"/>
      <c r="T875" s="17"/>
    </row>
    <row r="876">
      <c r="A876" s="327"/>
      <c r="B876" s="121"/>
      <c r="C876" s="327"/>
      <c r="D876" s="127"/>
      <c r="E876" s="327"/>
      <c r="F876" s="121"/>
      <c r="G876" s="327"/>
      <c r="H876" s="121"/>
      <c r="I876" s="334"/>
      <c r="J876" s="127"/>
      <c r="K876" s="334"/>
      <c r="L876" s="127"/>
      <c r="M876" s="334"/>
      <c r="N876" s="127"/>
      <c r="O876" s="327"/>
      <c r="P876" s="121"/>
      <c r="Q876" s="143"/>
      <c r="R876" s="143"/>
      <c r="S876" s="17"/>
      <c r="T876" s="17"/>
    </row>
    <row r="877">
      <c r="A877" s="327"/>
      <c r="B877" s="121"/>
      <c r="C877" s="327"/>
      <c r="D877" s="127"/>
      <c r="E877" s="327"/>
      <c r="F877" s="121"/>
      <c r="G877" s="327"/>
      <c r="H877" s="121"/>
      <c r="I877" s="334"/>
      <c r="J877" s="127"/>
      <c r="K877" s="334"/>
      <c r="L877" s="127"/>
      <c r="M877" s="334"/>
      <c r="N877" s="127"/>
      <c r="O877" s="327"/>
      <c r="P877" s="121"/>
      <c r="Q877" s="143"/>
      <c r="R877" s="143"/>
      <c r="S877" s="17"/>
      <c r="T877" s="17"/>
    </row>
    <row r="878">
      <c r="A878" s="327"/>
      <c r="B878" s="121"/>
      <c r="C878" s="327"/>
      <c r="D878" s="127"/>
      <c r="E878" s="327"/>
      <c r="F878" s="121"/>
      <c r="G878" s="327"/>
      <c r="H878" s="121"/>
      <c r="I878" s="334"/>
      <c r="J878" s="127"/>
      <c r="K878" s="334"/>
      <c r="L878" s="127"/>
      <c r="M878" s="334"/>
      <c r="N878" s="127"/>
      <c r="O878" s="327"/>
      <c r="P878" s="121"/>
      <c r="Q878" s="143"/>
      <c r="R878" s="143"/>
      <c r="S878" s="17"/>
      <c r="T878" s="17"/>
    </row>
    <row r="879">
      <c r="A879" s="327"/>
      <c r="B879" s="121"/>
      <c r="C879" s="327"/>
      <c r="D879" s="127"/>
      <c r="E879" s="327"/>
      <c r="F879" s="121"/>
      <c r="G879" s="327"/>
      <c r="H879" s="121"/>
      <c r="I879" s="334"/>
      <c r="J879" s="127"/>
      <c r="K879" s="334"/>
      <c r="L879" s="127"/>
      <c r="M879" s="334"/>
      <c r="N879" s="127"/>
      <c r="O879" s="327"/>
      <c r="P879" s="121"/>
      <c r="Q879" s="143"/>
      <c r="R879" s="143"/>
      <c r="S879" s="17"/>
      <c r="T879" s="17"/>
    </row>
    <row r="880">
      <c r="A880" s="327"/>
      <c r="B880" s="121"/>
      <c r="C880" s="327"/>
      <c r="D880" s="127"/>
      <c r="E880" s="327"/>
      <c r="F880" s="121"/>
      <c r="G880" s="327"/>
      <c r="H880" s="121"/>
      <c r="I880" s="334"/>
      <c r="J880" s="127"/>
      <c r="K880" s="334"/>
      <c r="L880" s="127"/>
      <c r="M880" s="334"/>
      <c r="N880" s="127"/>
      <c r="O880" s="327"/>
      <c r="P880" s="121"/>
      <c r="Q880" s="143"/>
      <c r="R880" s="143"/>
      <c r="S880" s="17"/>
      <c r="T880" s="17"/>
    </row>
    <row r="881">
      <c r="A881" s="327"/>
      <c r="B881" s="121"/>
      <c r="C881" s="327"/>
      <c r="D881" s="127"/>
      <c r="E881" s="327"/>
      <c r="F881" s="121"/>
      <c r="G881" s="327"/>
      <c r="H881" s="121"/>
      <c r="I881" s="334"/>
      <c r="J881" s="127"/>
      <c r="K881" s="334"/>
      <c r="L881" s="127"/>
      <c r="M881" s="334"/>
      <c r="N881" s="127"/>
      <c r="O881" s="327"/>
      <c r="P881" s="121"/>
      <c r="Q881" s="143"/>
      <c r="R881" s="143"/>
      <c r="S881" s="17"/>
      <c r="T881" s="17"/>
    </row>
    <row r="882">
      <c r="A882" s="327"/>
      <c r="B882" s="121"/>
      <c r="C882" s="327"/>
      <c r="D882" s="127"/>
      <c r="E882" s="327"/>
      <c r="F882" s="121"/>
      <c r="G882" s="327"/>
      <c r="H882" s="121"/>
      <c r="I882" s="334"/>
      <c r="J882" s="127"/>
      <c r="K882" s="334"/>
      <c r="L882" s="127"/>
      <c r="M882" s="334"/>
      <c r="N882" s="127"/>
      <c r="O882" s="327"/>
      <c r="P882" s="121"/>
      <c r="Q882" s="143"/>
      <c r="R882" s="143"/>
      <c r="S882" s="17"/>
      <c r="T882" s="17"/>
    </row>
    <row r="883">
      <c r="A883" s="327"/>
      <c r="B883" s="121"/>
      <c r="C883" s="327"/>
      <c r="D883" s="127"/>
      <c r="E883" s="327"/>
      <c r="F883" s="121"/>
      <c r="G883" s="327"/>
      <c r="H883" s="121"/>
      <c r="I883" s="334"/>
      <c r="J883" s="127"/>
      <c r="K883" s="334"/>
      <c r="L883" s="127"/>
      <c r="M883" s="334"/>
      <c r="N883" s="127"/>
      <c r="O883" s="327"/>
      <c r="P883" s="121"/>
      <c r="Q883" s="143"/>
      <c r="R883" s="143"/>
      <c r="S883" s="17"/>
      <c r="T883" s="17"/>
    </row>
    <row r="884">
      <c r="A884" s="327"/>
      <c r="B884" s="121"/>
      <c r="C884" s="327"/>
      <c r="D884" s="127"/>
      <c r="E884" s="327"/>
      <c r="F884" s="121"/>
      <c r="G884" s="327"/>
      <c r="H884" s="121"/>
      <c r="I884" s="334"/>
      <c r="J884" s="127"/>
      <c r="K884" s="334"/>
      <c r="L884" s="127"/>
      <c r="M884" s="334"/>
      <c r="N884" s="127"/>
      <c r="O884" s="327"/>
      <c r="P884" s="121"/>
      <c r="Q884" s="143"/>
      <c r="R884" s="143"/>
      <c r="S884" s="17"/>
      <c r="T884" s="17"/>
    </row>
    <row r="885">
      <c r="A885" s="327"/>
      <c r="B885" s="121"/>
      <c r="C885" s="327"/>
      <c r="D885" s="127"/>
      <c r="E885" s="327"/>
      <c r="F885" s="121"/>
      <c r="G885" s="327"/>
      <c r="H885" s="121"/>
      <c r="I885" s="334"/>
      <c r="J885" s="127"/>
      <c r="K885" s="334"/>
      <c r="L885" s="127"/>
      <c r="M885" s="334"/>
      <c r="N885" s="127"/>
      <c r="O885" s="327"/>
      <c r="P885" s="121"/>
      <c r="Q885" s="143"/>
      <c r="R885" s="143"/>
      <c r="S885" s="17"/>
      <c r="T885" s="17"/>
    </row>
    <row r="886">
      <c r="A886" s="327"/>
      <c r="B886" s="121"/>
      <c r="C886" s="327"/>
      <c r="D886" s="127"/>
      <c r="E886" s="327"/>
      <c r="F886" s="121"/>
      <c r="G886" s="327"/>
      <c r="H886" s="121"/>
      <c r="I886" s="334"/>
      <c r="J886" s="127"/>
      <c r="K886" s="334"/>
      <c r="L886" s="127"/>
      <c r="M886" s="334"/>
      <c r="N886" s="127"/>
      <c r="O886" s="327"/>
      <c r="P886" s="121"/>
      <c r="Q886" s="143"/>
      <c r="R886" s="143"/>
      <c r="S886" s="17"/>
      <c r="T886" s="17"/>
    </row>
    <row r="887">
      <c r="A887" s="327"/>
      <c r="B887" s="121"/>
      <c r="C887" s="327"/>
      <c r="D887" s="127"/>
      <c r="E887" s="327"/>
      <c r="F887" s="121"/>
      <c r="G887" s="327"/>
      <c r="H887" s="121"/>
      <c r="I887" s="334"/>
      <c r="J887" s="127"/>
      <c r="K887" s="334"/>
      <c r="L887" s="127"/>
      <c r="M887" s="334"/>
      <c r="N887" s="127"/>
      <c r="O887" s="327"/>
      <c r="P887" s="121"/>
      <c r="Q887" s="143"/>
      <c r="R887" s="143"/>
      <c r="S887" s="17"/>
      <c r="T887" s="17"/>
    </row>
    <row r="888">
      <c r="A888" s="327"/>
      <c r="B888" s="121"/>
      <c r="C888" s="327"/>
      <c r="D888" s="127"/>
      <c r="E888" s="327"/>
      <c r="F888" s="121"/>
      <c r="G888" s="327"/>
      <c r="H888" s="121"/>
      <c r="I888" s="334"/>
      <c r="J888" s="127"/>
      <c r="K888" s="334"/>
      <c r="L888" s="127"/>
      <c r="M888" s="334"/>
      <c r="N888" s="127"/>
      <c r="O888" s="327"/>
      <c r="P888" s="121"/>
      <c r="Q888" s="143"/>
      <c r="R888" s="143"/>
      <c r="S888" s="17"/>
      <c r="T888" s="17"/>
    </row>
    <row r="889">
      <c r="A889" s="327"/>
      <c r="B889" s="121"/>
      <c r="C889" s="327"/>
      <c r="D889" s="127"/>
      <c r="E889" s="327"/>
      <c r="F889" s="121"/>
      <c r="G889" s="327"/>
      <c r="H889" s="121"/>
      <c r="I889" s="334"/>
      <c r="J889" s="127"/>
      <c r="K889" s="334"/>
      <c r="L889" s="127"/>
      <c r="M889" s="334"/>
      <c r="N889" s="127"/>
      <c r="O889" s="327"/>
      <c r="P889" s="121"/>
      <c r="Q889" s="143"/>
      <c r="R889" s="143"/>
      <c r="S889" s="17"/>
      <c r="T889" s="17"/>
    </row>
    <row r="890">
      <c r="A890" s="327"/>
      <c r="B890" s="121"/>
      <c r="C890" s="327"/>
      <c r="D890" s="127"/>
      <c r="E890" s="327"/>
      <c r="F890" s="121"/>
      <c r="G890" s="327"/>
      <c r="H890" s="121"/>
      <c r="I890" s="334"/>
      <c r="J890" s="127"/>
      <c r="K890" s="334"/>
      <c r="L890" s="127"/>
      <c r="M890" s="334"/>
      <c r="N890" s="127"/>
      <c r="O890" s="327"/>
      <c r="P890" s="121"/>
      <c r="Q890" s="143"/>
      <c r="R890" s="143"/>
      <c r="S890" s="17"/>
      <c r="T890" s="17"/>
    </row>
    <row r="891">
      <c r="A891" s="327"/>
      <c r="B891" s="121"/>
      <c r="C891" s="327"/>
      <c r="D891" s="127"/>
      <c r="E891" s="327"/>
      <c r="F891" s="121"/>
      <c r="G891" s="327"/>
      <c r="H891" s="121"/>
      <c r="I891" s="334"/>
      <c r="J891" s="127"/>
      <c r="K891" s="334"/>
      <c r="L891" s="127"/>
      <c r="M891" s="334"/>
      <c r="N891" s="127"/>
      <c r="O891" s="327"/>
      <c r="P891" s="121"/>
      <c r="Q891" s="143"/>
      <c r="R891" s="143"/>
      <c r="S891" s="17"/>
      <c r="T891" s="17"/>
    </row>
    <row r="892">
      <c r="A892" s="327"/>
      <c r="B892" s="121"/>
      <c r="C892" s="327"/>
      <c r="D892" s="127"/>
      <c r="E892" s="327"/>
      <c r="F892" s="121"/>
      <c r="G892" s="327"/>
      <c r="H892" s="121"/>
      <c r="I892" s="334"/>
      <c r="J892" s="127"/>
      <c r="K892" s="334"/>
      <c r="L892" s="127"/>
      <c r="M892" s="334"/>
      <c r="N892" s="127"/>
      <c r="O892" s="327"/>
      <c r="P892" s="121"/>
      <c r="Q892" s="143"/>
      <c r="R892" s="143"/>
      <c r="S892" s="17"/>
      <c r="T892" s="17"/>
    </row>
    <row r="893">
      <c r="A893" s="327"/>
      <c r="B893" s="121"/>
      <c r="C893" s="327"/>
      <c r="D893" s="127"/>
      <c r="E893" s="327"/>
      <c r="F893" s="121"/>
      <c r="G893" s="327"/>
      <c r="H893" s="121"/>
      <c r="I893" s="334"/>
      <c r="J893" s="127"/>
      <c r="K893" s="334"/>
      <c r="L893" s="127"/>
      <c r="M893" s="334"/>
      <c r="N893" s="127"/>
      <c r="O893" s="327"/>
      <c r="P893" s="121"/>
      <c r="Q893" s="143"/>
      <c r="R893" s="143"/>
      <c r="S893" s="17"/>
      <c r="T893" s="17"/>
    </row>
    <row r="894">
      <c r="A894" s="327"/>
      <c r="B894" s="121"/>
      <c r="C894" s="327"/>
      <c r="D894" s="127"/>
      <c r="E894" s="327"/>
      <c r="F894" s="121"/>
      <c r="G894" s="327"/>
      <c r="H894" s="121"/>
      <c r="I894" s="334"/>
      <c r="J894" s="127"/>
      <c r="K894" s="334"/>
      <c r="L894" s="127"/>
      <c r="M894" s="334"/>
      <c r="N894" s="127"/>
      <c r="O894" s="327"/>
      <c r="P894" s="121"/>
      <c r="Q894" s="143"/>
      <c r="R894" s="143"/>
      <c r="S894" s="17"/>
      <c r="T894" s="17"/>
    </row>
    <row r="895">
      <c r="A895" s="327"/>
      <c r="B895" s="121"/>
      <c r="C895" s="327"/>
      <c r="D895" s="127"/>
      <c r="E895" s="327"/>
      <c r="F895" s="121"/>
      <c r="G895" s="327"/>
      <c r="H895" s="121"/>
      <c r="I895" s="334"/>
      <c r="J895" s="127"/>
      <c r="K895" s="334"/>
      <c r="L895" s="127"/>
      <c r="M895" s="334"/>
      <c r="N895" s="127"/>
      <c r="O895" s="327"/>
      <c r="P895" s="121"/>
      <c r="Q895" s="143"/>
      <c r="R895" s="143"/>
      <c r="S895" s="17"/>
      <c r="T895" s="17"/>
    </row>
    <row r="896">
      <c r="A896" s="327"/>
      <c r="B896" s="121"/>
      <c r="C896" s="327"/>
      <c r="D896" s="127"/>
      <c r="E896" s="327"/>
      <c r="F896" s="121"/>
      <c r="G896" s="327"/>
      <c r="H896" s="121"/>
      <c r="I896" s="334"/>
      <c r="J896" s="127"/>
      <c r="K896" s="334"/>
      <c r="L896" s="127"/>
      <c r="M896" s="334"/>
      <c r="N896" s="127"/>
      <c r="O896" s="327"/>
      <c r="P896" s="121"/>
      <c r="Q896" s="143"/>
      <c r="R896" s="143"/>
      <c r="S896" s="17"/>
      <c r="T896" s="17"/>
    </row>
    <row r="897">
      <c r="A897" s="327"/>
      <c r="B897" s="121"/>
      <c r="C897" s="327"/>
      <c r="D897" s="127"/>
      <c r="E897" s="327"/>
      <c r="F897" s="121"/>
      <c r="G897" s="327"/>
      <c r="H897" s="121"/>
      <c r="I897" s="334"/>
      <c r="J897" s="127"/>
      <c r="K897" s="334"/>
      <c r="L897" s="127"/>
      <c r="M897" s="334"/>
      <c r="N897" s="127"/>
      <c r="O897" s="327"/>
      <c r="P897" s="121"/>
      <c r="Q897" s="143"/>
      <c r="R897" s="143"/>
      <c r="S897" s="17"/>
      <c r="T897" s="17"/>
    </row>
    <row r="898">
      <c r="A898" s="327"/>
      <c r="B898" s="121"/>
      <c r="C898" s="327"/>
      <c r="D898" s="127"/>
      <c r="E898" s="327"/>
      <c r="F898" s="121"/>
      <c r="G898" s="327"/>
      <c r="H898" s="121"/>
      <c r="I898" s="334"/>
      <c r="J898" s="127"/>
      <c r="K898" s="334"/>
      <c r="L898" s="127"/>
      <c r="M898" s="334"/>
      <c r="N898" s="127"/>
      <c r="O898" s="327"/>
      <c r="P898" s="121"/>
      <c r="Q898" s="143"/>
      <c r="R898" s="143"/>
      <c r="S898" s="17"/>
      <c r="T898" s="17"/>
    </row>
    <row r="899">
      <c r="A899" s="327"/>
      <c r="B899" s="121"/>
      <c r="C899" s="327"/>
      <c r="D899" s="127"/>
      <c r="E899" s="327"/>
      <c r="F899" s="121"/>
      <c r="G899" s="327"/>
      <c r="H899" s="121"/>
      <c r="I899" s="334"/>
      <c r="J899" s="127"/>
      <c r="K899" s="334"/>
      <c r="L899" s="127"/>
      <c r="M899" s="334"/>
      <c r="N899" s="127"/>
      <c r="O899" s="327"/>
      <c r="P899" s="121"/>
      <c r="Q899" s="143"/>
      <c r="R899" s="143"/>
      <c r="S899" s="17"/>
      <c r="T899" s="17"/>
    </row>
    <row r="900">
      <c r="A900" s="327"/>
      <c r="B900" s="121"/>
      <c r="C900" s="327"/>
      <c r="D900" s="127"/>
      <c r="E900" s="327"/>
      <c r="F900" s="121"/>
      <c r="G900" s="327"/>
      <c r="H900" s="121"/>
      <c r="I900" s="334"/>
      <c r="J900" s="127"/>
      <c r="K900" s="334"/>
      <c r="L900" s="127"/>
      <c r="M900" s="334"/>
      <c r="N900" s="127"/>
      <c r="O900" s="327"/>
      <c r="P900" s="121"/>
      <c r="Q900" s="143"/>
      <c r="R900" s="143"/>
      <c r="S900" s="17"/>
      <c r="T900" s="17"/>
    </row>
    <row r="901">
      <c r="A901" s="327"/>
      <c r="B901" s="121"/>
      <c r="C901" s="327"/>
      <c r="D901" s="127"/>
      <c r="E901" s="327"/>
      <c r="F901" s="121"/>
      <c r="G901" s="327"/>
      <c r="H901" s="121"/>
      <c r="I901" s="334"/>
      <c r="J901" s="127"/>
      <c r="K901" s="334"/>
      <c r="L901" s="127"/>
      <c r="M901" s="334"/>
      <c r="N901" s="127"/>
      <c r="O901" s="327"/>
      <c r="P901" s="121"/>
      <c r="Q901" s="143"/>
      <c r="R901" s="143"/>
      <c r="S901" s="17"/>
      <c r="T901" s="17"/>
    </row>
    <row r="902">
      <c r="A902" s="327"/>
      <c r="B902" s="121"/>
      <c r="C902" s="327"/>
      <c r="D902" s="127"/>
      <c r="E902" s="327"/>
      <c r="F902" s="121"/>
      <c r="G902" s="327"/>
      <c r="H902" s="121"/>
      <c r="I902" s="334"/>
      <c r="J902" s="127"/>
      <c r="K902" s="334"/>
      <c r="L902" s="127"/>
      <c r="M902" s="334"/>
      <c r="N902" s="127"/>
      <c r="O902" s="327"/>
      <c r="P902" s="121"/>
      <c r="Q902" s="143"/>
      <c r="R902" s="143"/>
      <c r="S902" s="17"/>
      <c r="T902" s="17"/>
    </row>
    <row r="903">
      <c r="A903" s="327"/>
      <c r="B903" s="121"/>
      <c r="C903" s="327"/>
      <c r="D903" s="127"/>
      <c r="E903" s="327"/>
      <c r="F903" s="121"/>
      <c r="G903" s="327"/>
      <c r="H903" s="121"/>
      <c r="I903" s="334"/>
      <c r="J903" s="127"/>
      <c r="K903" s="334"/>
      <c r="L903" s="127"/>
      <c r="M903" s="334"/>
      <c r="N903" s="127"/>
      <c r="O903" s="327"/>
      <c r="P903" s="121"/>
      <c r="Q903" s="143"/>
      <c r="R903" s="143"/>
      <c r="S903" s="17"/>
      <c r="T903" s="17"/>
    </row>
    <row r="904">
      <c r="A904" s="327"/>
      <c r="B904" s="121"/>
      <c r="C904" s="327"/>
      <c r="D904" s="127"/>
      <c r="E904" s="327"/>
      <c r="F904" s="121"/>
      <c r="G904" s="327"/>
      <c r="H904" s="121"/>
      <c r="I904" s="334"/>
      <c r="J904" s="127"/>
      <c r="K904" s="334"/>
      <c r="L904" s="127"/>
      <c r="M904" s="334"/>
      <c r="N904" s="127"/>
      <c r="O904" s="327"/>
      <c r="P904" s="121"/>
      <c r="Q904" s="143"/>
      <c r="R904" s="143"/>
      <c r="S904" s="17"/>
      <c r="T904" s="17"/>
    </row>
    <row r="905">
      <c r="A905" s="327"/>
      <c r="B905" s="121"/>
      <c r="C905" s="327"/>
      <c r="D905" s="127"/>
      <c r="E905" s="327"/>
      <c r="F905" s="121"/>
      <c r="G905" s="327"/>
      <c r="H905" s="121"/>
      <c r="I905" s="334"/>
      <c r="J905" s="127"/>
      <c r="K905" s="334"/>
      <c r="L905" s="127"/>
      <c r="M905" s="334"/>
      <c r="N905" s="127"/>
      <c r="O905" s="327"/>
      <c r="P905" s="121"/>
      <c r="Q905" s="143"/>
      <c r="R905" s="143"/>
      <c r="S905" s="17"/>
      <c r="T905" s="17"/>
    </row>
    <row r="906">
      <c r="A906" s="327"/>
      <c r="B906" s="121"/>
      <c r="C906" s="327"/>
      <c r="D906" s="127"/>
      <c r="E906" s="327"/>
      <c r="F906" s="121"/>
      <c r="G906" s="327"/>
      <c r="H906" s="121"/>
      <c r="I906" s="334"/>
      <c r="J906" s="127"/>
      <c r="K906" s="334"/>
      <c r="L906" s="127"/>
      <c r="M906" s="334"/>
      <c r="N906" s="127"/>
      <c r="O906" s="327"/>
      <c r="P906" s="121"/>
      <c r="Q906" s="143"/>
      <c r="R906" s="143"/>
      <c r="S906" s="17"/>
      <c r="T906" s="17"/>
    </row>
    <row r="907">
      <c r="A907" s="327"/>
      <c r="B907" s="121"/>
      <c r="C907" s="327"/>
      <c r="D907" s="127"/>
      <c r="E907" s="327"/>
      <c r="F907" s="121"/>
      <c r="G907" s="327"/>
      <c r="H907" s="121"/>
      <c r="I907" s="334"/>
      <c r="J907" s="127"/>
      <c r="K907" s="334"/>
      <c r="L907" s="127"/>
      <c r="M907" s="334"/>
      <c r="N907" s="127"/>
      <c r="O907" s="327"/>
      <c r="P907" s="121"/>
      <c r="Q907" s="143"/>
      <c r="R907" s="143"/>
      <c r="S907" s="17"/>
      <c r="T907" s="17"/>
    </row>
    <row r="908">
      <c r="A908" s="327"/>
      <c r="B908" s="121"/>
      <c r="C908" s="327"/>
      <c r="D908" s="127"/>
      <c r="E908" s="327"/>
      <c r="F908" s="121"/>
      <c r="G908" s="327"/>
      <c r="H908" s="121"/>
      <c r="I908" s="334"/>
      <c r="J908" s="127"/>
      <c r="K908" s="334"/>
      <c r="L908" s="127"/>
      <c r="M908" s="334"/>
      <c r="N908" s="127"/>
      <c r="O908" s="327"/>
      <c r="P908" s="121"/>
      <c r="Q908" s="143"/>
      <c r="R908" s="143"/>
      <c r="S908" s="17"/>
      <c r="T908" s="17"/>
    </row>
    <row r="909">
      <c r="A909" s="327"/>
      <c r="B909" s="121"/>
      <c r="C909" s="327"/>
      <c r="D909" s="127"/>
      <c r="E909" s="327"/>
      <c r="F909" s="121"/>
      <c r="G909" s="327"/>
      <c r="H909" s="121"/>
      <c r="I909" s="334"/>
      <c r="J909" s="127"/>
      <c r="K909" s="334"/>
      <c r="L909" s="127"/>
      <c r="M909" s="334"/>
      <c r="N909" s="127"/>
      <c r="O909" s="327"/>
      <c r="P909" s="121"/>
      <c r="Q909" s="143"/>
      <c r="R909" s="143"/>
      <c r="S909" s="17"/>
      <c r="T909" s="17"/>
    </row>
    <row r="910">
      <c r="A910" s="327"/>
      <c r="B910" s="121"/>
      <c r="C910" s="327"/>
      <c r="D910" s="127"/>
      <c r="E910" s="327"/>
      <c r="F910" s="121"/>
      <c r="G910" s="327"/>
      <c r="H910" s="121"/>
      <c r="I910" s="334"/>
      <c r="J910" s="127"/>
      <c r="K910" s="334"/>
      <c r="L910" s="127"/>
      <c r="M910" s="334"/>
      <c r="N910" s="127"/>
      <c r="O910" s="327"/>
      <c r="P910" s="121"/>
      <c r="Q910" s="143"/>
      <c r="R910" s="143"/>
      <c r="S910" s="17"/>
      <c r="T910" s="17"/>
    </row>
    <row r="911">
      <c r="A911" s="327"/>
      <c r="B911" s="121"/>
      <c r="C911" s="327"/>
      <c r="D911" s="127"/>
      <c r="E911" s="327"/>
      <c r="F911" s="121"/>
      <c r="G911" s="327"/>
      <c r="H911" s="121"/>
      <c r="I911" s="334"/>
      <c r="J911" s="127"/>
      <c r="K911" s="334"/>
      <c r="L911" s="127"/>
      <c r="M911" s="334"/>
      <c r="N911" s="127"/>
      <c r="O911" s="327"/>
      <c r="P911" s="121"/>
      <c r="Q911" s="143"/>
      <c r="R911" s="143"/>
      <c r="S911" s="17"/>
      <c r="T911" s="17"/>
    </row>
    <row r="912">
      <c r="A912" s="327"/>
      <c r="B912" s="121"/>
      <c r="C912" s="327"/>
      <c r="D912" s="127"/>
      <c r="E912" s="327"/>
      <c r="F912" s="121"/>
      <c r="G912" s="327"/>
      <c r="H912" s="121"/>
      <c r="I912" s="334"/>
      <c r="J912" s="127"/>
      <c r="K912" s="334"/>
      <c r="L912" s="127"/>
      <c r="M912" s="334"/>
      <c r="N912" s="127"/>
      <c r="O912" s="327"/>
      <c r="P912" s="121"/>
      <c r="Q912" s="143"/>
      <c r="R912" s="143"/>
      <c r="S912" s="17"/>
      <c r="T912" s="17"/>
    </row>
    <row r="913">
      <c r="A913" s="327"/>
      <c r="B913" s="121"/>
      <c r="C913" s="327"/>
      <c r="D913" s="127"/>
      <c r="E913" s="327"/>
      <c r="F913" s="121"/>
      <c r="G913" s="327"/>
      <c r="H913" s="121"/>
      <c r="I913" s="334"/>
      <c r="J913" s="127"/>
      <c r="K913" s="334"/>
      <c r="L913" s="127"/>
      <c r="M913" s="334"/>
      <c r="N913" s="127"/>
      <c r="O913" s="327"/>
      <c r="P913" s="121"/>
      <c r="Q913" s="143"/>
      <c r="R913" s="143"/>
      <c r="S913" s="17"/>
      <c r="T913" s="17"/>
    </row>
    <row r="914">
      <c r="A914" s="327"/>
      <c r="B914" s="121"/>
      <c r="C914" s="327"/>
      <c r="D914" s="127"/>
      <c r="E914" s="327"/>
      <c r="F914" s="121"/>
      <c r="G914" s="327"/>
      <c r="H914" s="121"/>
      <c r="I914" s="334"/>
      <c r="J914" s="127"/>
      <c r="K914" s="334"/>
      <c r="L914" s="127"/>
      <c r="M914" s="334"/>
      <c r="N914" s="127"/>
      <c r="O914" s="327"/>
      <c r="P914" s="121"/>
      <c r="Q914" s="143"/>
      <c r="R914" s="143"/>
      <c r="S914" s="17"/>
      <c r="T914" s="17"/>
    </row>
    <row r="915">
      <c r="A915" s="327"/>
      <c r="B915" s="121"/>
      <c r="C915" s="327"/>
      <c r="D915" s="127"/>
      <c r="E915" s="327"/>
      <c r="F915" s="121"/>
      <c r="G915" s="327"/>
      <c r="H915" s="121"/>
      <c r="I915" s="334"/>
      <c r="J915" s="127"/>
      <c r="K915" s="334"/>
      <c r="L915" s="127"/>
      <c r="M915" s="334"/>
      <c r="N915" s="127"/>
      <c r="O915" s="327"/>
      <c r="P915" s="121"/>
      <c r="Q915" s="143"/>
      <c r="R915" s="143"/>
      <c r="S915" s="17"/>
      <c r="T915" s="17"/>
    </row>
    <row r="916">
      <c r="A916" s="327"/>
      <c r="B916" s="121"/>
      <c r="C916" s="327"/>
      <c r="D916" s="127"/>
      <c r="E916" s="327"/>
      <c r="F916" s="121"/>
      <c r="G916" s="327"/>
      <c r="H916" s="121"/>
      <c r="I916" s="334"/>
      <c r="J916" s="127"/>
      <c r="K916" s="334"/>
      <c r="L916" s="127"/>
      <c r="M916" s="334"/>
      <c r="N916" s="127"/>
      <c r="O916" s="327"/>
      <c r="P916" s="121"/>
      <c r="Q916" s="143"/>
      <c r="R916" s="143"/>
      <c r="S916" s="17"/>
      <c r="T916" s="17"/>
    </row>
    <row r="917">
      <c r="A917" s="327"/>
      <c r="B917" s="121"/>
      <c r="C917" s="327"/>
      <c r="D917" s="127"/>
      <c r="E917" s="327"/>
      <c r="F917" s="121"/>
      <c r="G917" s="327"/>
      <c r="H917" s="121"/>
      <c r="I917" s="334"/>
      <c r="J917" s="127"/>
      <c r="K917" s="334"/>
      <c r="L917" s="127"/>
      <c r="M917" s="334"/>
      <c r="N917" s="127"/>
      <c r="O917" s="327"/>
      <c r="P917" s="121"/>
      <c r="Q917" s="143"/>
      <c r="R917" s="143"/>
      <c r="S917" s="17"/>
      <c r="T917" s="17"/>
    </row>
    <row r="918">
      <c r="A918" s="327"/>
      <c r="B918" s="121"/>
      <c r="C918" s="327"/>
      <c r="D918" s="127"/>
      <c r="E918" s="327"/>
      <c r="F918" s="121"/>
      <c r="G918" s="327"/>
      <c r="H918" s="121"/>
      <c r="I918" s="334"/>
      <c r="J918" s="127"/>
      <c r="K918" s="334"/>
      <c r="L918" s="127"/>
      <c r="M918" s="334"/>
      <c r="N918" s="127"/>
      <c r="O918" s="327"/>
      <c r="P918" s="121"/>
      <c r="Q918" s="143"/>
      <c r="R918" s="143"/>
      <c r="S918" s="17"/>
      <c r="T918" s="17"/>
    </row>
    <row r="919">
      <c r="A919" s="327"/>
      <c r="B919" s="121"/>
      <c r="C919" s="327"/>
      <c r="D919" s="127"/>
      <c r="E919" s="327"/>
      <c r="F919" s="121"/>
      <c r="G919" s="327"/>
      <c r="H919" s="121"/>
      <c r="I919" s="334"/>
      <c r="J919" s="127"/>
      <c r="K919" s="334"/>
      <c r="L919" s="127"/>
      <c r="M919" s="334"/>
      <c r="N919" s="127"/>
      <c r="O919" s="327"/>
      <c r="P919" s="121"/>
      <c r="Q919" s="143"/>
      <c r="R919" s="143"/>
      <c r="S919" s="17"/>
      <c r="T919" s="17"/>
    </row>
    <row r="920">
      <c r="A920" s="327"/>
      <c r="B920" s="121"/>
      <c r="C920" s="327"/>
      <c r="D920" s="127"/>
      <c r="E920" s="327"/>
      <c r="F920" s="121"/>
      <c r="G920" s="327"/>
      <c r="H920" s="121"/>
      <c r="I920" s="334"/>
      <c r="J920" s="127"/>
      <c r="K920" s="334"/>
      <c r="L920" s="127"/>
      <c r="M920" s="334"/>
      <c r="N920" s="127"/>
      <c r="O920" s="327"/>
      <c r="P920" s="121"/>
      <c r="Q920" s="143"/>
      <c r="R920" s="143"/>
      <c r="S920" s="17"/>
      <c r="T920" s="17"/>
    </row>
    <row r="921">
      <c r="A921" s="327"/>
      <c r="B921" s="121"/>
      <c r="C921" s="327"/>
      <c r="D921" s="127"/>
      <c r="E921" s="327"/>
      <c r="F921" s="121"/>
      <c r="G921" s="327"/>
      <c r="H921" s="121"/>
      <c r="I921" s="334"/>
      <c r="J921" s="127"/>
      <c r="K921" s="334"/>
      <c r="L921" s="127"/>
      <c r="M921" s="334"/>
      <c r="N921" s="127"/>
      <c r="O921" s="327"/>
      <c r="P921" s="121"/>
      <c r="Q921" s="143"/>
      <c r="R921" s="143"/>
      <c r="S921" s="17"/>
      <c r="T921" s="17"/>
    </row>
    <row r="922">
      <c r="A922" s="327"/>
      <c r="B922" s="121"/>
      <c r="C922" s="327"/>
      <c r="D922" s="127"/>
      <c r="E922" s="327"/>
      <c r="F922" s="121"/>
      <c r="G922" s="327"/>
      <c r="H922" s="121"/>
      <c r="I922" s="334"/>
      <c r="J922" s="127"/>
      <c r="K922" s="334"/>
      <c r="L922" s="127"/>
      <c r="M922" s="334"/>
      <c r="N922" s="127"/>
      <c r="O922" s="327"/>
      <c r="P922" s="121"/>
      <c r="Q922" s="143"/>
      <c r="R922" s="143"/>
      <c r="S922" s="17"/>
      <c r="T922" s="17"/>
    </row>
    <row r="923">
      <c r="A923" s="327"/>
      <c r="B923" s="121"/>
      <c r="C923" s="327"/>
      <c r="D923" s="127"/>
      <c r="E923" s="327"/>
      <c r="F923" s="121"/>
      <c r="G923" s="327"/>
      <c r="H923" s="121"/>
      <c r="I923" s="334"/>
      <c r="J923" s="127"/>
      <c r="K923" s="334"/>
      <c r="L923" s="127"/>
      <c r="M923" s="334"/>
      <c r="N923" s="127"/>
      <c r="O923" s="327"/>
      <c r="P923" s="121"/>
      <c r="Q923" s="143"/>
      <c r="R923" s="143"/>
      <c r="S923" s="17"/>
      <c r="T923" s="17"/>
    </row>
    <row r="924">
      <c r="A924" s="327"/>
      <c r="B924" s="121"/>
      <c r="C924" s="327"/>
      <c r="D924" s="127"/>
      <c r="E924" s="327"/>
      <c r="F924" s="121"/>
      <c r="G924" s="327"/>
      <c r="H924" s="121"/>
      <c r="I924" s="334"/>
      <c r="J924" s="127"/>
      <c r="K924" s="334"/>
      <c r="L924" s="127"/>
      <c r="M924" s="334"/>
      <c r="N924" s="127"/>
      <c r="O924" s="327"/>
      <c r="P924" s="121"/>
      <c r="Q924" s="143"/>
      <c r="R924" s="143"/>
      <c r="S924" s="17"/>
      <c r="T924" s="17"/>
    </row>
    <row r="925">
      <c r="A925" s="327"/>
      <c r="B925" s="121"/>
      <c r="C925" s="327"/>
      <c r="D925" s="127"/>
      <c r="E925" s="327"/>
      <c r="F925" s="121"/>
      <c r="G925" s="327"/>
      <c r="H925" s="121"/>
      <c r="I925" s="334"/>
      <c r="J925" s="127"/>
      <c r="K925" s="334"/>
      <c r="L925" s="127"/>
      <c r="M925" s="334"/>
      <c r="N925" s="127"/>
      <c r="O925" s="327"/>
      <c r="P925" s="121"/>
      <c r="Q925" s="143"/>
      <c r="R925" s="143"/>
      <c r="S925" s="17"/>
      <c r="T925" s="17"/>
    </row>
    <row r="926">
      <c r="A926" s="327"/>
      <c r="B926" s="121"/>
      <c r="C926" s="327"/>
      <c r="D926" s="127"/>
      <c r="E926" s="327"/>
      <c r="F926" s="121"/>
      <c r="G926" s="327"/>
      <c r="H926" s="121"/>
      <c r="I926" s="334"/>
      <c r="J926" s="127"/>
      <c r="K926" s="334"/>
      <c r="L926" s="127"/>
      <c r="M926" s="334"/>
      <c r="N926" s="127"/>
      <c r="O926" s="327"/>
      <c r="P926" s="121"/>
      <c r="Q926" s="143"/>
      <c r="R926" s="143"/>
      <c r="S926" s="17"/>
      <c r="T926" s="17"/>
    </row>
    <row r="927">
      <c r="A927" s="327"/>
      <c r="B927" s="121"/>
      <c r="C927" s="327"/>
      <c r="D927" s="127"/>
      <c r="E927" s="327"/>
      <c r="F927" s="121"/>
      <c r="G927" s="327"/>
      <c r="H927" s="121"/>
      <c r="I927" s="334"/>
      <c r="J927" s="127"/>
      <c r="K927" s="334"/>
      <c r="L927" s="127"/>
      <c r="M927" s="334"/>
      <c r="N927" s="127"/>
      <c r="O927" s="327"/>
      <c r="P927" s="121"/>
      <c r="Q927" s="143"/>
      <c r="R927" s="143"/>
      <c r="S927" s="17"/>
      <c r="T927" s="17"/>
    </row>
    <row r="928">
      <c r="A928" s="327"/>
      <c r="B928" s="121"/>
      <c r="C928" s="327"/>
      <c r="D928" s="127"/>
      <c r="E928" s="327"/>
      <c r="F928" s="121"/>
      <c r="G928" s="327"/>
      <c r="H928" s="121"/>
      <c r="I928" s="334"/>
      <c r="J928" s="127"/>
      <c r="K928" s="334"/>
      <c r="L928" s="127"/>
      <c r="M928" s="334"/>
      <c r="N928" s="127"/>
      <c r="O928" s="327"/>
      <c r="P928" s="121"/>
      <c r="Q928" s="143"/>
      <c r="R928" s="143"/>
      <c r="S928" s="17"/>
      <c r="T928" s="17"/>
    </row>
    <row r="929">
      <c r="A929" s="327"/>
      <c r="B929" s="121"/>
      <c r="C929" s="327"/>
      <c r="D929" s="127"/>
      <c r="E929" s="327"/>
      <c r="F929" s="121"/>
      <c r="G929" s="327"/>
      <c r="H929" s="121"/>
      <c r="I929" s="334"/>
      <c r="J929" s="127"/>
      <c r="K929" s="334"/>
      <c r="L929" s="127"/>
      <c r="M929" s="334"/>
      <c r="N929" s="127"/>
      <c r="O929" s="327"/>
      <c r="P929" s="121"/>
      <c r="Q929" s="143"/>
      <c r="R929" s="143"/>
      <c r="S929" s="17"/>
      <c r="T929" s="17"/>
    </row>
    <row r="930">
      <c r="A930" s="327"/>
      <c r="B930" s="121"/>
      <c r="C930" s="327"/>
      <c r="D930" s="127"/>
      <c r="E930" s="327"/>
      <c r="F930" s="121"/>
      <c r="G930" s="327"/>
      <c r="H930" s="121"/>
      <c r="I930" s="334"/>
      <c r="J930" s="127"/>
      <c r="K930" s="334"/>
      <c r="L930" s="127"/>
      <c r="M930" s="334"/>
      <c r="N930" s="127"/>
      <c r="O930" s="327"/>
      <c r="P930" s="121"/>
      <c r="Q930" s="143"/>
      <c r="R930" s="143"/>
      <c r="S930" s="17"/>
      <c r="T930" s="17"/>
    </row>
    <row r="931">
      <c r="A931" s="327"/>
      <c r="B931" s="121"/>
      <c r="C931" s="327"/>
      <c r="D931" s="127"/>
      <c r="E931" s="327"/>
      <c r="F931" s="121"/>
      <c r="G931" s="327"/>
      <c r="H931" s="121"/>
      <c r="I931" s="334"/>
      <c r="J931" s="127"/>
      <c r="K931" s="334"/>
      <c r="L931" s="127"/>
      <c r="M931" s="334"/>
      <c r="N931" s="127"/>
      <c r="O931" s="327"/>
      <c r="P931" s="121"/>
      <c r="Q931" s="143"/>
      <c r="R931" s="143"/>
      <c r="S931" s="17"/>
      <c r="T931" s="17"/>
    </row>
    <row r="932">
      <c r="A932" s="327"/>
      <c r="B932" s="121"/>
      <c r="C932" s="327"/>
      <c r="D932" s="127"/>
      <c r="E932" s="327"/>
      <c r="F932" s="121"/>
      <c r="G932" s="327"/>
      <c r="H932" s="121"/>
      <c r="I932" s="334"/>
      <c r="J932" s="127"/>
      <c r="K932" s="334"/>
      <c r="L932" s="127"/>
      <c r="M932" s="334"/>
      <c r="N932" s="127"/>
      <c r="O932" s="327"/>
      <c r="P932" s="121"/>
      <c r="Q932" s="143"/>
      <c r="R932" s="143"/>
      <c r="S932" s="17"/>
      <c r="T932" s="17"/>
    </row>
    <row r="933">
      <c r="A933" s="327"/>
      <c r="B933" s="121"/>
      <c r="C933" s="327"/>
      <c r="D933" s="127"/>
      <c r="E933" s="327"/>
      <c r="F933" s="121"/>
      <c r="G933" s="327"/>
      <c r="H933" s="121"/>
      <c r="I933" s="334"/>
      <c r="J933" s="127"/>
      <c r="K933" s="334"/>
      <c r="L933" s="127"/>
      <c r="M933" s="334"/>
      <c r="N933" s="127"/>
      <c r="O933" s="327"/>
      <c r="P933" s="121"/>
      <c r="Q933" s="143"/>
      <c r="R933" s="143"/>
      <c r="S933" s="17"/>
      <c r="T933" s="17"/>
    </row>
    <row r="934">
      <c r="A934" s="327"/>
      <c r="B934" s="121"/>
      <c r="C934" s="327"/>
      <c r="D934" s="127"/>
      <c r="E934" s="327"/>
      <c r="F934" s="121"/>
      <c r="G934" s="327"/>
      <c r="H934" s="121"/>
      <c r="I934" s="334"/>
      <c r="J934" s="127"/>
      <c r="K934" s="334"/>
      <c r="L934" s="127"/>
      <c r="M934" s="334"/>
      <c r="N934" s="127"/>
      <c r="O934" s="327"/>
      <c r="P934" s="121"/>
      <c r="Q934" s="143"/>
      <c r="R934" s="143"/>
      <c r="S934" s="17"/>
      <c r="T934" s="17"/>
    </row>
    <row r="935">
      <c r="A935" s="327"/>
      <c r="B935" s="121"/>
      <c r="C935" s="327"/>
      <c r="D935" s="127"/>
      <c r="E935" s="327"/>
      <c r="F935" s="121"/>
      <c r="G935" s="327"/>
      <c r="H935" s="121"/>
      <c r="I935" s="334"/>
      <c r="J935" s="127"/>
      <c r="K935" s="334"/>
      <c r="L935" s="127"/>
      <c r="M935" s="334"/>
      <c r="N935" s="127"/>
      <c r="O935" s="327"/>
      <c r="P935" s="121"/>
      <c r="Q935" s="143"/>
      <c r="R935" s="143"/>
      <c r="S935" s="17"/>
      <c r="T935" s="17"/>
    </row>
    <row r="936">
      <c r="A936" s="327"/>
      <c r="B936" s="121"/>
      <c r="C936" s="327"/>
      <c r="D936" s="127"/>
      <c r="E936" s="327"/>
      <c r="F936" s="121"/>
      <c r="G936" s="327"/>
      <c r="H936" s="121"/>
      <c r="I936" s="334"/>
      <c r="J936" s="127"/>
      <c r="K936" s="334"/>
      <c r="L936" s="127"/>
      <c r="M936" s="334"/>
      <c r="N936" s="127"/>
      <c r="O936" s="327"/>
      <c r="P936" s="121"/>
      <c r="Q936" s="143"/>
      <c r="R936" s="143"/>
      <c r="S936" s="17"/>
      <c r="T936" s="17"/>
    </row>
    <row r="937">
      <c r="A937" s="327"/>
      <c r="B937" s="121"/>
      <c r="C937" s="327"/>
      <c r="D937" s="127"/>
      <c r="E937" s="327"/>
      <c r="F937" s="121"/>
      <c r="G937" s="327"/>
      <c r="H937" s="121"/>
      <c r="I937" s="334"/>
      <c r="J937" s="127"/>
      <c r="K937" s="334"/>
      <c r="L937" s="127"/>
      <c r="M937" s="334"/>
      <c r="N937" s="127"/>
      <c r="O937" s="327"/>
      <c r="P937" s="121"/>
      <c r="Q937" s="143"/>
      <c r="R937" s="143"/>
      <c r="S937" s="17"/>
      <c r="T937" s="17"/>
    </row>
    <row r="938">
      <c r="A938" s="327"/>
      <c r="B938" s="121"/>
      <c r="C938" s="327"/>
      <c r="D938" s="127"/>
      <c r="E938" s="327"/>
      <c r="F938" s="121"/>
      <c r="G938" s="327"/>
      <c r="H938" s="121"/>
      <c r="I938" s="334"/>
      <c r="J938" s="127"/>
      <c r="K938" s="334"/>
      <c r="L938" s="127"/>
      <c r="M938" s="334"/>
      <c r="N938" s="127"/>
      <c r="O938" s="327"/>
      <c r="P938" s="121"/>
      <c r="Q938" s="143"/>
      <c r="R938" s="143"/>
      <c r="S938" s="17"/>
      <c r="T938" s="17"/>
    </row>
    <row r="939">
      <c r="A939" s="327"/>
      <c r="B939" s="121"/>
      <c r="C939" s="327"/>
      <c r="D939" s="127"/>
      <c r="E939" s="327"/>
      <c r="F939" s="121"/>
      <c r="G939" s="327"/>
      <c r="H939" s="121"/>
      <c r="I939" s="334"/>
      <c r="J939" s="127"/>
      <c r="K939" s="334"/>
      <c r="L939" s="127"/>
      <c r="M939" s="334"/>
      <c r="N939" s="127"/>
      <c r="O939" s="327"/>
      <c r="P939" s="121"/>
      <c r="Q939" s="143"/>
      <c r="R939" s="143"/>
      <c r="S939" s="17"/>
      <c r="T939" s="17"/>
    </row>
    <row r="940">
      <c r="A940" s="327"/>
      <c r="B940" s="121"/>
      <c r="C940" s="327"/>
      <c r="D940" s="127"/>
      <c r="E940" s="327"/>
      <c r="F940" s="121"/>
      <c r="G940" s="327"/>
      <c r="H940" s="121"/>
      <c r="I940" s="334"/>
      <c r="J940" s="127"/>
      <c r="K940" s="334"/>
      <c r="L940" s="127"/>
      <c r="M940" s="334"/>
      <c r="N940" s="127"/>
      <c r="O940" s="327"/>
      <c r="P940" s="121"/>
      <c r="Q940" s="143"/>
      <c r="R940" s="143"/>
      <c r="S940" s="17"/>
      <c r="T940" s="17"/>
    </row>
    <row r="941">
      <c r="A941" s="327"/>
      <c r="B941" s="121"/>
      <c r="C941" s="327"/>
      <c r="D941" s="127"/>
      <c r="E941" s="327"/>
      <c r="F941" s="121"/>
      <c r="G941" s="327"/>
      <c r="H941" s="121"/>
      <c r="I941" s="334"/>
      <c r="J941" s="127"/>
      <c r="K941" s="334"/>
      <c r="L941" s="127"/>
      <c r="M941" s="334"/>
      <c r="N941" s="127"/>
      <c r="O941" s="327"/>
      <c r="P941" s="121"/>
      <c r="Q941" s="143"/>
      <c r="R941" s="143"/>
      <c r="S941" s="17"/>
      <c r="T941" s="17"/>
    </row>
    <row r="942">
      <c r="A942" s="327"/>
      <c r="B942" s="121"/>
      <c r="C942" s="327"/>
      <c r="D942" s="127"/>
      <c r="E942" s="327"/>
      <c r="F942" s="121"/>
      <c r="G942" s="327"/>
      <c r="H942" s="121"/>
      <c r="I942" s="334"/>
      <c r="J942" s="127"/>
      <c r="K942" s="334"/>
      <c r="L942" s="127"/>
      <c r="M942" s="334"/>
      <c r="N942" s="127"/>
      <c r="O942" s="327"/>
      <c r="P942" s="121"/>
      <c r="Q942" s="143"/>
      <c r="R942" s="143"/>
      <c r="S942" s="17"/>
      <c r="T942" s="17"/>
    </row>
    <row r="943">
      <c r="A943" s="327"/>
      <c r="B943" s="121"/>
      <c r="C943" s="327"/>
      <c r="D943" s="127"/>
      <c r="E943" s="327"/>
      <c r="F943" s="121"/>
      <c r="G943" s="327"/>
      <c r="H943" s="121"/>
      <c r="I943" s="334"/>
      <c r="J943" s="127"/>
      <c r="K943" s="334"/>
      <c r="L943" s="127"/>
      <c r="M943" s="334"/>
      <c r="N943" s="127"/>
      <c r="O943" s="327"/>
      <c r="P943" s="121"/>
      <c r="Q943" s="143"/>
      <c r="R943" s="143"/>
      <c r="S943" s="17"/>
      <c r="T943" s="17"/>
    </row>
    <row r="944">
      <c r="A944" s="327"/>
      <c r="B944" s="121"/>
      <c r="C944" s="327"/>
      <c r="D944" s="127"/>
      <c r="E944" s="327"/>
      <c r="F944" s="121"/>
      <c r="G944" s="327"/>
      <c r="H944" s="121"/>
      <c r="I944" s="334"/>
      <c r="J944" s="127"/>
      <c r="K944" s="334"/>
      <c r="L944" s="127"/>
      <c r="M944" s="334"/>
      <c r="N944" s="127"/>
      <c r="O944" s="327"/>
      <c r="P944" s="121"/>
      <c r="Q944" s="143"/>
      <c r="R944" s="143"/>
      <c r="S944" s="17"/>
      <c r="T944" s="17"/>
    </row>
    <row r="945">
      <c r="A945" s="327"/>
      <c r="B945" s="121"/>
      <c r="C945" s="327"/>
      <c r="D945" s="127"/>
      <c r="E945" s="327"/>
      <c r="F945" s="121"/>
      <c r="G945" s="327"/>
      <c r="H945" s="121"/>
      <c r="I945" s="334"/>
      <c r="J945" s="127"/>
      <c r="K945" s="334"/>
      <c r="L945" s="127"/>
      <c r="M945" s="334"/>
      <c r="N945" s="127"/>
      <c r="O945" s="327"/>
      <c r="P945" s="121"/>
      <c r="Q945" s="143"/>
      <c r="R945" s="143"/>
      <c r="S945" s="17"/>
      <c r="T945" s="17"/>
    </row>
    <row r="946">
      <c r="A946" s="327"/>
      <c r="B946" s="121"/>
      <c r="C946" s="327"/>
      <c r="D946" s="127"/>
      <c r="E946" s="327"/>
      <c r="F946" s="121"/>
      <c r="G946" s="327"/>
      <c r="H946" s="121"/>
      <c r="I946" s="334"/>
      <c r="J946" s="127"/>
      <c r="K946" s="334"/>
      <c r="L946" s="127"/>
      <c r="M946" s="334"/>
      <c r="N946" s="127"/>
      <c r="O946" s="327"/>
      <c r="P946" s="121"/>
      <c r="Q946" s="143"/>
      <c r="R946" s="143"/>
      <c r="S946" s="17"/>
      <c r="T946" s="17"/>
    </row>
    <row r="947">
      <c r="A947" s="327"/>
      <c r="B947" s="121"/>
      <c r="C947" s="327"/>
      <c r="D947" s="127"/>
      <c r="E947" s="327"/>
      <c r="F947" s="121"/>
      <c r="G947" s="327"/>
      <c r="H947" s="121"/>
      <c r="I947" s="334"/>
      <c r="J947" s="127"/>
      <c r="K947" s="334"/>
      <c r="L947" s="127"/>
      <c r="M947" s="334"/>
      <c r="N947" s="127"/>
      <c r="O947" s="327"/>
      <c r="P947" s="121"/>
      <c r="Q947" s="143"/>
      <c r="R947" s="143"/>
      <c r="S947" s="17"/>
      <c r="T947" s="17"/>
    </row>
    <row r="948">
      <c r="A948" s="327"/>
      <c r="B948" s="121"/>
      <c r="C948" s="327"/>
      <c r="D948" s="127"/>
      <c r="E948" s="327"/>
      <c r="F948" s="121"/>
      <c r="G948" s="327"/>
      <c r="H948" s="121"/>
      <c r="I948" s="334"/>
      <c r="J948" s="127"/>
      <c r="K948" s="334"/>
      <c r="L948" s="127"/>
      <c r="M948" s="334"/>
      <c r="N948" s="127"/>
      <c r="O948" s="327"/>
      <c r="P948" s="121"/>
      <c r="Q948" s="143"/>
      <c r="R948" s="143"/>
      <c r="S948" s="17"/>
      <c r="T948" s="17"/>
    </row>
    <row r="949">
      <c r="A949" s="327"/>
      <c r="B949" s="121"/>
      <c r="C949" s="327"/>
      <c r="D949" s="127"/>
      <c r="E949" s="327"/>
      <c r="F949" s="121"/>
      <c r="G949" s="327"/>
      <c r="H949" s="121"/>
      <c r="I949" s="334"/>
      <c r="J949" s="127"/>
      <c r="K949" s="334"/>
      <c r="L949" s="127"/>
      <c r="M949" s="334"/>
      <c r="N949" s="127"/>
      <c r="O949" s="327"/>
      <c r="P949" s="121"/>
      <c r="Q949" s="143"/>
      <c r="R949" s="143"/>
      <c r="S949" s="17"/>
      <c r="T949" s="17"/>
    </row>
    <row r="950">
      <c r="A950" s="327"/>
      <c r="B950" s="121"/>
      <c r="C950" s="327"/>
      <c r="D950" s="127"/>
      <c r="E950" s="327"/>
      <c r="F950" s="121"/>
      <c r="G950" s="327"/>
      <c r="H950" s="121"/>
      <c r="I950" s="334"/>
      <c r="J950" s="127"/>
      <c r="K950" s="334"/>
      <c r="L950" s="127"/>
      <c r="M950" s="334"/>
      <c r="N950" s="127"/>
      <c r="O950" s="327"/>
      <c r="P950" s="121"/>
      <c r="Q950" s="143"/>
      <c r="R950" s="143"/>
      <c r="S950" s="17"/>
      <c r="T950" s="17"/>
    </row>
    <row r="951">
      <c r="A951" s="327"/>
      <c r="B951" s="121"/>
      <c r="C951" s="327"/>
      <c r="D951" s="127"/>
      <c r="E951" s="327"/>
      <c r="F951" s="121"/>
      <c r="G951" s="327"/>
      <c r="H951" s="121"/>
      <c r="I951" s="334"/>
      <c r="J951" s="127"/>
      <c r="K951" s="334"/>
      <c r="L951" s="127"/>
      <c r="M951" s="334"/>
      <c r="N951" s="127"/>
      <c r="O951" s="327"/>
      <c r="P951" s="121"/>
      <c r="Q951" s="143"/>
      <c r="R951" s="143"/>
      <c r="S951" s="17"/>
      <c r="T951" s="17"/>
    </row>
    <row r="952">
      <c r="A952" s="327"/>
      <c r="B952" s="121"/>
      <c r="C952" s="327"/>
      <c r="D952" s="127"/>
      <c r="E952" s="327"/>
      <c r="F952" s="121"/>
      <c r="G952" s="327"/>
      <c r="H952" s="121"/>
      <c r="I952" s="334"/>
      <c r="J952" s="127"/>
      <c r="K952" s="334"/>
      <c r="L952" s="127"/>
      <c r="M952" s="334"/>
      <c r="N952" s="127"/>
      <c r="O952" s="327"/>
      <c r="P952" s="121"/>
      <c r="Q952" s="143"/>
      <c r="R952" s="143"/>
      <c r="S952" s="17"/>
      <c r="T952" s="17"/>
    </row>
    <row r="953">
      <c r="A953" s="327"/>
      <c r="B953" s="121"/>
      <c r="C953" s="327"/>
      <c r="D953" s="127"/>
      <c r="E953" s="327"/>
      <c r="F953" s="121"/>
      <c r="G953" s="327"/>
      <c r="H953" s="121"/>
      <c r="I953" s="334"/>
      <c r="J953" s="127"/>
      <c r="K953" s="334"/>
      <c r="L953" s="127"/>
      <c r="M953" s="334"/>
      <c r="N953" s="127"/>
      <c r="O953" s="327"/>
      <c r="P953" s="121"/>
      <c r="Q953" s="143"/>
      <c r="R953" s="143"/>
      <c r="S953" s="17"/>
      <c r="T953" s="17"/>
    </row>
    <row r="954">
      <c r="A954" s="327"/>
      <c r="B954" s="121"/>
      <c r="C954" s="327"/>
      <c r="D954" s="127"/>
      <c r="E954" s="327"/>
      <c r="F954" s="121"/>
      <c r="G954" s="327"/>
      <c r="H954" s="121"/>
      <c r="I954" s="334"/>
      <c r="J954" s="127"/>
      <c r="K954" s="334"/>
      <c r="L954" s="127"/>
      <c r="M954" s="334"/>
      <c r="N954" s="127"/>
      <c r="O954" s="327"/>
      <c r="P954" s="121"/>
      <c r="Q954" s="143"/>
      <c r="R954" s="143"/>
      <c r="S954" s="17"/>
      <c r="T954" s="17"/>
    </row>
    <row r="955">
      <c r="A955" s="327"/>
      <c r="B955" s="121"/>
      <c r="C955" s="327"/>
      <c r="D955" s="127"/>
      <c r="E955" s="327"/>
      <c r="F955" s="121"/>
      <c r="G955" s="327"/>
      <c r="H955" s="121"/>
      <c r="I955" s="334"/>
      <c r="J955" s="127"/>
      <c r="K955" s="334"/>
      <c r="L955" s="127"/>
      <c r="M955" s="334"/>
      <c r="N955" s="127"/>
      <c r="O955" s="327"/>
      <c r="P955" s="121"/>
      <c r="Q955" s="143"/>
      <c r="R955" s="143"/>
      <c r="S955" s="17"/>
      <c r="T955" s="17"/>
    </row>
    <row r="956">
      <c r="A956" s="327"/>
      <c r="B956" s="121"/>
      <c r="C956" s="327"/>
      <c r="D956" s="127"/>
      <c r="E956" s="327"/>
      <c r="F956" s="121"/>
      <c r="G956" s="327"/>
      <c r="H956" s="121"/>
      <c r="I956" s="334"/>
      <c r="J956" s="127"/>
      <c r="K956" s="334"/>
      <c r="L956" s="127"/>
      <c r="M956" s="334"/>
      <c r="N956" s="127"/>
      <c r="O956" s="327"/>
      <c r="P956" s="121"/>
      <c r="Q956" s="143"/>
      <c r="R956" s="143"/>
      <c r="S956" s="17"/>
      <c r="T956" s="17"/>
    </row>
    <row r="957">
      <c r="A957" s="327"/>
      <c r="B957" s="121"/>
      <c r="C957" s="327"/>
      <c r="D957" s="127"/>
      <c r="E957" s="327"/>
      <c r="F957" s="121"/>
      <c r="G957" s="327"/>
      <c r="H957" s="121"/>
      <c r="I957" s="334"/>
      <c r="J957" s="127"/>
      <c r="K957" s="334"/>
      <c r="L957" s="127"/>
      <c r="M957" s="334"/>
      <c r="N957" s="127"/>
      <c r="O957" s="327"/>
      <c r="P957" s="121"/>
      <c r="Q957" s="143"/>
      <c r="R957" s="143"/>
      <c r="S957" s="17"/>
      <c r="T957" s="17"/>
    </row>
    <row r="958">
      <c r="A958" s="327"/>
      <c r="B958" s="121"/>
      <c r="C958" s="327"/>
      <c r="D958" s="127"/>
      <c r="E958" s="327"/>
      <c r="F958" s="121"/>
      <c r="G958" s="327"/>
      <c r="H958" s="121"/>
      <c r="I958" s="334"/>
      <c r="J958" s="127"/>
      <c r="K958" s="334"/>
      <c r="L958" s="127"/>
      <c r="M958" s="334"/>
      <c r="N958" s="127"/>
      <c r="O958" s="327"/>
      <c r="P958" s="121"/>
      <c r="Q958" s="143"/>
      <c r="R958" s="143"/>
      <c r="S958" s="17"/>
      <c r="T958" s="17"/>
    </row>
    <row r="959">
      <c r="A959" s="327"/>
      <c r="B959" s="121"/>
      <c r="C959" s="327"/>
      <c r="D959" s="127"/>
      <c r="E959" s="327"/>
      <c r="F959" s="121"/>
      <c r="G959" s="327"/>
      <c r="H959" s="121"/>
      <c r="I959" s="334"/>
      <c r="J959" s="127"/>
      <c r="K959" s="334"/>
      <c r="L959" s="127"/>
      <c r="M959" s="334"/>
      <c r="N959" s="127"/>
      <c r="O959" s="327"/>
      <c r="P959" s="121"/>
      <c r="Q959" s="143"/>
      <c r="R959" s="143"/>
      <c r="S959" s="17"/>
      <c r="T959" s="17"/>
    </row>
    <row r="960">
      <c r="A960" s="327"/>
      <c r="B960" s="121"/>
      <c r="C960" s="327"/>
      <c r="D960" s="127"/>
      <c r="E960" s="327"/>
      <c r="F960" s="121"/>
      <c r="G960" s="327"/>
      <c r="H960" s="121"/>
      <c r="I960" s="334"/>
      <c r="J960" s="127"/>
      <c r="K960" s="334"/>
      <c r="L960" s="127"/>
      <c r="M960" s="334"/>
      <c r="N960" s="127"/>
      <c r="O960" s="327"/>
      <c r="P960" s="121"/>
      <c r="Q960" s="143"/>
      <c r="R960" s="143"/>
      <c r="S960" s="17"/>
      <c r="T960" s="17"/>
    </row>
    <row r="961">
      <c r="A961" s="327"/>
      <c r="B961" s="121"/>
      <c r="C961" s="327"/>
      <c r="D961" s="127"/>
      <c r="E961" s="327"/>
      <c r="F961" s="121"/>
      <c r="G961" s="327"/>
      <c r="H961" s="121"/>
      <c r="I961" s="334"/>
      <c r="J961" s="127"/>
      <c r="K961" s="334"/>
      <c r="L961" s="127"/>
      <c r="M961" s="334"/>
      <c r="N961" s="127"/>
      <c r="O961" s="327"/>
      <c r="P961" s="121"/>
      <c r="Q961" s="143"/>
      <c r="R961" s="143"/>
      <c r="S961" s="17"/>
      <c r="T961" s="17"/>
    </row>
    <row r="962">
      <c r="A962" s="327"/>
      <c r="B962" s="121"/>
      <c r="C962" s="327"/>
      <c r="D962" s="127"/>
      <c r="E962" s="327"/>
      <c r="F962" s="121"/>
      <c r="G962" s="327"/>
      <c r="H962" s="121"/>
      <c r="I962" s="334"/>
      <c r="J962" s="127"/>
      <c r="K962" s="334"/>
      <c r="L962" s="127"/>
      <c r="M962" s="334"/>
      <c r="N962" s="127"/>
      <c r="O962" s="327"/>
      <c r="P962" s="121"/>
      <c r="Q962" s="143"/>
      <c r="R962" s="143"/>
      <c r="S962" s="17"/>
      <c r="T962" s="17"/>
    </row>
    <row r="963">
      <c r="A963" s="327"/>
      <c r="B963" s="121"/>
      <c r="C963" s="327"/>
      <c r="D963" s="127"/>
      <c r="E963" s="327"/>
      <c r="F963" s="121"/>
      <c r="G963" s="327"/>
      <c r="H963" s="121"/>
      <c r="I963" s="334"/>
      <c r="J963" s="127"/>
      <c r="K963" s="334"/>
      <c r="L963" s="127"/>
      <c r="M963" s="334"/>
      <c r="N963" s="127"/>
      <c r="O963" s="327"/>
      <c r="P963" s="121"/>
      <c r="Q963" s="143"/>
      <c r="R963" s="143"/>
      <c r="S963" s="17"/>
      <c r="T963" s="17"/>
    </row>
    <row r="964">
      <c r="A964" s="327"/>
      <c r="B964" s="121"/>
      <c r="C964" s="327"/>
      <c r="D964" s="127"/>
      <c r="E964" s="327"/>
      <c r="F964" s="121"/>
      <c r="G964" s="327"/>
      <c r="H964" s="121"/>
      <c r="I964" s="334"/>
      <c r="J964" s="127"/>
      <c r="K964" s="334"/>
      <c r="L964" s="127"/>
      <c r="M964" s="334"/>
      <c r="N964" s="127"/>
      <c r="O964" s="327"/>
      <c r="P964" s="121"/>
      <c r="Q964" s="143"/>
      <c r="R964" s="143"/>
      <c r="S964" s="17"/>
      <c r="T964" s="17"/>
    </row>
    <row r="965">
      <c r="A965" s="327"/>
      <c r="B965" s="121"/>
      <c r="C965" s="327"/>
      <c r="D965" s="127"/>
      <c r="E965" s="327"/>
      <c r="F965" s="121"/>
      <c r="G965" s="327"/>
      <c r="H965" s="121"/>
      <c r="I965" s="334"/>
      <c r="J965" s="127"/>
      <c r="K965" s="334"/>
      <c r="L965" s="127"/>
      <c r="M965" s="334"/>
      <c r="N965" s="127"/>
      <c r="O965" s="327"/>
      <c r="P965" s="121"/>
      <c r="Q965" s="143"/>
      <c r="R965" s="143"/>
      <c r="S965" s="17"/>
      <c r="T965" s="17"/>
    </row>
    <row r="966">
      <c r="A966" s="327"/>
      <c r="B966" s="121"/>
      <c r="C966" s="327"/>
      <c r="D966" s="127"/>
      <c r="E966" s="327"/>
      <c r="F966" s="121"/>
      <c r="G966" s="327"/>
      <c r="H966" s="121"/>
      <c r="I966" s="334"/>
      <c r="J966" s="127"/>
      <c r="K966" s="334"/>
      <c r="L966" s="127"/>
      <c r="M966" s="334"/>
      <c r="N966" s="127"/>
      <c r="O966" s="327"/>
      <c r="P966" s="121"/>
      <c r="Q966" s="143"/>
      <c r="R966" s="143"/>
      <c r="S966" s="17"/>
      <c r="T966" s="17"/>
    </row>
    <row r="967">
      <c r="A967" s="327"/>
      <c r="B967" s="121"/>
      <c r="C967" s="327"/>
      <c r="D967" s="127"/>
      <c r="E967" s="327"/>
      <c r="F967" s="121"/>
      <c r="G967" s="327"/>
      <c r="H967" s="121"/>
      <c r="I967" s="334"/>
      <c r="J967" s="127"/>
      <c r="K967" s="334"/>
      <c r="L967" s="127"/>
      <c r="M967" s="334"/>
      <c r="N967" s="127"/>
      <c r="O967" s="327"/>
      <c r="P967" s="121"/>
      <c r="Q967" s="143"/>
      <c r="R967" s="143"/>
      <c r="S967" s="17"/>
      <c r="T967" s="17"/>
    </row>
    <row r="968">
      <c r="A968" s="327"/>
      <c r="B968" s="121"/>
      <c r="C968" s="327"/>
      <c r="D968" s="127"/>
      <c r="E968" s="327"/>
      <c r="F968" s="121"/>
      <c r="G968" s="327"/>
      <c r="H968" s="121"/>
      <c r="I968" s="334"/>
      <c r="J968" s="127"/>
      <c r="K968" s="334"/>
      <c r="L968" s="127"/>
      <c r="M968" s="334"/>
      <c r="N968" s="127"/>
      <c r="O968" s="327"/>
      <c r="P968" s="121"/>
      <c r="Q968" s="143"/>
      <c r="R968" s="143"/>
      <c r="S968" s="17"/>
      <c r="T968" s="17"/>
    </row>
    <row r="969">
      <c r="A969" s="327"/>
      <c r="B969" s="121"/>
      <c r="C969" s="327"/>
      <c r="D969" s="127"/>
      <c r="E969" s="327"/>
      <c r="F969" s="121"/>
      <c r="G969" s="327"/>
      <c r="H969" s="121"/>
      <c r="I969" s="334"/>
      <c r="J969" s="127"/>
      <c r="K969" s="334"/>
      <c r="L969" s="127"/>
      <c r="M969" s="334"/>
      <c r="N969" s="127"/>
      <c r="O969" s="327"/>
      <c r="P969" s="121"/>
      <c r="Q969" s="143"/>
      <c r="R969" s="143"/>
      <c r="S969" s="17"/>
      <c r="T969" s="17"/>
    </row>
    <row r="970">
      <c r="A970" s="327"/>
      <c r="B970" s="121"/>
      <c r="C970" s="327"/>
      <c r="D970" s="127"/>
      <c r="E970" s="327"/>
      <c r="F970" s="121"/>
      <c r="G970" s="327"/>
      <c r="H970" s="121"/>
      <c r="I970" s="334"/>
      <c r="J970" s="127"/>
      <c r="K970" s="334"/>
      <c r="L970" s="127"/>
      <c r="M970" s="334"/>
      <c r="N970" s="127"/>
      <c r="O970" s="327"/>
      <c r="P970" s="121"/>
      <c r="Q970" s="143"/>
      <c r="R970" s="143"/>
      <c r="S970" s="17"/>
      <c r="T970" s="17"/>
    </row>
    <row r="971">
      <c r="A971" s="327"/>
      <c r="B971" s="121"/>
      <c r="C971" s="327"/>
      <c r="D971" s="127"/>
      <c r="E971" s="327"/>
      <c r="F971" s="121"/>
      <c r="G971" s="327"/>
      <c r="H971" s="121"/>
      <c r="I971" s="334"/>
      <c r="J971" s="127"/>
      <c r="K971" s="334"/>
      <c r="L971" s="127"/>
      <c r="M971" s="334"/>
      <c r="N971" s="127"/>
      <c r="O971" s="327"/>
      <c r="P971" s="121"/>
      <c r="Q971" s="143"/>
      <c r="R971" s="143"/>
      <c r="S971" s="17"/>
      <c r="T971" s="17"/>
    </row>
    <row r="972">
      <c r="A972" s="327"/>
      <c r="B972" s="121"/>
      <c r="C972" s="327"/>
      <c r="D972" s="127"/>
      <c r="E972" s="327"/>
      <c r="F972" s="121"/>
      <c r="G972" s="327"/>
      <c r="H972" s="121"/>
      <c r="I972" s="334"/>
      <c r="J972" s="127"/>
      <c r="K972" s="334"/>
      <c r="L972" s="127"/>
      <c r="M972" s="334"/>
      <c r="N972" s="127"/>
      <c r="O972" s="327"/>
      <c r="P972" s="121"/>
      <c r="Q972" s="143"/>
      <c r="R972" s="143"/>
      <c r="S972" s="17"/>
      <c r="T972" s="17"/>
    </row>
    <row r="973">
      <c r="A973" s="327"/>
      <c r="B973" s="121"/>
      <c r="C973" s="327"/>
      <c r="D973" s="127"/>
      <c r="E973" s="327"/>
      <c r="F973" s="121"/>
      <c r="G973" s="327"/>
      <c r="H973" s="121"/>
      <c r="I973" s="334"/>
      <c r="J973" s="127"/>
      <c r="K973" s="334"/>
      <c r="L973" s="127"/>
      <c r="M973" s="334"/>
      <c r="N973" s="127"/>
      <c r="O973" s="327"/>
      <c r="P973" s="121"/>
      <c r="Q973" s="143"/>
      <c r="R973" s="143"/>
      <c r="S973" s="17"/>
      <c r="T973" s="17"/>
    </row>
    <row r="974">
      <c r="A974" s="327"/>
      <c r="B974" s="121"/>
      <c r="C974" s="327"/>
      <c r="D974" s="127"/>
      <c r="E974" s="327"/>
      <c r="F974" s="121"/>
      <c r="G974" s="327"/>
      <c r="H974" s="121"/>
      <c r="I974" s="334"/>
      <c r="J974" s="127"/>
      <c r="K974" s="334"/>
      <c r="L974" s="127"/>
      <c r="M974" s="334"/>
      <c r="N974" s="127"/>
      <c r="O974" s="327"/>
      <c r="P974" s="121"/>
      <c r="Q974" s="143"/>
      <c r="R974" s="143"/>
      <c r="S974" s="17"/>
      <c r="T974" s="17"/>
    </row>
    <row r="975">
      <c r="A975" s="327"/>
      <c r="B975" s="121"/>
      <c r="C975" s="327"/>
      <c r="D975" s="127"/>
      <c r="E975" s="327"/>
      <c r="F975" s="121"/>
      <c r="G975" s="327"/>
      <c r="H975" s="121"/>
      <c r="I975" s="334"/>
      <c r="J975" s="127"/>
      <c r="K975" s="334"/>
      <c r="L975" s="127"/>
      <c r="M975" s="334"/>
      <c r="N975" s="127"/>
      <c r="O975" s="327"/>
      <c r="P975" s="121"/>
      <c r="Q975" s="143"/>
      <c r="R975" s="143"/>
      <c r="S975" s="17"/>
      <c r="T975" s="17"/>
    </row>
    <row r="976">
      <c r="A976" s="327"/>
      <c r="B976" s="121"/>
      <c r="C976" s="327"/>
      <c r="D976" s="127"/>
      <c r="E976" s="327"/>
      <c r="F976" s="121"/>
      <c r="G976" s="327"/>
      <c r="H976" s="121"/>
      <c r="I976" s="334"/>
      <c r="J976" s="127"/>
      <c r="K976" s="334"/>
      <c r="L976" s="127"/>
      <c r="M976" s="334"/>
      <c r="N976" s="127"/>
      <c r="O976" s="327"/>
      <c r="P976" s="121"/>
      <c r="Q976" s="143"/>
      <c r="R976" s="143"/>
      <c r="S976" s="17"/>
      <c r="T976" s="17"/>
    </row>
    <row r="977">
      <c r="A977" s="327"/>
      <c r="B977" s="121"/>
      <c r="C977" s="327"/>
      <c r="D977" s="127"/>
      <c r="E977" s="327"/>
      <c r="F977" s="121"/>
      <c r="G977" s="327"/>
      <c r="H977" s="121"/>
      <c r="I977" s="334"/>
      <c r="J977" s="127"/>
      <c r="K977" s="334"/>
      <c r="L977" s="127"/>
      <c r="M977" s="334"/>
      <c r="N977" s="127"/>
      <c r="O977" s="327"/>
      <c r="P977" s="121"/>
      <c r="Q977" s="143"/>
      <c r="R977" s="143"/>
      <c r="S977" s="17"/>
      <c r="T977" s="17"/>
    </row>
    <row r="978">
      <c r="A978" s="327"/>
      <c r="B978" s="121"/>
      <c r="C978" s="327"/>
      <c r="D978" s="127"/>
      <c r="E978" s="327"/>
      <c r="F978" s="121"/>
      <c r="G978" s="327"/>
      <c r="H978" s="121"/>
      <c r="I978" s="334"/>
      <c r="J978" s="127"/>
      <c r="K978" s="334"/>
      <c r="L978" s="127"/>
      <c r="M978" s="334"/>
      <c r="N978" s="127"/>
      <c r="O978" s="327"/>
      <c r="P978" s="121"/>
      <c r="Q978" s="143"/>
      <c r="R978" s="143"/>
      <c r="S978" s="17"/>
      <c r="T978" s="17"/>
    </row>
    <row r="979">
      <c r="A979" s="327"/>
      <c r="B979" s="121"/>
      <c r="C979" s="327"/>
      <c r="D979" s="127"/>
      <c r="E979" s="327"/>
      <c r="F979" s="121"/>
      <c r="G979" s="327"/>
      <c r="H979" s="121"/>
      <c r="I979" s="334"/>
      <c r="J979" s="127"/>
      <c r="K979" s="334"/>
      <c r="L979" s="127"/>
      <c r="M979" s="334"/>
      <c r="N979" s="127"/>
      <c r="O979" s="327"/>
      <c r="P979" s="121"/>
      <c r="Q979" s="143"/>
      <c r="R979" s="143"/>
      <c r="S979" s="17"/>
      <c r="T979" s="17"/>
    </row>
    <row r="980">
      <c r="A980" s="327"/>
      <c r="B980" s="121"/>
      <c r="C980" s="327"/>
      <c r="D980" s="127"/>
      <c r="E980" s="327"/>
      <c r="F980" s="121"/>
      <c r="G980" s="327"/>
      <c r="H980" s="121"/>
      <c r="I980" s="334"/>
      <c r="J980" s="127"/>
      <c r="K980" s="334"/>
      <c r="L980" s="127"/>
      <c r="M980" s="334"/>
      <c r="N980" s="127"/>
      <c r="O980" s="327"/>
      <c r="P980" s="121"/>
      <c r="Q980" s="143"/>
      <c r="R980" s="143"/>
      <c r="S980" s="17"/>
      <c r="T980" s="17"/>
    </row>
    <row r="981">
      <c r="A981" s="327"/>
      <c r="B981" s="121"/>
      <c r="C981" s="327"/>
      <c r="D981" s="127"/>
      <c r="E981" s="327"/>
      <c r="F981" s="121"/>
      <c r="G981" s="327"/>
      <c r="H981" s="121"/>
      <c r="I981" s="334"/>
      <c r="J981" s="127"/>
      <c r="K981" s="334"/>
      <c r="L981" s="127"/>
      <c r="M981" s="334"/>
      <c r="N981" s="127"/>
      <c r="O981" s="327"/>
      <c r="P981" s="121"/>
      <c r="Q981" s="143"/>
      <c r="R981" s="143"/>
      <c r="S981" s="17"/>
      <c r="T981" s="17"/>
    </row>
    <row r="982">
      <c r="A982" s="327"/>
      <c r="B982" s="121"/>
      <c r="C982" s="327"/>
      <c r="D982" s="127"/>
      <c r="E982" s="327"/>
      <c r="F982" s="121"/>
      <c r="G982" s="327"/>
      <c r="H982" s="121"/>
      <c r="I982" s="334"/>
      <c r="J982" s="127"/>
      <c r="K982" s="334"/>
      <c r="L982" s="127"/>
      <c r="M982" s="334"/>
      <c r="N982" s="127"/>
      <c r="O982" s="327"/>
      <c r="P982" s="121"/>
      <c r="Q982" s="143"/>
      <c r="R982" s="143"/>
      <c r="S982" s="17"/>
      <c r="T982" s="17"/>
    </row>
    <row r="983">
      <c r="A983" s="327"/>
      <c r="B983" s="121"/>
      <c r="C983" s="327"/>
      <c r="D983" s="127"/>
      <c r="E983" s="327"/>
      <c r="F983" s="121"/>
      <c r="G983" s="327"/>
      <c r="H983" s="121"/>
      <c r="I983" s="334"/>
      <c r="J983" s="127"/>
      <c r="K983" s="334"/>
      <c r="L983" s="127"/>
      <c r="M983" s="334"/>
      <c r="N983" s="127"/>
      <c r="O983" s="327"/>
      <c r="P983" s="121"/>
      <c r="Q983" s="143"/>
      <c r="R983" s="143"/>
      <c r="S983" s="17"/>
      <c r="T983" s="17"/>
    </row>
    <row r="984">
      <c r="A984" s="327"/>
      <c r="B984" s="121"/>
      <c r="C984" s="327"/>
      <c r="D984" s="127"/>
      <c r="E984" s="327"/>
      <c r="F984" s="121"/>
      <c r="G984" s="327"/>
      <c r="H984" s="121"/>
      <c r="I984" s="334"/>
      <c r="J984" s="127"/>
      <c r="K984" s="334"/>
      <c r="L984" s="127"/>
      <c r="M984" s="334"/>
      <c r="N984" s="127"/>
      <c r="O984" s="327"/>
      <c r="P984" s="121"/>
      <c r="Q984" s="143"/>
      <c r="R984" s="143"/>
      <c r="S984" s="17"/>
      <c r="T984" s="17"/>
    </row>
    <row r="985">
      <c r="A985" s="327"/>
      <c r="B985" s="121"/>
      <c r="C985" s="327"/>
      <c r="D985" s="127"/>
      <c r="E985" s="327"/>
      <c r="F985" s="121"/>
      <c r="G985" s="327"/>
      <c r="H985" s="121"/>
      <c r="I985" s="334"/>
      <c r="J985" s="127"/>
      <c r="K985" s="334"/>
      <c r="L985" s="127"/>
      <c r="M985" s="334"/>
      <c r="N985" s="127"/>
      <c r="O985" s="327"/>
      <c r="P985" s="121"/>
      <c r="Q985" s="143"/>
      <c r="R985" s="143"/>
      <c r="S985" s="17"/>
      <c r="T985" s="17"/>
    </row>
    <row r="986">
      <c r="A986" s="327"/>
      <c r="B986" s="121"/>
      <c r="C986" s="327"/>
      <c r="D986" s="127"/>
      <c r="E986" s="327"/>
      <c r="F986" s="121"/>
      <c r="G986" s="327"/>
      <c r="H986" s="121"/>
      <c r="I986" s="334"/>
      <c r="J986" s="127"/>
      <c r="K986" s="334"/>
      <c r="L986" s="127"/>
      <c r="M986" s="334"/>
      <c r="N986" s="127"/>
      <c r="O986" s="327"/>
      <c r="P986" s="121"/>
      <c r="Q986" s="143"/>
      <c r="R986" s="143"/>
      <c r="S986" s="17"/>
      <c r="T986" s="17"/>
    </row>
    <row r="987">
      <c r="A987" s="327"/>
      <c r="B987" s="121"/>
      <c r="C987" s="327"/>
      <c r="D987" s="127"/>
      <c r="E987" s="327"/>
      <c r="F987" s="121"/>
      <c r="G987" s="327"/>
      <c r="H987" s="121"/>
      <c r="I987" s="334"/>
      <c r="J987" s="127"/>
      <c r="K987" s="334"/>
      <c r="L987" s="127"/>
      <c r="M987" s="334"/>
      <c r="N987" s="127"/>
      <c r="O987" s="327"/>
      <c r="P987" s="121"/>
      <c r="Q987" s="143"/>
      <c r="R987" s="143"/>
      <c r="S987" s="17"/>
      <c r="T987" s="17"/>
    </row>
    <row r="988">
      <c r="A988" s="327"/>
      <c r="B988" s="121"/>
      <c r="C988" s="327"/>
      <c r="D988" s="127"/>
      <c r="E988" s="327"/>
      <c r="F988" s="121"/>
      <c r="G988" s="327"/>
      <c r="H988" s="121"/>
      <c r="I988" s="334"/>
      <c r="J988" s="127"/>
      <c r="K988" s="334"/>
      <c r="L988" s="127"/>
      <c r="M988" s="334"/>
      <c r="N988" s="127"/>
      <c r="O988" s="327"/>
      <c r="P988" s="121"/>
      <c r="Q988" s="143"/>
      <c r="R988" s="143"/>
      <c r="S988" s="17"/>
      <c r="T988" s="17"/>
    </row>
    <row r="989">
      <c r="A989" s="327"/>
      <c r="B989" s="121"/>
      <c r="C989" s="327"/>
      <c r="D989" s="127"/>
      <c r="E989" s="327"/>
      <c r="F989" s="121"/>
      <c r="G989" s="327"/>
      <c r="H989" s="121"/>
      <c r="I989" s="334"/>
      <c r="J989" s="127"/>
      <c r="K989" s="334"/>
      <c r="L989" s="127"/>
      <c r="M989" s="334"/>
      <c r="N989" s="127"/>
      <c r="O989" s="327"/>
      <c r="P989" s="121"/>
      <c r="Q989" s="143"/>
      <c r="R989" s="143"/>
      <c r="S989" s="17"/>
      <c r="T989" s="17"/>
    </row>
    <row r="990">
      <c r="A990" s="327"/>
      <c r="B990" s="121"/>
      <c r="C990" s="327"/>
      <c r="D990" s="127"/>
      <c r="E990" s="327"/>
      <c r="F990" s="121"/>
      <c r="G990" s="327"/>
      <c r="H990" s="121"/>
      <c r="I990" s="334"/>
      <c r="J990" s="127"/>
      <c r="K990" s="334"/>
      <c r="L990" s="127"/>
      <c r="M990" s="334"/>
      <c r="N990" s="127"/>
      <c r="O990" s="327"/>
      <c r="P990" s="121"/>
      <c r="Q990" s="143"/>
      <c r="R990" s="143"/>
      <c r="S990" s="17"/>
      <c r="T990" s="17"/>
    </row>
    <row r="991">
      <c r="A991" s="327"/>
      <c r="B991" s="121"/>
      <c r="C991" s="327"/>
      <c r="D991" s="127"/>
      <c r="E991" s="327"/>
      <c r="F991" s="121"/>
      <c r="G991" s="327"/>
      <c r="H991" s="121"/>
      <c r="I991" s="334"/>
      <c r="J991" s="127"/>
      <c r="K991" s="334"/>
      <c r="L991" s="127"/>
      <c r="M991" s="334"/>
      <c r="N991" s="127"/>
      <c r="O991" s="327"/>
      <c r="P991" s="121"/>
      <c r="Q991" s="143"/>
      <c r="R991" s="143"/>
      <c r="S991" s="17"/>
      <c r="T991" s="17"/>
    </row>
    <row r="992">
      <c r="A992" s="327"/>
      <c r="B992" s="121"/>
      <c r="C992" s="327"/>
      <c r="D992" s="127"/>
      <c r="E992" s="327"/>
      <c r="F992" s="121"/>
      <c r="G992" s="327"/>
      <c r="H992" s="121"/>
      <c r="I992" s="334"/>
      <c r="J992" s="127"/>
      <c r="K992" s="334"/>
      <c r="L992" s="127"/>
      <c r="M992" s="334"/>
      <c r="N992" s="127"/>
      <c r="O992" s="327"/>
      <c r="P992" s="121"/>
      <c r="Q992" s="143"/>
      <c r="R992" s="143"/>
      <c r="S992" s="17"/>
      <c r="T992" s="17"/>
    </row>
    <row r="993">
      <c r="A993" s="327"/>
      <c r="B993" s="121"/>
      <c r="C993" s="327"/>
      <c r="D993" s="127"/>
      <c r="E993" s="327"/>
      <c r="F993" s="121"/>
      <c r="G993" s="327"/>
      <c r="H993" s="121"/>
      <c r="I993" s="334"/>
      <c r="J993" s="127"/>
      <c r="K993" s="334"/>
      <c r="L993" s="127"/>
      <c r="M993" s="334"/>
      <c r="N993" s="127"/>
      <c r="O993" s="327"/>
      <c r="P993" s="121"/>
      <c r="Q993" s="143"/>
      <c r="R993" s="143"/>
      <c r="S993" s="17"/>
      <c r="T993" s="17"/>
    </row>
    <row r="994">
      <c r="A994" s="327"/>
      <c r="B994" s="121"/>
      <c r="C994" s="327"/>
      <c r="D994" s="127"/>
      <c r="E994" s="327"/>
      <c r="F994" s="121"/>
      <c r="G994" s="327"/>
      <c r="H994" s="121"/>
      <c r="I994" s="334"/>
      <c r="J994" s="127"/>
      <c r="K994" s="334"/>
      <c r="L994" s="127"/>
      <c r="M994" s="334"/>
      <c r="N994" s="127"/>
      <c r="O994" s="327"/>
      <c r="P994" s="121"/>
      <c r="Q994" s="143"/>
      <c r="R994" s="143"/>
      <c r="S994" s="17"/>
      <c r="T994" s="17"/>
    </row>
    <row r="995">
      <c r="A995" s="327"/>
      <c r="B995" s="121"/>
      <c r="C995" s="327"/>
      <c r="D995" s="127"/>
      <c r="E995" s="327"/>
      <c r="F995" s="121"/>
      <c r="G995" s="327"/>
      <c r="H995" s="121"/>
      <c r="I995" s="334"/>
      <c r="J995" s="127"/>
      <c r="K995" s="334"/>
      <c r="L995" s="127"/>
      <c r="M995" s="334"/>
      <c r="N995" s="127"/>
      <c r="O995" s="327"/>
      <c r="P995" s="121"/>
      <c r="Q995" s="143"/>
      <c r="R995" s="143"/>
      <c r="S995" s="17"/>
      <c r="T995" s="17"/>
    </row>
    <row r="996">
      <c r="A996" s="327"/>
      <c r="B996" s="121"/>
      <c r="C996" s="327"/>
      <c r="D996" s="127"/>
      <c r="E996" s="327"/>
      <c r="F996" s="121"/>
      <c r="G996" s="327"/>
      <c r="H996" s="121"/>
      <c r="I996" s="334"/>
      <c r="J996" s="127"/>
      <c r="K996" s="334"/>
      <c r="L996" s="127"/>
      <c r="M996" s="334"/>
      <c r="N996" s="127"/>
      <c r="O996" s="327"/>
      <c r="P996" s="121"/>
      <c r="Q996" s="143"/>
      <c r="R996" s="143"/>
      <c r="S996" s="17"/>
      <c r="T996" s="17"/>
    </row>
    <row r="997">
      <c r="A997" s="327"/>
      <c r="B997" s="121"/>
      <c r="C997" s="327"/>
      <c r="D997" s="127"/>
      <c r="E997" s="327"/>
      <c r="F997" s="121"/>
      <c r="G997" s="327"/>
      <c r="H997" s="121"/>
      <c r="I997" s="334"/>
      <c r="J997" s="127"/>
      <c r="K997" s="334"/>
      <c r="L997" s="127"/>
      <c r="M997" s="334"/>
      <c r="N997" s="127"/>
      <c r="O997" s="327"/>
      <c r="P997" s="121"/>
      <c r="Q997" s="143"/>
      <c r="R997" s="143"/>
      <c r="S997" s="17"/>
      <c r="T997" s="17"/>
    </row>
    <row r="998">
      <c r="A998" s="327"/>
      <c r="B998" s="121"/>
      <c r="C998" s="327"/>
      <c r="D998" s="127"/>
      <c r="E998" s="327"/>
      <c r="F998" s="121"/>
      <c r="G998" s="327"/>
      <c r="H998" s="121"/>
      <c r="I998" s="334"/>
      <c r="J998" s="127"/>
      <c r="K998" s="334"/>
      <c r="L998" s="127"/>
      <c r="M998" s="334"/>
      <c r="N998" s="127"/>
      <c r="O998" s="327"/>
      <c r="P998" s="121"/>
      <c r="Q998" s="143"/>
      <c r="R998" s="143"/>
      <c r="S998" s="17"/>
      <c r="T998" s="17"/>
    </row>
    <row r="999">
      <c r="A999" s="327"/>
      <c r="B999" s="121"/>
      <c r="C999" s="327"/>
      <c r="D999" s="127"/>
      <c r="E999" s="327"/>
      <c r="F999" s="121"/>
      <c r="G999" s="327"/>
      <c r="H999" s="121"/>
      <c r="I999" s="334"/>
      <c r="J999" s="127"/>
      <c r="K999" s="334"/>
      <c r="L999" s="127"/>
      <c r="M999" s="334"/>
      <c r="N999" s="127"/>
      <c r="O999" s="327"/>
      <c r="P999" s="121"/>
      <c r="Q999" s="327"/>
      <c r="R999" s="121"/>
      <c r="S999" s="17"/>
      <c r="T999" s="17"/>
    </row>
    <row r="1000">
      <c r="A1000" s="327"/>
      <c r="B1000" s="121"/>
      <c r="C1000" s="327"/>
      <c r="D1000" s="127"/>
      <c r="E1000" s="327"/>
      <c r="F1000" s="121"/>
      <c r="G1000" s="327"/>
      <c r="H1000" s="121"/>
      <c r="I1000" s="334"/>
      <c r="J1000" s="127"/>
      <c r="K1000" s="334"/>
      <c r="L1000" s="127"/>
      <c r="M1000" s="334"/>
      <c r="N1000" s="127"/>
      <c r="O1000" s="327"/>
      <c r="P1000" s="121"/>
      <c r="Q1000" s="327"/>
      <c r="R1000" s="121"/>
      <c r="S1000" s="17"/>
      <c r="T1000" s="17"/>
    </row>
    <row r="1001">
      <c r="A1001" s="327"/>
      <c r="B1001" s="121"/>
      <c r="C1001" s="327"/>
      <c r="D1001" s="127"/>
      <c r="E1001" s="327"/>
      <c r="F1001" s="121"/>
      <c r="G1001" s="327"/>
      <c r="H1001" s="121"/>
      <c r="I1001" s="334"/>
      <c r="J1001" s="127"/>
      <c r="K1001" s="334"/>
      <c r="L1001" s="127"/>
      <c r="M1001" s="334"/>
      <c r="N1001" s="127"/>
      <c r="O1001" s="327"/>
      <c r="P1001" s="121"/>
      <c r="Q1001" s="327"/>
      <c r="R1001" s="121"/>
      <c r="S1001" s="17"/>
      <c r="T1001" s="17"/>
    </row>
    <row r="1002">
      <c r="A1002" s="327"/>
      <c r="B1002" s="121"/>
      <c r="C1002" s="327"/>
      <c r="D1002" s="127"/>
      <c r="E1002" s="327"/>
      <c r="F1002" s="121"/>
      <c r="G1002" s="327"/>
      <c r="H1002" s="121"/>
      <c r="I1002" s="334"/>
      <c r="J1002" s="127"/>
      <c r="K1002" s="334"/>
      <c r="L1002" s="127"/>
      <c r="M1002" s="334"/>
      <c r="N1002" s="127"/>
      <c r="O1002" s="327"/>
      <c r="P1002" s="121"/>
      <c r="Q1002" s="327"/>
      <c r="R1002" s="121"/>
      <c r="S1002" s="17"/>
      <c r="T1002" s="17"/>
    </row>
    <row r="1003">
      <c r="A1003" s="327"/>
      <c r="B1003" s="121"/>
      <c r="C1003" s="327"/>
      <c r="D1003" s="127"/>
      <c r="E1003" s="327"/>
      <c r="F1003" s="121"/>
      <c r="G1003" s="327"/>
      <c r="H1003" s="121"/>
      <c r="I1003" s="334"/>
      <c r="J1003" s="127"/>
      <c r="K1003" s="334"/>
      <c r="L1003" s="127"/>
      <c r="M1003" s="334"/>
      <c r="N1003" s="127"/>
      <c r="O1003" s="327"/>
      <c r="P1003" s="121"/>
      <c r="Q1003" s="327"/>
      <c r="R1003" s="121"/>
      <c r="S1003" s="17"/>
      <c r="T1003" s="17"/>
    </row>
    <row r="1004">
      <c r="A1004" s="327"/>
      <c r="B1004" s="121"/>
      <c r="C1004" s="327"/>
      <c r="D1004" s="127"/>
      <c r="E1004" s="327"/>
      <c r="F1004" s="121"/>
      <c r="G1004" s="327"/>
      <c r="H1004" s="121"/>
      <c r="I1004" s="334"/>
      <c r="J1004" s="127"/>
      <c r="K1004" s="334"/>
      <c r="L1004" s="127"/>
      <c r="M1004" s="334"/>
      <c r="N1004" s="127"/>
      <c r="O1004" s="327"/>
      <c r="P1004" s="121"/>
      <c r="Q1004" s="327"/>
      <c r="R1004" s="121"/>
      <c r="S1004" s="17"/>
      <c r="T1004" s="17"/>
    </row>
    <row r="1005">
      <c r="A1005" s="327"/>
      <c r="B1005" s="121"/>
      <c r="C1005" s="327"/>
      <c r="D1005" s="127"/>
      <c r="E1005" s="327"/>
      <c r="F1005" s="121"/>
      <c r="G1005" s="327"/>
      <c r="H1005" s="121"/>
      <c r="I1005" s="334"/>
      <c r="J1005" s="127"/>
      <c r="K1005" s="334"/>
      <c r="L1005" s="127"/>
      <c r="M1005" s="334"/>
      <c r="N1005" s="127"/>
      <c r="O1005" s="327"/>
      <c r="P1005" s="121"/>
      <c r="Q1005" s="327"/>
      <c r="R1005" s="121"/>
      <c r="S1005" s="17"/>
      <c r="T1005" s="17"/>
    </row>
    <row r="1006">
      <c r="A1006" s="327"/>
      <c r="B1006" s="121"/>
      <c r="C1006" s="327"/>
      <c r="D1006" s="127"/>
      <c r="E1006" s="327"/>
      <c r="F1006" s="121"/>
      <c r="G1006" s="327"/>
      <c r="H1006" s="121"/>
      <c r="I1006" s="334"/>
      <c r="J1006" s="127"/>
      <c r="K1006" s="334"/>
      <c r="L1006" s="127"/>
      <c r="M1006" s="334"/>
      <c r="N1006" s="127"/>
      <c r="O1006" s="327"/>
      <c r="P1006" s="121"/>
      <c r="Q1006" s="327"/>
      <c r="R1006" s="121"/>
      <c r="S1006" s="17"/>
      <c r="T1006" s="17"/>
    </row>
    <row r="1007">
      <c r="A1007" s="327"/>
      <c r="B1007" s="121"/>
      <c r="C1007" s="327"/>
      <c r="D1007" s="127"/>
      <c r="E1007" s="327"/>
      <c r="F1007" s="121"/>
      <c r="G1007" s="327"/>
      <c r="H1007" s="121"/>
      <c r="I1007" s="334"/>
      <c r="J1007" s="127"/>
      <c r="K1007" s="334"/>
      <c r="L1007" s="127"/>
      <c r="M1007" s="334"/>
      <c r="N1007" s="127"/>
      <c r="O1007" s="327"/>
      <c r="P1007" s="121"/>
      <c r="Q1007" s="327"/>
      <c r="R1007" s="121"/>
      <c r="S1007" s="17"/>
      <c r="T1007" s="17"/>
    </row>
    <row r="1008">
      <c r="A1008" s="327"/>
      <c r="B1008" s="121"/>
      <c r="C1008" s="327"/>
      <c r="D1008" s="127"/>
      <c r="E1008" s="327"/>
      <c r="F1008" s="121"/>
      <c r="G1008" s="327"/>
      <c r="H1008" s="121"/>
      <c r="I1008" s="334"/>
      <c r="J1008" s="127"/>
      <c r="K1008" s="334"/>
      <c r="L1008" s="127"/>
      <c r="M1008" s="334"/>
      <c r="N1008" s="127"/>
      <c r="O1008" s="327"/>
      <c r="P1008" s="121"/>
      <c r="Q1008" s="327"/>
      <c r="R1008" s="121"/>
      <c r="S1008" s="17"/>
      <c r="T1008" s="17"/>
    </row>
    <row r="1009">
      <c r="A1009" s="327"/>
      <c r="B1009" s="121"/>
      <c r="C1009" s="327"/>
      <c r="D1009" s="127"/>
      <c r="E1009" s="327"/>
      <c r="F1009" s="121"/>
      <c r="G1009" s="327"/>
      <c r="H1009" s="121"/>
      <c r="I1009" s="334"/>
      <c r="J1009" s="127"/>
      <c r="K1009" s="334"/>
      <c r="L1009" s="127"/>
      <c r="M1009" s="334"/>
      <c r="N1009" s="127"/>
      <c r="O1009" s="327"/>
      <c r="P1009" s="121"/>
      <c r="Q1009" s="327"/>
      <c r="R1009" s="121"/>
      <c r="S1009" s="17"/>
      <c r="T1009" s="17"/>
    </row>
    <row r="1010">
      <c r="A1010" s="327"/>
      <c r="B1010" s="121"/>
      <c r="C1010" s="327"/>
      <c r="D1010" s="127"/>
      <c r="E1010" s="327"/>
      <c r="F1010" s="121"/>
      <c r="G1010" s="327"/>
      <c r="H1010" s="121"/>
      <c r="I1010" s="334"/>
      <c r="J1010" s="127"/>
      <c r="K1010" s="334"/>
      <c r="L1010" s="127"/>
      <c r="M1010" s="334"/>
      <c r="N1010" s="127"/>
      <c r="O1010" s="327"/>
      <c r="P1010" s="121"/>
      <c r="Q1010" s="327"/>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無断転載は禁止です。")</f>
        <v>公式ゲーム「Countercurrent Tea Party - 痩せた妹とのシンプルな生活」を応援してください。
攻略まとめ：公式Discord - RORO、協力者 - MIO、Luo Ran、翻訳者 - 눈_눈、Ruika、zNagato、Libeti、Gabriel B、maltesey、AndyJango、IntenseLag、Nian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 maltesey, Andy"&amp;"Jango,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Intense"&amp;"Lag,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Unerlaubte Vervielfältigung verboten.</v>
      </c>
      <c r="Q1" s="319" t="s">
        <v>215</v>
      </c>
      <c r="S1" s="293"/>
      <c r="T1" s="293"/>
      <c r="U1" s="293"/>
      <c r="V1" s="293"/>
      <c r="W1" s="293"/>
      <c r="X1" s="293"/>
      <c r="Y1" s="293"/>
      <c r="Z1" s="293"/>
    </row>
    <row r="2" ht="41.25" customHeight="1">
      <c r="S2" s="293"/>
      <c r="T2" s="293"/>
      <c r="U2" s="293"/>
      <c r="V2" s="293"/>
      <c r="W2" s="293"/>
      <c r="X2" s="293"/>
      <c r="Y2" s="293"/>
      <c r="Z2" s="293"/>
    </row>
    <row r="3">
      <c r="A3" s="320" t="s">
        <v>4649</v>
      </c>
      <c r="B3" s="72" t="s">
        <v>4650</v>
      </c>
      <c r="C3" s="335" t="str">
        <f>IFERROR(__xludf.DUMMYFUNCTION("GOOGLETRANSLATE(A3,""zh-tw"",""ja"")"),"装備品")</f>
        <v>装備品</v>
      </c>
      <c r="D3" s="336" t="str">
        <f>IFERROR(__xludf.DUMMYFUNCTION("GOOGLETRANSLATE(B3,""zh-tw"",""ja"")"),"装備の属性")</f>
        <v>装備の属性</v>
      </c>
      <c r="E3" s="337" t="s">
        <v>4651</v>
      </c>
      <c r="F3" s="14" t="s">
        <v>4231</v>
      </c>
      <c r="G3" s="322" t="str">
        <f>IFERROR(__xludf.DUMMYFUNCTION("GOOGLETRANSLATE(A3,""zh-tw"",""zh"")"),"装备项目")</f>
        <v>装备项目</v>
      </c>
      <c r="H3" s="69" t="str">
        <f>IFERROR(__xludf.DUMMYFUNCTION("GOOGLETRANSLATE(B3,""zh-tw"",""zh"")"),"装备属性")</f>
        <v>装备属性</v>
      </c>
      <c r="I3" s="321" t="str">
        <f>IFERROR(__xludf.DUMMYFUNCTION("GOOGLETRANSLATE(A3,""zh-tw"",""es-MX"")"),"Artículos de equipo")</f>
        <v>Artículos de equipo</v>
      </c>
      <c r="J3" s="34" t="str">
        <f>IFERROR(__xludf.DUMMYFUNCTION("GOOGLETRANSLATE(B3,""zh-tw"",""es-MX"")"),"Atributos del equipo")</f>
        <v>Atributos del equipo</v>
      </c>
      <c r="K3" s="322" t="str">
        <f>IFERROR(__xludf.DUMMYFUNCTION("GOOGLETRANSLATE(A3,""zh-tw"",""KO"")"),"장비 아이템")</f>
        <v>장비 아이템</v>
      </c>
      <c r="L3" s="69" t="str">
        <f>IFERROR(__xludf.DUMMYFUNCTION("GOOGLETRANSLATE(B3,""zh-tw"",""KO"")"),"장비 속성")</f>
        <v>장비 속성</v>
      </c>
      <c r="M3" s="321"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20" t="s">
        <v>4652</v>
      </c>
      <c r="P3" s="72" t="s">
        <v>4653</v>
      </c>
      <c r="Q3" s="323" t="s">
        <v>4654</v>
      </c>
      <c r="R3" s="324" t="s">
        <v>4235</v>
      </c>
      <c r="S3" s="17"/>
      <c r="T3" s="17"/>
      <c r="U3" s="17"/>
      <c r="V3" s="17"/>
      <c r="W3" s="17"/>
      <c r="X3" s="17"/>
      <c r="Y3" s="17"/>
      <c r="Z3" s="17"/>
    </row>
    <row r="4">
      <c r="A4" s="326" t="s">
        <v>4655</v>
      </c>
      <c r="B4" s="310" t="s">
        <v>4656</v>
      </c>
      <c r="C4" s="338" t="s">
        <v>4657</v>
      </c>
      <c r="D4" s="179" t="s">
        <v>4658</v>
      </c>
      <c r="E4" s="325" t="s">
        <v>4659</v>
      </c>
      <c r="F4" s="117" t="s">
        <v>4660</v>
      </c>
      <c r="G4" s="327" t="str">
        <f>IFERROR(__xludf.DUMMYFUNCTION("GOOGLETRANSLATE(A4,""zh-tw"",""zh"")"),"妹妹脱下的内裤")</f>
        <v>妹妹脱下的内裤</v>
      </c>
      <c r="H4" s="121" t="str">
        <f>IFERROR(__xludf.DUMMYFUNCTION("GOOGLETRANSLATE(B4,""zh-tw"",""zh"")"),"低体力回复")</f>
        <v>低体力回复</v>
      </c>
      <c r="I4" s="325" t="s">
        <v>4661</v>
      </c>
      <c r="J4" s="117" t="s">
        <v>4662</v>
      </c>
      <c r="K4" s="325" t="s">
        <v>4663</v>
      </c>
      <c r="L4" s="117" t="s">
        <v>4664</v>
      </c>
      <c r="M4" s="328" t="str">
        <f>IFERROR(__xludf.DUMMYFUNCTION("GOOGLETRANSLATE(A4,""zh-tw"",""ru"")"),"Моя сестра сняла нижнее белье")</f>
        <v>Моя сестра сняла нижнее белье</v>
      </c>
      <c r="N4" s="308" t="str">
        <f>IFERROR(__xludf.DUMMYFUNCTION("GOOGLETRANSLATE(B4,""zh-tw"",""ru"")"),"Низкое восстановление выносливости")</f>
        <v>Низкое восстановление выносливости</v>
      </c>
      <c r="O4" s="326" t="s">
        <v>4665</v>
      </c>
      <c r="P4" s="310" t="s">
        <v>4666</v>
      </c>
      <c r="Q4" s="329" t="s">
        <v>4667</v>
      </c>
      <c r="R4" s="330" t="s">
        <v>4668</v>
      </c>
      <c r="S4" s="17"/>
      <c r="T4" s="17"/>
      <c r="U4" s="17"/>
      <c r="V4" s="17"/>
      <c r="W4" s="17"/>
      <c r="X4" s="17"/>
      <c r="Y4" s="17"/>
      <c r="Z4" s="17"/>
    </row>
    <row r="5">
      <c r="A5" s="326" t="s">
        <v>4669</v>
      </c>
      <c r="B5" s="310" t="s">
        <v>4670</v>
      </c>
      <c r="C5" s="338" t="s">
        <v>4671</v>
      </c>
      <c r="D5" s="339" t="str">
        <f>IFERROR(__xludf.DUMMYFUNCTION("GOOGLETRANSLATE(B5,""zh-tw"",""ja"")"),"性欲が増し、全属性が10%増加")</f>
        <v>性欲が増し、全属性が10%増加</v>
      </c>
      <c r="E5" s="325" t="s">
        <v>4672</v>
      </c>
      <c r="F5" s="117" t="s">
        <v>4673</v>
      </c>
      <c r="G5" s="327" t="str">
        <f>IFERROR(__xludf.DUMMYFUNCTION("GOOGLETRANSLATE(A5,""zh-tw"",""zh"")"),"少女的笑容")</f>
        <v>少女的笑容</v>
      </c>
      <c r="H5" s="121" t="str">
        <f>IFERROR(__xludf.DUMMYFUNCTION("GOOGLETRANSLATE(B5,""zh-tw"",""zh"")"),"性欲上升，全属性上升10%")</f>
        <v>性欲上升，全属性上升10%</v>
      </c>
      <c r="I5" s="325" t="s">
        <v>4674</v>
      </c>
      <c r="J5" s="121" t="str">
        <f>IFERROR(__xludf.DUMMYFUNCTION("GOOGLETRANSLATE(B5,""zh-tw"",""es-MX"")"),"La libido aumenta, todos los atributos aumentan en un 10%.")</f>
        <v>La libido aumenta, todos los atributos aumentan en un 10%.</v>
      </c>
      <c r="K5" s="327" t="str">
        <f>IFERROR(__xludf.DUMMYFUNCTION("GOOGLETRANSLATE(A5,""zh-tw"",""KO"")"),"소녀의 미소")</f>
        <v>소녀의 미소</v>
      </c>
      <c r="L5" s="117" t="s">
        <v>4675</v>
      </c>
      <c r="M5" s="328" t="str">
        <f>IFERROR(__xludf.DUMMYFUNCTION("GOOGLETRANSLATE(A5,""zh-tw"",""ru"")"),"Улыбка девушки")</f>
        <v>Улыбка девушки</v>
      </c>
      <c r="N5" s="308"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6" t="s">
        <v>4676</v>
      </c>
      <c r="P5" s="310" t="s">
        <v>4677</v>
      </c>
      <c r="Q5" s="329" t="s">
        <v>4678</v>
      </c>
      <c r="R5" s="330" t="s">
        <v>4679</v>
      </c>
      <c r="S5" s="17"/>
      <c r="T5" s="17"/>
      <c r="U5" s="17"/>
      <c r="V5" s="17"/>
      <c r="W5" s="17"/>
      <c r="X5" s="17"/>
      <c r="Y5" s="17"/>
      <c r="Z5" s="17"/>
    </row>
    <row r="6">
      <c r="A6" s="326" t="s">
        <v>4680</v>
      </c>
      <c r="B6" s="310" t="s">
        <v>723</v>
      </c>
      <c r="C6" s="340" t="str">
        <f>IFERROR(__xludf.DUMMYFUNCTION("GOOGLETRANSLATE(A6,""zh-tw"",""ja"")"),"フライドポテト")</f>
        <v>フライドポテト</v>
      </c>
      <c r="D6" s="339" t="str">
        <f>IFERROR(__xludf.DUMMYFUNCTION("GOOGLETRANSLATE(B6,""zh-tw"",""ja"")"),"-")</f>
        <v>-</v>
      </c>
      <c r="E6" s="325" t="s">
        <v>4681</v>
      </c>
      <c r="F6" s="117" t="s">
        <v>723</v>
      </c>
      <c r="G6" s="327" t="str">
        <f>IFERROR(__xludf.DUMMYFUNCTION("GOOGLETRANSLATE(A6,""zh-tw"",""zh"")"),"炸薯条")</f>
        <v>炸薯条</v>
      </c>
      <c r="H6" s="121" t="str">
        <f>IFERROR(__xludf.DUMMYFUNCTION("GOOGLETRANSLATE(B6,""zh-tw"",""zh"")"),"-")</f>
        <v>-</v>
      </c>
      <c r="I6" s="327" t="str">
        <f>IFERROR(__xludf.DUMMYFUNCTION("GOOGLETRANSLATE(A6,""zh-tw"",""es-MX"")"),"papas fritas")</f>
        <v>papas fritas</v>
      </c>
      <c r="J6" s="121" t="str">
        <f>IFERROR(__xludf.DUMMYFUNCTION("GOOGLETRANSLATE(B6,""zh-tw"",""es-MX"")"),"-")</f>
        <v>-</v>
      </c>
      <c r="K6" s="327" t="str">
        <f>IFERROR(__xludf.DUMMYFUNCTION("GOOGLETRANSLATE(A6,""zh-tw"",""KO"")"),"감자 튀김")</f>
        <v>감자 튀김</v>
      </c>
      <c r="L6" s="121" t="str">
        <f>IFERROR(__xludf.DUMMYFUNCTION("GOOGLETRANSLATE(B6,""zh-tw"",""KO"")"),"-")</f>
        <v>-</v>
      </c>
      <c r="M6" s="328" t="str">
        <f>IFERROR(__xludf.DUMMYFUNCTION("GOOGLETRANSLATE(A6,""zh-tw"",""ru"")"),"картофель фри")</f>
        <v>картофель фри</v>
      </c>
      <c r="N6" s="308" t="str">
        <f>IFERROR(__xludf.DUMMYFUNCTION("GOOGLETRANSLATE(B6,""zh-tw"",""ru"")"),"-")</f>
        <v>-</v>
      </c>
      <c r="O6" s="326" t="s">
        <v>4682</v>
      </c>
      <c r="P6" s="310" t="s">
        <v>4683</v>
      </c>
      <c r="Q6" s="329" t="s">
        <v>4684</v>
      </c>
      <c r="R6" s="330" t="s">
        <v>723</v>
      </c>
      <c r="S6" s="17"/>
      <c r="T6" s="17"/>
      <c r="U6" s="17"/>
      <c r="V6" s="17"/>
      <c r="W6" s="17"/>
      <c r="X6" s="17"/>
      <c r="Y6" s="17"/>
      <c r="Z6" s="17"/>
    </row>
    <row r="7">
      <c r="A7" s="326" t="s">
        <v>4685</v>
      </c>
      <c r="B7" s="310" t="s">
        <v>4686</v>
      </c>
      <c r="C7" s="340" t="str">
        <f>IFERROR(__xludf.DUMMYFUNCTION("GOOGLETRANSLATE(A7,""zh-tw"",""ja"")"),"トイレットペーパー")</f>
        <v>トイレットペーパー</v>
      </c>
      <c r="D7" s="339" t="str">
        <f>IFERROR(__xludf.DUMMYFUNCTION("GOOGLETRANSLATE(B7,""zh-tw"",""ja"")"),"物理防御力：1
出血防御力")</f>
        <v>物理防御力：1
出血防御力</v>
      </c>
      <c r="E7" s="325" t="s">
        <v>4687</v>
      </c>
      <c r="F7" s="117" t="s">
        <v>4688</v>
      </c>
      <c r="G7" s="327" t="str">
        <f>IFERROR(__xludf.DUMMYFUNCTION("GOOGLETRANSLATE(A7,""zh-tw"",""zh"")"),"厕纸")</f>
        <v>厕纸</v>
      </c>
      <c r="H7" s="121" t="str">
        <f>IFERROR(__xludf.DUMMYFUNCTION("GOOGLETRANSLATE(B7,""zh-tw"",""zh"")"),"物防：1
出血防御")</f>
        <v>物防：1
出血防御</v>
      </c>
      <c r="I7" s="327" t="str">
        <f>IFERROR(__xludf.DUMMYFUNCTION("GOOGLETRANSLATE(A7,""zh-tw"",""es-MX"")"),"papel higiénico")</f>
        <v>papel higiénico</v>
      </c>
      <c r="J7" s="121" t="str">
        <f>IFERROR(__xludf.DUMMYFUNCTION("GOOGLETRANSLATE(B7,""zh-tw"",""es-MX"")"),"Defensa física: 1
Defensa contra el sangrado")</f>
        <v>Defensa física: 1
Defensa contra el sangrado</v>
      </c>
      <c r="K7" s="327" t="str">
        <f>IFERROR(__xludf.DUMMYFUNCTION("GOOGLETRANSLATE(A7,""zh-tw"",""KO"")"),"휴지")</f>
        <v>휴지</v>
      </c>
      <c r="L7" s="117" t="s">
        <v>4689</v>
      </c>
      <c r="M7" s="328" t="str">
        <f>IFERROR(__xludf.DUMMYFUNCTION("GOOGLETRANSLATE(A7,""zh-tw"",""ru"")"),"туалетная бумага")</f>
        <v>туалетная бумага</v>
      </c>
      <c r="N7" s="308" t="str">
        <f>IFERROR(__xludf.DUMMYFUNCTION("GOOGLETRANSLATE(B7,""zh-tw"",""ru"")"),"Физическая защита: 1
Защита от кровотечения")</f>
        <v>Физическая защита: 1
Защита от кровотечения</v>
      </c>
      <c r="O7" s="326" t="s">
        <v>4690</v>
      </c>
      <c r="P7" s="310" t="s">
        <v>4691</v>
      </c>
      <c r="Q7" s="329" t="s">
        <v>4692</v>
      </c>
      <c r="R7" s="330" t="s">
        <v>4693</v>
      </c>
      <c r="S7" s="17"/>
      <c r="T7" s="17"/>
      <c r="U7" s="17"/>
      <c r="V7" s="17"/>
      <c r="W7" s="17"/>
      <c r="X7" s="17"/>
      <c r="Y7" s="17"/>
      <c r="Z7" s="17"/>
    </row>
    <row r="8">
      <c r="A8" s="326" t="s">
        <v>4694</v>
      </c>
      <c r="B8" s="310" t="s">
        <v>4695</v>
      </c>
      <c r="C8" s="338" t="s">
        <v>4696</v>
      </c>
      <c r="D8" s="339" t="str">
        <f>IFERROR(__xludf.DUMMYFUNCTION("GOOGLETRANSLATE(B8,""zh-tw"",""ja"")"),"幸運：10
回復の確率")</f>
        <v>幸運：10
回復の確率</v>
      </c>
      <c r="E8" s="325" t="s">
        <v>4697</v>
      </c>
      <c r="F8" s="117" t="s">
        <v>4698</v>
      </c>
      <c r="G8" s="327" t="str">
        <f>IFERROR(__xludf.DUMMYFUNCTION("GOOGLETRANSLATE(A8,""zh-tw"",""zh"")"),"苹果头套")</f>
        <v>苹果头套</v>
      </c>
      <c r="H8" s="121" t="str">
        <f>IFERROR(__xludf.DUMMYFUNCTION("GOOGLETRANSLATE(B8,""zh-tw"",""zh"")"),"幸运：10
概率回复")</f>
        <v>幸运：10
概率回复</v>
      </c>
      <c r="I8" s="325" t="s">
        <v>4699</v>
      </c>
      <c r="J8" s="117" t="s">
        <v>4700</v>
      </c>
      <c r="K8" s="325" t="s">
        <v>4701</v>
      </c>
      <c r="L8" s="117" t="s">
        <v>4702</v>
      </c>
      <c r="M8" s="328" t="str">
        <f>IFERROR(__xludf.DUMMYFUNCTION("GOOGLETRANSLATE(A8,""zh-tw"",""ru"")"),"Повязка на голову Apple")</f>
        <v>Повязка на голову Apple</v>
      </c>
      <c r="N8" s="308" t="str">
        <f>IFERROR(__xludf.DUMMYFUNCTION("GOOGLETRANSLATE(B8,""zh-tw"",""ru"")"),"Удача: 10
Шанс на выздоровление")</f>
        <v>Удача: 10
Шанс на выздоровление</v>
      </c>
      <c r="O8" s="326" t="s">
        <v>4703</v>
      </c>
      <c r="P8" s="310" t="s">
        <v>4704</v>
      </c>
      <c r="Q8" s="329" t="s">
        <v>4705</v>
      </c>
      <c r="R8" s="330" t="s">
        <v>4706</v>
      </c>
      <c r="S8" s="17"/>
      <c r="T8" s="17"/>
      <c r="U8" s="17"/>
      <c r="V8" s="17"/>
      <c r="W8" s="17"/>
      <c r="X8" s="17"/>
      <c r="Y8" s="17"/>
      <c r="Z8" s="17"/>
    </row>
    <row r="9">
      <c r="A9" s="326" t="s">
        <v>4707</v>
      </c>
      <c r="B9" s="310" t="s">
        <v>4708</v>
      </c>
      <c r="C9" s="338" t="s">
        <v>4709</v>
      </c>
      <c r="D9" s="339" t="str">
        <f>IFERROR(__xludf.DUMMYFUNCTION("GOOGLETRANSLATE(B9,""zh-tw"",""ja"")"),"物理攻撃力：5
攻撃速度と移動速度が増加")</f>
        <v>物理攻撃力：5
攻撃速度と移動速度が増加</v>
      </c>
      <c r="E9" s="325" t="s">
        <v>4710</v>
      </c>
      <c r="F9" s="117" t="s">
        <v>4711</v>
      </c>
      <c r="G9" s="327" t="str">
        <f>IFERROR(__xludf.DUMMYFUNCTION("GOOGLETRANSLATE(A9,""zh-tw"",""zh"")"),"借来的猫爪")</f>
        <v>借来的猫爪</v>
      </c>
      <c r="H9" s="121" t="str">
        <f>IFERROR(__xludf.DUMMYFUNCTION("GOOGLETRANSLATE(B9,""zh-tw"",""zh"")"),"物攻：5
攻速、移速上升")</f>
        <v>物攻：5
攻速、移速上升</v>
      </c>
      <c r="I9" s="325" t="s">
        <v>4712</v>
      </c>
      <c r="J9" s="121" t="str">
        <f>IFERROR(__xludf.DUMMYFUNCTION("GOOGLETRANSLATE(B9,""zh-tw"",""es-MX"")"),"Ataque físico: 5
Velocidad de ataque y movimiento aumentada")</f>
        <v>Ataque físico: 5
Velocidad de ataque y movimiento aumentada</v>
      </c>
      <c r="K9" s="325" t="s">
        <v>4713</v>
      </c>
      <c r="L9" s="117" t="s">
        <v>4714</v>
      </c>
      <c r="M9" s="328" t="str">
        <f>IFERROR(__xludf.DUMMYFUNCTION("GOOGLETRANSLATE(A9,""zh-tw"",""ru"")"),"Заимствованная кошачья лапа")</f>
        <v>Заимствованная кошачья лапа</v>
      </c>
      <c r="N9" s="308"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6" t="s">
        <v>4715</v>
      </c>
      <c r="P9" s="310" t="s">
        <v>4716</v>
      </c>
      <c r="Q9" s="329" t="s">
        <v>4717</v>
      </c>
      <c r="R9" s="330" t="s">
        <v>4718</v>
      </c>
      <c r="S9" s="17"/>
      <c r="T9" s="17"/>
      <c r="U9" s="17"/>
      <c r="V9" s="17"/>
      <c r="W9" s="17"/>
      <c r="X9" s="17"/>
      <c r="Y9" s="17"/>
      <c r="Z9" s="17"/>
    </row>
    <row r="10">
      <c r="A10" s="326" t="s">
        <v>4719</v>
      </c>
      <c r="B10" s="310" t="s">
        <v>4720</v>
      </c>
      <c r="C10" s="338" t="s">
        <v>4721</v>
      </c>
      <c r="D10" s="339" t="str">
        <f>IFERROR(__xludf.DUMMYFUNCTION("GOOGLETRANSLATE(B10,""zh-tw"",""ja"")"),"攻撃速度と移動速度が上昇、フラッシュステップのクールダウンが短縮")</f>
        <v>攻撃速度と移動速度が上昇、フラッシュステップのクールダウンが短縮</v>
      </c>
      <c r="E10" s="325" t="s">
        <v>4722</v>
      </c>
      <c r="F10" s="117" t="s">
        <v>4723</v>
      </c>
      <c r="G10" s="327" t="str">
        <f>IFERROR(__xludf.DUMMYFUNCTION("GOOGLETRANSLATE(A10,""zh-tw"",""zh"")"),"借来的猫足")</f>
        <v>借来的猫足</v>
      </c>
      <c r="H10" s="121" t="str">
        <f>IFERROR(__xludf.DUMMYFUNCTION("GOOGLETRANSLATE(B10,""zh-tw"",""zh"")"),"攻速、移速上升
闪步冷却时间缩短")</f>
        <v>攻速、移速上升
闪步冷却时间缩短</v>
      </c>
      <c r="I10" s="327"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5" t="s">
        <v>4724</v>
      </c>
      <c r="L10" s="117" t="s">
        <v>4725</v>
      </c>
      <c r="M10" s="328" t="str">
        <f>IFERROR(__xludf.DUMMYFUNCTION("GOOGLETRANSLATE(A10,""zh-tw"",""ru"")"),"Заимствованные кошачьи лапки")</f>
        <v>Заимствованные кошачьи лапки</v>
      </c>
      <c r="N10" s="308"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6" t="s">
        <v>4726</v>
      </c>
      <c r="P10" s="310" t="s">
        <v>4727</v>
      </c>
      <c r="Q10" s="329" t="s">
        <v>4728</v>
      </c>
      <c r="R10" s="330" t="s">
        <v>4729</v>
      </c>
      <c r="S10" s="17"/>
      <c r="T10" s="17"/>
      <c r="U10" s="17"/>
      <c r="V10" s="17"/>
      <c r="W10" s="17"/>
      <c r="X10" s="17"/>
      <c r="Y10" s="17"/>
      <c r="Z10" s="17"/>
    </row>
    <row r="11">
      <c r="A11" s="326" t="s">
        <v>4730</v>
      </c>
      <c r="B11" s="310" t="s">
        <v>4731</v>
      </c>
      <c r="C11" s="338" t="s">
        <v>4102</v>
      </c>
      <c r="D11" s="339" t="str">
        <f>IFERROR(__xludf.DUMMYFUNCTION("GOOGLETRANSLATE(B11,""zh-tw"",""ja"")"),"攻撃速度、攻撃回数を+1する")</f>
        <v>攻撃速度、攻撃回数を+1する</v>
      </c>
      <c r="E11" s="325" t="s">
        <v>4105</v>
      </c>
      <c r="F11" s="117" t="s">
        <v>4732</v>
      </c>
      <c r="G11" s="327" t="str">
        <f>IFERROR(__xludf.DUMMYFUNCTION("GOOGLETRANSLATE(A11,""zh-tw"",""zh"")"),"猫爪手套")</f>
        <v>猫爪手套</v>
      </c>
      <c r="H11" s="121" t="str">
        <f>IFERROR(__xludf.DUMMYFUNCTION("GOOGLETRANSLATE(B11,""zh-tw"",""zh"")"),"增加攻击速度、攻击数目+1")</f>
        <v>增加攻击速度、攻击数目+1</v>
      </c>
      <c r="I11" s="327"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5" t="s">
        <v>4107</v>
      </c>
      <c r="L11" s="117" t="s">
        <v>4733</v>
      </c>
      <c r="M11" s="328" t="str">
        <f>IFERROR(__xludf.DUMMYFUNCTION("GOOGLETRANSLATE(A11,""zh-tw"",""ru"")"),"Перчатки «Кошачья лапка»")</f>
        <v>Перчатки «Кошачья лапка»</v>
      </c>
      <c r="N11" s="308" t="str">
        <f>IFERROR(__xludf.DUMMYFUNCTION("GOOGLETRANSLATE(B11,""zh-tw"",""ru"")"),"Увеличивает скорость атаки, количество атак +1")</f>
        <v>Увеличивает скорость атаки, количество атак +1</v>
      </c>
      <c r="O11" s="326" t="s">
        <v>4109</v>
      </c>
      <c r="P11" s="310" t="s">
        <v>4734</v>
      </c>
      <c r="Q11" s="329" t="s">
        <v>4735</v>
      </c>
      <c r="R11" s="330" t="s">
        <v>4736</v>
      </c>
      <c r="S11" s="17"/>
      <c r="T11" s="17"/>
      <c r="U11" s="17"/>
      <c r="V11" s="17"/>
      <c r="W11" s="17"/>
      <c r="X11" s="17"/>
      <c r="Y11" s="17"/>
      <c r="Z11" s="17"/>
    </row>
    <row r="12">
      <c r="A12" s="326" t="s">
        <v>4737</v>
      </c>
      <c r="B12" s="310" t="s">
        <v>4738</v>
      </c>
      <c r="C12" s="338" t="s">
        <v>4739</v>
      </c>
      <c r="D12" s="339"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5" t="s">
        <v>4740</v>
      </c>
      <c r="F12" s="117" t="s">
        <v>4741</v>
      </c>
      <c r="G12" s="327"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7"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5" t="s">
        <v>4742</v>
      </c>
      <c r="L12" s="117" t="s">
        <v>4743</v>
      </c>
      <c r="M12" s="328" t="str">
        <f>IFERROR(__xludf.DUMMYFUNCTION("GOOGLETRANSLATE(A12,""zh-tw"",""ru"")"),"Тюрбан настойчивости")</f>
        <v>Тюрбан настойчивости</v>
      </c>
      <c r="N12" s="308"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6" t="s">
        <v>4744</v>
      </c>
      <c r="P12" s="310" t="s">
        <v>4745</v>
      </c>
      <c r="Q12" s="329" t="s">
        <v>4746</v>
      </c>
      <c r="R12" s="330" t="s">
        <v>4747</v>
      </c>
      <c r="S12" s="17"/>
      <c r="T12" s="17"/>
      <c r="U12" s="17"/>
      <c r="V12" s="17"/>
      <c r="W12" s="17"/>
      <c r="X12" s="17"/>
      <c r="Y12" s="17"/>
      <c r="Z12" s="17"/>
    </row>
    <row r="13">
      <c r="A13" s="326" t="s">
        <v>4748</v>
      </c>
      <c r="B13" s="310" t="s">
        <v>4749</v>
      </c>
      <c r="C13" s="340" t="str">
        <f>IFERROR(__xludf.DUMMYFUNCTION("GOOGLETRANSLATE(A13,""zh-tw"",""ja"")"),"招き猫")</f>
        <v>招き猫</v>
      </c>
      <c r="D13" s="179" t="s">
        <v>4750</v>
      </c>
      <c r="E13" s="325" t="s">
        <v>4751</v>
      </c>
      <c r="F13" s="117" t="s">
        <v>4752</v>
      </c>
      <c r="G13" s="327" t="str">
        <f>IFERROR(__xludf.DUMMYFUNCTION("GOOGLETRANSLATE(A13,""zh-tw"",""zh"")"),"招财猫")</f>
        <v>招财猫</v>
      </c>
      <c r="H13" s="121" t="str">
        <f>IFERROR(__xludf.DUMMYFUNCTION("GOOGLETRANSLATE(B13,""zh-tw"",""zh"")"),"魔抗：10
幸运：50
吸取物品")</f>
        <v>魔抗：10
幸运：50
吸取物品</v>
      </c>
      <c r="I13" s="327"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5" t="s">
        <v>4753</v>
      </c>
      <c r="L13" s="117" t="s">
        <v>4754</v>
      </c>
      <c r="M13" s="328" t="str">
        <f>IFERROR(__xludf.DUMMYFUNCTION("GOOGLETRANSLATE(A13,""zh-tw"",""ru"")"),"Счастливый кот")</f>
        <v>Счастливый кот</v>
      </c>
      <c r="N13" s="308" t="str">
        <f>IFERROR(__xludf.DUMMYFUNCTION("GOOGLETRANSLATE(B13,""zh-tw"",""ru"")"),"Сопротивление магии: 10
Удача: 50
Поглощение предметов")</f>
        <v>Сопротивление магии: 10
Удача: 50
Поглощение предметов</v>
      </c>
      <c r="O13" s="326" t="s">
        <v>4755</v>
      </c>
      <c r="P13" s="310" t="s">
        <v>4756</v>
      </c>
      <c r="Q13" s="329" t="s">
        <v>4757</v>
      </c>
      <c r="R13" s="330" t="s">
        <v>4758</v>
      </c>
      <c r="S13" s="17"/>
      <c r="T13" s="17"/>
      <c r="U13" s="17"/>
      <c r="V13" s="17"/>
      <c r="W13" s="17"/>
      <c r="X13" s="17"/>
      <c r="Y13" s="17"/>
      <c r="Z13" s="17"/>
    </row>
    <row r="14">
      <c r="A14" s="326" t="s">
        <v>4759</v>
      </c>
      <c r="B14" s="310" t="s">
        <v>4760</v>
      </c>
      <c r="C14" s="340" t="str">
        <f>IFERROR(__xludf.DUMMYFUNCTION("GOOGLETRANSLATE(A14,""zh-tw"",""ja"")"),"怒りの拳")</f>
        <v>怒りの拳</v>
      </c>
      <c r="D14" s="339" t="str">
        <f>IFERROR(__xludf.DUMMYFUNCTION("GOOGLETRANSLATE(B14,""zh-tw"",""ja"")"),"自動サラウンド攻撃")</f>
        <v>自動サラウンド攻撃</v>
      </c>
      <c r="E14" s="325" t="s">
        <v>4761</v>
      </c>
      <c r="F14" s="117" t="s">
        <v>4762</v>
      </c>
      <c r="G14" s="327" t="str">
        <f>IFERROR(__xludf.DUMMYFUNCTION("GOOGLETRANSLATE(A14,""zh-tw"",""zh"")"),"愤怒的拳头")</f>
        <v>愤怒的拳头</v>
      </c>
      <c r="H14" s="121" t="str">
        <f>IFERROR(__xludf.DUMMYFUNCTION("GOOGLETRANSLATE(B14,""zh-tw"",""zh"")"),"自动环绕攻击")</f>
        <v>自动环绕攻击</v>
      </c>
      <c r="I14" s="327" t="str">
        <f>IFERROR(__xludf.DUMMYFUNCTION("GOOGLETRANSLATE(A14,""zh-tw"",""es-MX"")"),"Puño de ira")</f>
        <v>Puño de ira</v>
      </c>
      <c r="J14" s="121" t="str">
        <f>IFERROR(__xludf.DUMMYFUNCTION("GOOGLETRANSLATE(B14,""zh-tw"",""es-MX"")"),"Ataque envolvente automático")</f>
        <v>Ataque envolvente automático</v>
      </c>
      <c r="K14" s="327" t="str">
        <f>IFERROR(__xludf.DUMMYFUNCTION("GOOGLETRANSLATE(A14,""zh-tw"",""KO"")"),"분노의 주먹")</f>
        <v>분노의 주먹</v>
      </c>
      <c r="L14" s="117" t="s">
        <v>4763</v>
      </c>
      <c r="M14" s="328" t="str">
        <f>IFERROR(__xludf.DUMMYFUNCTION("GOOGLETRANSLATE(A14,""zh-tw"",""ru"")"),"Кулак Злости")</f>
        <v>Кулак Злости</v>
      </c>
      <c r="N14" s="308" t="str">
        <f>IFERROR(__xludf.DUMMYFUNCTION("GOOGLETRANSLATE(B14,""zh-tw"",""ru"")"),"Автоматическая атака по объемному звуку")</f>
        <v>Автоматическая атака по объемному звуку</v>
      </c>
      <c r="O14" s="326" t="s">
        <v>4764</v>
      </c>
      <c r="P14" s="310" t="s">
        <v>4765</v>
      </c>
      <c r="Q14" s="329" t="s">
        <v>4766</v>
      </c>
      <c r="R14" s="330" t="s">
        <v>4767</v>
      </c>
      <c r="S14" s="17"/>
      <c r="T14" s="17"/>
      <c r="U14" s="17"/>
      <c r="V14" s="17"/>
      <c r="W14" s="17"/>
      <c r="X14" s="17"/>
      <c r="Y14" s="17"/>
      <c r="Z14" s="17"/>
    </row>
    <row r="15">
      <c r="A15" s="326" t="s">
        <v>4768</v>
      </c>
      <c r="B15" s="310" t="s">
        <v>4769</v>
      </c>
      <c r="C15" s="338" t="s">
        <v>4770</v>
      </c>
      <c r="D15" s="179" t="s">
        <v>4771</v>
      </c>
      <c r="E15" s="325" t="s">
        <v>4772</v>
      </c>
      <c r="F15" s="117" t="s">
        <v>4773</v>
      </c>
      <c r="G15" s="327" t="str">
        <f>IFERROR(__xludf.DUMMYFUNCTION("GOOGLETRANSLATE(A15,""zh-tw"",""zh"")"),"毒蛇之拥")</f>
        <v>毒蛇之拥</v>
      </c>
      <c r="H15" s="121" t="str">
        <f>IFERROR(__xludf.DUMMYFUNCTION("GOOGLETRANSLATE(B15,""zh-tw"",""zh"")"),"物攻：1
魔攻：1
自动环绕攻击")</f>
        <v>物攻：1
魔攻：1
自动环绕攻击</v>
      </c>
      <c r="I15" s="327"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5" t="s">
        <v>4774</v>
      </c>
      <c r="L15" s="117" t="s">
        <v>4775</v>
      </c>
      <c r="M15" s="328" t="str">
        <f>IFERROR(__xludf.DUMMYFUNCTION("GOOGLETRANSLATE(A15,""zh-tw"",""ru"")"),"Объятия Змеи")</f>
        <v>Объятия Змеи</v>
      </c>
      <c r="N15" s="308"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6" t="s">
        <v>4776</v>
      </c>
      <c r="P15" s="310" t="s">
        <v>4777</v>
      </c>
      <c r="Q15" s="329" t="s">
        <v>4778</v>
      </c>
      <c r="R15" s="330" t="s">
        <v>4779</v>
      </c>
      <c r="S15" s="17"/>
      <c r="T15" s="17"/>
      <c r="U15" s="17"/>
      <c r="V15" s="17"/>
      <c r="W15" s="17"/>
      <c r="X15" s="17"/>
      <c r="Y15" s="17"/>
      <c r="Z15" s="17"/>
    </row>
    <row r="16">
      <c r="A16" s="326" t="s">
        <v>3908</v>
      </c>
      <c r="B16" s="310" t="s">
        <v>4780</v>
      </c>
      <c r="C16" s="340" t="str">
        <f>IFERROR(__xludf.DUMMYFUNCTION("GOOGLETRANSLATE(A16,""zh-tw"",""ja"")"),"火の鳥の羽")</f>
        <v>火の鳥の羽</v>
      </c>
      <c r="D16" s="339" t="str">
        <f>IFERROR(__xludf.DUMMYFUNCTION("GOOGLETRANSLATE(B16,""zh-tw"",""ja"")"),"一度の復活")</f>
        <v>一度の復活</v>
      </c>
      <c r="E16" s="325" t="s">
        <v>3913</v>
      </c>
      <c r="F16" s="117" t="s">
        <v>4781</v>
      </c>
      <c r="G16" s="327" t="str">
        <f>IFERROR(__xludf.DUMMYFUNCTION("GOOGLETRANSLATE(A16,""zh-tw"",""zh"")"),"火鸟的羽毛")</f>
        <v>火鸟的羽毛</v>
      </c>
      <c r="H16" s="121" t="str">
        <f>IFERROR(__xludf.DUMMYFUNCTION("GOOGLETRANSLATE(B16,""zh-tw"",""zh"")"),"复活一次")</f>
        <v>复活一次</v>
      </c>
      <c r="I16" s="327" t="str">
        <f>IFERROR(__xludf.DUMMYFUNCTION("GOOGLETRANSLATE(A16,""zh-tw"",""es-MX"")"),"Plumas de pájaro de fuego")</f>
        <v>Plumas de pájaro de fuego</v>
      </c>
      <c r="J16" s="121" t="str">
        <f>IFERROR(__xludf.DUMMYFUNCTION("GOOGLETRANSLATE(B16,""zh-tw"",""es-MX"")"),"Resurrección una vez")</f>
        <v>Resurrección una vez</v>
      </c>
      <c r="K16" s="326" t="s">
        <v>3916</v>
      </c>
      <c r="L16" s="117" t="s">
        <v>4782</v>
      </c>
      <c r="M16" s="328" t="str">
        <f>IFERROR(__xludf.DUMMYFUNCTION("GOOGLETRANSLATE(A16,""zh-tw"",""ru"")"),"Перья жар-птицы")</f>
        <v>Перья жар-птицы</v>
      </c>
      <c r="N16" s="308" t="str">
        <f>IFERROR(__xludf.DUMMYFUNCTION("GOOGLETRANSLATE(B16,""zh-tw"",""ru"")"),"Воскресение однажды")</f>
        <v>Воскресение однажды</v>
      </c>
      <c r="O16" s="326" t="s">
        <v>3919</v>
      </c>
      <c r="P16" s="310" t="s">
        <v>4783</v>
      </c>
      <c r="Q16" s="329" t="s">
        <v>3922</v>
      </c>
      <c r="R16" s="330" t="s">
        <v>4784</v>
      </c>
      <c r="S16" s="17"/>
      <c r="T16" s="17"/>
      <c r="U16" s="17"/>
      <c r="V16" s="17"/>
      <c r="W16" s="17"/>
      <c r="X16" s="17"/>
      <c r="Y16" s="17"/>
      <c r="Z16" s="17"/>
    </row>
    <row r="17">
      <c r="A17" s="326" t="s">
        <v>4785</v>
      </c>
      <c r="B17" s="310" t="s">
        <v>4786</v>
      </c>
      <c r="C17" s="338" t="s">
        <v>4787</v>
      </c>
      <c r="D17" s="339" t="str">
        <f>IFERROR(__xludf.DUMMYFUNCTION("GOOGLETRANSLATE(B17,""zh-tw"",""ja"")"),"物理防御力：2
魔法耐性：15
落下ダメージ軽減")</f>
        <v>物理防御力：2
魔法耐性：15
落下ダメージ軽減</v>
      </c>
      <c r="E17" s="325" t="s">
        <v>4788</v>
      </c>
      <c r="F17" s="117" t="s">
        <v>4789</v>
      </c>
      <c r="G17" s="327" t="str">
        <f>IFERROR(__xludf.DUMMYFUNCTION("GOOGLETRANSLATE(A17,""zh-tw"",""zh"")"),"倒吊人的骨戒")</f>
        <v>倒吊人的骨戒</v>
      </c>
      <c r="H17" s="121" t="str">
        <f>IFERROR(__xludf.DUMMYFUNCTION("GOOGLETRANSLATE(B17,""zh-tw"",""zh"")"),"物防：2
魔抗：15
掉落伤害减免")</f>
        <v>物防：2
魔抗：15
掉落伤害减免</v>
      </c>
      <c r="I17" s="327"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5" t="s">
        <v>4790</v>
      </c>
      <c r="L17" s="117" t="s">
        <v>4791</v>
      </c>
      <c r="M17" s="328" t="str">
        <f>IFERROR(__xludf.DUMMYFUNCTION("GOOGLETRANSLATE(A17,""zh-tw"",""ru"")"),"Кольцо из костей повешенного")</f>
        <v>Кольцо из костей повешенного</v>
      </c>
      <c r="N17" s="308"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6" t="s">
        <v>4792</v>
      </c>
      <c r="P17" s="310" t="s">
        <v>4793</v>
      </c>
      <c r="Q17" s="329" t="s">
        <v>4794</v>
      </c>
      <c r="R17" s="330" t="s">
        <v>4795</v>
      </c>
      <c r="S17" s="17"/>
      <c r="T17" s="17"/>
      <c r="U17" s="17"/>
      <c r="V17" s="17"/>
      <c r="W17" s="17"/>
      <c r="X17" s="17"/>
      <c r="Y17" s="17"/>
      <c r="Z17" s="17"/>
    </row>
    <row r="18">
      <c r="A18" s="325" t="s">
        <v>4796</v>
      </c>
      <c r="B18" s="117" t="s">
        <v>4797</v>
      </c>
      <c r="C18" s="338" t="s">
        <v>4798</v>
      </c>
      <c r="D18" s="339"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7"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7"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7"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7"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8" t="str">
        <f>IFERROR(__xludf.DUMMYFUNCTION("GOOGLETRANSLATE(A18,""zh-tw"",""ru"")"),"Наручи мастера боевых искусств")</f>
        <v>Наручи мастера боевых искусств</v>
      </c>
      <c r="N18" s="308"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6" t="s">
        <v>4799</v>
      </c>
      <c r="P18" s="310" t="s">
        <v>4800</v>
      </c>
      <c r="Q18" s="329" t="s">
        <v>4801</v>
      </c>
      <c r="R18" s="330" t="s">
        <v>4802</v>
      </c>
      <c r="S18" s="17"/>
      <c r="T18" s="17"/>
      <c r="U18" s="17"/>
      <c r="V18" s="17"/>
      <c r="W18" s="17"/>
      <c r="X18" s="17"/>
      <c r="Y18" s="17"/>
      <c r="Z18" s="17"/>
    </row>
    <row r="19">
      <c r="A19" s="326" t="s">
        <v>4803</v>
      </c>
      <c r="B19" s="310" t="s">
        <v>4804</v>
      </c>
      <c r="C19" s="338" t="s">
        <v>4805</v>
      </c>
      <c r="D19" s="339" t="str">
        <f>IFERROR(__xludf.DUMMYFUNCTION("GOOGLETRANSLATE(B19,""zh-tw"",""ja"")"),"移動速度：5
フラッシュステップ強化")</f>
        <v>移動速度：5
フラッシュステップ強化</v>
      </c>
      <c r="E19" s="325" t="s">
        <v>4806</v>
      </c>
      <c r="F19" s="117" t="s">
        <v>4807</v>
      </c>
      <c r="G19" s="327" t="str">
        <f>IFERROR(__xludf.DUMMYFUNCTION("GOOGLETRANSLATE(A19,""zh-tw"",""zh"")"),"武术家之鞋")</f>
        <v>武术家之鞋</v>
      </c>
      <c r="H19" s="121" t="str">
        <f>IFERROR(__xludf.DUMMYFUNCTION("GOOGLETRANSLATE(B19,""zh-tw"",""zh"")"),"移速:5
闪步效果强化")</f>
        <v>移速:5
闪步效果强化</v>
      </c>
      <c r="I19" s="327"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7" t="str">
        <f>IFERROR(__xludf.DUMMYFUNCTION("GOOGLETRANSLATE(A19,""zh-tw"",""KO"")"),"무술가의 신발")</f>
        <v>무술가의 신발</v>
      </c>
      <c r="L19" s="121" t="str">
        <f>IFERROR(__xludf.DUMMYFUNCTION("GOOGLETRANSLATE(B19,""zh-tw"",""KO"")"),"이동 속도: 5
플래시 스텝 강화")</f>
        <v>이동 속도: 5
플래시 스텝 강화</v>
      </c>
      <c r="M19" s="328" t="str">
        <f>IFERROR(__xludf.DUMMYFUNCTION("GOOGLETRANSLATE(A19,""zh-tw"",""ru"")"),"Обувь для мастеров боевых искусств")</f>
        <v>Обувь для мастеров боевых искусств</v>
      </c>
      <c r="N19" s="308" t="str">
        <f>IFERROR(__xludf.DUMMYFUNCTION("GOOGLETRANSLATE(B19,""zh-tw"",""ru"")"),"Скорость передвижения: 5
Увеличенный шаг")</f>
        <v>Скорость передвижения: 5
Увеличенный шаг</v>
      </c>
      <c r="O19" s="326" t="s">
        <v>4808</v>
      </c>
      <c r="P19" s="310" t="s">
        <v>4809</v>
      </c>
      <c r="Q19" s="329" t="s">
        <v>4810</v>
      </c>
      <c r="R19" s="330" t="s">
        <v>4811</v>
      </c>
      <c r="S19" s="17"/>
      <c r="T19" s="17"/>
      <c r="U19" s="17"/>
      <c r="V19" s="17"/>
      <c r="W19" s="17"/>
      <c r="X19" s="17"/>
      <c r="Y19" s="17"/>
      <c r="Z19" s="17"/>
    </row>
    <row r="20">
      <c r="A20" s="326" t="s">
        <v>4812</v>
      </c>
      <c r="B20" s="310" t="s">
        <v>4813</v>
      </c>
      <c r="C20" s="338" t="s">
        <v>4814</v>
      </c>
      <c r="D20" s="339" t="str">
        <f>IFERROR(__xludf.DUMMYFUNCTION("GOOGLETRANSLATE(B20,""zh-tw"",""ja"")"),"物理防御力：1
幸運：60")</f>
        <v>物理防御力：1
幸運：60</v>
      </c>
      <c r="E20" s="325" t="s">
        <v>4815</v>
      </c>
      <c r="F20" s="117" t="s">
        <v>4816</v>
      </c>
      <c r="G20" s="327" t="str">
        <f>IFERROR(__xludf.DUMMYFUNCTION("GOOGLETRANSLATE(A20,""zh-tw"",""zh"")"),"萌萌兔耳")</f>
        <v>萌萌兔耳</v>
      </c>
      <c r="H20" s="121" t="str">
        <f>IFERROR(__xludf.DUMMYFUNCTION("GOOGLETRANSLATE(B20,""zh-tw"",""zh"")"),"物防：1
幸运：60")</f>
        <v>物防：1
幸运：60</v>
      </c>
      <c r="I20" s="327" t="str">
        <f>IFERROR(__xludf.DUMMYFUNCTION("GOOGLETRANSLATE(A20,""zh-tw"",""es-MX"")"),"Lindas orejas de conejo")</f>
        <v>Lindas orejas de conejo</v>
      </c>
      <c r="J20" s="121" t="str">
        <f>IFERROR(__xludf.DUMMYFUNCTION("GOOGLETRANSLATE(B20,""zh-tw"",""es-MX"")"),"Defensa física: 1
Suerte: 60")</f>
        <v>Defensa física: 1
Suerte: 60</v>
      </c>
      <c r="K20" s="327" t="str">
        <f>IFERROR(__xludf.DUMMYFUNCTION("GOOGLETRANSLATE(A20,""zh-tw"",""KO"")"),"귀여운 토끼 귀")</f>
        <v>귀여운 토끼 귀</v>
      </c>
      <c r="L20" s="121" t="str">
        <f>IFERROR(__xludf.DUMMYFUNCTION("GOOGLETRANSLATE(B20,""zh-tw"",""KO"")"),"물리 방어력: 1
행운: 60")</f>
        <v>물리 방어력: 1
행운: 60</v>
      </c>
      <c r="M20" s="328" t="str">
        <f>IFERROR(__xludf.DUMMYFUNCTION("GOOGLETRANSLATE(A20,""zh-tw"",""ru"")"),"Милые кроличьи ушки")</f>
        <v>Милые кроличьи ушки</v>
      </c>
      <c r="N20" s="308" t="str">
        <f>IFERROR(__xludf.DUMMYFUNCTION("GOOGLETRANSLATE(B20,""zh-tw"",""ru"")"),"Физическая защита: 1
Удача: 60")</f>
        <v>Физическая защита: 1
Удача: 60</v>
      </c>
      <c r="O20" s="326" t="s">
        <v>4817</v>
      </c>
      <c r="P20" s="310" t="s">
        <v>4818</v>
      </c>
      <c r="Q20" s="329" t="s">
        <v>4819</v>
      </c>
      <c r="R20" s="330" t="s">
        <v>4820</v>
      </c>
      <c r="S20" s="17"/>
      <c r="T20" s="17"/>
      <c r="U20" s="17"/>
      <c r="V20" s="17"/>
      <c r="W20" s="17"/>
      <c r="X20" s="17"/>
      <c r="Y20" s="17"/>
      <c r="Z20" s="17"/>
    </row>
    <row r="21">
      <c r="A21" s="326" t="s">
        <v>4821</v>
      </c>
      <c r="B21" s="310" t="s">
        <v>4822</v>
      </c>
      <c r="C21" s="340" t="str">
        <f>IFERROR(__xludf.DUMMYFUNCTION("GOOGLETRANSLATE(A21,""zh-tw"",""ja"")"),"メイド服")</f>
        <v>メイド服</v>
      </c>
      <c r="D21" s="339" t="str">
        <f>IFERROR(__xludf.DUMMYFUNCTION("GOOGLETRANSLATE(B21,""zh-tw"",""ja"")"),"物理防御力: 4
魔法耐性: 4
幸運: 30
攻撃不可、特殊効果あり")</f>
        <v>物理防御力: 4
魔法耐性: 4
幸運: 30
攻撃不可、特殊効果あり</v>
      </c>
      <c r="E21" s="325" t="s">
        <v>4823</v>
      </c>
      <c r="F21" s="117" t="s">
        <v>4824</v>
      </c>
      <c r="G21" s="327" t="str">
        <f>IFERROR(__xludf.DUMMYFUNCTION("GOOGLETRANSLATE(A21,""zh-tw"",""zh"")"),"女仆制服")</f>
        <v>女仆制服</v>
      </c>
      <c r="H21" s="121" t="str">
        <f>IFERROR(__xludf.DUMMYFUNCTION("GOOGLETRANSLATE(B21,""zh-tw"",""zh"")"),"物防：4
魔抗：4
幸运：30
无法攻击、特殊效果")</f>
        <v>物防：4
魔抗：4
幸运：30
无法攻击、特殊效果</v>
      </c>
      <c r="I21" s="327"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6" t="s">
        <v>4825</v>
      </c>
      <c r="L21" s="117" t="s">
        <v>4826</v>
      </c>
      <c r="M21" s="328" t="str">
        <f>IFERROR(__xludf.DUMMYFUNCTION("GOOGLETRANSLATE(A21,""zh-tw"",""ru"")"),"униформа горничной")</f>
        <v>униформа горничной</v>
      </c>
      <c r="N21" s="308"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6" t="s">
        <v>4827</v>
      </c>
      <c r="P21" s="310" t="s">
        <v>4828</v>
      </c>
      <c r="Q21" s="329" t="s">
        <v>4829</v>
      </c>
      <c r="R21" s="330" t="s">
        <v>4830</v>
      </c>
      <c r="S21" s="17"/>
      <c r="T21" s="17"/>
      <c r="U21" s="17"/>
      <c r="V21" s="17"/>
      <c r="W21" s="17"/>
      <c r="X21" s="17"/>
      <c r="Y21" s="17"/>
      <c r="Z21" s="17"/>
    </row>
    <row r="22">
      <c r="A22" s="326" t="s">
        <v>4831</v>
      </c>
      <c r="B22" s="310" t="s">
        <v>4832</v>
      </c>
      <c r="C22" s="338" t="s">
        <v>4833</v>
      </c>
      <c r="D22" s="339" t="str">
        <f>IFERROR(__xludf.DUMMYFUNCTION("GOOGLETRANSLATE(B22,""zh-tw"",""ja"")"),"魔法攻撃力: 20
魔法防御: 10
詠唱速度が速く、魔法貫通力も高い")</f>
        <v>魔法攻撃力: 20
魔法防御: 10
詠唱速度が速く、魔法貫通力も高い</v>
      </c>
      <c r="E22" s="325" t="s">
        <v>4834</v>
      </c>
      <c r="F22" s="117" t="s">
        <v>4835</v>
      </c>
      <c r="G22" s="327" t="str">
        <f>IFERROR(__xludf.DUMMYFUNCTION("GOOGLETRANSLATE(A22,""zh-tw"",""zh"")"),"魔力晶簇")</f>
        <v>魔力晶簇</v>
      </c>
      <c r="H22" s="121" t="str">
        <f>IFERROR(__xludf.DUMMYFUNCTION("GOOGLETRANSLATE(B22,""zh-tw"",""zh"")"),"魔攻：20
魔抗：10
加快吟唱、魔法穿透")</f>
        <v>魔攻：20
魔抗：10
加快吟唱、魔法穿透</v>
      </c>
      <c r="I22" s="327"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5" t="s">
        <v>4836</v>
      </c>
      <c r="L22" s="117" t="s">
        <v>4837</v>
      </c>
      <c r="M22" s="328" t="str">
        <f>IFERROR(__xludf.DUMMYFUNCTION("GOOGLETRANSLATE(A22,""zh-tw"",""ru"")"),"Магический кристаллический кластер")</f>
        <v>Магический кристаллический кластер</v>
      </c>
      <c r="N22" s="308"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6" t="s">
        <v>4838</v>
      </c>
      <c r="P22" s="310" t="s">
        <v>4839</v>
      </c>
      <c r="Q22" s="329" t="s">
        <v>4840</v>
      </c>
      <c r="R22" s="330" t="s">
        <v>4841</v>
      </c>
      <c r="S22" s="17"/>
      <c r="T22" s="17"/>
      <c r="U22" s="17"/>
      <c r="V22" s="17"/>
      <c r="W22" s="17"/>
      <c r="X22" s="17"/>
      <c r="Y22" s="17"/>
      <c r="Z22" s="17"/>
    </row>
    <row r="23">
      <c r="A23" s="326" t="s">
        <v>4842</v>
      </c>
      <c r="B23" s="310" t="s">
        <v>4843</v>
      </c>
      <c r="C23" s="338" t="s">
        <v>4844</v>
      </c>
      <c r="D23" s="339" t="str">
        <f>IFERROR(__xludf.DUMMYFUNCTION("GOOGLETRANSLATE(B23,""zh-tw"",""ja"")"),"魔法攻撃力: 35
魔法防御: 20
詠唱速度が速く、魔法貫通力も高い")</f>
        <v>魔法攻撃力: 35
魔法防御: 20
詠唱速度が速く、魔法貫通力も高い</v>
      </c>
      <c r="E23" s="325" t="s">
        <v>4845</v>
      </c>
      <c r="F23" s="117" t="s">
        <v>4846</v>
      </c>
      <c r="G23" s="327" t="str">
        <f>IFERROR(__xludf.DUMMYFUNCTION("GOOGLETRANSLATE(A23,""zh-tw"",""zh"")"),"深邃魔力晶簇")</f>
        <v>深邃魔力晶簇</v>
      </c>
      <c r="H23" s="121" t="str">
        <f>IFERROR(__xludf.DUMMYFUNCTION("GOOGLETRANSLATE(B23,""zh-tw"",""zh"")"),"魔攻：35
魔抗：20
加快吟唱、魔法穿透")</f>
        <v>魔攻：35
魔抗：20
加快吟唱、魔法穿透</v>
      </c>
      <c r="I23" s="327"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6" t="s">
        <v>4847</v>
      </c>
      <c r="L23" s="117" t="s">
        <v>4848</v>
      </c>
      <c r="M23" s="328" t="str">
        <f>IFERROR(__xludf.DUMMYFUNCTION("GOOGLETRANSLATE(A23,""zh-tw"",""ru"")"),"Кристаллический кластер глубокой магии")</f>
        <v>Кристаллический кластер глубокой магии</v>
      </c>
      <c r="N23" s="308"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6" t="s">
        <v>4849</v>
      </c>
      <c r="P23" s="310" t="s">
        <v>4850</v>
      </c>
      <c r="Q23" s="329" t="s">
        <v>4851</v>
      </c>
      <c r="R23" s="330" t="s">
        <v>4852</v>
      </c>
      <c r="S23" s="17"/>
      <c r="T23" s="17"/>
      <c r="U23" s="17"/>
      <c r="V23" s="17"/>
      <c r="W23" s="17"/>
      <c r="X23" s="17"/>
      <c r="Y23" s="17"/>
      <c r="Z23" s="17"/>
    </row>
    <row r="24">
      <c r="A24" s="326" t="s">
        <v>4853</v>
      </c>
      <c r="B24" s="310" t="s">
        <v>4854</v>
      </c>
      <c r="C24" s="338" t="s">
        <v>4855</v>
      </c>
      <c r="D24" s="339"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5" t="s">
        <v>4856</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7"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7"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7" t="str">
        <f>IFERROR(__xludf.DUMMYFUNCTION("GOOGLETRANSLATE(A24,""zh-tw"",""KO"")"),"저주받은 태아")</f>
        <v>저주받은 태아</v>
      </c>
      <c r="L24" s="117" t="s">
        <v>4857</v>
      </c>
      <c r="M24" s="328" t="str">
        <f>IFERROR(__xludf.DUMMYFUNCTION("GOOGLETRANSLATE(A24,""zh-tw"",""ru"")"),"Проклятый плод")</f>
        <v>Проклятый плод</v>
      </c>
      <c r="N24" s="308"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6" t="s">
        <v>4858</v>
      </c>
      <c r="P24" s="310" t="s">
        <v>4859</v>
      </c>
      <c r="Q24" s="329" t="s">
        <v>4860</v>
      </c>
      <c r="R24" s="330" t="s">
        <v>4861</v>
      </c>
      <c r="S24" s="17"/>
      <c r="T24" s="17"/>
      <c r="U24" s="17"/>
      <c r="V24" s="17"/>
      <c r="W24" s="17"/>
      <c r="X24" s="17"/>
      <c r="Y24" s="17"/>
      <c r="Z24" s="17"/>
    </row>
    <row r="25">
      <c r="A25" s="326" t="s">
        <v>4862</v>
      </c>
      <c r="B25" s="310" t="s">
        <v>4863</v>
      </c>
      <c r="C25" s="338" t="s">
        <v>4864</v>
      </c>
      <c r="D25" s="339" t="str">
        <f>IFERROR(__xludf.DUMMYFUNCTION("GOOGLETRANSLATE(B25,""zh-tw"",""ja"")"),"スタミナが基本値30から10%増加します。自動回復効果を獲得し、スタミナ回復が25%増加します。")</f>
        <v>スタミナが基本値30から10%増加します。自動回復効果を獲得し、スタミナ回復が25%増加します。</v>
      </c>
      <c r="E25" s="325" t="s">
        <v>4865</v>
      </c>
      <c r="F25" s="121" t="str">
        <f>IFERROR(__xludf.DUMMYFUNCTION("GOOGLETRANSLATE(B25,""zh-tw"",""en"")"),"Increases stamina from a base of 30 to an additional 10% bonus. Gain automatic recovery, increasing stamina recovery by 25%.")</f>
        <v>Increases stamina from a base of 30 to an additional 10% bonus. Gain automatic recovery, increasing stamina recovery by 25%.</v>
      </c>
      <c r="G25" s="327"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7"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7" t="str">
        <f>IFERROR(__xludf.DUMMYFUNCTION("GOOGLETRANSLATE(A25,""zh-tw"",""KO"")"),"불행한 탄생")</f>
        <v>불행한 탄생</v>
      </c>
      <c r="L25" s="117" t="s">
        <v>4866</v>
      </c>
      <c r="M25" s="328" t="str">
        <f>IFERROR(__xludf.DUMMYFUNCTION("GOOGLETRANSLATE(A25,""zh-tw"",""ru"")"),"Неудачное рождение")</f>
        <v>Неудачное рождение</v>
      </c>
      <c r="N25" s="308" t="str">
        <f>IFERROR(__xludf.DUMMYFUNCTION("GOOGLETRANSLATE(B25,""zh-tw"",""ru"")"),"Увеличивает выносливость с базовых 30 до дополнительных 10%. Даёт автоматическое восстановление, ускоряя восстановление выносливости на 25%.")</f>
        <v>Увеличивает выносливость с базовых 30 до дополнительных 10%. Даёт автоматическое восстановление, ускоряя восстановление выносливости на 25%.</v>
      </c>
      <c r="O25" s="326" t="s">
        <v>4867</v>
      </c>
      <c r="P25" s="310" t="s">
        <v>4868</v>
      </c>
      <c r="Q25" s="329" t="s">
        <v>4869</v>
      </c>
      <c r="R25" s="330" t="s">
        <v>4870</v>
      </c>
      <c r="S25" s="17"/>
      <c r="T25" s="17"/>
      <c r="U25" s="17"/>
      <c r="V25" s="17"/>
      <c r="W25" s="17"/>
      <c r="X25" s="17"/>
      <c r="Y25" s="17"/>
      <c r="Z25" s="17"/>
    </row>
    <row r="26">
      <c r="A26" s="325" t="s">
        <v>4871</v>
      </c>
      <c r="B26" s="117" t="s">
        <v>4872</v>
      </c>
      <c r="C26" s="338" t="s">
        <v>4873</v>
      </c>
      <c r="D26" s="179" t="s">
        <v>4874</v>
      </c>
      <c r="E26" s="325" t="s">
        <v>4875</v>
      </c>
      <c r="F26" s="117" t="s">
        <v>4876</v>
      </c>
      <c r="G26" s="327" t="str">
        <f>IFERROR(__xludf.DUMMYFUNCTION("GOOGLETRANSLATE(A26,""zh-tw"",""zh"")"),"调皮的杰克")</f>
        <v>调皮的杰克</v>
      </c>
      <c r="H26" s="121" t="str">
        <f>IFERROR(__xludf.DUMMYFUNCTION("GOOGLETRANSLATE(B26,""zh-tw"",""zh"")"),"魔攻：8
魔防：8
增强残血伤害")</f>
        <v>魔攻：8
魔防：8
增强残血伤害</v>
      </c>
      <c r="I26" s="327"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7" t="str">
        <f>IFERROR(__xludf.DUMMYFUNCTION("GOOGLETRANSLATE(A26,""zh-tw"",""KO"")"),"장난꾸러기 잭")</f>
        <v>장난꾸러기 잭</v>
      </c>
      <c r="L26" s="117" t="s">
        <v>4877</v>
      </c>
      <c r="M26" s="328" t="str">
        <f>IFERROR(__xludf.DUMMYFUNCTION("GOOGLETRANSLATE(A26,""zh-tw"",""ru"")"),"Непослушный Джек")</f>
        <v>Непослушный Джек</v>
      </c>
      <c r="N26" s="308"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6" t="s">
        <v>4878</v>
      </c>
      <c r="P26" s="310" t="s">
        <v>4879</v>
      </c>
      <c r="Q26" s="329" t="s">
        <v>4880</v>
      </c>
      <c r="R26" s="123" t="s">
        <v>4881</v>
      </c>
      <c r="S26" s="17"/>
      <c r="T26" s="17"/>
      <c r="U26" s="17"/>
      <c r="V26" s="17"/>
      <c r="W26" s="17"/>
      <c r="X26" s="17"/>
      <c r="Y26" s="17"/>
      <c r="Z26" s="17"/>
    </row>
    <row r="27">
      <c r="A27" s="325" t="s">
        <v>4882</v>
      </c>
      <c r="B27" s="117" t="s">
        <v>4883</v>
      </c>
      <c r="C27" s="338" t="s">
        <v>4884</v>
      </c>
      <c r="D27" s="339"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5" t="s">
        <v>4885</v>
      </c>
      <c r="F27" s="117" t="s">
        <v>4886</v>
      </c>
      <c r="G27" s="327"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5" t="s">
        <v>4887</v>
      </c>
      <c r="J27" s="121" t="str">
        <f>IFERROR(__xludf.DUMMYFUNCTION("GOOGLETRANSLATE(B27,""zh-tw"",""es-MX"")"),"Suerte: 100
El doble de oro que recoges de los drops
(No funciona con alcancía)")</f>
        <v>Suerte: 100
El doble de oro que recoges de los drops
(No funciona con alcancía)</v>
      </c>
      <c r="K27" s="325" t="s">
        <v>4888</v>
      </c>
      <c r="L27" s="117" t="s">
        <v>4889</v>
      </c>
      <c r="M27" s="328" t="str">
        <f>IFERROR(__xludf.DUMMYFUNCTION("GOOGLETRANSLATE(A27,""zh-tw"",""ru"")"),"Ненаполненный Золотой Святой Грааль")</f>
        <v>Ненаполненный Золотой Святой Грааль</v>
      </c>
      <c r="N27" s="308"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6" t="s">
        <v>4890</v>
      </c>
      <c r="P27" s="310" t="s">
        <v>4891</v>
      </c>
      <c r="Q27" s="329" t="s">
        <v>4892</v>
      </c>
      <c r="R27" s="330" t="s">
        <v>4893</v>
      </c>
      <c r="S27" s="17"/>
      <c r="T27" s="17"/>
      <c r="U27" s="17"/>
      <c r="V27" s="17"/>
      <c r="W27" s="17"/>
      <c r="X27" s="17"/>
      <c r="Y27" s="17"/>
      <c r="Z27" s="17"/>
    </row>
    <row r="28">
      <c r="A28" s="325" t="s">
        <v>4894</v>
      </c>
      <c r="B28" s="117" t="s">
        <v>4895</v>
      </c>
      <c r="C28" s="338" t="s">
        <v>4896</v>
      </c>
      <c r="D28" s="339" t="str">
        <f>IFERROR(__xludf.DUMMYFUNCTION("GOOGLETRANSLATE(B28,""zh-tw"",""ja"")"),"爆発効果と爆発軽減機能付き")</f>
        <v>爆発効果と爆発軽減機能付き</v>
      </c>
      <c r="E28" s="325" t="s">
        <v>4897</v>
      </c>
      <c r="F28" s="117" t="s">
        <v>4898</v>
      </c>
      <c r="G28" s="327" t="str">
        <f>IFERROR(__xludf.DUMMYFUNCTION("GOOGLETRANSLATE(A28,""zh-tw"",""zh"")"),"炸弹魔之魂")</f>
        <v>炸弹魔之魂</v>
      </c>
      <c r="H28" s="121" t="str">
        <f>IFERROR(__xludf.DUMMYFUNCTION("GOOGLETRANSLATE(B28,""zh-tw"",""zh"")"),"附带爆炸效果、爆炸减免")</f>
        <v>附带爆炸效果、爆炸减免</v>
      </c>
      <c r="I28" s="327" t="str">
        <f>IFERROR(__xludf.DUMMYFUNCTION("GOOGLETRANSLATE(A28,""zh-tw"",""es-MX"")"),"Alma del bombardero")</f>
        <v>Alma del bombardero</v>
      </c>
      <c r="J28" s="121" t="str">
        <f>IFERROR(__xludf.DUMMYFUNCTION("GOOGLETRANSLATE(B28,""zh-tw"",""es-MX"")"),"Con efecto de explosión y reducción de explosión.")</f>
        <v>Con efecto de explosión y reducción de explosión.</v>
      </c>
      <c r="K28" s="326" t="s">
        <v>4899</v>
      </c>
      <c r="L28" s="117" t="s">
        <v>4900</v>
      </c>
      <c r="M28" s="328" t="str">
        <f>IFERROR(__xludf.DUMMYFUNCTION("GOOGLETRANSLATE(A28,""zh-tw"",""ru"")"),"Душа бомбардировщика")</f>
        <v>Душа бомбардировщика</v>
      </c>
      <c r="N28" s="308" t="str">
        <f>IFERROR(__xludf.DUMMYFUNCTION("GOOGLETRANSLATE(B28,""zh-tw"",""ru"")"),"С эффектом взрыва и уменьшением взрыва")</f>
        <v>С эффектом взрыва и уменьшением взрыва</v>
      </c>
      <c r="O28" s="326" t="s">
        <v>4901</v>
      </c>
      <c r="P28" s="310" t="s">
        <v>4902</v>
      </c>
      <c r="Q28" s="329" t="s">
        <v>4903</v>
      </c>
      <c r="R28" s="330" t="s">
        <v>4904</v>
      </c>
      <c r="S28" s="17"/>
      <c r="T28" s="17"/>
      <c r="U28" s="17"/>
      <c r="V28" s="17"/>
      <c r="W28" s="17"/>
      <c r="X28" s="17"/>
      <c r="Y28" s="17"/>
      <c r="Z28" s="17"/>
    </row>
    <row r="29">
      <c r="A29" s="325" t="s">
        <v>4905</v>
      </c>
      <c r="B29" s="117" t="s">
        <v>4906</v>
      </c>
      <c r="C29" s="338" t="s">
        <v>4907</v>
      </c>
      <c r="D29" s="339" t="str">
        <f>IFERROR(__xludf.DUMMYFUNCTION("GOOGLETRANSLATE(B29,""zh-tw"",""ja"")"),"物理攻撃力：4
爆弾効果を増加")</f>
        <v>物理攻撃力：4
爆弾効果を増加</v>
      </c>
      <c r="E29" s="325" t="s">
        <v>4908</v>
      </c>
      <c r="F29" s="117" t="s">
        <v>4909</v>
      </c>
      <c r="G29" s="327" t="str">
        <f>IFERROR(__xludf.DUMMYFUNCTION("GOOGLETRANSLATE(A29,""zh-tw"",""zh"")"),"纵火狂的防烫手套")</f>
        <v>纵火狂的防烫手套</v>
      </c>
      <c r="H29" s="121" t="str">
        <f>IFERROR(__xludf.DUMMYFUNCTION("GOOGLETRANSLATE(B29,""zh-tw"",""zh"")"),"物攻:4
增强炸弹效果")</f>
        <v>物攻:4
增强炸弹效果</v>
      </c>
      <c r="I29" s="327"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5" t="s">
        <v>4910</v>
      </c>
      <c r="L29" s="117" t="s">
        <v>4911</v>
      </c>
      <c r="M29" s="328" t="str">
        <f>IFERROR(__xludf.DUMMYFUNCTION("GOOGLETRANSLATE(A29,""zh-tw"",""ru"")"),"Обжигающие перчатки пироманьяка")</f>
        <v>Обжигающие перчатки пироманьяка</v>
      </c>
      <c r="N29" s="308" t="str">
        <f>IFERROR(__xludf.DUMMYFUNCTION("GOOGLETRANSLATE(B29,""zh-tw"",""ru"")"),"Физическая атака: 4
Увеличивает эффект бомбы")</f>
        <v>Физическая атака: 4
Увеличивает эффект бомбы</v>
      </c>
      <c r="O29" s="326" t="s">
        <v>4912</v>
      </c>
      <c r="P29" s="310" t="s">
        <v>4913</v>
      </c>
      <c r="Q29" s="329" t="s">
        <v>4914</v>
      </c>
      <c r="R29" s="330" t="s">
        <v>4915</v>
      </c>
      <c r="S29" s="17"/>
      <c r="T29" s="17"/>
      <c r="U29" s="17"/>
      <c r="V29" s="17"/>
      <c r="W29" s="17"/>
      <c r="X29" s="17"/>
      <c r="Y29" s="17"/>
      <c r="Z29" s="17"/>
    </row>
    <row r="30">
      <c r="A30" s="326" t="s">
        <v>4916</v>
      </c>
      <c r="B30" s="310" t="s">
        <v>4917</v>
      </c>
      <c r="C30" s="338" t="s">
        <v>4918</v>
      </c>
      <c r="D30" s="339"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5" t="s">
        <v>4919</v>
      </c>
      <c r="F30" s="117" t="s">
        <v>4920</v>
      </c>
      <c r="G30" s="327"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7"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6" t="s">
        <v>4921</v>
      </c>
      <c r="L30" s="117" t="s">
        <v>4922</v>
      </c>
      <c r="M30" s="328" t="str">
        <f>IFERROR(__xludf.DUMMYFUNCTION("GOOGLETRANSLATE(A30,""zh-tw"",""ru"")"),"Перчатки для высасывания маны")</f>
        <v>Перчатки для высасывания маны</v>
      </c>
      <c r="N30" s="308"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6" t="s">
        <v>4923</v>
      </c>
      <c r="P30" s="310" t="s">
        <v>4924</v>
      </c>
      <c r="Q30" s="329" t="s">
        <v>4925</v>
      </c>
      <c r="R30" s="330" t="s">
        <v>4926</v>
      </c>
      <c r="S30" s="17"/>
      <c r="T30" s="17"/>
      <c r="U30" s="17"/>
      <c r="V30" s="17"/>
      <c r="W30" s="17"/>
      <c r="X30" s="17"/>
      <c r="Y30" s="17"/>
      <c r="Z30" s="17"/>
    </row>
    <row r="31">
      <c r="A31" s="326" t="s">
        <v>4927</v>
      </c>
      <c r="B31" s="310" t="s">
        <v>4928</v>
      </c>
      <c r="C31" s="338" t="s">
        <v>4929</v>
      </c>
      <c r="D31" s="339" t="str">
        <f>IFERROR(__xludf.DUMMYFUNCTION("GOOGLETRANSLATE(B31,""zh-tw"",""ja"")"),"攻撃力: 2
防御力: 6
ダメージを与えるアーマー")</f>
        <v>攻撃力: 2
防御力: 6
ダメージを与えるアーマー</v>
      </c>
      <c r="E31" s="325" t="s">
        <v>4930</v>
      </c>
      <c r="F31" s="117" t="s">
        <v>4931</v>
      </c>
      <c r="G31" s="327" t="str">
        <f>IFERROR(__xludf.DUMMYFUNCTION("GOOGLETRANSLATE(A31,""zh-tw"",""zh"")"),"穿刺钉甲")</f>
        <v>穿刺钉甲</v>
      </c>
      <c r="H31" s="121" t="str">
        <f>IFERROR(__xludf.DUMMYFUNCTION("GOOGLETRANSLATE(B31,""zh-tw"",""zh"")"),"物攻：2
物防：6
伤害型防具")</f>
        <v>物攻：2
物防：6
伤害型防具</v>
      </c>
      <c r="I31" s="327" t="str">
        <f>IFERROR(__xludf.DUMMYFUNCTION("GOOGLETRANSLATE(A31,""zh-tw"",""es-MX"")"),"Uñas perforadas")</f>
        <v>Uñas perforadas</v>
      </c>
      <c r="J31" s="121" t="str">
        <f>IFERROR(__xludf.DUMMYFUNCTION("GOOGLETRANSLATE(B31,""zh-tw"",""es-MX"")"),"Ataque: 2
Defensa: 6
Armadura que causa daño")</f>
        <v>Ataque: 2
Defensa: 6
Armadura que causa daño</v>
      </c>
      <c r="K31" s="325" t="s">
        <v>4932</v>
      </c>
      <c r="L31" s="117" t="s">
        <v>4933</v>
      </c>
      <c r="M31" s="328" t="str">
        <f>IFERROR(__xludf.DUMMYFUNCTION("GOOGLETRANSLATE(A31,""zh-tw"",""ru"")"),"Пирсинг ногтей")</f>
        <v>Пирсинг ногтей</v>
      </c>
      <c r="N31" s="308" t="str">
        <f>IFERROR(__xludf.DUMMYFUNCTION("GOOGLETRANSLATE(B31,""zh-tw"",""ru"")"),"Атака: 2
Защита: 6
Броня, наносящая урон")</f>
        <v>Атака: 2
Защита: 6
Броня, наносящая урон</v>
      </c>
      <c r="O31" s="326" t="s">
        <v>4934</v>
      </c>
      <c r="P31" s="310" t="s">
        <v>4935</v>
      </c>
      <c r="Q31" s="329" t="s">
        <v>4936</v>
      </c>
      <c r="R31" s="330" t="s">
        <v>4937</v>
      </c>
      <c r="S31" s="17"/>
      <c r="T31" s="17"/>
      <c r="U31" s="17"/>
      <c r="V31" s="17"/>
      <c r="W31" s="17"/>
      <c r="X31" s="17"/>
      <c r="Y31" s="17"/>
      <c r="Z31" s="17"/>
    </row>
    <row r="32">
      <c r="A32" s="326" t="s">
        <v>4938</v>
      </c>
      <c r="B32" s="310" t="s">
        <v>4939</v>
      </c>
      <c r="C32" s="338" t="s">
        <v>4940</v>
      </c>
      <c r="D32" s="339" t="str">
        <f>IFERROR(__xludf.DUMMYFUNCTION("GOOGLETRANSLATE(B32,""zh-tw"",""ja"")"),"攻撃力: 4
防御力: 2
ダメージを与えるアーマー")</f>
        <v>攻撃力: 4
防御力: 2
ダメージを与えるアーマー</v>
      </c>
      <c r="E32" s="325" t="s">
        <v>4941</v>
      </c>
      <c r="F32" s="117" t="s">
        <v>4942</v>
      </c>
      <c r="G32" s="327" t="str">
        <f>IFERROR(__xludf.DUMMYFUNCTION("GOOGLETRANSLATE(A32,""zh-tw"",""zh"")"),"穿刺钉盔")</f>
        <v>穿刺钉盔</v>
      </c>
      <c r="H32" s="121" t="str">
        <f>IFERROR(__xludf.DUMMYFUNCTION("GOOGLETRANSLATE(B32,""zh-tw"",""zh"")"),"物攻：4
物防：2
伤害型防具")</f>
        <v>物攻：4
物防：2
伤害型防具</v>
      </c>
      <c r="I32" s="327"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5" t="s">
        <v>4943</v>
      </c>
      <c r="L32" s="117" t="s">
        <v>4944</v>
      </c>
      <c r="M32" s="328" t="str">
        <f>IFERROR(__xludf.DUMMYFUNCTION("GOOGLETRANSLATE(A32,""zh-tw"",""ru"")"),"Шлем с пронзающими шипами")</f>
        <v>Шлем с пронзающими шипами</v>
      </c>
      <c r="N32" s="308" t="str">
        <f>IFERROR(__xludf.DUMMYFUNCTION("GOOGLETRANSLATE(B32,""zh-tw"",""ru"")"),"Атака: 4
Защита: 2
Броня, наносящая урон")</f>
        <v>Атака: 4
Защита: 2
Броня, наносящая урон</v>
      </c>
      <c r="O32" s="326" t="s">
        <v>4945</v>
      </c>
      <c r="P32" s="310" t="s">
        <v>4946</v>
      </c>
      <c r="Q32" s="329" t="s">
        <v>4947</v>
      </c>
      <c r="R32" s="330" t="s">
        <v>4948</v>
      </c>
      <c r="S32" s="17"/>
      <c r="T32" s="17"/>
      <c r="U32" s="17"/>
      <c r="V32" s="17"/>
      <c r="W32" s="17"/>
      <c r="X32" s="17"/>
      <c r="Y32" s="17"/>
      <c r="Z32" s="17"/>
    </row>
    <row r="33">
      <c r="A33" s="326" t="s">
        <v>4949</v>
      </c>
      <c r="B33" s="310" t="s">
        <v>4950</v>
      </c>
      <c r="C33" s="338" t="s">
        <v>4951</v>
      </c>
      <c r="D33" s="339" t="str">
        <f>IFERROR(__xludf.DUMMYFUNCTION("GOOGLETRANSLATE(B33,""zh-tw"",""ja"")"),"攻撃力: 2
防御力: 2
ダメージを与えるアーマー")</f>
        <v>攻撃力: 2
防御力: 2
ダメージを与えるアーマー</v>
      </c>
      <c r="E33" s="325" t="s">
        <v>4952</v>
      </c>
      <c r="F33" s="117" t="s">
        <v>4953</v>
      </c>
      <c r="G33" s="327" t="str">
        <f>IFERROR(__xludf.DUMMYFUNCTION("GOOGLETRANSLATE(A33,""zh-tw"",""zh"")"),"穿刺钉鞋")</f>
        <v>穿刺钉鞋</v>
      </c>
      <c r="H33" s="121" t="str">
        <f>IFERROR(__xludf.DUMMYFUNCTION("GOOGLETRANSLATE(B33,""zh-tw"",""zh"")"),"物攻：2
物防：2
伤害型防具")</f>
        <v>物攻：2
物防：2
伤害型防具</v>
      </c>
      <c r="I33" s="325" t="s">
        <v>4954</v>
      </c>
      <c r="J33" s="121" t="str">
        <f>IFERROR(__xludf.DUMMYFUNCTION("GOOGLETRANSLATE(B33,""zh-tw"",""es-MX"")"),"Ataque: 2
Defensa: 2
Armadura que causa daño")</f>
        <v>Ataque: 2
Defensa: 2
Armadura que causa daño</v>
      </c>
      <c r="K33" s="325" t="s">
        <v>4955</v>
      </c>
      <c r="L33" s="117" t="s">
        <v>4956</v>
      </c>
      <c r="M33" s="328" t="str">
        <f>IFERROR(__xludf.DUMMYFUNCTION("GOOGLETRANSLATE(A33,""zh-tw"",""ru"")"),"Проколы шипами")</f>
        <v>Проколы шипами</v>
      </c>
      <c r="N33" s="308" t="str">
        <f>IFERROR(__xludf.DUMMYFUNCTION("GOOGLETRANSLATE(B33,""zh-tw"",""ru"")"),"Атака: 2
Защита: 2
Броня, наносящая урон")</f>
        <v>Атака: 2
Защита: 2
Броня, наносящая урон</v>
      </c>
      <c r="O33" s="326" t="s">
        <v>4957</v>
      </c>
      <c r="P33" s="310" t="s">
        <v>4958</v>
      </c>
      <c r="Q33" s="329" t="s">
        <v>4959</v>
      </c>
      <c r="R33" s="330" t="s">
        <v>4960</v>
      </c>
      <c r="S33" s="17"/>
      <c r="T33" s="17"/>
      <c r="U33" s="17"/>
      <c r="V33" s="17"/>
      <c r="W33" s="17"/>
      <c r="X33" s="17"/>
      <c r="Y33" s="17"/>
      <c r="Z33" s="17"/>
    </row>
    <row r="34">
      <c r="A34" s="326" t="s">
        <v>4961</v>
      </c>
      <c r="B34" s="310" t="s">
        <v>4962</v>
      </c>
      <c r="C34" s="338" t="s">
        <v>4963</v>
      </c>
      <c r="D34" s="339" t="str">
        <f>IFERROR(__xludf.DUMMYFUNCTION("GOOGLETRANSLATE(B34,""zh-tw"",""ja"")"),"攻撃力: 5
防御力: 1
ダメージを与えるアーマー")</f>
        <v>攻撃力: 5
防御力: 1
ダメージを与えるアーマー</v>
      </c>
      <c r="E34" s="325" t="s">
        <v>4964</v>
      </c>
      <c r="F34" s="117" t="s">
        <v>4965</v>
      </c>
      <c r="G34" s="327" t="str">
        <f>IFERROR(__xludf.DUMMYFUNCTION("GOOGLETRANSLATE(A34,""zh-tw"",""zh"")"),"穿刺臂铠")</f>
        <v>穿刺臂铠</v>
      </c>
      <c r="H34" s="121" t="str">
        <f>IFERROR(__xludf.DUMMYFUNCTION("GOOGLETRANSLATE(B34,""zh-tw"",""zh"")"),"物攻：5
物防：1
伤害型防具")</f>
        <v>物攻：5
物防：1
伤害型防具</v>
      </c>
      <c r="I34" s="327"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5" t="s">
        <v>4966</v>
      </c>
      <c r="L34" s="117" t="s">
        <v>4967</v>
      </c>
      <c r="M34" s="328" t="str">
        <f>IFERROR(__xludf.DUMMYFUNCTION("GOOGLETRANSLATE(A34,""zh-tw"",""ru"")"),"Перчатки для прокалывания")</f>
        <v>Перчатки для прокалывания</v>
      </c>
      <c r="N34" s="308" t="str">
        <f>IFERROR(__xludf.DUMMYFUNCTION("GOOGLETRANSLATE(B34,""zh-tw"",""ru"")"),"Атака: 5
Защита: 1
Броня, наносящая урон")</f>
        <v>Атака: 5
Защита: 1
Броня, наносящая урон</v>
      </c>
      <c r="O34" s="326" t="s">
        <v>4968</v>
      </c>
      <c r="P34" s="310" t="s">
        <v>4969</v>
      </c>
      <c r="Q34" s="329" t="s">
        <v>4970</v>
      </c>
      <c r="R34" s="330" t="s">
        <v>4971</v>
      </c>
      <c r="S34" s="17"/>
      <c r="T34" s="17"/>
      <c r="U34" s="17"/>
      <c r="V34" s="17"/>
      <c r="W34" s="17"/>
      <c r="X34" s="17"/>
      <c r="Y34" s="17"/>
      <c r="Z34" s="17"/>
    </row>
    <row r="35">
      <c r="A35" s="326" t="s">
        <v>4972</v>
      </c>
      <c r="B35" s="310" t="s">
        <v>4973</v>
      </c>
      <c r="C35" s="340" t="str">
        <f>IFERROR(__xludf.DUMMYFUNCTION("GOOGLETRANSLATE(A35,""zh-tw"",""ja"")"),"騎士のヘルメット")</f>
        <v>騎士のヘルメット</v>
      </c>
      <c r="D35" s="339" t="str">
        <f>IFERROR(__xludf.DUMMYFUNCTION("GOOGLETRANSLATE(B35,""zh-tw"",""ja"")"),"物理防御力: 5
魔法耐性: 2
スタミナが低いと能力が強化される")</f>
        <v>物理防御力: 5
魔法耐性: 2
スタミナが低いと能力が強化される</v>
      </c>
      <c r="E35" s="325" t="s">
        <v>4974</v>
      </c>
      <c r="F35" s="117" t="s">
        <v>4975</v>
      </c>
      <c r="G35" s="327" t="str">
        <f>IFERROR(__xludf.DUMMYFUNCTION("GOOGLETRANSLATE(A35,""zh-tw"",""zh"")"),"骑士头盔")</f>
        <v>骑士头盔</v>
      </c>
      <c r="H35" s="121" t="str">
        <f>IFERROR(__xludf.DUMMYFUNCTION("GOOGLETRANSLATE(B35,""zh-tw"",""zh"")"),"物防：5
魔抗：2
低体力增属性")</f>
        <v>物防：5
魔抗：2
低体力增属性</v>
      </c>
      <c r="I35" s="327"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5" t="s">
        <v>4976</v>
      </c>
      <c r="L35" s="117" t="s">
        <v>4977</v>
      </c>
      <c r="M35" s="328" t="str">
        <f>IFERROR(__xludf.DUMMYFUNCTION("GOOGLETRANSLATE(A35,""zh-tw"",""ru"")"),"Рыцарский шлем")</f>
        <v>Рыцарский шлем</v>
      </c>
      <c r="N35" s="308"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6" t="s">
        <v>4978</v>
      </c>
      <c r="P35" s="310" t="s">
        <v>4979</v>
      </c>
      <c r="Q35" s="329" t="s">
        <v>4980</v>
      </c>
      <c r="R35" s="330" t="s">
        <v>4981</v>
      </c>
      <c r="S35" s="17"/>
      <c r="T35" s="17"/>
      <c r="U35" s="17"/>
      <c r="V35" s="17"/>
      <c r="W35" s="17"/>
      <c r="X35" s="17"/>
      <c r="Y35" s="17"/>
      <c r="Z35" s="17"/>
    </row>
    <row r="36">
      <c r="A36" s="326" t="s">
        <v>4982</v>
      </c>
      <c r="B36" s="310" t="s">
        <v>4983</v>
      </c>
      <c r="C36" s="338" t="s">
        <v>4984</v>
      </c>
      <c r="D36" s="339" t="str">
        <f>IFERROR(__xludf.DUMMYFUNCTION("GOOGLETRANSLATE(B36,""zh-tw"",""ja"")"),"攻撃力: 2
防御力: 3
HPが低いほどステータスが上昇")</f>
        <v>攻撃力: 2
防御力: 3
HPが低いほどステータスが上昇</v>
      </c>
      <c r="E36" s="325" t="s">
        <v>4985</v>
      </c>
      <c r="F36" s="117" t="s">
        <v>4986</v>
      </c>
      <c r="G36" s="327" t="str">
        <f>IFERROR(__xludf.DUMMYFUNCTION("GOOGLETRANSLATE(A36,""zh-tw"",""zh"")"),"骑士护臂")</f>
        <v>骑士护臂</v>
      </c>
      <c r="H36" s="121" t="str">
        <f>IFERROR(__xludf.DUMMYFUNCTION("GOOGLETRANSLATE(B36,""zh-tw"",""zh"")"),"物攻：2
物防：3
低体力增属性")</f>
        <v>物攻：2
物防：3
低体力增属性</v>
      </c>
      <c r="I36" s="325" t="s">
        <v>4987</v>
      </c>
      <c r="J36" s="121" t="str">
        <f>IFERROR(__xludf.DUMMYFUNCTION("GOOGLETRANSLATE(B36,""zh-tw"",""es-MX"")"),"Ataque: 2
Defensa: 3
Menor HP aumenta las estadísticas")</f>
        <v>Ataque: 2
Defensa: 3
Menor HP aumenta las estadísticas</v>
      </c>
      <c r="K36" s="326" t="s">
        <v>4988</v>
      </c>
      <c r="L36" s="117" t="s">
        <v>4989</v>
      </c>
      <c r="M36" s="328" t="str">
        <f>IFERROR(__xludf.DUMMYFUNCTION("GOOGLETRANSLATE(A36,""zh-tw"",""ru"")"),"Наручи рыцаря")</f>
        <v>Наручи рыцаря</v>
      </c>
      <c r="N36" s="308"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6" t="s">
        <v>4990</v>
      </c>
      <c r="P36" s="310" t="s">
        <v>4991</v>
      </c>
      <c r="Q36" s="329" t="s">
        <v>4992</v>
      </c>
      <c r="R36" s="330" t="s">
        <v>4993</v>
      </c>
      <c r="S36" s="17"/>
      <c r="T36" s="17"/>
      <c r="U36" s="17"/>
      <c r="V36" s="17"/>
      <c r="W36" s="17"/>
      <c r="X36" s="17"/>
      <c r="Y36" s="17"/>
      <c r="Z36" s="17"/>
    </row>
    <row r="37">
      <c r="A37" s="326" t="s">
        <v>4994</v>
      </c>
      <c r="B37" s="310" t="s">
        <v>4995</v>
      </c>
      <c r="C37" s="338" t="s">
        <v>4996</v>
      </c>
      <c r="D37" s="339" t="str">
        <f>IFERROR(__xludf.DUMMYFUNCTION("GOOGLETRANSLATE(B37,""zh-tw"",""ja"")"),"物理防御力: 2
魔法耐性: 2
スタミナが低いと能力が強化される")</f>
        <v>物理防御力: 2
魔法耐性: 2
スタミナが低いと能力が強化される</v>
      </c>
      <c r="E37" s="325" t="s">
        <v>4997</v>
      </c>
      <c r="F37" s="117" t="s">
        <v>4998</v>
      </c>
      <c r="G37" s="327" t="str">
        <f>IFERROR(__xludf.DUMMYFUNCTION("GOOGLETRANSLATE(A37,""zh-tw"",""zh"")"),"骑士胫甲")</f>
        <v>骑士胫甲</v>
      </c>
      <c r="H37" s="121" t="str">
        <f>IFERROR(__xludf.DUMMYFUNCTION("GOOGLETRANSLATE(B37,""zh-tw"",""zh"")"),"物防：2
魔抗：2
低体力增属性")</f>
        <v>物防：2
魔抗：2
低体力增属性</v>
      </c>
      <c r="I37" s="327"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5" t="s">
        <v>4999</v>
      </c>
      <c r="L37" s="117" t="s">
        <v>5000</v>
      </c>
      <c r="M37" s="328" t="str">
        <f>IFERROR(__xludf.DUMMYFUNCTION("GOOGLETRANSLATE(A37,""zh-tw"",""ru"")"),"Рыцарские поножи")</f>
        <v>Рыцарские поножи</v>
      </c>
      <c r="N37" s="308"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6" t="s">
        <v>5001</v>
      </c>
      <c r="P37" s="310" t="s">
        <v>5002</v>
      </c>
      <c r="Q37" s="329" t="s">
        <v>5003</v>
      </c>
      <c r="R37" s="330" t="s">
        <v>5004</v>
      </c>
      <c r="S37" s="17"/>
      <c r="T37" s="17"/>
      <c r="U37" s="17"/>
      <c r="V37" s="17"/>
      <c r="W37" s="17"/>
      <c r="X37" s="17"/>
      <c r="Y37" s="17"/>
      <c r="Z37" s="17"/>
    </row>
    <row r="38">
      <c r="A38" s="326" t="s">
        <v>5005</v>
      </c>
      <c r="B38" s="310" t="s">
        <v>5006</v>
      </c>
      <c r="C38" s="340" t="str">
        <f>IFERROR(__xludf.DUMMYFUNCTION("GOOGLETRANSLATE(A38,""zh-tw"",""ja"")"),"騎士の鎧")</f>
        <v>騎士の鎧</v>
      </c>
      <c r="D38" s="339" t="str">
        <f>IFERROR(__xludf.DUMMYFUNCTION("GOOGLETRANSLATE(B38,""zh-tw"",""ja"")"),"物理防御力: 10
魔法耐性: 4
スタミナが低いと能力が強化されます")</f>
        <v>物理防御力: 10
魔法耐性: 4
スタミナが低いと能力が強化されます</v>
      </c>
      <c r="E38" s="325" t="s">
        <v>5007</v>
      </c>
      <c r="F38" s="117" t="s">
        <v>5008</v>
      </c>
      <c r="G38" s="327" t="str">
        <f>IFERROR(__xludf.DUMMYFUNCTION("GOOGLETRANSLATE(A38,""zh-tw"",""zh"")"),"骑士铠甲")</f>
        <v>骑士铠甲</v>
      </c>
      <c r="H38" s="121" t="str">
        <f>IFERROR(__xludf.DUMMYFUNCTION("GOOGLETRANSLATE(B38,""zh-tw"",""zh"")"),"物防：10
魔抗：4
低体力增属性")</f>
        <v>物防：10
魔抗：4
低体力增属性</v>
      </c>
      <c r="I38" s="327"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5" t="s">
        <v>5009</v>
      </c>
      <c r="L38" s="117" t="s">
        <v>5010</v>
      </c>
      <c r="M38" s="328" t="str">
        <f>IFERROR(__xludf.DUMMYFUNCTION("GOOGLETRANSLATE(A38,""zh-tw"",""ru"")"),"Рыцарские доспехи")</f>
        <v>Рыцарские доспехи</v>
      </c>
      <c r="N38" s="308"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6" t="s">
        <v>5011</v>
      </c>
      <c r="P38" s="310" t="s">
        <v>5012</v>
      </c>
      <c r="Q38" s="329" t="s">
        <v>5013</v>
      </c>
      <c r="R38" s="330" t="s">
        <v>5014</v>
      </c>
      <c r="S38" s="17"/>
      <c r="T38" s="17"/>
      <c r="U38" s="17"/>
      <c r="V38" s="17"/>
      <c r="W38" s="17"/>
      <c r="X38" s="17"/>
      <c r="Y38" s="17"/>
      <c r="Z38" s="17"/>
    </row>
    <row r="39">
      <c r="A39" s="331" t="s">
        <v>5015</v>
      </c>
      <c r="B39" s="121" t="s">
        <v>5016</v>
      </c>
      <c r="C39" s="338" t="s">
        <v>5017</v>
      </c>
      <c r="D39" s="339" t="str">
        <f>IFERROR(__xludf.DUMMYFUNCTION("GOOGLETRANSLATE(B39,""zh-tw"",""ja"")"),"魔法攻撃力：10
オートエイム")</f>
        <v>魔法攻撃力：10
オートエイム</v>
      </c>
      <c r="E39" s="325" t="s">
        <v>5018</v>
      </c>
      <c r="F39" s="117" t="s">
        <v>5019</v>
      </c>
      <c r="G39" s="327" t="str">
        <f>IFERROR(__xludf.DUMMYFUNCTION("GOOGLETRANSLATE(A39,""zh-tw"",""zh"")"),"堕落法师的手套")</f>
        <v>堕落法师的手套</v>
      </c>
      <c r="H39" s="121" t="str">
        <f>IFERROR(__xludf.DUMMYFUNCTION("GOOGLETRANSLATE(B39,""zh-tw"",""zh"")"),"魔攻：10
自动瞄准")</f>
        <v>魔攻：10
自动瞄准</v>
      </c>
      <c r="I39" s="327"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7" t="str">
        <f>IFERROR(__xludf.DUMMYFUNCTION("GOOGLETRANSLATE(A39,""zh-tw"",""KO"")"),"타락한 마법사의 장갑")</f>
        <v>타락한 마법사의 장갑</v>
      </c>
      <c r="L39" s="117" t="s">
        <v>5020</v>
      </c>
      <c r="M39" s="328" t="str">
        <f>IFERROR(__xludf.DUMMYFUNCTION("GOOGLETRANSLATE(A39,""zh-tw"",""ru"")"),"Перчатки Падшего Мага")</f>
        <v>Перчатки Падшего Мага</v>
      </c>
      <c r="N39" s="308" t="str">
        <f>IFERROR(__xludf.DUMMYFUNCTION("GOOGLETRANSLATE(B39,""zh-tw"",""ru"")"),"Магическая атака: 10
Автоприцеливание")</f>
        <v>Магическая атака: 10
Автоприцеливание</v>
      </c>
      <c r="O39" s="326" t="s">
        <v>5021</v>
      </c>
      <c r="P39" s="310" t="s">
        <v>5022</v>
      </c>
      <c r="Q39" s="329" t="s">
        <v>5023</v>
      </c>
      <c r="R39" s="317" t="s">
        <v>5024</v>
      </c>
      <c r="S39" s="17"/>
      <c r="T39" s="17"/>
      <c r="U39" s="17"/>
      <c r="V39" s="17"/>
      <c r="W39" s="17"/>
      <c r="X39" s="17"/>
      <c r="Y39" s="17"/>
      <c r="Z39" s="17"/>
    </row>
    <row r="40">
      <c r="A40" s="325" t="s">
        <v>5025</v>
      </c>
      <c r="B40" s="117" t="s">
        <v>5026</v>
      </c>
      <c r="C40" s="340" t="str">
        <f>IFERROR(__xludf.DUMMYFUNCTION("GOOGLETRANSLATE(A40,""zh-tw"",""ja"")"),"堕落した魔術師のサークレット")</f>
        <v>堕落した魔術師のサークレット</v>
      </c>
      <c r="D40" s="339" t="str">
        <f>IFERROR(__xludf.DUMMYFUNCTION("GOOGLETRANSLATE(B40,""zh-tw"",""ja"")"),"魔法攻撃力：10
魔法防御力：25
魔法攻撃力が上昇し、最大HPが減少する")</f>
        <v>魔法攻撃力：10
魔法防御力：25
魔法攻撃力が上昇し、最大HPが減少する</v>
      </c>
      <c r="E40" s="325" t="s">
        <v>5027</v>
      </c>
      <c r="F40" s="117" t="s">
        <v>5028</v>
      </c>
      <c r="G40" s="327"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7" t="str">
        <f>IFERROR(__xludf.DUMMYFUNCTION("GOOGLETRANSLATE(A40,""zh-tw"",""es-MX"")"),"Círculo del mago corrupto")</f>
        <v>Círculo del mago corrupto</v>
      </c>
      <c r="J40" s="121" t="str">
        <f>IFERROR(__xludf.DUMMYFUNCTION("GOOGLETRANSLATE(B40,""zh-tw"",""es-MX"")"),"Ataque mágico: 10
Resistencia mágica: 25
Aumenta el ataque mágico y reduce los PS máximos.")</f>
        <v>Ataque mágico: 10
Resistencia mágica: 25
Aumenta el ataque mágico y reduce los PS máximos.</v>
      </c>
      <c r="K40" s="325" t="s">
        <v>5029</v>
      </c>
      <c r="L40" s="117" t="s">
        <v>5030</v>
      </c>
      <c r="M40" s="328" t="str">
        <f>IFERROR(__xludf.DUMMYFUNCTION("GOOGLETRANSLATE(A40,""zh-tw"",""ru"")"),"Диадема испорченного мага")</f>
        <v>Диадема испорченного мага</v>
      </c>
      <c r="N40" s="308"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6" t="s">
        <v>5031</v>
      </c>
      <c r="P40" s="310" t="s">
        <v>5032</v>
      </c>
      <c r="Q40" s="329" t="s">
        <v>5033</v>
      </c>
      <c r="R40" s="330" t="s">
        <v>5034</v>
      </c>
      <c r="S40" s="17"/>
      <c r="T40" s="17"/>
      <c r="U40" s="17"/>
      <c r="V40" s="17"/>
      <c r="W40" s="17"/>
      <c r="X40" s="17"/>
      <c r="Y40" s="17"/>
      <c r="Z40" s="17"/>
    </row>
    <row r="41">
      <c r="A41" s="325" t="s">
        <v>5035</v>
      </c>
      <c r="B41" s="117" t="s">
        <v>5036</v>
      </c>
      <c r="C41" s="340" t="str">
        <f>IFERROR(__xludf.DUMMYFUNCTION("GOOGLETRANSLATE(A41,""zh-tw"",""ja"")"),"堕落した魔術師のマント")</f>
        <v>堕落した魔術師のマント</v>
      </c>
      <c r="D41" s="339"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5" t="s">
        <v>5037</v>
      </c>
      <c r="F41" s="117" t="s">
        <v>5038</v>
      </c>
      <c r="G41" s="327"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7"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5" t="s">
        <v>5039</v>
      </c>
      <c r="L41" s="117" t="s">
        <v>5040</v>
      </c>
      <c r="M41" s="328" t="str">
        <f>IFERROR(__xludf.DUMMYFUNCTION("GOOGLETRANSLATE(A41,""zh-tw"",""ru"")"),"Плащ испорченного мага")</f>
        <v>Плащ испорченного мага</v>
      </c>
      <c r="N41" s="308"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6" t="s">
        <v>5041</v>
      </c>
      <c r="P41" s="310" t="s">
        <v>5042</v>
      </c>
      <c r="Q41" s="329" t="s">
        <v>5043</v>
      </c>
      <c r="R41" s="330" t="s">
        <v>5044</v>
      </c>
      <c r="S41" s="17"/>
      <c r="T41" s="17"/>
      <c r="U41" s="17"/>
      <c r="V41" s="17"/>
      <c r="W41" s="17"/>
      <c r="X41" s="17"/>
      <c r="Y41" s="17"/>
      <c r="Z41" s="17"/>
    </row>
    <row r="42">
      <c r="A42" s="331" t="s">
        <v>5045</v>
      </c>
      <c r="B42" s="117" t="s">
        <v>5046</v>
      </c>
      <c r="C42" s="340" t="str">
        <f>IFERROR(__xludf.DUMMYFUNCTION("GOOGLETRANSLATE(A42,""zh-tw"",""ja"")"),"堕落した魔術師の足跡")</f>
        <v>堕落した魔術師の足跡</v>
      </c>
      <c r="D42" s="339" t="str">
        <f>IFERROR(__xludf.DUMMYFUNCTION("GOOGLETRANSLATE(B42,""zh-tw"",""ja"")"),"魔法攻撃力：10
魔法防御力：20
ボイド：敵弾を含むあらゆる障害物を無視")</f>
        <v>魔法攻撃力：10
魔法防御力：20
ボイド：敵弾を含むあらゆる障害物を無視</v>
      </c>
      <c r="E42" s="325" t="s">
        <v>5047</v>
      </c>
      <c r="F42" s="117" t="s">
        <v>5048</v>
      </c>
      <c r="G42" s="327"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7"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5" t="s">
        <v>5049</v>
      </c>
      <c r="L42" s="117" t="s">
        <v>5050</v>
      </c>
      <c r="M42" s="328" t="str">
        <f>IFERROR(__xludf.DUMMYFUNCTION("GOOGLETRANSLATE(A42,""zh-tw"",""ru"")"),"Ботфорты падшего мага")</f>
        <v>Ботфорты падшего мага</v>
      </c>
      <c r="N42" s="308"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6" t="s">
        <v>5051</v>
      </c>
      <c r="P42" s="310" t="s">
        <v>5052</v>
      </c>
      <c r="Q42" s="329" t="s">
        <v>5053</v>
      </c>
      <c r="R42" s="330" t="s">
        <v>5054</v>
      </c>
      <c r="S42" s="17"/>
      <c r="T42" s="17"/>
      <c r="U42" s="17"/>
      <c r="V42" s="17"/>
      <c r="W42" s="17"/>
      <c r="X42" s="17"/>
      <c r="Y42" s="17"/>
      <c r="Z42" s="17"/>
    </row>
    <row r="43">
      <c r="A43" s="325" t="s">
        <v>5055</v>
      </c>
      <c r="B43" s="117" t="s">
        <v>5056</v>
      </c>
      <c r="C43" s="338" t="s">
        <v>5057</v>
      </c>
      <c r="D43" s="339" t="str">
        <f>IFERROR(__xludf.DUMMYFUNCTION("GOOGLETRANSLATE(B43,""zh-tw"",""ja"")"),"魔法攻撃力：1
スタン耐性、魔法貫通力と魔法射程距離が増加")</f>
        <v>魔法攻撃力：1
スタン耐性、魔法貫通力と魔法射程距離が増加</v>
      </c>
      <c r="E43" s="325" t="s">
        <v>5058</v>
      </c>
      <c r="F43" s="117" t="s">
        <v>5059</v>
      </c>
      <c r="G43" s="327"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7"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5" t="s">
        <v>5060</v>
      </c>
      <c r="L43" s="117" t="s">
        <v>5061</v>
      </c>
      <c r="M43" s="328" t="str">
        <f>IFERROR(__xludf.DUMMYFUNCTION("GOOGLETRANSLATE(A43,""zh-tw"",""ru"")"),"Диадема концентрации духа")</f>
        <v>Диадема концентрации духа</v>
      </c>
      <c r="N43" s="308"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6" t="s">
        <v>5062</v>
      </c>
      <c r="P43" s="310" t="s">
        <v>5063</v>
      </c>
      <c r="Q43" s="329" t="s">
        <v>5064</v>
      </c>
      <c r="R43" s="330" t="s">
        <v>5065</v>
      </c>
      <c r="S43" s="17"/>
      <c r="T43" s="17"/>
      <c r="U43" s="17"/>
      <c r="V43" s="17"/>
      <c r="W43" s="17"/>
      <c r="X43" s="17"/>
      <c r="Y43" s="17"/>
      <c r="Z43" s="17"/>
    </row>
    <row r="44">
      <c r="A44" s="325" t="s">
        <v>5066</v>
      </c>
      <c r="B44" s="117" t="s">
        <v>5067</v>
      </c>
      <c r="C44" s="340" t="str">
        <f>IFERROR(__xludf.DUMMYFUNCTION("GOOGLETRANSLATE(A44,""zh-tw"",""ja"")"),"夜霧の幻影")</f>
        <v>夜霧の幻影</v>
      </c>
      <c r="D44" s="339"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5" t="s">
        <v>5068</v>
      </c>
      <c r="F44" s="117" t="s">
        <v>5069</v>
      </c>
      <c r="G44" s="327"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7"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5" t="s">
        <v>5070</v>
      </c>
      <c r="L44" s="117" t="s">
        <v>5071</v>
      </c>
      <c r="M44" s="328" t="str">
        <f>IFERROR(__xludf.DUMMYFUNCTION("GOOGLETRANSLATE(A44,""zh-tw"",""ru"")"),"Ночной туманный фантом")</f>
        <v>Ночной туманный фантом</v>
      </c>
      <c r="N44" s="308"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6" t="s">
        <v>5072</v>
      </c>
      <c r="P44" s="310" t="s">
        <v>5073</v>
      </c>
      <c r="Q44" s="329" t="s">
        <v>5074</v>
      </c>
      <c r="R44" s="330" t="s">
        <v>5075</v>
      </c>
      <c r="S44" s="17"/>
      <c r="T44" s="17"/>
      <c r="U44" s="17"/>
      <c r="V44" s="17"/>
      <c r="W44" s="17"/>
      <c r="X44" s="17"/>
      <c r="Y44" s="17"/>
      <c r="Z44" s="17"/>
    </row>
    <row r="45">
      <c r="A45" s="325" t="s">
        <v>5076</v>
      </c>
      <c r="B45" s="117" t="s">
        <v>5077</v>
      </c>
      <c r="C45" s="338" t="s">
        <v>5078</v>
      </c>
      <c r="D45" s="179" t="s">
        <v>5079</v>
      </c>
      <c r="E45" s="325" t="s">
        <v>5080</v>
      </c>
      <c r="F45" s="117" t="s">
        <v>5081</v>
      </c>
      <c r="G45" s="327" t="str">
        <f>IFERROR(__xludf.DUMMYFUNCTION("GOOGLETRANSLATE(A45,""zh-tw"",""zh"")"),"圣少女的怜悯")</f>
        <v>圣少女的怜悯</v>
      </c>
      <c r="H45" s="121" t="str">
        <f>IFERROR(__xludf.DUMMYFUNCTION("GOOGLETRANSLATE(B45,""zh-tw"",""zh"")"),"魔攻：20
物防:2
魔抗：40
贤者、特殊好感")</f>
        <v>魔攻：20
物防:2
魔抗：40
贤者、特殊好感</v>
      </c>
      <c r="I45" s="327"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5" t="s">
        <v>5082</v>
      </c>
      <c r="L45" s="117" t="s">
        <v>5083</v>
      </c>
      <c r="M45" s="328" t="str">
        <f>IFERROR(__xludf.DUMMYFUNCTION("GOOGLETRANSLATE(A45,""zh-tw"",""ru"")"),"Милосердие Святой Девы")</f>
        <v>Милосердие Святой Девы</v>
      </c>
      <c r="N45" s="308"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6" t="s">
        <v>5084</v>
      </c>
      <c r="P45" s="310" t="s">
        <v>5085</v>
      </c>
      <c r="Q45" s="329" t="s">
        <v>5086</v>
      </c>
      <c r="R45" s="330" t="s">
        <v>5087</v>
      </c>
      <c r="S45" s="17"/>
      <c r="T45" s="17"/>
      <c r="U45" s="17"/>
      <c r="V45" s="17"/>
      <c r="W45" s="17"/>
      <c r="X45" s="17"/>
      <c r="Y45" s="17"/>
      <c r="Z45" s="17"/>
    </row>
    <row r="46">
      <c r="A46" s="326" t="s">
        <v>5088</v>
      </c>
      <c r="B46" s="310" t="s">
        <v>5089</v>
      </c>
      <c r="C46" s="338" t="s">
        <v>5090</v>
      </c>
      <c r="D46" s="339" t="str">
        <f>IFERROR(__xludf.DUMMYFUNCTION("GOOGLETRANSLATE(B46,""zh-tw"",""ja"")"),"魔法耐性: 10
幸運: 10
晴れの日 2")</f>
        <v>魔法耐性: 10
幸運: 10
晴れの日 2</v>
      </c>
      <c r="E46" s="325" t="s">
        <v>5091</v>
      </c>
      <c r="F46" s="117" t="s">
        <v>5092</v>
      </c>
      <c r="G46" s="327" t="str">
        <f>IFERROR(__xludf.DUMMYFUNCTION("GOOGLETRANSLATE(A46,""zh-tw"",""zh"")"),"晴天娃娃")</f>
        <v>晴天娃娃</v>
      </c>
      <c r="H46" s="121" t="str">
        <f>IFERROR(__xludf.DUMMYFUNCTION("GOOGLETRANSLATE(B46,""zh-tw"",""zh"")"),"魔抗：10
幸运：10
第二天晴天")</f>
        <v>魔抗：10
幸运：10
第二天晴天</v>
      </c>
      <c r="I46" s="325" t="s">
        <v>5091</v>
      </c>
      <c r="J46" s="121" t="str">
        <f>IFERROR(__xludf.DUMMYFUNCTION("GOOGLETRANSLATE(B46,""zh-tw"",""es-MX"")"),"Resistencia Mágica: 10
Suerte: 10
Día Soleado 2")</f>
        <v>Resistencia Mágica: 10
Suerte: 10
Día Soleado 2</v>
      </c>
      <c r="K46" s="325" t="s">
        <v>5093</v>
      </c>
      <c r="L46" s="117" t="s">
        <v>5094</v>
      </c>
      <c r="M46" s="328" t="str">
        <f>IFERROR(__xludf.DUMMYFUNCTION("GOOGLETRANSLATE(A46,""zh-tw"",""ru"")"),"Солнечная кукла")</f>
        <v>Солнечная кукла</v>
      </c>
      <c r="N46" s="308" t="str">
        <f>IFERROR(__xludf.DUMMYFUNCTION("GOOGLETRANSLATE(B46,""zh-tw"",""ru"")"),"Сопротивление магии: 10
Удача: 10
Солнечный день 2")</f>
        <v>Сопротивление магии: 10
Удача: 10
Солнечный день 2</v>
      </c>
      <c r="O46" s="326" t="s">
        <v>5095</v>
      </c>
      <c r="P46" s="310" t="s">
        <v>5096</v>
      </c>
      <c r="Q46" s="341" t="s">
        <v>5097</v>
      </c>
      <c r="R46" s="330" t="s">
        <v>5098</v>
      </c>
      <c r="S46" s="17"/>
      <c r="T46" s="17"/>
      <c r="U46" s="17"/>
      <c r="V46" s="17"/>
      <c r="W46" s="17"/>
      <c r="X46" s="17"/>
      <c r="Y46" s="17"/>
      <c r="Z46" s="17"/>
    </row>
    <row r="47">
      <c r="A47" s="326" t="s">
        <v>5099</v>
      </c>
      <c r="B47" s="310" t="s">
        <v>5100</v>
      </c>
      <c r="C47" s="338" t="s">
        <v>5101</v>
      </c>
      <c r="D47" s="339" t="str">
        <f>IFERROR(__xludf.DUMMYFUNCTION("GOOGLETRANSLATE(B47,""zh-tw"",""ja"")"),"魔法耐性：10
幸運：10
翌日は曇りでした")</f>
        <v>魔法耐性：10
幸運：10
翌日は曇りでした</v>
      </c>
      <c r="E47" s="325" t="s">
        <v>5102</v>
      </c>
      <c r="F47" s="117" t="s">
        <v>5103</v>
      </c>
      <c r="G47" s="327" t="str">
        <f>IFERROR(__xludf.DUMMYFUNCTION("GOOGLETRANSLATE(A47,""zh-tw"",""zh"")"),"阴天娃娃")</f>
        <v>阴天娃娃</v>
      </c>
      <c r="H47" s="121" t="str">
        <f>IFERROR(__xludf.DUMMYFUNCTION("GOOGLETRANSLATE(B47,""zh-tw"",""zh"")"),"魔抗：10
幸运：10
第二天阴天")</f>
        <v>魔抗：10
幸运：10
第二天阴天</v>
      </c>
      <c r="I47" s="325" t="s">
        <v>5102</v>
      </c>
      <c r="J47" s="121" t="str">
        <f>IFERROR(__xludf.DUMMYFUNCTION("GOOGLETRANSLATE(B47,""zh-tw"",""es-MX"")"),"Resistencia Mágica: 10
Suerte: 10
El día siguiente estaba nublado.")</f>
        <v>Resistencia Mágica: 10
Suerte: 10
El día siguiente estaba nublado.</v>
      </c>
      <c r="K47" s="326" t="s">
        <v>5104</v>
      </c>
      <c r="L47" s="117" t="s">
        <v>5105</v>
      </c>
      <c r="M47" s="328" t="str">
        <f>IFERROR(__xludf.DUMMYFUNCTION("GOOGLETRANSLATE(A47,""zh-tw"",""ru"")"),"Облачная кукла")</f>
        <v>Облачная кукла</v>
      </c>
      <c r="N47" s="308"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6" t="s">
        <v>5106</v>
      </c>
      <c r="P47" s="310" t="s">
        <v>5107</v>
      </c>
      <c r="Q47" s="341" t="s">
        <v>5108</v>
      </c>
      <c r="R47" s="330" t="s">
        <v>5109</v>
      </c>
      <c r="S47" s="17"/>
      <c r="T47" s="17"/>
      <c r="U47" s="17"/>
      <c r="V47" s="17"/>
      <c r="W47" s="17"/>
      <c r="X47" s="17"/>
      <c r="Y47" s="17"/>
      <c r="Z47" s="17"/>
    </row>
    <row r="48">
      <c r="A48" s="326" t="s">
        <v>5110</v>
      </c>
      <c r="B48" s="310" t="s">
        <v>5111</v>
      </c>
      <c r="C48" s="338" t="s">
        <v>5112</v>
      </c>
      <c r="D48" s="339" t="str">
        <f>IFERROR(__xludf.DUMMYFUNCTION("GOOGLETRANSLATE(B48,""zh-tw"",""ja"")"),"魔法耐性：10
幸運：10
雨の日2")</f>
        <v>魔法耐性：10
幸運：10
雨の日2</v>
      </c>
      <c r="E48" s="325" t="s">
        <v>5113</v>
      </c>
      <c r="F48" s="117" t="s">
        <v>5114</v>
      </c>
      <c r="G48" s="327" t="str">
        <f>IFERROR(__xludf.DUMMYFUNCTION("GOOGLETRANSLATE(A48,""zh-tw"",""zh"")"),"雨天娃娃")</f>
        <v>雨天娃娃</v>
      </c>
      <c r="H48" s="121" t="str">
        <f>IFERROR(__xludf.DUMMYFUNCTION("GOOGLETRANSLATE(B48,""zh-tw"",""zh"")"),"魔抗：10
幸运：10
第二天雨天")</f>
        <v>魔抗：10
幸运：10
第二天雨天</v>
      </c>
      <c r="I48" s="325" t="s">
        <v>5113</v>
      </c>
      <c r="J48" s="121" t="str">
        <f>IFERROR(__xludf.DUMMYFUNCTION("GOOGLETRANSLATE(B48,""zh-tw"",""es-MX"")"),"Resistencia Mágica: 10
Suerte: 10
Día Lluvioso 2")</f>
        <v>Resistencia Mágica: 10
Suerte: 10
Día Lluvioso 2</v>
      </c>
      <c r="K48" s="325" t="s">
        <v>5115</v>
      </c>
      <c r="L48" s="117" t="s">
        <v>5116</v>
      </c>
      <c r="M48" s="328" t="str">
        <f>IFERROR(__xludf.DUMMYFUNCTION("GOOGLETRANSLATE(A48,""zh-tw"",""ru"")"),"Кукла Дождливый День")</f>
        <v>Кукла Дождливый День</v>
      </c>
      <c r="N48" s="308" t="str">
        <f>IFERROR(__xludf.DUMMYFUNCTION("GOOGLETRANSLATE(B48,""zh-tw"",""ru"")"),"Сопротивление магии: 10
Удача: 10
Дождливый день 2")</f>
        <v>Сопротивление магии: 10
Удача: 10
Дождливый день 2</v>
      </c>
      <c r="O48" s="326" t="s">
        <v>5117</v>
      </c>
      <c r="P48" s="310" t="s">
        <v>5118</v>
      </c>
      <c r="Q48" s="341" t="s">
        <v>5119</v>
      </c>
      <c r="R48" s="330" t="s">
        <v>5120</v>
      </c>
      <c r="S48" s="17"/>
      <c r="T48" s="17"/>
      <c r="U48" s="17"/>
      <c r="V48" s="17"/>
      <c r="W48" s="17"/>
      <c r="X48" s="17"/>
      <c r="Y48" s="17"/>
      <c r="Z48" s="17"/>
    </row>
    <row r="49">
      <c r="A49" s="325" t="s">
        <v>5121</v>
      </c>
      <c r="B49" s="117" t="s">
        <v>5122</v>
      </c>
      <c r="C49" s="338" t="s">
        <v>5121</v>
      </c>
      <c r="D49" s="339" t="str">
        <f>IFERROR(__xludf.DUMMYFUNCTION("GOOGLETRANSLATE(B49,""zh-tw"",""ja"")"),"物理防御力: 1
魔法耐性: 10
幸運: 5
最大スタミナを増加")</f>
        <v>物理防御力: 1
魔法耐性: 10
幸運: 5
最大スタミナを増加</v>
      </c>
      <c r="E49" s="325" t="s">
        <v>5123</v>
      </c>
      <c r="F49" s="117" t="s">
        <v>5124</v>
      </c>
      <c r="G49" s="327" t="str">
        <f>IFERROR(__xludf.DUMMYFUNCTION("GOOGLETRANSLATE(A49,""zh-tw"",""zh"")"),"芳草心")</f>
        <v>芳草心</v>
      </c>
      <c r="H49" s="121" t="str">
        <f>IFERROR(__xludf.DUMMYFUNCTION("GOOGLETRANSLATE(B49,""zh-tw"",""zh"")"),"物防：1
魔抗：10
幸运：5
提升最大体力")</f>
        <v>物防：1
魔抗：10
幸运：5
提升最大体力</v>
      </c>
      <c r="I49" s="327"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5" t="s">
        <v>5125</v>
      </c>
      <c r="L49" s="117" t="s">
        <v>5126</v>
      </c>
      <c r="M49" s="328" t="str">
        <f>IFERROR(__xludf.DUMMYFUNCTION("GOOGLETRANSLATE(A49,""zh-tw"",""ru"")"),"Сердце ароматной травы")</f>
        <v>Сердце ароматной травы</v>
      </c>
      <c r="N49" s="308"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6" t="s">
        <v>5127</v>
      </c>
      <c r="P49" s="310" t="s">
        <v>5128</v>
      </c>
      <c r="Q49" s="329" t="s">
        <v>5129</v>
      </c>
      <c r="R49" s="330" t="s">
        <v>5130</v>
      </c>
      <c r="S49" s="17"/>
      <c r="T49" s="17"/>
      <c r="U49" s="17"/>
      <c r="V49" s="17"/>
      <c r="W49" s="17"/>
      <c r="X49" s="17"/>
      <c r="Y49" s="17"/>
      <c r="Z49" s="17"/>
    </row>
    <row r="50">
      <c r="A50" s="325" t="s">
        <v>4087</v>
      </c>
      <c r="B50" s="117" t="s">
        <v>5131</v>
      </c>
      <c r="C50" s="338" t="s">
        <v>4089</v>
      </c>
      <c r="D50" s="339" t="str">
        <f>IFERROR(__xludf.DUMMYFUNCTION("GOOGLETRANSLATE(B50,""zh-tw"",""ja"")"),"魔法耐性：30
再生不能、7秒間死亡耐性")</f>
        <v>魔法耐性：30
再生不能、7秒間死亡耐性</v>
      </c>
      <c r="E50" s="325" t="s">
        <v>4091</v>
      </c>
      <c r="F50" s="117" t="s">
        <v>5132</v>
      </c>
      <c r="G50" s="327" t="str">
        <f>IFERROR(__xludf.DUMMYFUNCTION("GOOGLETRANSLATE(A50,""zh-tw"",""zh"")"),"稻草人的心")</f>
        <v>稻草人的心</v>
      </c>
      <c r="H50" s="121" t="str">
        <f>IFERROR(__xludf.DUMMYFUNCTION("GOOGLETRANSLATE(B50,""zh-tw"",""zh"")"),"魔抗：30
无法回复、免死7秒")</f>
        <v>魔抗：30
无法回复、免死7秒</v>
      </c>
      <c r="I50" s="327" t="str">
        <f>IFERROR(__xludf.DUMMYFUNCTION("GOOGLETRANSLATE(A50,""zh-tw"",""es-MX"")"),"Corazón de espantapájaros")</f>
        <v>Corazón de espantapájaros</v>
      </c>
      <c r="J50" s="121" t="str">
        <f>IFERROR(__xludf.DUMMYFUNCTION("GOOGLETRANSLATE(B50,""zh-tw"",""es-MX"")"),"Resistencia mágica: 30
No se puede regenerar, inmune a la muerte durante 7 segundos.")</f>
        <v>Resistencia mágica: 30
No se puede regenerar, inmune a la muerte durante 7 segundos.</v>
      </c>
      <c r="K50" s="325" t="s">
        <v>4093</v>
      </c>
      <c r="L50" s="117" t="s">
        <v>5133</v>
      </c>
      <c r="M50" s="328" t="str">
        <f>IFERROR(__xludf.DUMMYFUNCTION("GOOGLETRANSLATE(A50,""zh-tw"",""ru"")"),"Сердце Пугала")</f>
        <v>Сердце Пугала</v>
      </c>
      <c r="N50" s="308" t="str">
        <f>IFERROR(__xludf.DUMMYFUNCTION("GOOGLETRANSLATE(B50,""zh-tw"",""ru"")"),"Сопротивление магии: 30
Не может регенерироваться, иммунитет к смерти в течение 7 секунд.")</f>
        <v>Сопротивление магии: 30
Не может регенерироваться, иммунитет к смерти в течение 7 секунд.</v>
      </c>
      <c r="O50" s="326" t="s">
        <v>4095</v>
      </c>
      <c r="P50" s="310" t="s">
        <v>5134</v>
      </c>
      <c r="Q50" s="329" t="s">
        <v>4097</v>
      </c>
      <c r="R50" s="330" t="s">
        <v>5135</v>
      </c>
      <c r="S50" s="17"/>
      <c r="T50" s="17"/>
      <c r="U50" s="17"/>
      <c r="V50" s="17"/>
      <c r="W50" s="17"/>
      <c r="X50" s="17"/>
      <c r="Y50" s="17"/>
      <c r="Z50" s="17"/>
    </row>
    <row r="51">
      <c r="A51" s="325" t="s">
        <v>5136</v>
      </c>
      <c r="B51" s="117" t="s">
        <v>5137</v>
      </c>
      <c r="C51" s="340" t="str">
        <f>IFERROR(__xludf.DUMMYFUNCTION("GOOGLETRANSLATE(A51,""zh-tw"",""ja"")"),"豚の貯金箱")</f>
        <v>豚の貯金箱</v>
      </c>
      <c r="D51" s="339" t="str">
        <f>IFERROR(__xludf.DUMMYFUNCTION("GOOGLETRANSLATE(B51,""zh-tw"",""ja"")"),"幸運：40
マネーピックアップ（進化に必要なお金100万）、脆い")</f>
        <v>幸運：40
マネーピックアップ（進化に必要なお金100万）、脆い</v>
      </c>
      <c r="E51" s="325" t="s">
        <v>5138</v>
      </c>
      <c r="F51" s="117" t="s">
        <v>5139</v>
      </c>
      <c r="G51" s="327" t="str">
        <f>IFERROR(__xludf.DUMMYFUNCTION("GOOGLETRANSLATE(A51,""zh-tw"",""zh"")"),"猪猪存钱罐")</f>
        <v>猪猪存钱罐</v>
      </c>
      <c r="H51" s="121" t="str">
        <f>IFERROR(__xludf.DUMMYFUNCTION("GOOGLETRANSLATE(B51,""zh-tw"",""zh"")"),"幸运：40
捡钱(100万进化)、易碎")</f>
        <v>幸运：40
捡钱(100万进化)、易碎</v>
      </c>
      <c r="I51" s="327"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7" t="str">
        <f>IFERROR(__xludf.DUMMYFUNCTION("GOOGLETRANSLATE(A51,""zh-tw"",""KO"")"),"돼지 저금통")</f>
        <v>돼지 저금통</v>
      </c>
      <c r="L51" s="117" t="s">
        <v>5140</v>
      </c>
      <c r="M51" s="328" t="str">
        <f>IFERROR(__xludf.DUMMYFUNCTION("GOOGLETRANSLATE(A51,""zh-tw"",""ru"")"),"Свинья-копилка")</f>
        <v>Свинья-копилка</v>
      </c>
      <c r="N51" s="308" t="str">
        <f>IFERROR(__xludf.DUMMYFUNCTION("GOOGLETRANSLATE(B51,""zh-tw"",""ru"")"),"Удача: 40
Сбор денег (1 миллион для развития), Хрупкий")</f>
        <v>Удача: 40
Сбор денег (1 миллион для развития), Хрупкий</v>
      </c>
      <c r="O51" s="326" t="s">
        <v>5141</v>
      </c>
      <c r="P51" s="310" t="s">
        <v>5142</v>
      </c>
      <c r="Q51" s="329" t="s">
        <v>5143</v>
      </c>
      <c r="R51" s="330" t="s">
        <v>5144</v>
      </c>
      <c r="S51" s="17"/>
      <c r="T51" s="17"/>
      <c r="U51" s="17"/>
      <c r="V51" s="17"/>
      <c r="W51" s="17"/>
      <c r="X51" s="17"/>
      <c r="Y51" s="17"/>
      <c r="Z51" s="17"/>
    </row>
    <row r="52">
      <c r="A52" s="325" t="s">
        <v>5145</v>
      </c>
      <c r="B52" s="117" t="s">
        <v>5146</v>
      </c>
      <c r="C52" s="340" t="str">
        <f>IFERROR(__xludf.DUMMYFUNCTION("GOOGLETRANSLATE(A52,""zh-tw"",""ja"")"),"貪欲な貯金箱")</f>
        <v>貪欲な貯金箱</v>
      </c>
      <c r="D52" s="339"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5" t="s">
        <v>5147</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7"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7"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7" t="str">
        <f>IFERROR(__xludf.DUMMYFUNCTION("GOOGLETRANSLATE(A52,""zh-tw"",""KO"")"),"탐욕스러운 돼지 저금통")</f>
        <v>탐욕스러운 돼지 저금통</v>
      </c>
      <c r="L52" s="117" t="s">
        <v>5148</v>
      </c>
      <c r="M52" s="328" t="str">
        <f>IFERROR(__xludf.DUMMYFUNCTION("GOOGLETRANSLATE(A52,""zh-tw"",""ru"")"),"Жадная копилка")</f>
        <v>Жадная копилка</v>
      </c>
      <c r="N52" s="308"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6" t="s">
        <v>5149</v>
      </c>
      <c r="P52" s="310" t="s">
        <v>5150</v>
      </c>
      <c r="Q52" s="329" t="s">
        <v>5151</v>
      </c>
      <c r="R52" s="330" t="s">
        <v>5152</v>
      </c>
      <c r="S52" s="17"/>
      <c r="T52" s="17"/>
      <c r="U52" s="17"/>
      <c r="V52" s="17"/>
      <c r="W52" s="17"/>
      <c r="X52" s="17"/>
      <c r="Y52" s="17"/>
      <c r="Z52" s="17"/>
    </row>
    <row r="53">
      <c r="A53" s="325" t="s">
        <v>5153</v>
      </c>
      <c r="B53" s="117" t="s">
        <v>5154</v>
      </c>
      <c r="C53" s="338" t="s">
        <v>5155</v>
      </c>
      <c r="D53" s="339"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5" t="s">
        <v>5156</v>
      </c>
      <c r="F53" s="117" t="s">
        <v>5157</v>
      </c>
      <c r="G53" s="327"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7"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7" t="str">
        <f>IFERROR(__xludf.DUMMYFUNCTION("GOOGLETRANSLATE(A53,""zh-tw"",""KO"")"),"칙령")</f>
        <v>칙령</v>
      </c>
      <c r="L53" s="117" t="s">
        <v>5158</v>
      </c>
      <c r="M53" s="328" t="str">
        <f>IFERROR(__xludf.DUMMYFUNCTION("GOOGLETRANSLATE(A53,""zh-tw"",""ru"")"),"Королевский орден")</f>
        <v>Королевский орден</v>
      </c>
      <c r="N53" s="308"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несовм"&amp;"естимо)")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несовместимо)</v>
      </c>
      <c r="O53" s="326" t="s">
        <v>5159</v>
      </c>
      <c r="P53" s="310" t="s">
        <v>5160</v>
      </c>
      <c r="Q53" s="329" t="s">
        <v>5161</v>
      </c>
      <c r="R53" s="123" t="s">
        <v>5162</v>
      </c>
      <c r="S53" s="17"/>
      <c r="T53" s="17"/>
      <c r="U53" s="17"/>
      <c r="V53" s="17"/>
      <c r="W53" s="17"/>
      <c r="X53" s="17"/>
      <c r="Y53" s="17"/>
      <c r="Z53" s="17"/>
    </row>
    <row r="54">
      <c r="A54" s="325" t="s">
        <v>5163</v>
      </c>
      <c r="B54" s="117" t="s">
        <v>5164</v>
      </c>
      <c r="C54" s="338" t="s">
        <v>5165</v>
      </c>
      <c r="D54" s="117" t="s">
        <v>5166</v>
      </c>
      <c r="E54" s="325" t="s">
        <v>5167</v>
      </c>
      <c r="F54" s="117" t="s">
        <v>5168</v>
      </c>
      <c r="G54" s="327" t="str">
        <f>IFERROR(__xludf.DUMMYFUNCTION("GOOGLETRANSLATE(A54,""zh-tw"",""zh"")"),"猫猫玩偶服")</f>
        <v>猫猫玩偶服</v>
      </c>
      <c r="H54" s="121" t="str">
        <f>IFERROR(__xludf.DUMMYFUNCTION("GOOGLETRANSLATE(B54,""zh-tw"",""zh"")"),"物防：3
魔抗：25
武器数量+10
装备数量+20")</f>
        <v>物防：3
魔抗：25
武器数量+10
装备数量+20</v>
      </c>
      <c r="I54" s="325" t="s">
        <v>5169</v>
      </c>
      <c r="J54" s="121" t="str">
        <f>IFERROR(__xludf.DUMMYFUNCTION("GOOGLETRANSLATE(B54,""zh-tw"",""es-MX"")"),"Defensa física: 3
Resistencia mágica: 25
Número de armas +10
Número de equipo +20")</f>
        <v>Defensa física: 3
Resistencia mágica: 25
Número de armas +10
Número de equipo +20</v>
      </c>
      <c r="K54" s="327" t="str">
        <f>IFERROR(__xludf.DUMMYFUNCTION("GOOGLETRANSLATE(A54,""zh-tw"",""KO"")"),"고양이 인형 의상")</f>
        <v>고양이 인형 의상</v>
      </c>
      <c r="L54" s="117" t="s">
        <v>5170</v>
      </c>
      <c r="M54" s="328" t="str">
        <f>IFERROR(__xludf.DUMMYFUNCTION("GOOGLETRANSLATE(A54,""zh-tw"",""ru"")"),"Костюм куклы-кошки")</f>
        <v>Костюм куклы-кошки</v>
      </c>
      <c r="N54" s="308"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6" t="s">
        <v>5171</v>
      </c>
      <c r="P54" s="310" t="s">
        <v>5172</v>
      </c>
      <c r="Q54" s="329" t="s">
        <v>5173</v>
      </c>
      <c r="R54" s="330" t="s">
        <v>5174</v>
      </c>
      <c r="S54" s="17"/>
      <c r="T54" s="17"/>
      <c r="U54" s="17"/>
      <c r="V54" s="17"/>
      <c r="W54" s="17"/>
      <c r="X54" s="17"/>
      <c r="Y54" s="17"/>
      <c r="Z54" s="17"/>
    </row>
    <row r="55">
      <c r="A55" s="325" t="s">
        <v>4125</v>
      </c>
      <c r="B55" s="117" t="s">
        <v>5175</v>
      </c>
      <c r="C55" s="340" t="str">
        <f>IFERROR(__xludf.DUMMYFUNCTION("GOOGLETRANSLATE(A55,""zh-tw"",""ja"")"),"溶岩リング")</f>
        <v>溶岩リング</v>
      </c>
      <c r="D55" s="339" t="str">
        <f>IFERROR(__xludf.DUMMYFUNCTION("GOOGLETRANSLATE(B55,""zh-tw"",""ja"")"),"物理防御力: 2
魔法攻撃力: 15
魔法耐性: 60
凍結と燃焼の確率が減少")</f>
        <v>物理防御力: 2
魔法攻撃力: 15
魔法耐性: 60
凍結と燃焼の確率が減少</v>
      </c>
      <c r="E55" s="325" t="s">
        <v>4129</v>
      </c>
      <c r="F55" s="117" t="s">
        <v>5176</v>
      </c>
      <c r="G55" s="327"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7"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5" t="s">
        <v>4130</v>
      </c>
      <c r="L55" s="117" t="s">
        <v>5177</v>
      </c>
      <c r="M55" s="328" t="str">
        <f>IFERROR(__xludf.DUMMYFUNCTION("GOOGLETRANSLATE(A55,""zh-tw"",""ru"")"),"Кольцо лавы")</f>
        <v>Кольцо лавы</v>
      </c>
      <c r="N55" s="308"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6" t="s">
        <v>4132</v>
      </c>
      <c r="P55" s="310" t="s">
        <v>5178</v>
      </c>
      <c r="Q55" s="329" t="s">
        <v>5179</v>
      </c>
      <c r="R55" s="330" t="s">
        <v>5180</v>
      </c>
      <c r="S55" s="17"/>
      <c r="T55" s="17"/>
      <c r="U55" s="17"/>
      <c r="V55" s="17"/>
      <c r="W55" s="17"/>
      <c r="X55" s="17"/>
      <c r="Y55" s="17"/>
      <c r="Z55" s="17"/>
    </row>
    <row r="56">
      <c r="A56" s="325" t="s">
        <v>5181</v>
      </c>
      <c r="B56" s="310" t="s">
        <v>5182</v>
      </c>
      <c r="C56" s="338" t="s">
        <v>5183</v>
      </c>
      <c r="D56" s="179" t="s">
        <v>5184</v>
      </c>
      <c r="E56" s="325" t="s">
        <v>5185</v>
      </c>
      <c r="F56" s="117" t="s">
        <v>5186</v>
      </c>
      <c r="G56" s="327" t="str">
        <f>IFERROR(__xludf.DUMMYFUNCTION("GOOGLETRANSLATE(A56,""zh-tw"",""zh"")"),"炎天娃娃")</f>
        <v>炎天娃娃</v>
      </c>
      <c r="H56" s="121" t="str">
        <f>IFERROR(__xludf.DUMMYFUNCTION("GOOGLETRANSLATE(B56,""zh-tw"",""zh"")"),"魔抗：10
幸运：10
第二天炎热")</f>
        <v>魔抗：10
幸运：10
第二天炎热</v>
      </c>
      <c r="I56" s="325" t="s">
        <v>5185</v>
      </c>
      <c r="J56" s="121" t="str">
        <f>IFERROR(__xludf.DUMMYFUNCTION("GOOGLETRANSLATE(B56,""zh-tw"",""es-MX"")"),"Resistencia Mágica: 10
Suerte: 10
El día siguiente hizo calor.")</f>
        <v>Resistencia Mágica: 10
Suerte: 10
El día siguiente hizo calor.</v>
      </c>
      <c r="K56" s="327"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8" t="str">
        <f>IFERROR(__xludf.DUMMYFUNCTION("GOOGLETRANSLATE(A56,""zh-tw"",""ru"")"),"Летняя кукла")</f>
        <v>Летняя кукла</v>
      </c>
      <c r="N56" s="308"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6" t="s">
        <v>5187</v>
      </c>
      <c r="P56" s="310" t="s">
        <v>5188</v>
      </c>
      <c r="Q56" s="341" t="s">
        <v>5189</v>
      </c>
      <c r="R56" s="330" t="s">
        <v>5190</v>
      </c>
      <c r="S56" s="17"/>
      <c r="T56" s="17"/>
      <c r="U56" s="17"/>
      <c r="V56" s="17"/>
      <c r="W56" s="17"/>
      <c r="X56" s="17"/>
      <c r="Y56" s="17"/>
      <c r="Z56" s="17"/>
    </row>
    <row r="57">
      <c r="A57" s="325" t="s">
        <v>5191</v>
      </c>
      <c r="B57" s="117" t="s">
        <v>5192</v>
      </c>
      <c r="C57" s="338" t="s">
        <v>5193</v>
      </c>
      <c r="D57" s="339"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5" t="s">
        <v>5194</v>
      </c>
      <c r="F57" s="117" t="s">
        <v>5195</v>
      </c>
      <c r="G57" s="327"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2" t="s">
        <v>5196</v>
      </c>
      <c r="J57" s="343" t="s">
        <v>5197</v>
      </c>
      <c r="K57" s="327"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8" t="str">
        <f>IFERROR(__xludf.DUMMYFUNCTION("GOOGLETRANSLATE(A57,""zh-tw"",""ru"")"),"Боксерские перчатки, ломающие лицо")</f>
        <v>Боксерские перчатки, ломающие лицо</v>
      </c>
      <c r="N57" s="308"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6" t="s">
        <v>5198</v>
      </c>
      <c r="P57" s="310" t="s">
        <v>5199</v>
      </c>
      <c r="Q57" s="329" t="s">
        <v>5200</v>
      </c>
      <c r="R57" s="330" t="s">
        <v>5201</v>
      </c>
      <c r="S57" s="17"/>
      <c r="T57" s="17"/>
      <c r="U57" s="17"/>
      <c r="V57" s="17"/>
      <c r="W57" s="17"/>
      <c r="X57" s="17"/>
      <c r="Y57" s="17"/>
      <c r="Z57" s="17"/>
    </row>
    <row r="58">
      <c r="A58" s="327" t="s">
        <v>5202</v>
      </c>
      <c r="B58" s="121" t="s">
        <v>5203</v>
      </c>
      <c r="C58" s="325" t="s">
        <v>5204</v>
      </c>
      <c r="D58" s="121" t="s">
        <v>5205</v>
      </c>
      <c r="E58" s="327" t="s">
        <v>5206</v>
      </c>
      <c r="F58" s="121" t="s">
        <v>5207</v>
      </c>
      <c r="G58" s="327"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7"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7"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공격력이 10 증가합니다.
3. 이 장비 능력은 ""고유"" 효과이며, 여러 장비와 결합할 수 없습니다.")</f>
        <v>마법 공격력: 20
마법 방어력: 45
1. 마법 무기의 내구도를 감소시킵니다.
2. "하늘석 조각" 하나당 마법 공격력이 10 증가합니다.
3. 이 장비 능력은 "고유" 효과이며, 여러 장비와 결합할 수 없습니다.</v>
      </c>
      <c r="M58" s="328" t="str">
        <f>IFERROR(__xludf.DUMMYFUNCTION("GOOGLETRANSLATE(A58,""zh-tw"",""ru"")"),"Подвеска из сердолика и нефрита")</f>
        <v>Подвеска из сердолика и нефрита</v>
      </c>
      <c r="N58" s="308"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5" t="s">
        <v>5206</v>
      </c>
      <c r="P58" s="117" t="s">
        <v>5208</v>
      </c>
      <c r="Q58" s="344" t="s">
        <v>5209</v>
      </c>
      <c r="R58" s="345" t="s">
        <v>5210</v>
      </c>
      <c r="S58" s="17"/>
      <c r="T58" s="17"/>
      <c r="U58" s="17"/>
      <c r="V58" s="17"/>
      <c r="W58" s="17"/>
      <c r="X58" s="17"/>
      <c r="Y58" s="17"/>
      <c r="Z58" s="17"/>
    </row>
    <row r="59">
      <c r="A59" s="327" t="s">
        <v>5211</v>
      </c>
      <c r="B59" s="121" t="s">
        <v>5212</v>
      </c>
      <c r="C59" s="325" t="s">
        <v>4146</v>
      </c>
      <c r="D59" s="121" t="s">
        <v>5213</v>
      </c>
      <c r="E59" s="327" t="s">
        <v>5214</v>
      </c>
      <c r="F59" s="121" t="s">
        <v>5215</v>
      </c>
      <c r="G59" s="327"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7"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7"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8" t="str">
        <f>IFERROR(__xludf.DUMMYFUNCTION("GOOGLETRANSLATE(A59,""zh-tw"",""ru"")"),"Проклятая рука Черрис")</f>
        <v>Проклятая рука Черрис</v>
      </c>
      <c r="N59" s="308"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5" t="s">
        <v>5216</v>
      </c>
      <c r="P59" s="117" t="s">
        <v>5217</v>
      </c>
      <c r="Q59" s="346" t="s">
        <v>5218</v>
      </c>
      <c r="R59" s="317" t="s">
        <v>5219</v>
      </c>
      <c r="S59" s="17"/>
      <c r="T59" s="17"/>
      <c r="U59" s="17"/>
      <c r="V59" s="17"/>
      <c r="W59" s="17"/>
      <c r="X59" s="17"/>
      <c r="Y59" s="17"/>
      <c r="Z59" s="17"/>
    </row>
    <row r="60">
      <c r="A60" s="327" t="s">
        <v>5220</v>
      </c>
      <c r="B60" s="121" t="s">
        <v>5221</v>
      </c>
      <c r="C60" s="346" t="s">
        <v>5222</v>
      </c>
      <c r="D60" s="120" t="s">
        <v>5223</v>
      </c>
      <c r="E60" s="325" t="s">
        <v>5224</v>
      </c>
      <c r="F60" s="117" t="s">
        <v>5225</v>
      </c>
      <c r="G60" s="327"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7"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7"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8" t="str">
        <f>IFERROR(__xludf.DUMMYFUNCTION("GOOGLETRANSLATE(A60,""zh-tw"",""ru"")"),"Эрос")</f>
        <v>Эрос</v>
      </c>
      <c r="N60" s="308"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5" t="s">
        <v>5226</v>
      </c>
      <c r="P60" s="117" t="s">
        <v>5227</v>
      </c>
      <c r="Q60" s="344" t="s">
        <v>5228</v>
      </c>
      <c r="R60" s="317" t="s">
        <v>5229</v>
      </c>
      <c r="S60" s="347"/>
      <c r="T60" s="347"/>
      <c r="U60" s="347"/>
      <c r="V60" s="347"/>
      <c r="W60" s="347"/>
      <c r="X60" s="347"/>
      <c r="Y60" s="347"/>
      <c r="Z60" s="347"/>
    </row>
    <row r="61">
      <c r="A61" s="325" t="s">
        <v>5230</v>
      </c>
      <c r="B61" s="117" t="s">
        <v>5231</v>
      </c>
      <c r="C61" s="338" t="s">
        <v>5232</v>
      </c>
      <c r="D61" s="179" t="s">
        <v>5233</v>
      </c>
      <c r="E61" s="325" t="s">
        <v>5234</v>
      </c>
      <c r="F61" s="117" t="s">
        <v>5235</v>
      </c>
      <c r="G61" s="327"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7"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7"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8" t="str">
        <f>IFERROR(__xludf.DUMMYFUNCTION("GOOGLETRANSLATE(A61,""zh-tw"",""ru"")"),"Абсолютная Территория")</f>
        <v>Абсолютная Территория</v>
      </c>
      <c r="N61" s="308"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5" t="s">
        <v>5236</v>
      </c>
      <c r="P61" s="117" t="s">
        <v>5237</v>
      </c>
      <c r="Q61" s="329" t="s">
        <v>5238</v>
      </c>
      <c r="R61" s="330" t="s">
        <v>5239</v>
      </c>
      <c r="S61" s="17"/>
      <c r="T61" s="17"/>
      <c r="U61" s="17"/>
      <c r="V61" s="17"/>
      <c r="W61" s="17"/>
      <c r="X61" s="17"/>
      <c r="Y61" s="17"/>
      <c r="Z61" s="17"/>
    </row>
    <row r="62">
      <c r="A62" s="331" t="s">
        <v>5240</v>
      </c>
      <c r="B62" s="105" t="s">
        <v>5241</v>
      </c>
      <c r="C62" s="331" t="s">
        <v>5242</v>
      </c>
      <c r="D62" s="105" t="s">
        <v>5243</v>
      </c>
      <c r="E62" s="331" t="s">
        <v>5244</v>
      </c>
      <c r="F62" s="105" t="s">
        <v>5245</v>
      </c>
      <c r="G62" s="327" t="str">
        <f>IFERROR(__xludf.DUMMYFUNCTION("GOOGLETRANSLATE(A62,""zh-tw"",""zh"")"),"火蝾螈之卷")</f>
        <v>火蝾螈之卷</v>
      </c>
      <c r="H62" s="121" t="str">
        <f>IFERROR(__xludf.DUMMYFUNCTION("GOOGLETRANSLATE(B62,""zh-tw"",""zh"")"),"魔攻：50
魔防：15
强化火焰元素")</f>
        <v>魔攻：50
魔防：15
强化火焰元素</v>
      </c>
      <c r="I62" s="327"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7"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8" t="str">
        <f>IFERROR(__xludf.DUMMYFUNCTION("GOOGLETRANSLATE(A62,""zh-tw"",""ru"")"),"Свиток Огненной Саламандры")</f>
        <v>Свиток Огненной Саламандры</v>
      </c>
      <c r="N62" s="308"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7" t="s">
        <v>5246</v>
      </c>
      <c r="P62" s="121" t="s">
        <v>5247</v>
      </c>
      <c r="Q62" s="329" t="s">
        <v>5248</v>
      </c>
      <c r="R62" s="330" t="s">
        <v>5249</v>
      </c>
      <c r="S62" s="17"/>
      <c r="T62" s="17"/>
      <c r="U62" s="17"/>
      <c r="V62" s="17"/>
      <c r="W62" s="17"/>
      <c r="X62" s="17"/>
      <c r="Y62" s="17"/>
      <c r="Z62" s="17"/>
    </row>
    <row r="63">
      <c r="A63" s="331" t="s">
        <v>5250</v>
      </c>
      <c r="B63" s="105" t="s">
        <v>5251</v>
      </c>
      <c r="C63" s="338" t="s">
        <v>5252</v>
      </c>
      <c r="D63" s="179" t="s">
        <v>5253</v>
      </c>
      <c r="E63" s="331" t="s">
        <v>5254</v>
      </c>
      <c r="F63" s="105" t="s">
        <v>5255</v>
      </c>
      <c r="G63" s="327"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7"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7"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8" t="str">
        <f>IFERROR(__xludf.DUMMYFUNCTION("GOOGLETRANSLATE(A63,""zh-tw"",""ru"")"),"Договор об обратном проклятии")</f>
        <v>Договор об обратном проклятии</v>
      </c>
      <c r="N63" s="308"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7" t="s">
        <v>5256</v>
      </c>
      <c r="P63" s="121" t="s">
        <v>5257</v>
      </c>
      <c r="Q63" s="329" t="s">
        <v>5258</v>
      </c>
      <c r="R63" s="330" t="s">
        <v>5259</v>
      </c>
      <c r="S63" s="17"/>
      <c r="T63" s="17"/>
      <c r="U63" s="17"/>
      <c r="V63" s="17"/>
      <c r="W63" s="17"/>
      <c r="X63" s="17"/>
      <c r="Y63" s="17"/>
      <c r="Z63" s="17"/>
    </row>
    <row r="64">
      <c r="A64" s="325" t="s">
        <v>5260</v>
      </c>
      <c r="B64" s="117" t="s">
        <v>5261</v>
      </c>
      <c r="C64" s="327"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5" t="s">
        <v>5262</v>
      </c>
      <c r="F64" s="117" t="s">
        <v>5263</v>
      </c>
      <c r="G64" s="327" t="str">
        <f>IFERROR(__xludf.DUMMYFUNCTION("GOOGLETRANSLATE(A64,""zh-tw"",""zh"")"),"猎人服")</f>
        <v>猎人服</v>
      </c>
      <c r="H64" s="121" t="str">
        <f>IFERROR(__xludf.DUMMYFUNCTION("GOOGLETRANSLATE(B64,""zh-tw"",""zh"")"),"物防：3
魔抗：10
站在草地上回复体力")</f>
        <v>物防：3
魔抗：10
站在草地上回复体力</v>
      </c>
      <c r="I64" s="327"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7"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8" t="str">
        <f>IFERROR(__xludf.DUMMYFUNCTION("GOOGLETRANSLATE(A64,""zh-tw"",""ru"")"),"Костюм Охотника")</f>
        <v>Костюм Охотника</v>
      </c>
      <c r="N64" s="308"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8" t="str">
        <f>IFERROR(__xludf.DUMMYFUNCTION("GOOGLETRANSLATE(A64,""zh-tw"",""de"")"),"Jägeranzug")</f>
        <v>Jägeranzug</v>
      </c>
      <c r="P64" s="308" t="str">
        <f>IFERROR(__xludf.DUMMYFUNCTION("GOOGLETRANSLATE(B64,""zh-tw"",""de"")"),"Physische Verteidigung: 3
Magieresistenz: 10
Auf Gras stehen stellt Gesundheit wieder her")</f>
        <v>Physische Verteidigung: 3
Magieresistenz: 10
Auf Gras stehen stellt Gesundheit wieder her</v>
      </c>
      <c r="Q64" s="329" t="s">
        <v>5264</v>
      </c>
      <c r="R64" s="330" t="s">
        <v>5265</v>
      </c>
      <c r="S64" s="17"/>
      <c r="T64" s="17"/>
      <c r="U64" s="17"/>
      <c r="V64" s="17"/>
      <c r="W64" s="17"/>
      <c r="X64" s="17"/>
      <c r="Y64" s="17"/>
      <c r="Z64" s="17"/>
    </row>
    <row r="65">
      <c r="A65" s="325" t="s">
        <v>5266</v>
      </c>
      <c r="B65" s="117" t="s">
        <v>5267</v>
      </c>
      <c r="C65" s="327"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5" t="s">
        <v>5268</v>
      </c>
      <c r="F65" s="117" t="s">
        <v>5269</v>
      </c>
      <c r="G65" s="327"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7"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7"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8" t="str">
        <f>IFERROR(__xludf.DUMMYFUNCTION("GOOGLETRANSLATE(A65,""zh-tw"",""ru"")"),"Пояс Охотника")</f>
        <v>Пояс Охотника</v>
      </c>
      <c r="N65" s="308"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8" t="str">
        <f>IFERROR(__xludf.DUMMYFUNCTION("GOOGLETRANSLATE(A65,""zh-tw"",""de"")"),"Jägergürtel")</f>
        <v>Jägergürtel</v>
      </c>
      <c r="P65" s="308"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9" t="s">
        <v>5270</v>
      </c>
      <c r="R65" s="330" t="s">
        <v>5271</v>
      </c>
      <c r="S65" s="17"/>
      <c r="T65" s="17"/>
      <c r="U65" s="17"/>
      <c r="V65" s="17"/>
      <c r="W65" s="17"/>
      <c r="X65" s="17"/>
      <c r="Y65" s="17"/>
      <c r="Z65" s="17"/>
    </row>
    <row r="66">
      <c r="A66" s="325" t="s">
        <v>5272</v>
      </c>
      <c r="B66" s="117" t="s">
        <v>5273</v>
      </c>
      <c r="C66" s="327"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5" t="s">
        <v>5274</v>
      </c>
      <c r="F66" s="117" t="s">
        <v>5275</v>
      </c>
      <c r="G66" s="327"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7"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7"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8" t="str">
        <f>IFERROR(__xludf.DUMMYFUNCTION("GOOGLETRANSLATE(A66,""zh-tw"",""ru"")"),"Кинжал охотника")</f>
        <v>Кинжал охотника</v>
      </c>
      <c r="N66" s="308"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8" t="str">
        <f>IFERROR(__xludf.DUMMYFUNCTION("GOOGLETRANSLATE(A66,""zh-tw"",""de"")"),"Jägerdolch")</f>
        <v>Jägerdolch</v>
      </c>
      <c r="P66" s="308" t="str">
        <f>IFERROR(__xludf.DUMMYFUNCTION("GOOGLETRANSLATE(B66,""zh-tw"",""de"")"),"Physischer Angriff: 6
Glück: 20
Fleisch-Drop-Chance verdoppelt (einschließlich gebratenem Fisch)")</f>
        <v>Physischer Angriff: 6
Glück: 20
Fleisch-Drop-Chance verdoppelt (einschließlich gebratenem Fisch)</v>
      </c>
      <c r="Q66" s="329" t="s">
        <v>5276</v>
      </c>
      <c r="R66" s="330" t="s">
        <v>5277</v>
      </c>
      <c r="S66" s="17"/>
      <c r="T66" s="17"/>
      <c r="U66" s="17"/>
      <c r="V66" s="17"/>
      <c r="W66" s="17"/>
      <c r="X66" s="17"/>
      <c r="Y66" s="17"/>
      <c r="Z66" s="17"/>
    </row>
    <row r="67">
      <c r="A67" s="325" t="s">
        <v>5278</v>
      </c>
      <c r="B67" s="117" t="s">
        <v>5279</v>
      </c>
      <c r="C67" s="327"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5" t="s">
        <v>5280</v>
      </c>
      <c r="F67" s="117" t="s">
        <v>5281</v>
      </c>
      <c r="G67" s="327" t="str">
        <f>IFERROR(__xludf.DUMMYFUNCTION("GOOGLETRANSLATE(A67,""zh-tw"",""zh"")"),"绿龟壳")</f>
        <v>绿龟壳</v>
      </c>
      <c r="H67" s="121" t="str">
        <f>IFERROR(__xludf.DUMMYFUNCTION("GOOGLETRANSLATE(B67,""zh-tw"",""zh"")"),"物防：20
魔抗：60
增加游泳移速、降低陆地移速")</f>
        <v>物防：20
魔抗：60
增加游泳移速、降低陆地移速</v>
      </c>
      <c r="I67" s="327"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7"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8" t="str">
        <f>IFERROR(__xludf.DUMMYFUNCTION("GOOGLETRANSLATE(A67,""zh-tw"",""ru"")"),"Зеленый панцирь черепахи")</f>
        <v>Зеленый панцирь черепахи</v>
      </c>
      <c r="N67" s="308"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8" t="str">
        <f>IFERROR(__xludf.DUMMYFUNCTION("GOOGLETRANSLATE(A67,""zh-tw"",""de"")"),"Panzer einer grünen Schildkröte")</f>
        <v>Panzer einer grünen Schildkröte</v>
      </c>
      <c r="P67" s="308"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9" t="s">
        <v>5282</v>
      </c>
      <c r="R67" s="330" t="s">
        <v>5283</v>
      </c>
      <c r="S67" s="17"/>
      <c r="T67" s="17"/>
      <c r="U67" s="17"/>
      <c r="V67" s="17"/>
      <c r="W67" s="17"/>
      <c r="X67" s="17"/>
      <c r="Y67" s="17"/>
      <c r="Z67" s="17"/>
    </row>
    <row r="68">
      <c r="A68" s="325" t="s">
        <v>5284</v>
      </c>
      <c r="B68" s="117" t="s">
        <v>5285</v>
      </c>
      <c r="C68" s="327"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5" t="s">
        <v>5286</v>
      </c>
      <c r="F68" s="117" t="s">
        <v>5287</v>
      </c>
      <c r="G68" s="327" t="str">
        <f>IFERROR(__xludf.DUMMYFUNCTION("GOOGLETRANSLATE(A68,""zh-tw"",""zh"")"),"宝石剑")</f>
        <v>宝石剑</v>
      </c>
      <c r="H68" s="121" t="str">
        <f>IFERROR(__xludf.DUMMYFUNCTION("GOOGLETRANSLATE(B68,""zh-tw"",""zh"")"),"魔攻：15
魔抗：20
幸运：20
消耗宝石强化攻击")</f>
        <v>魔攻：15
魔抗：20
幸运：20
消耗宝石强化攻击</v>
      </c>
      <c r="I68" s="327"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7"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8" t="str">
        <f>IFERROR(__xludf.DUMMYFUNCTION("GOOGLETRANSLATE(A68,""zh-tw"",""ru"")"),"Меч Драгоценностей")</f>
        <v>Меч Драгоценностей</v>
      </c>
      <c r="N68" s="308"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8" t="str">
        <f>IFERROR(__xludf.DUMMYFUNCTION("GOOGLETRANSLATE(A68,""zh-tw"",""de"")"),"Juwelenschwert")</f>
        <v>Juwelenschwert</v>
      </c>
      <c r="P68" s="308"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9" t="s">
        <v>5288</v>
      </c>
      <c r="R68" s="330" t="s">
        <v>5289</v>
      </c>
      <c r="S68" s="17"/>
      <c r="T68" s="17"/>
      <c r="U68" s="17"/>
      <c r="V68" s="17"/>
      <c r="W68" s="17"/>
      <c r="X68" s="17"/>
      <c r="Y68" s="17"/>
      <c r="Z68" s="17"/>
    </row>
    <row r="69">
      <c r="A69" s="325" t="s">
        <v>5290</v>
      </c>
      <c r="B69" s="117" t="s">
        <v>5291</v>
      </c>
      <c r="C69" s="327" t="str">
        <f>IFERROR(__xludf.DUMMYFUNCTION("GOOGLETRANSLATE(A69,""zh-tw"",""ja"")"),"安全手袋")</f>
        <v>安全手袋</v>
      </c>
      <c r="D69" s="121" t="str">
        <f>IFERROR(__xludf.DUMMYFUNCTION("GOOGLETRANSLATE(B69,""zh-tw"",""ja"")"),"物理防御力：2
魔法耐性：45
雷撃防御")</f>
        <v>物理防御力：2
魔法耐性：45
雷撃防御</v>
      </c>
      <c r="E69" s="325" t="s">
        <v>5292</v>
      </c>
      <c r="F69" s="117" t="s">
        <v>5293</v>
      </c>
      <c r="G69" s="327" t="str">
        <f>IFERROR(__xludf.DUMMYFUNCTION("GOOGLETRANSLATE(A69,""zh-tw"",""zh"")"),"安全手套")</f>
        <v>安全手套</v>
      </c>
      <c r="H69" s="121" t="str">
        <f>IFERROR(__xludf.DUMMYFUNCTION("GOOGLETRANSLATE(B69,""zh-tw"",""zh"")"),"物防：2
魔抗：45
防御雷电")</f>
        <v>物防：2
魔抗：45
防御雷电</v>
      </c>
      <c r="I69" s="327"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7"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8" t="str">
        <f>IFERROR(__xludf.DUMMYFUNCTION("GOOGLETRANSLATE(A69,""zh-tw"",""ru"")"),"защитные перчатки")</f>
        <v>защитные перчатки</v>
      </c>
      <c r="N69" s="308"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8" t="str">
        <f>IFERROR(__xludf.DUMMYFUNCTION("GOOGLETRANSLATE(A69,""zh-tw"",""de"")"),"Schutzhandschuhe")</f>
        <v>Schutzhandschuhe</v>
      </c>
      <c r="P69" s="308" t="str">
        <f>IFERROR(__xludf.DUMMYFUNCTION("GOOGLETRANSLATE(B69,""zh-tw"",""de"")"),"Physische Verteidigung: 2
Magieresistenz: 45
Blitzschutz")</f>
        <v>Physische Verteidigung: 2
Magieresistenz: 45
Blitzschutz</v>
      </c>
      <c r="Q69" s="329" t="s">
        <v>5294</v>
      </c>
      <c r="R69" s="330" t="s">
        <v>5295</v>
      </c>
      <c r="S69" s="17"/>
      <c r="T69" s="17"/>
      <c r="U69" s="17"/>
      <c r="V69" s="17"/>
      <c r="W69" s="17"/>
      <c r="X69" s="17"/>
      <c r="Y69" s="17"/>
      <c r="Z69" s="17"/>
    </row>
    <row r="70">
      <c r="A70" s="325" t="s">
        <v>5296</v>
      </c>
      <c r="B70" s="117" t="s">
        <v>5297</v>
      </c>
      <c r="C70" s="327" t="str">
        <f>IFERROR(__xludf.DUMMYFUNCTION("GOOGLETRANSLATE(A70,""zh-tw"",""ja"")"),"シャープブレードリング")</f>
        <v>シャープブレードリング</v>
      </c>
      <c r="D70" s="121" t="str">
        <f>IFERROR(__xludf.DUMMYFUNCTION("GOOGLETRANSLATE(B70,""zh-tw"",""ja"")"),"物理攻撃力+15%")</f>
        <v>物理攻撃力+15%</v>
      </c>
      <c r="E70" s="325" t="s">
        <v>5298</v>
      </c>
      <c r="F70" s="117" t="s">
        <v>5299</v>
      </c>
      <c r="G70" s="327" t="str">
        <f>IFERROR(__xludf.DUMMYFUNCTION("GOOGLETRANSLATE(A70,""zh-tw"",""zh"")"),"锐刃指环")</f>
        <v>锐刃指环</v>
      </c>
      <c r="H70" s="121" t="str">
        <f>IFERROR(__xludf.DUMMYFUNCTION("GOOGLETRANSLATE(B70,""zh-tw"",""zh"")"),"物攻+15%")</f>
        <v>物攻+15%</v>
      </c>
      <c r="I70" s="327" t="str">
        <f>IFERROR(__xludf.DUMMYFUNCTION("GOOGLETRANSLATE(A70,""zh-tw"",""es-MX"")"),"Anillo de hoja afilada")</f>
        <v>Anillo de hoja afilada</v>
      </c>
      <c r="J70" s="121" t="str">
        <f>IFERROR(__xludf.DUMMYFUNCTION("GOOGLETRANSLATE(B70,""zh-tw"",""es-MX"")"),"Ataque físico +15%")</f>
        <v>Ataque físico +15%</v>
      </c>
      <c r="K70" s="327" t="str">
        <f>IFERROR(__xludf.DUMMYFUNCTION("GOOGLETRANSLATE(A70,""zh-tw"",""KO"")"),"날카로운 칼날 반지")</f>
        <v>날카로운 칼날 반지</v>
      </c>
      <c r="L70" s="121" t="str">
        <f>IFERROR(__xludf.DUMMYFUNCTION("GOOGLETRANSLATE(B70,""zh-tw"",""KO"")"),"물리 공격력 +15%")</f>
        <v>물리 공격력 +15%</v>
      </c>
      <c r="M70" s="328" t="str">
        <f>IFERROR(__xludf.DUMMYFUNCTION("GOOGLETRANSLATE(A70,""zh-tw"",""ru"")"),"Кольцо с острым лезвием")</f>
        <v>Кольцо с острым лезвием</v>
      </c>
      <c r="N70" s="308" t="str">
        <f>IFERROR(__xludf.DUMMYFUNCTION("GOOGLETRANSLATE(B70,""zh-tw"",""ru"")"),"Физическая атака +15%")</f>
        <v>Физическая атака +15%</v>
      </c>
      <c r="O70" s="328" t="str">
        <f>IFERROR(__xludf.DUMMYFUNCTION("GOOGLETRANSLATE(A70,""zh-tw"",""de"")"),"Scharfer Klingenring")</f>
        <v>Scharfer Klingenring</v>
      </c>
      <c r="P70" s="308" t="str">
        <f>IFERROR(__xludf.DUMMYFUNCTION("GOOGLETRANSLATE(B70,""zh-tw"",""de"")"),"Physischer Angriff +15 %")</f>
        <v>Physischer Angriff +15 %</v>
      </c>
      <c r="Q70" s="329" t="s">
        <v>5300</v>
      </c>
      <c r="R70" s="330" t="s">
        <v>5301</v>
      </c>
      <c r="S70" s="17"/>
      <c r="T70" s="17"/>
      <c r="U70" s="17"/>
      <c r="V70" s="17"/>
      <c r="W70" s="17"/>
      <c r="X70" s="17"/>
      <c r="Y70" s="17"/>
      <c r="Z70" s="17"/>
    </row>
    <row r="71">
      <c r="A71" s="325" t="s">
        <v>5302</v>
      </c>
      <c r="B71" s="117" t="s">
        <v>5303</v>
      </c>
      <c r="C71" s="327"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5" t="s">
        <v>5304</v>
      </c>
      <c r="F71" s="117" t="s">
        <v>5305</v>
      </c>
      <c r="G71" s="327"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7"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7"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8" t="str">
        <f>IFERROR(__xludf.DUMMYFUNCTION("GOOGLETRANSLATE(A71,""zh-tw"",""ru"")"),"Вакидзаси")</f>
        <v>Вакидзаси</v>
      </c>
      <c r="N71" s="308"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28" t="str">
        <f>IFERROR(__xludf.DUMMYFUNCTION("GOOGLETRANSLATE(A71,""zh-tw"",""de"")"),"Wakizashi")</f>
        <v>Wakizashi</v>
      </c>
      <c r="P71" s="308"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9" t="s">
        <v>5304</v>
      </c>
      <c r="R71" s="330" t="s">
        <v>5306</v>
      </c>
      <c r="S71" s="17"/>
      <c r="T71" s="17"/>
      <c r="U71" s="17"/>
      <c r="V71" s="17"/>
      <c r="W71" s="17"/>
      <c r="X71" s="17"/>
      <c r="Y71" s="17"/>
      <c r="Z71" s="17"/>
    </row>
    <row r="72">
      <c r="A72" s="325" t="s">
        <v>5307</v>
      </c>
      <c r="B72" s="117" t="s">
        <v>5308</v>
      </c>
      <c r="C72" s="327"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5" t="s">
        <v>5309</v>
      </c>
      <c r="F72" s="117" t="s">
        <v>5310</v>
      </c>
      <c r="G72" s="327" t="str">
        <f>IFERROR(__xludf.DUMMYFUNCTION("GOOGLETRANSLATE(A72,""zh-tw"",""zh"")"),"铁觇")</f>
        <v>铁觇</v>
      </c>
      <c r="H72" s="121" t="str">
        <f>IFERROR(__xludf.DUMMYFUNCTION("GOOGLETRANSLATE(B72,""zh-tw"",""zh"")"),"物防：15
魔抗：10
详细说明于Tips")</f>
        <v>物防：15
魔抗：10
详细说明于Tips</v>
      </c>
      <c r="I72" s="327"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7"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8" t="str">
        <f>IFERROR(__xludf.DUMMYFUNCTION("GOOGLETRANSLATE(A72,""zh-tw"",""ru"")"),"Железный разведчик")</f>
        <v>Железный разведчик</v>
      </c>
      <c r="N72" s="308"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8" t="str">
        <f>IFERROR(__xludf.DUMMYFUNCTION("GOOGLETRANSLATE(A72,""zh-tw"",""de"")"),"Eiserner Späher")</f>
        <v>Eiserner Späher</v>
      </c>
      <c r="P72" s="308" t="str">
        <f>IFERROR(__xludf.DUMMYFUNCTION("GOOGLETRANSLATE(B72,""zh-tw"",""de"")"),"Physische Verteidigung: 15
Magieresistenz: 10
Details in den Tipps")</f>
        <v>Physische Verteidigung: 15
Magieresistenz: 10
Details in den Tipps</v>
      </c>
      <c r="Q72" s="341" t="s">
        <v>5311</v>
      </c>
      <c r="R72" s="330" t="s">
        <v>5312</v>
      </c>
      <c r="S72" s="17"/>
      <c r="T72" s="17"/>
      <c r="U72" s="17"/>
      <c r="V72" s="17"/>
      <c r="W72" s="17"/>
      <c r="X72" s="17"/>
      <c r="Y72" s="17"/>
      <c r="Z72" s="17"/>
    </row>
    <row r="73">
      <c r="A73" s="325" t="s">
        <v>5313</v>
      </c>
      <c r="B73" s="117" t="s">
        <v>5314</v>
      </c>
      <c r="C73" s="327"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5" t="s">
        <v>5315</v>
      </c>
      <c r="F73" s="117" t="s">
        <v>5316</v>
      </c>
      <c r="G73" s="327"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7"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7"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8" t="str">
        <f>IFERROR(__xludf.DUMMYFUNCTION("GOOGLETRANSLATE(A73,""zh-tw"",""ru"")"),"Эмблема Стражей")</f>
        <v>Эмблема Стражей</v>
      </c>
      <c r="N73" s="308"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8" t="str">
        <f>IFERROR(__xludf.DUMMYFUNCTION("GOOGLETRANSLATE(A73,""zh-tw"",""de"")"),"Emblem der Wächter")</f>
        <v>Emblem der Wächter</v>
      </c>
      <c r="P73" s="308" t="str">
        <f>IFERROR(__xludf.DUMMYFUNCTION("GOOGLETRANSLATE(B73,""zh-tw"",""de"")"),"Reduzierte Angriffskraft und Angriffslimitbonus; Reduzierter Waffenhaltbarkeitsverbrauch")</f>
        <v>Reduzierte Angriffskraft und Angriffslimitbonus; Reduzierter Waffenhaltbarkeitsverbrauch</v>
      </c>
      <c r="Q73" s="329" t="s">
        <v>5317</v>
      </c>
      <c r="R73" s="330" t="s">
        <v>5318</v>
      </c>
      <c r="S73" s="17"/>
      <c r="T73" s="17"/>
      <c r="U73" s="17"/>
      <c r="V73" s="17"/>
      <c r="W73" s="17"/>
      <c r="X73" s="17"/>
      <c r="Y73" s="17"/>
      <c r="Z73" s="17"/>
    </row>
    <row r="74">
      <c r="A74" s="325" t="s">
        <v>5319</v>
      </c>
      <c r="B74" s="117" t="s">
        <v>5320</v>
      </c>
      <c r="C74" s="327" t="str">
        <f>IFERROR(__xludf.DUMMYFUNCTION("GOOGLETRANSLATE(A74,""zh-tw"",""ja"")"),"イチゴを取り戻せ!!")</f>
        <v>イチゴを取り戻せ!!</v>
      </c>
      <c r="D74" s="121" t="str">
        <f>IFERROR(__xludf.DUMMYFUNCTION("GOOGLETRANSLATE(B74,""zh-tw"",""ja"")"),"コマンド型装備
(スキル欄参照)")</f>
        <v>コマンド型装備
(スキル欄参照)</v>
      </c>
      <c r="E74" s="325" t="s">
        <v>5321</v>
      </c>
      <c r="F74" s="117" t="s">
        <v>5322</v>
      </c>
      <c r="G74" s="327" t="str">
        <f>IFERROR(__xludf.DUMMYFUNCTION("GOOGLETRANSLATE(A74,""zh-tw"",""zh"")"),"把草莓夺回来！ !")</f>
        <v>把草莓夺回来！ !</v>
      </c>
      <c r="H74" s="121" t="str">
        <f>IFERROR(__xludf.DUMMYFUNCTION("GOOGLETRANSLATE(B74,""zh-tw"",""zh"")"),"指令类型装备
(请见技能栏位)")</f>
        <v>指令类型装备
(请见技能栏位)</v>
      </c>
      <c r="I74" s="327"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7"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8" t="str">
        <f>IFERROR(__xludf.DUMMYFUNCTION("GOOGLETRANSLATE(A74,""zh-tw"",""ru"")"),"Заберите клубнику обратно!!")</f>
        <v>Заберите клубнику обратно!!</v>
      </c>
      <c r="N74" s="308" t="str">
        <f>IFERROR(__xludf.DUMMYFUNCTION("GOOGLETRANSLATE(B74,""zh-tw"",""ru"")"),"Командное снаряжение
(См. столбец «Навыки»)")</f>
        <v>Командное снаряжение
(См. столбец «Навыки»)</v>
      </c>
      <c r="O74" s="328" t="str">
        <f>IFERROR(__xludf.DUMMYFUNCTION("GOOGLETRANSLATE(A74,""zh-tw"",""de"")"),"Holt die Erdbeeren zurück!!")</f>
        <v>Holt die Erdbeeren zurück!!</v>
      </c>
      <c r="P74" s="308" t="str">
        <f>IFERROR(__xludf.DUMMYFUNCTION("GOOGLETRANSLATE(B74,""zh-tw"",""de"")"),"Kommandoausrüstung
(Siehe Spalte „Fähigkeiten“)")</f>
        <v>Kommandoausrüstung
(Siehe Spalte „Fähigkeiten“)</v>
      </c>
      <c r="Q74" s="329" t="s">
        <v>5323</v>
      </c>
      <c r="R74" s="330" t="s">
        <v>5324</v>
      </c>
      <c r="S74" s="17"/>
      <c r="T74" s="17"/>
      <c r="U74" s="17"/>
      <c r="V74" s="17"/>
      <c r="W74" s="17"/>
      <c r="X74" s="17"/>
      <c r="Y74" s="17"/>
      <c r="Z74" s="17"/>
    </row>
    <row r="75">
      <c r="A75" s="331" t="s">
        <v>4197</v>
      </c>
      <c r="B75" s="117" t="s">
        <v>5325</v>
      </c>
      <c r="C75" s="338" t="s">
        <v>5326</v>
      </c>
      <c r="D75" s="179" t="s">
        <v>5327</v>
      </c>
      <c r="E75" s="325" t="s">
        <v>4200</v>
      </c>
      <c r="F75" s="117" t="s">
        <v>5328</v>
      </c>
      <c r="G75" s="327" t="str">
        <f>IFERROR(__xludf.DUMMYFUNCTION("GOOGLETRANSLATE(A75,""zh-tw"",""zh"")"),"◉▽◉(蓝色)")</f>
        <v>◉▽◉(蓝色)</v>
      </c>
      <c r="H75" s="121" t="str">
        <f>IFERROR(__xludf.DUMMYFUNCTION("GOOGLETRANSLATE(B75,""zh-tw"",""zh"")"),"投掷攻击
遇水消失、会被击杀
幸运：10")</f>
        <v>投掷攻击
遇水消失、会被击杀
幸运：10</v>
      </c>
      <c r="I75" s="327" t="str">
        <f>IFERROR(__xludf.DUMMYFUNCTION("GOOGLETRANSLATE(A75,""zh-tw"",""es-MX"")"),"◉▽◉(azul)")</f>
        <v>◉▽◉(azul)</v>
      </c>
      <c r="J75" s="121" t="str">
        <f>IFERROR(__xludf.DUMMYFUNCTION("GOOGLETRANSLATE(B75,""zh-tw"",""es-MX"")"),"Ataque arrojadizo
Desaparece en el agua y mata al objetivo.
Suerte: 10")</f>
        <v>Ataque arrojadizo
Desaparece en el agua y mata al objetivo.
Suerte: 10</v>
      </c>
      <c r="K75" s="327"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8" t="str">
        <f>IFERROR(__xludf.DUMMYFUNCTION("GOOGLETRANSLATE(A75,""zh-tw"",""ru"")"),"◉▽◉(синий)")</f>
        <v>◉▽◉(синий)</v>
      </c>
      <c r="N75" s="308" t="str">
        <f>IFERROR(__xludf.DUMMYFUNCTION("GOOGLETRANSLATE(B75,""zh-tw"",""ru"")"),"Бросок
Исчезает в воде, убивая цель
Удача: 10")</f>
        <v>Бросок
Исчезает в воде, убивая цель
Удача: 10</v>
      </c>
      <c r="O75" s="325" t="s">
        <v>4203</v>
      </c>
      <c r="P75" s="117" t="s">
        <v>5329</v>
      </c>
      <c r="Q75" s="329" t="s">
        <v>4206</v>
      </c>
      <c r="R75" s="330" t="s">
        <v>5330</v>
      </c>
      <c r="S75" s="17"/>
      <c r="T75" s="17"/>
      <c r="U75" s="17"/>
      <c r="V75" s="17"/>
      <c r="W75" s="17"/>
      <c r="X75" s="17"/>
      <c r="Y75" s="17"/>
      <c r="Z75" s="17"/>
    </row>
    <row r="76">
      <c r="A76" s="327" t="s">
        <v>4209</v>
      </c>
      <c r="B76" s="117" t="s">
        <v>5331</v>
      </c>
      <c r="C76" s="327" t="s">
        <v>4209</v>
      </c>
      <c r="D76" s="179" t="s">
        <v>5332</v>
      </c>
      <c r="E76" s="325" t="s">
        <v>4211</v>
      </c>
      <c r="F76" s="117" t="s">
        <v>5333</v>
      </c>
      <c r="G76" s="327" t="str">
        <f>IFERROR(__xludf.DUMMYFUNCTION("GOOGLETRANSLATE(A76,""zh-tw"",""zh"")"),"◉▽◉(紫色)")</f>
        <v>◉▽◉(紫色)</v>
      </c>
      <c r="H76" s="121" t="str">
        <f>IFERROR(__xludf.DUMMYFUNCTION("GOOGLETRANSLATE(B76,""zh-tw"",""zh"")"),"投掷攻击
遇水消失、会被击杀
幸运：20")</f>
        <v>投掷攻击
遇水消失、会被击杀
幸运：20</v>
      </c>
      <c r="I76" s="327"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7"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8" t="str">
        <f>IFERROR(__xludf.DUMMYFUNCTION("GOOGLETRANSLATE(A76,""zh-tw"",""ru"")"),"◉▽◉ (Фиолетовый)")</f>
        <v>◉▽◉ (Фиолетовый)</v>
      </c>
      <c r="N76" s="308" t="str">
        <f>IFERROR(__xludf.DUMMYFUNCTION("GOOGLETRANSLATE(B76,""zh-tw"",""ru"")"),"Бросок
Исчезает в воде, убивая цель
Удача: 20")</f>
        <v>Бросок
Исчезает в воде, убивая цель
Удача: 20</v>
      </c>
      <c r="O76" s="325" t="s">
        <v>4213</v>
      </c>
      <c r="P76" s="117" t="s">
        <v>5334</v>
      </c>
      <c r="Q76" s="344" t="s">
        <v>4215</v>
      </c>
      <c r="R76" s="330" t="s">
        <v>5335</v>
      </c>
      <c r="S76" s="17"/>
      <c r="T76" s="17"/>
      <c r="U76" s="17"/>
      <c r="V76" s="17"/>
      <c r="W76" s="17"/>
      <c r="X76" s="17"/>
      <c r="Y76" s="17"/>
      <c r="Z76" s="17"/>
    </row>
    <row r="77">
      <c r="A77" s="327" t="s">
        <v>5336</v>
      </c>
      <c r="B77" s="117" t="s">
        <v>5337</v>
      </c>
      <c r="C77" s="338" t="s">
        <v>5338</v>
      </c>
      <c r="D77" s="179" t="s">
        <v>5339</v>
      </c>
      <c r="E77" s="325" t="s">
        <v>5340</v>
      </c>
      <c r="F77" s="117" t="s">
        <v>5341</v>
      </c>
      <c r="G77" s="327" t="str">
        <f>IFERROR(__xludf.DUMMYFUNCTION("GOOGLETRANSLATE(A77,""zh-tw"",""zh"")"),"◉▽◉(粉色)")</f>
        <v>◉▽◉(粉色)</v>
      </c>
      <c r="H77" s="121" t="str">
        <f>IFERROR(__xludf.DUMMYFUNCTION("GOOGLETRANSLATE(B77,""zh-tw"",""zh"")"),"投掷攻击
遇水消失、会被击杀
幸运：40")</f>
        <v>投掷攻击
遇水消失、会被击杀
幸运：40</v>
      </c>
      <c r="I77" s="327"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7"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8" t="str">
        <f>IFERROR(__xludf.DUMMYFUNCTION("GOOGLETRANSLATE(A77,""zh-tw"",""ru"")"),"◉▽◉(Розовый)")</f>
        <v>◉▽◉(Розовый)</v>
      </c>
      <c r="N77" s="308" t="str">
        <f>IFERROR(__xludf.DUMMYFUNCTION("GOOGLETRANSLATE(B77,""zh-tw"",""ru"")"),"Бросок
Исчезает в воде, убивая цель
Удача: 40")</f>
        <v>Бросок
Исчезает в воде, убивая цель
Удача: 40</v>
      </c>
      <c r="O77" s="325" t="s">
        <v>5342</v>
      </c>
      <c r="P77" s="117" t="s">
        <v>5343</v>
      </c>
      <c r="Q77" s="344" t="s">
        <v>5344</v>
      </c>
      <c r="R77" s="330" t="s">
        <v>5345</v>
      </c>
      <c r="S77" s="17"/>
      <c r="T77" s="17"/>
      <c r="U77" s="17"/>
      <c r="V77" s="17"/>
      <c r="W77" s="17"/>
      <c r="X77" s="17"/>
      <c r="Y77" s="17"/>
      <c r="Z77" s="17"/>
    </row>
    <row r="78">
      <c r="A78" s="325" t="s">
        <v>5346</v>
      </c>
      <c r="B78" s="117" t="s">
        <v>5347</v>
      </c>
      <c r="C78" s="338" t="s">
        <v>5348</v>
      </c>
      <c r="D78" s="179" t="s">
        <v>5349</v>
      </c>
      <c r="E78" s="325" t="s">
        <v>5350</v>
      </c>
      <c r="F78" s="117" t="s">
        <v>5351</v>
      </c>
      <c r="G78" s="327"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7"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7"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8" t="str">
        <f>IFERROR(__xludf.DUMMYFUNCTION("GOOGLETRANSLATE(A78,""zh-tw"",""ru"")"),"Ядро I~VII")</f>
        <v>Ядро I~VII</v>
      </c>
      <c r="N78" s="308"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5" t="s">
        <v>5352</v>
      </c>
      <c r="P78" s="117" t="s">
        <v>5353</v>
      </c>
      <c r="Q78" s="329" t="s">
        <v>5350</v>
      </c>
      <c r="R78" s="330" t="s">
        <v>5354</v>
      </c>
      <c r="S78" s="17"/>
      <c r="T78" s="17"/>
      <c r="U78" s="17"/>
      <c r="V78" s="17"/>
      <c r="W78" s="17"/>
      <c r="X78" s="17"/>
      <c r="Y78" s="17"/>
      <c r="Z78" s="17"/>
    </row>
    <row r="79">
      <c r="A79" s="325" t="s">
        <v>5355</v>
      </c>
      <c r="B79" s="117" t="s">
        <v>5356</v>
      </c>
      <c r="C79" s="340"/>
      <c r="D79" s="339"/>
      <c r="E79" s="325" t="s">
        <v>5357</v>
      </c>
      <c r="F79" s="117" t="s">
        <v>5358</v>
      </c>
      <c r="G79" s="327" t="str">
        <f>IFERROR(__xludf.DUMMYFUNCTION("GOOGLETRANSLATE(A79,""zh-tw"",""zh"")"),"Ruika的万宝槌")</f>
        <v>Ruika的万宝槌</v>
      </c>
      <c r="H79" s="121" t="str">
        <f>IFERROR(__xludf.DUMMYFUNCTION("GOOGLETRANSLATE(B79,""zh-tw"",""zh"")"),"幸运：777
增加掉落率(作弊道具)")</f>
        <v>幸运：777
增加掉落率(作弊道具)</v>
      </c>
      <c r="I79" s="327"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7"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8" t="str">
        <f>IFERROR(__xludf.DUMMYFUNCTION("GOOGLETRANSLATE(A79,""zh-tw"",""ru"")"),"Молот сокровищ Руики")</f>
        <v>Молот сокровищ Руики</v>
      </c>
      <c r="N79" s="308" t="str">
        <f>IFERROR(__xludf.DUMMYFUNCTION("GOOGLETRANSLATE(B79,""zh-tw"",""ru"")"),"Удача: 777
Увеличивает шанс выпадения (чит-предмет)")</f>
        <v>Удача: 777
Увеличивает шанс выпадения (чит-предмет)</v>
      </c>
      <c r="O79" s="328" t="str">
        <f>IFERROR(__xludf.DUMMYFUNCTION("GOOGLETRANSLATE(A79,""zh-tw"",""de"")"),"Ruikas Schatzhammer")</f>
        <v>Ruikas Schatzhammer</v>
      </c>
      <c r="P79" s="308" t="str">
        <f>IFERROR(__xludf.DUMMYFUNCTION("GOOGLETRANSLATE(B79,""zh-tw"",""de"")"),"Glück: 777
Erhöht die Droprate (Cheat-Gegenstand)")</f>
        <v>Glück: 777
Erhöht die Droprate (Cheat-Gegenstand)</v>
      </c>
      <c r="Q79" s="341" t="s">
        <v>5359</v>
      </c>
      <c r="R79" s="315" t="s">
        <v>5360</v>
      </c>
      <c r="S79" s="17"/>
      <c r="T79" s="17"/>
      <c r="U79" s="17"/>
      <c r="V79" s="17"/>
      <c r="W79" s="17"/>
      <c r="X79" s="17"/>
      <c r="Y79" s="17"/>
      <c r="Z79" s="17"/>
    </row>
    <row r="80">
      <c r="A80" s="325" t="s">
        <v>5361</v>
      </c>
      <c r="B80" s="117" t="s">
        <v>5362</v>
      </c>
      <c r="C80" s="340"/>
      <c r="D80" s="339"/>
      <c r="E80" s="325" t="s">
        <v>5363</v>
      </c>
      <c r="F80" s="117" t="s">
        <v>5364</v>
      </c>
      <c r="G80" s="327" t="str">
        <f>IFERROR(__xludf.DUMMYFUNCTION("GOOGLETRANSLATE(A80,""zh-tw"",""zh"")"),"Mio的急救箱")</f>
        <v>Mio的急救箱</v>
      </c>
      <c r="H80" s="121" t="str">
        <f>IFERROR(__xludf.DUMMYFUNCTION("GOOGLETRANSLATE(B80,""zh-tw"",""zh"")"),"每秒回复血(作弊道具)")</f>
        <v>每秒回复血(作弊道具)</v>
      </c>
      <c r="I80" s="327"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7"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8" t="str">
        <f>IFERROR(__xludf.DUMMYFUNCTION("GOOGLETRANSLATE(A80,""zh-tw"",""ru"")"),"Аптечка первой помощи Мио")</f>
        <v>Аптечка первой помощи Мио</v>
      </c>
      <c r="N80" s="308" t="str">
        <f>IFERROR(__xludf.DUMMYFUNCTION("GOOGLETRANSLATE(B80,""zh-tw"",""ru"")"),"Восстановление здоровья в секунду (чит-предмет)")</f>
        <v>Восстановление здоровья в секунду (чит-предмет)</v>
      </c>
      <c r="O80" s="328" t="str">
        <f>IFERROR(__xludf.DUMMYFUNCTION("GOOGLETRANSLATE(A80,""zh-tw"",""de"")"),"Mios Erste-Hilfe-Kasten")</f>
        <v>Mios Erste-Hilfe-Kasten</v>
      </c>
      <c r="P80" s="308" t="str">
        <f>IFERROR(__xludf.DUMMYFUNCTION("GOOGLETRANSLATE(B80,""zh-tw"",""de"")"),"Gesundheit pro Sekunde wiederherstellen (Cheat-Item)")</f>
        <v>Gesundheit pro Sekunde wiederherstellen (Cheat-Item)</v>
      </c>
      <c r="Q80" s="341" t="s">
        <v>5365</v>
      </c>
      <c r="R80" s="315" t="s">
        <v>5366</v>
      </c>
      <c r="S80" s="17"/>
      <c r="T80" s="17"/>
      <c r="U80" s="17"/>
      <c r="V80" s="17"/>
      <c r="W80" s="17"/>
      <c r="X80" s="17"/>
      <c r="Y80" s="17"/>
      <c r="Z80" s="17"/>
    </row>
    <row r="81">
      <c r="A81" s="325" t="s">
        <v>5367</v>
      </c>
      <c r="B81" s="117" t="s">
        <v>5368</v>
      </c>
      <c r="C81" s="340"/>
      <c r="D81" s="339"/>
      <c r="E81" s="325" t="s">
        <v>5369</v>
      </c>
      <c r="F81" s="117" t="s">
        <v>5370</v>
      </c>
      <c r="G81" s="327" t="str">
        <f>IFERROR(__xludf.DUMMYFUNCTION("GOOGLETRANSLATE(A81,""zh-tw"",""zh"")"),"白湮的金手指")</f>
        <v>白湮的金手指</v>
      </c>
      <c r="H81" s="121" t="str">
        <f>IFERROR(__xludf.DUMMYFUNCTION("GOOGLETRANSLATE(B81,""zh-tw"",""zh"")"),"武器无消耗(作弊道具)")</f>
        <v>武器无消耗(作弊道具)</v>
      </c>
      <c r="I81" s="327" t="str">
        <f>IFERROR(__xludf.DUMMYFUNCTION("GOOGLETRANSLATE(A81,""zh-tw"",""es-MX"")"),"El dedo dorado de Bai Yan")</f>
        <v>El dedo dorado de Bai Yan</v>
      </c>
      <c r="J81" s="121" t="str">
        <f>IFERROR(__xludf.DUMMYFUNCTION("GOOGLETRANSLATE(B81,""zh-tw"",""es-MX"")"),"Arma sin consumo (Truco)")</f>
        <v>Arma sin consumo (Truco)</v>
      </c>
      <c r="K81" s="327" t="str">
        <f>IFERROR(__xludf.DUMMYFUNCTION("GOOGLETRANSLATE(A81,""zh-tw"",""KO"")"),"백연의 황금 손가락")</f>
        <v>백연의 황금 손가락</v>
      </c>
      <c r="L81" s="121" t="str">
        <f>IFERROR(__xludf.DUMMYFUNCTION("GOOGLETRANSLATE(B81,""zh-tw"",""KO"")"),"무기 소모 없음(치트)")</f>
        <v>무기 소모 없음(치트)</v>
      </c>
      <c r="M81" s="328" t="str">
        <f>IFERROR(__xludf.DUMMYFUNCTION("GOOGLETRANSLATE(A81,""zh-tw"",""ru"")"),"Золотой палец Бай Яня")</f>
        <v>Золотой палец Бай Яня</v>
      </c>
      <c r="N81" s="308" t="str">
        <f>IFERROR(__xludf.DUMMYFUNCTION("GOOGLETRANSLATE(B81,""zh-tw"",""ru"")"),"Оружие без расхода (чит)")</f>
        <v>Оружие без расхода (чит)</v>
      </c>
      <c r="O81" s="328" t="str">
        <f>IFERROR(__xludf.DUMMYFUNCTION("GOOGLETRANSLATE(A81,""zh-tw"",""de"")"),"Bai Yans goldener Finger")</f>
        <v>Bai Yans goldener Finger</v>
      </c>
      <c r="P81" s="308" t="str">
        <f>IFERROR(__xludf.DUMMYFUNCTION("GOOGLETRANSLATE(B81,""zh-tw"",""de"")"),"Waffe kein Verbrauch (Cheat)")</f>
        <v>Waffe kein Verbrauch (Cheat)</v>
      </c>
      <c r="Q81" s="341" t="s">
        <v>5371</v>
      </c>
      <c r="R81" s="315" t="s">
        <v>5372</v>
      </c>
      <c r="S81" s="17"/>
      <c r="T81" s="17"/>
      <c r="U81" s="17"/>
      <c r="V81" s="17"/>
      <c r="W81" s="17"/>
      <c r="X81" s="17"/>
      <c r="Y81" s="17"/>
      <c r="Z81" s="17"/>
    </row>
    <row r="82">
      <c r="A82" s="327"/>
      <c r="B82" s="121"/>
      <c r="C82" s="340"/>
      <c r="D82" s="339"/>
      <c r="E82" s="327"/>
      <c r="F82" s="121"/>
      <c r="G82" s="327"/>
      <c r="H82" s="121"/>
      <c r="I82" s="333"/>
      <c r="J82" s="177"/>
      <c r="K82" s="333"/>
      <c r="L82" s="177"/>
      <c r="M82" s="333"/>
      <c r="N82" s="177"/>
      <c r="O82" s="327"/>
      <c r="P82" s="121"/>
      <c r="Q82" s="329"/>
      <c r="R82" s="330"/>
      <c r="S82" s="17"/>
      <c r="T82" s="17"/>
      <c r="U82" s="17"/>
      <c r="V82" s="17"/>
      <c r="W82" s="17"/>
      <c r="X82" s="17"/>
      <c r="Y82" s="17"/>
      <c r="Z82" s="17"/>
    </row>
    <row r="83">
      <c r="A83" s="327"/>
      <c r="B83" s="121"/>
      <c r="C83" s="340"/>
      <c r="D83" s="339"/>
      <c r="E83" s="327"/>
      <c r="F83" s="121"/>
      <c r="G83" s="327"/>
      <c r="H83" s="121"/>
      <c r="I83" s="333"/>
      <c r="J83" s="177"/>
      <c r="K83" s="333"/>
      <c r="L83" s="177"/>
      <c r="M83" s="333"/>
      <c r="N83" s="177"/>
      <c r="O83" s="327"/>
      <c r="P83" s="121"/>
      <c r="Q83" s="329"/>
      <c r="R83" s="330"/>
      <c r="S83" s="17"/>
      <c r="T83" s="17"/>
      <c r="U83" s="17"/>
      <c r="V83" s="17"/>
      <c r="W83" s="17"/>
      <c r="X83" s="17"/>
      <c r="Y83" s="17"/>
      <c r="Z83" s="17"/>
    </row>
    <row r="84">
      <c r="A84" s="327"/>
      <c r="B84" s="121"/>
      <c r="C84" s="340"/>
      <c r="D84" s="339"/>
      <c r="E84" s="327"/>
      <c r="F84" s="121"/>
      <c r="G84" s="327"/>
      <c r="H84" s="121"/>
      <c r="I84" s="333"/>
      <c r="J84" s="177"/>
      <c r="K84" s="333"/>
      <c r="L84" s="177"/>
      <c r="M84" s="333"/>
      <c r="N84" s="177"/>
      <c r="O84" s="327"/>
      <c r="P84" s="121"/>
      <c r="Q84" s="329"/>
      <c r="R84" s="330"/>
      <c r="S84" s="17"/>
      <c r="T84" s="17"/>
      <c r="U84" s="17"/>
      <c r="V84" s="17"/>
      <c r="W84" s="17"/>
      <c r="X84" s="17"/>
      <c r="Y84" s="17"/>
      <c r="Z84" s="17"/>
    </row>
    <row r="85">
      <c r="A85" s="327"/>
      <c r="B85" s="121"/>
      <c r="C85" s="340"/>
      <c r="D85" s="339"/>
      <c r="E85" s="327"/>
      <c r="F85" s="121"/>
      <c r="G85" s="327"/>
      <c r="H85" s="121"/>
      <c r="I85" s="333"/>
      <c r="J85" s="177"/>
      <c r="K85" s="333"/>
      <c r="L85" s="177"/>
      <c r="M85" s="333"/>
      <c r="N85" s="177"/>
      <c r="O85" s="327"/>
      <c r="P85" s="121"/>
      <c r="Q85" s="329"/>
      <c r="R85" s="330"/>
      <c r="S85" s="17"/>
      <c r="T85" s="17"/>
      <c r="U85" s="17"/>
      <c r="V85" s="17"/>
      <c r="W85" s="17"/>
      <c r="X85" s="17"/>
      <c r="Y85" s="17"/>
      <c r="Z85" s="17"/>
    </row>
    <row r="86">
      <c r="A86" s="327"/>
      <c r="B86" s="121"/>
      <c r="C86" s="340"/>
      <c r="D86" s="339"/>
      <c r="E86" s="327"/>
      <c r="F86" s="121"/>
      <c r="G86" s="327"/>
      <c r="H86" s="121"/>
      <c r="I86" s="333"/>
      <c r="J86" s="177"/>
      <c r="K86" s="333"/>
      <c r="L86" s="177"/>
      <c r="M86" s="333"/>
      <c r="N86" s="177"/>
      <c r="O86" s="327"/>
      <c r="P86" s="121"/>
      <c r="Q86" s="329"/>
      <c r="R86" s="330"/>
      <c r="S86" s="17"/>
      <c r="T86" s="17"/>
      <c r="U86" s="17"/>
      <c r="V86" s="17"/>
      <c r="W86" s="17"/>
      <c r="X86" s="17"/>
      <c r="Y86" s="17"/>
      <c r="Z86" s="17"/>
    </row>
    <row r="87">
      <c r="A87" s="327"/>
      <c r="B87" s="121"/>
      <c r="C87" s="340"/>
      <c r="D87" s="339"/>
      <c r="E87" s="327"/>
      <c r="F87" s="121"/>
      <c r="G87" s="327"/>
      <c r="H87" s="121"/>
      <c r="I87" s="333"/>
      <c r="J87" s="177"/>
      <c r="K87" s="333"/>
      <c r="L87" s="177"/>
      <c r="M87" s="333"/>
      <c r="N87" s="177"/>
      <c r="O87" s="327"/>
      <c r="P87" s="121"/>
      <c r="Q87" s="329"/>
      <c r="R87" s="330"/>
      <c r="S87" s="17"/>
      <c r="T87" s="17"/>
      <c r="U87" s="17"/>
      <c r="V87" s="17"/>
      <c r="W87" s="17"/>
      <c r="X87" s="17"/>
      <c r="Y87" s="17"/>
      <c r="Z87" s="17"/>
    </row>
    <row r="88">
      <c r="A88" s="327"/>
      <c r="B88" s="121"/>
      <c r="C88" s="340"/>
      <c r="D88" s="339"/>
      <c r="E88" s="327"/>
      <c r="F88" s="121"/>
      <c r="G88" s="327"/>
      <c r="H88" s="121"/>
      <c r="I88" s="333"/>
      <c r="J88" s="177"/>
      <c r="K88" s="333"/>
      <c r="L88" s="177"/>
      <c r="M88" s="333"/>
      <c r="N88" s="177"/>
      <c r="O88" s="327"/>
      <c r="P88" s="121"/>
      <c r="Q88" s="329"/>
      <c r="R88" s="330"/>
      <c r="S88" s="17"/>
      <c r="T88" s="17"/>
      <c r="U88" s="17"/>
      <c r="V88" s="17"/>
      <c r="W88" s="17"/>
      <c r="X88" s="17"/>
      <c r="Y88" s="17"/>
      <c r="Z88" s="17"/>
    </row>
    <row r="89">
      <c r="A89" s="327"/>
      <c r="B89" s="348"/>
      <c r="C89" s="340"/>
      <c r="D89" s="339"/>
      <c r="E89" s="327"/>
      <c r="F89" s="121"/>
      <c r="G89" s="327"/>
      <c r="H89" s="121"/>
      <c r="I89" s="333"/>
      <c r="J89" s="177"/>
      <c r="K89" s="333"/>
      <c r="L89" s="177"/>
      <c r="M89" s="333"/>
      <c r="N89" s="177"/>
      <c r="O89" s="327"/>
      <c r="P89" s="121"/>
      <c r="Q89" s="329"/>
      <c r="R89" s="330"/>
      <c r="S89" s="17"/>
      <c r="T89" s="17"/>
      <c r="U89" s="17"/>
      <c r="V89" s="17"/>
      <c r="W89" s="17"/>
      <c r="X89" s="17"/>
      <c r="Y89" s="17"/>
      <c r="Z89" s="17"/>
    </row>
    <row r="90">
      <c r="A90" s="327"/>
      <c r="B90" s="121"/>
      <c r="C90" s="340"/>
      <c r="D90" s="339"/>
      <c r="E90" s="327"/>
      <c r="F90" s="121"/>
      <c r="G90" s="327"/>
      <c r="H90" s="121"/>
      <c r="I90" s="333"/>
      <c r="J90" s="177"/>
      <c r="K90" s="333"/>
      <c r="L90" s="177"/>
      <c r="M90" s="333"/>
      <c r="N90" s="177"/>
      <c r="O90" s="327"/>
      <c r="P90" s="121"/>
      <c r="Q90" s="329"/>
      <c r="R90" s="330"/>
      <c r="S90" s="17"/>
      <c r="T90" s="17"/>
      <c r="U90" s="17"/>
      <c r="V90" s="17"/>
      <c r="W90" s="17"/>
      <c r="X90" s="17"/>
      <c r="Y90" s="17"/>
      <c r="Z90" s="17"/>
    </row>
    <row r="91">
      <c r="A91" s="327"/>
      <c r="B91" s="121"/>
      <c r="C91" s="340"/>
      <c r="D91" s="339"/>
      <c r="E91" s="327"/>
      <c r="F91" s="121"/>
      <c r="G91" s="327"/>
      <c r="H91" s="121"/>
      <c r="I91" s="333"/>
      <c r="J91" s="177"/>
      <c r="K91" s="333"/>
      <c r="L91" s="177"/>
      <c r="M91" s="333"/>
      <c r="N91" s="177"/>
      <c r="O91" s="327"/>
      <c r="P91" s="121"/>
      <c r="Q91" s="329"/>
      <c r="R91" s="330"/>
      <c r="S91" s="17"/>
      <c r="T91" s="17"/>
      <c r="U91" s="17"/>
      <c r="V91" s="17"/>
      <c r="W91" s="17"/>
      <c r="X91" s="17"/>
      <c r="Y91" s="17"/>
      <c r="Z91" s="17"/>
    </row>
    <row r="92">
      <c r="A92" s="327"/>
      <c r="B92" s="121"/>
      <c r="C92" s="340"/>
      <c r="D92" s="339"/>
      <c r="E92" s="327"/>
      <c r="F92" s="121"/>
      <c r="G92" s="327"/>
      <c r="H92" s="121"/>
      <c r="I92" s="333"/>
      <c r="J92" s="177"/>
      <c r="K92" s="333"/>
      <c r="L92" s="177"/>
      <c r="M92" s="333"/>
      <c r="N92" s="177"/>
      <c r="O92" s="327"/>
      <c r="P92" s="121"/>
      <c r="Q92" s="329"/>
      <c r="R92" s="330"/>
      <c r="S92" s="17"/>
      <c r="T92" s="17"/>
      <c r="U92" s="17"/>
      <c r="V92" s="17"/>
      <c r="W92" s="17"/>
      <c r="X92" s="17"/>
      <c r="Y92" s="17"/>
      <c r="Z92" s="17"/>
    </row>
    <row r="93">
      <c r="A93" s="327"/>
      <c r="B93" s="121"/>
      <c r="C93" s="340"/>
      <c r="D93" s="339"/>
      <c r="E93" s="327"/>
      <c r="F93" s="121"/>
      <c r="G93" s="327"/>
      <c r="H93" s="121"/>
      <c r="I93" s="333"/>
      <c r="J93" s="177"/>
      <c r="K93" s="333"/>
      <c r="L93" s="177"/>
      <c r="M93" s="333"/>
      <c r="N93" s="177"/>
      <c r="O93" s="327"/>
      <c r="P93" s="121"/>
      <c r="Q93" s="329"/>
      <c r="R93" s="330"/>
      <c r="S93" s="17"/>
      <c r="T93" s="17"/>
      <c r="U93" s="17"/>
      <c r="V93" s="17"/>
      <c r="W93" s="17"/>
      <c r="X93" s="17"/>
      <c r="Y93" s="17"/>
      <c r="Z93" s="17"/>
    </row>
    <row r="94">
      <c r="A94" s="327"/>
      <c r="B94" s="121"/>
      <c r="C94" s="340"/>
      <c r="D94" s="339"/>
      <c r="E94" s="327"/>
      <c r="F94" s="121"/>
      <c r="G94" s="327"/>
      <c r="H94" s="121"/>
      <c r="I94" s="333"/>
      <c r="J94" s="177"/>
      <c r="K94" s="333"/>
      <c r="L94" s="177"/>
      <c r="M94" s="333"/>
      <c r="N94" s="177"/>
      <c r="O94" s="327"/>
      <c r="P94" s="121"/>
      <c r="Q94" s="329"/>
      <c r="R94" s="330"/>
      <c r="S94" s="17"/>
      <c r="T94" s="17"/>
      <c r="U94" s="17"/>
      <c r="V94" s="17"/>
      <c r="W94" s="17"/>
      <c r="X94" s="17"/>
      <c r="Y94" s="17"/>
      <c r="Z94" s="17"/>
    </row>
    <row r="95">
      <c r="A95" s="327"/>
      <c r="B95" s="121"/>
      <c r="C95" s="340"/>
      <c r="D95" s="339"/>
      <c r="E95" s="327"/>
      <c r="F95" s="121"/>
      <c r="G95" s="327"/>
      <c r="H95" s="121"/>
      <c r="I95" s="333"/>
      <c r="J95" s="177"/>
      <c r="K95" s="333"/>
      <c r="L95" s="177"/>
      <c r="M95" s="333"/>
      <c r="N95" s="177"/>
      <c r="O95" s="327"/>
      <c r="P95" s="121"/>
      <c r="Q95" s="329"/>
      <c r="R95" s="330"/>
      <c r="S95" s="17"/>
      <c r="T95" s="17"/>
      <c r="U95" s="17"/>
      <c r="V95" s="17"/>
      <c r="W95" s="17"/>
      <c r="X95" s="17"/>
      <c r="Y95" s="17"/>
      <c r="Z95" s="17"/>
    </row>
    <row r="96">
      <c r="A96" s="327"/>
      <c r="B96" s="121"/>
      <c r="C96" s="340"/>
      <c r="D96" s="339"/>
      <c r="E96" s="327"/>
      <c r="F96" s="121"/>
      <c r="G96" s="327"/>
      <c r="H96" s="121"/>
      <c r="I96" s="333"/>
      <c r="J96" s="177"/>
      <c r="K96" s="333"/>
      <c r="L96" s="177"/>
      <c r="M96" s="333"/>
      <c r="N96" s="177"/>
      <c r="O96" s="327"/>
      <c r="P96" s="121"/>
      <c r="Q96" s="329"/>
      <c r="R96" s="330"/>
      <c r="S96" s="17"/>
      <c r="T96" s="17"/>
      <c r="U96" s="17"/>
      <c r="V96" s="17"/>
      <c r="W96" s="17"/>
      <c r="X96" s="17"/>
      <c r="Y96" s="17"/>
      <c r="Z96" s="17"/>
    </row>
    <row r="97">
      <c r="A97" s="327"/>
      <c r="B97" s="121"/>
      <c r="C97" s="340"/>
      <c r="D97" s="339"/>
      <c r="E97" s="327"/>
      <c r="F97" s="121"/>
      <c r="G97" s="327"/>
      <c r="H97" s="121"/>
      <c r="I97" s="333"/>
      <c r="J97" s="177"/>
      <c r="K97" s="333"/>
      <c r="L97" s="177"/>
      <c r="M97" s="333"/>
      <c r="N97" s="177"/>
      <c r="O97" s="327"/>
      <c r="P97" s="121"/>
      <c r="Q97" s="329"/>
      <c r="R97" s="330"/>
      <c r="S97" s="17"/>
      <c r="T97" s="17"/>
      <c r="U97" s="17"/>
      <c r="V97" s="17"/>
      <c r="W97" s="17"/>
      <c r="X97" s="17"/>
      <c r="Y97" s="17"/>
      <c r="Z97" s="17"/>
    </row>
    <row r="98">
      <c r="A98" s="327"/>
      <c r="B98" s="121"/>
      <c r="C98" s="340"/>
      <c r="D98" s="339"/>
      <c r="E98" s="327"/>
      <c r="F98" s="121"/>
      <c r="G98" s="327"/>
      <c r="H98" s="121"/>
      <c r="I98" s="333"/>
      <c r="J98" s="177"/>
      <c r="K98" s="333"/>
      <c r="L98" s="177"/>
      <c r="M98" s="333"/>
      <c r="N98" s="177"/>
      <c r="O98" s="327"/>
      <c r="P98" s="121"/>
      <c r="Q98" s="329"/>
      <c r="R98" s="330"/>
      <c r="S98" s="17"/>
      <c r="T98" s="17"/>
      <c r="U98" s="17"/>
      <c r="V98" s="17"/>
      <c r="W98" s="17"/>
      <c r="X98" s="17"/>
      <c r="Y98" s="17"/>
      <c r="Z98" s="17"/>
    </row>
    <row r="99">
      <c r="A99" s="327"/>
      <c r="B99" s="121"/>
      <c r="C99" s="340"/>
      <c r="D99" s="339"/>
      <c r="E99" s="327"/>
      <c r="F99" s="121"/>
      <c r="G99" s="327"/>
      <c r="H99" s="121"/>
      <c r="I99" s="333"/>
      <c r="J99" s="177"/>
      <c r="K99" s="333"/>
      <c r="L99" s="177"/>
      <c r="M99" s="333"/>
      <c r="N99" s="177"/>
      <c r="O99" s="327"/>
      <c r="P99" s="121"/>
      <c r="Q99" s="329"/>
      <c r="R99" s="330"/>
      <c r="S99" s="17"/>
      <c r="T99" s="17"/>
      <c r="U99" s="17"/>
      <c r="V99" s="17"/>
      <c r="W99" s="17"/>
      <c r="X99" s="17"/>
      <c r="Y99" s="17"/>
      <c r="Z99" s="17"/>
    </row>
    <row r="100">
      <c r="A100" s="327"/>
      <c r="B100" s="121"/>
      <c r="C100" s="340"/>
      <c r="D100" s="339"/>
      <c r="E100" s="327"/>
      <c r="F100" s="121"/>
      <c r="G100" s="327"/>
      <c r="H100" s="121"/>
      <c r="I100" s="333"/>
      <c r="J100" s="177"/>
      <c r="K100" s="333"/>
      <c r="L100" s="177"/>
      <c r="M100" s="333"/>
      <c r="N100" s="177"/>
      <c r="O100" s="327"/>
      <c r="P100" s="121"/>
      <c r="Q100" s="329"/>
      <c r="R100" s="330"/>
      <c r="S100" s="17"/>
      <c r="T100" s="17"/>
      <c r="U100" s="17"/>
      <c r="V100" s="17"/>
      <c r="W100" s="17"/>
      <c r="X100" s="17"/>
      <c r="Y100" s="17"/>
      <c r="Z100" s="17"/>
    </row>
    <row r="101">
      <c r="A101" s="327"/>
      <c r="B101" s="121"/>
      <c r="C101" s="340"/>
      <c r="D101" s="339"/>
      <c r="E101" s="327"/>
      <c r="F101" s="121"/>
      <c r="G101" s="327"/>
      <c r="H101" s="121"/>
      <c r="I101" s="333"/>
      <c r="J101" s="177"/>
      <c r="K101" s="333"/>
      <c r="L101" s="177"/>
      <c r="M101" s="333"/>
      <c r="N101" s="177"/>
      <c r="O101" s="327"/>
      <c r="P101" s="121"/>
      <c r="Q101" s="329"/>
      <c r="R101" s="330"/>
      <c r="S101" s="17"/>
      <c r="T101" s="17"/>
      <c r="U101" s="17"/>
      <c r="V101" s="17"/>
      <c r="W101" s="17"/>
      <c r="X101" s="17"/>
      <c r="Y101" s="17"/>
      <c r="Z101" s="17"/>
    </row>
    <row r="102">
      <c r="A102" s="327"/>
      <c r="B102" s="121"/>
      <c r="C102" s="340"/>
      <c r="D102" s="339"/>
      <c r="E102" s="327"/>
      <c r="F102" s="121"/>
      <c r="G102" s="327"/>
      <c r="H102" s="121"/>
      <c r="I102" s="333"/>
      <c r="J102" s="177"/>
      <c r="K102" s="333"/>
      <c r="L102" s="177"/>
      <c r="M102" s="333"/>
      <c r="N102" s="177"/>
      <c r="O102" s="327"/>
      <c r="P102" s="121"/>
      <c r="Q102" s="329"/>
      <c r="R102" s="330"/>
      <c r="S102" s="17"/>
      <c r="T102" s="17"/>
      <c r="U102" s="17"/>
      <c r="V102" s="17"/>
      <c r="W102" s="17"/>
      <c r="X102" s="17"/>
      <c r="Y102" s="17"/>
      <c r="Z102" s="17"/>
    </row>
    <row r="103">
      <c r="A103" s="327"/>
      <c r="B103" s="121"/>
      <c r="C103" s="340"/>
      <c r="D103" s="339"/>
      <c r="E103" s="327"/>
      <c r="F103" s="121"/>
      <c r="G103" s="327"/>
      <c r="H103" s="121"/>
      <c r="I103" s="333"/>
      <c r="J103" s="177"/>
      <c r="K103" s="333"/>
      <c r="L103" s="177"/>
      <c r="M103" s="333"/>
      <c r="N103" s="177"/>
      <c r="O103" s="327"/>
      <c r="P103" s="121"/>
      <c r="Q103" s="329"/>
      <c r="R103" s="330"/>
      <c r="S103" s="17"/>
      <c r="T103" s="17"/>
      <c r="U103" s="17"/>
      <c r="V103" s="17"/>
      <c r="W103" s="17"/>
      <c r="X103" s="17"/>
      <c r="Y103" s="17"/>
      <c r="Z103" s="17"/>
    </row>
    <row r="104">
      <c r="A104" s="327"/>
      <c r="B104" s="121"/>
      <c r="C104" s="340"/>
      <c r="D104" s="339"/>
      <c r="E104" s="327"/>
      <c r="F104" s="121"/>
      <c r="G104" s="327"/>
      <c r="H104" s="121"/>
      <c r="I104" s="333"/>
      <c r="J104" s="177"/>
      <c r="K104" s="333"/>
      <c r="L104" s="177"/>
      <c r="M104" s="333"/>
      <c r="N104" s="177"/>
      <c r="O104" s="327"/>
      <c r="P104" s="121"/>
      <c r="Q104" s="329"/>
      <c r="R104" s="330"/>
      <c r="S104" s="17"/>
      <c r="T104" s="17"/>
      <c r="U104" s="17"/>
      <c r="V104" s="17"/>
      <c r="W104" s="17"/>
      <c r="X104" s="17"/>
      <c r="Y104" s="17"/>
      <c r="Z104" s="17"/>
    </row>
    <row r="105">
      <c r="A105" s="327"/>
      <c r="B105" s="121"/>
      <c r="C105" s="340"/>
      <c r="D105" s="339"/>
      <c r="E105" s="327"/>
      <c r="F105" s="121"/>
      <c r="G105" s="327"/>
      <c r="H105" s="121"/>
      <c r="I105" s="333"/>
      <c r="J105" s="177"/>
      <c r="K105" s="333"/>
      <c r="L105" s="177"/>
      <c r="M105" s="333"/>
      <c r="N105" s="177"/>
      <c r="O105" s="327"/>
      <c r="P105" s="121"/>
      <c r="Q105" s="329"/>
      <c r="R105" s="330"/>
      <c r="S105" s="17"/>
      <c r="T105" s="17"/>
      <c r="U105" s="17"/>
      <c r="V105" s="17"/>
      <c r="W105" s="17"/>
      <c r="X105" s="17"/>
      <c r="Y105" s="17"/>
      <c r="Z105" s="17"/>
    </row>
    <row r="106">
      <c r="A106" s="327"/>
      <c r="B106" s="121"/>
      <c r="C106" s="340"/>
      <c r="D106" s="339"/>
      <c r="E106" s="327"/>
      <c r="F106" s="121"/>
      <c r="G106" s="327"/>
      <c r="H106" s="121"/>
      <c r="I106" s="333"/>
      <c r="J106" s="177"/>
      <c r="K106" s="333"/>
      <c r="L106" s="177"/>
      <c r="M106" s="333"/>
      <c r="N106" s="177"/>
      <c r="O106" s="327"/>
      <c r="P106" s="121"/>
      <c r="Q106" s="329"/>
      <c r="R106" s="330"/>
      <c r="S106" s="17"/>
      <c r="T106" s="17"/>
      <c r="U106" s="17"/>
      <c r="V106" s="17"/>
      <c r="W106" s="17"/>
      <c r="X106" s="17"/>
      <c r="Y106" s="17"/>
      <c r="Z106" s="17"/>
    </row>
    <row r="107">
      <c r="A107" s="327"/>
      <c r="B107" s="121"/>
      <c r="C107" s="340"/>
      <c r="D107" s="339"/>
      <c r="E107" s="327"/>
      <c r="F107" s="121"/>
      <c r="G107" s="327"/>
      <c r="H107" s="121"/>
      <c r="I107" s="333"/>
      <c r="J107" s="177"/>
      <c r="K107" s="333"/>
      <c r="L107" s="177"/>
      <c r="M107" s="333"/>
      <c r="N107" s="177"/>
      <c r="O107" s="327"/>
      <c r="P107" s="121"/>
      <c r="Q107" s="329"/>
      <c r="R107" s="330"/>
      <c r="S107" s="17"/>
      <c r="T107" s="17"/>
      <c r="U107" s="17"/>
      <c r="V107" s="17"/>
      <c r="W107" s="17"/>
      <c r="X107" s="17"/>
      <c r="Y107" s="17"/>
      <c r="Z107" s="17"/>
    </row>
    <row r="108">
      <c r="A108" s="327"/>
      <c r="B108" s="121"/>
      <c r="C108" s="340"/>
      <c r="D108" s="339"/>
      <c r="E108" s="327"/>
      <c r="F108" s="121"/>
      <c r="G108" s="327"/>
      <c r="H108" s="121"/>
      <c r="I108" s="333"/>
      <c r="J108" s="177"/>
      <c r="K108" s="333"/>
      <c r="L108" s="177"/>
      <c r="M108" s="333"/>
      <c r="N108" s="177"/>
      <c r="O108" s="327"/>
      <c r="P108" s="121"/>
      <c r="Q108" s="329"/>
      <c r="R108" s="330"/>
      <c r="S108" s="17"/>
      <c r="T108" s="17"/>
      <c r="U108" s="17"/>
      <c r="V108" s="17"/>
      <c r="W108" s="17"/>
      <c r="X108" s="17"/>
      <c r="Y108" s="17"/>
      <c r="Z108" s="17"/>
    </row>
    <row r="109">
      <c r="A109" s="327"/>
      <c r="B109" s="121"/>
      <c r="C109" s="340"/>
      <c r="D109" s="339"/>
      <c r="E109" s="327"/>
      <c r="F109" s="121"/>
      <c r="G109" s="327"/>
      <c r="H109" s="121"/>
      <c r="I109" s="333"/>
      <c r="J109" s="177"/>
      <c r="K109" s="333"/>
      <c r="L109" s="177"/>
      <c r="M109" s="333"/>
      <c r="N109" s="177"/>
      <c r="O109" s="327"/>
      <c r="P109" s="121"/>
      <c r="Q109" s="329"/>
      <c r="R109" s="330"/>
      <c r="S109" s="17"/>
      <c r="T109" s="17"/>
      <c r="U109" s="17"/>
      <c r="V109" s="17"/>
      <c r="W109" s="17"/>
      <c r="X109" s="17"/>
      <c r="Y109" s="17"/>
      <c r="Z109" s="17"/>
    </row>
    <row r="110">
      <c r="A110" s="327"/>
      <c r="B110" s="121"/>
      <c r="C110" s="340"/>
      <c r="D110" s="339"/>
      <c r="E110" s="327"/>
      <c r="F110" s="121"/>
      <c r="G110" s="327"/>
      <c r="H110" s="121"/>
      <c r="I110" s="333"/>
      <c r="J110" s="177"/>
      <c r="K110" s="333"/>
      <c r="L110" s="177"/>
      <c r="M110" s="333"/>
      <c r="N110" s="177"/>
      <c r="O110" s="327"/>
      <c r="P110" s="121"/>
      <c r="Q110" s="329"/>
      <c r="R110" s="330"/>
      <c r="S110" s="17"/>
      <c r="T110" s="17"/>
      <c r="U110" s="17"/>
      <c r="V110" s="17"/>
      <c r="W110" s="17"/>
      <c r="X110" s="17"/>
      <c r="Y110" s="17"/>
      <c r="Z110" s="17"/>
    </row>
    <row r="111">
      <c r="A111" s="327"/>
      <c r="B111" s="121"/>
      <c r="C111" s="340"/>
      <c r="D111" s="339"/>
      <c r="E111" s="327"/>
      <c r="F111" s="121"/>
      <c r="G111" s="327"/>
      <c r="H111" s="121"/>
      <c r="I111" s="333"/>
      <c r="J111" s="177"/>
      <c r="K111" s="333"/>
      <c r="L111" s="177"/>
      <c r="M111" s="333"/>
      <c r="N111" s="177"/>
      <c r="O111" s="327"/>
      <c r="P111" s="121"/>
      <c r="Q111" s="329"/>
      <c r="R111" s="330"/>
      <c r="S111" s="17"/>
      <c r="T111" s="17"/>
      <c r="U111" s="17"/>
      <c r="V111" s="17"/>
      <c r="W111" s="17"/>
      <c r="X111" s="17"/>
      <c r="Y111" s="17"/>
      <c r="Z111" s="17"/>
    </row>
    <row r="112">
      <c r="A112" s="327"/>
      <c r="B112" s="121"/>
      <c r="C112" s="340"/>
      <c r="D112" s="339"/>
      <c r="E112" s="327"/>
      <c r="F112" s="121"/>
      <c r="G112" s="327"/>
      <c r="H112" s="121"/>
      <c r="I112" s="333"/>
      <c r="J112" s="177"/>
      <c r="K112" s="333"/>
      <c r="L112" s="177"/>
      <c r="M112" s="333"/>
      <c r="N112" s="177"/>
      <c r="O112" s="327"/>
      <c r="P112" s="121"/>
      <c r="Q112" s="329"/>
      <c r="R112" s="330"/>
      <c r="S112" s="17"/>
      <c r="T112" s="17"/>
      <c r="U112" s="17"/>
      <c r="V112" s="17"/>
      <c r="W112" s="17"/>
      <c r="X112" s="17"/>
      <c r="Y112" s="17"/>
      <c r="Z112" s="17"/>
    </row>
    <row r="113">
      <c r="A113" s="327"/>
      <c r="B113" s="121"/>
      <c r="C113" s="340"/>
      <c r="D113" s="339"/>
      <c r="E113" s="327"/>
      <c r="F113" s="121"/>
      <c r="G113" s="327"/>
      <c r="H113" s="121"/>
      <c r="I113" s="333"/>
      <c r="J113" s="177"/>
      <c r="K113" s="333"/>
      <c r="L113" s="177"/>
      <c r="M113" s="333"/>
      <c r="N113" s="177"/>
      <c r="O113" s="327"/>
      <c r="P113" s="121"/>
      <c r="Q113" s="329"/>
      <c r="R113" s="330"/>
      <c r="S113" s="17"/>
      <c r="T113" s="17"/>
      <c r="U113" s="17"/>
      <c r="V113" s="17"/>
      <c r="W113" s="17"/>
      <c r="X113" s="17"/>
      <c r="Y113" s="17"/>
      <c r="Z113" s="17"/>
    </row>
    <row r="114">
      <c r="A114" s="327"/>
      <c r="B114" s="121"/>
      <c r="C114" s="340"/>
      <c r="D114" s="339"/>
      <c r="E114" s="327"/>
      <c r="F114" s="121"/>
      <c r="G114" s="327"/>
      <c r="H114" s="121"/>
      <c r="I114" s="333"/>
      <c r="J114" s="177"/>
      <c r="K114" s="333"/>
      <c r="L114" s="177"/>
      <c r="M114" s="333"/>
      <c r="N114" s="177"/>
      <c r="O114" s="327"/>
      <c r="P114" s="121"/>
      <c r="Q114" s="329"/>
      <c r="R114" s="330"/>
      <c r="S114" s="17"/>
      <c r="T114" s="17"/>
      <c r="U114" s="17"/>
      <c r="V114" s="17"/>
      <c r="W114" s="17"/>
      <c r="X114" s="17"/>
      <c r="Y114" s="17"/>
      <c r="Z114" s="17"/>
    </row>
    <row r="115">
      <c r="A115" s="327"/>
      <c r="B115" s="121"/>
      <c r="C115" s="340"/>
      <c r="D115" s="339"/>
      <c r="E115" s="327"/>
      <c r="F115" s="121"/>
      <c r="G115" s="327"/>
      <c r="H115" s="121"/>
      <c r="I115" s="333"/>
      <c r="J115" s="177"/>
      <c r="K115" s="333"/>
      <c r="L115" s="177"/>
      <c r="M115" s="333"/>
      <c r="N115" s="177"/>
      <c r="O115" s="327"/>
      <c r="P115" s="121"/>
      <c r="Q115" s="329"/>
      <c r="R115" s="330"/>
      <c r="S115" s="17"/>
      <c r="T115" s="17"/>
      <c r="U115" s="17"/>
      <c r="V115" s="17"/>
      <c r="W115" s="17"/>
      <c r="X115" s="17"/>
      <c r="Y115" s="17"/>
      <c r="Z115" s="17"/>
    </row>
    <row r="116">
      <c r="A116" s="327"/>
      <c r="B116" s="121"/>
      <c r="C116" s="340"/>
      <c r="D116" s="339"/>
      <c r="E116" s="327"/>
      <c r="F116" s="121"/>
      <c r="G116" s="327"/>
      <c r="H116" s="121"/>
      <c r="I116" s="333"/>
      <c r="J116" s="177"/>
      <c r="K116" s="333"/>
      <c r="L116" s="177"/>
      <c r="M116" s="333"/>
      <c r="N116" s="177"/>
      <c r="O116" s="327"/>
      <c r="P116" s="121"/>
      <c r="Q116" s="329"/>
      <c r="R116" s="330"/>
      <c r="S116" s="17"/>
      <c r="T116" s="17"/>
      <c r="U116" s="17"/>
      <c r="V116" s="17"/>
      <c r="W116" s="17"/>
      <c r="X116" s="17"/>
      <c r="Y116" s="17"/>
      <c r="Z116" s="17"/>
    </row>
    <row r="117">
      <c r="A117" s="327"/>
      <c r="B117" s="121"/>
      <c r="C117" s="340"/>
      <c r="D117" s="339"/>
      <c r="E117" s="327"/>
      <c r="F117" s="121"/>
      <c r="G117" s="327"/>
      <c r="H117" s="121"/>
      <c r="I117" s="333"/>
      <c r="J117" s="177"/>
      <c r="K117" s="333"/>
      <c r="L117" s="177"/>
      <c r="M117" s="333"/>
      <c r="N117" s="177"/>
      <c r="O117" s="327"/>
      <c r="P117" s="121"/>
      <c r="Q117" s="329"/>
      <c r="R117" s="330"/>
      <c r="S117" s="17"/>
      <c r="T117" s="17"/>
      <c r="U117" s="17"/>
      <c r="V117" s="17"/>
      <c r="W117" s="17"/>
      <c r="X117" s="17"/>
      <c r="Y117" s="17"/>
      <c r="Z117" s="17"/>
    </row>
    <row r="118">
      <c r="A118" s="327"/>
      <c r="B118" s="121"/>
      <c r="C118" s="340"/>
      <c r="D118" s="339"/>
      <c r="E118" s="327"/>
      <c r="F118" s="121"/>
      <c r="G118" s="327"/>
      <c r="H118" s="121"/>
      <c r="I118" s="333"/>
      <c r="J118" s="177"/>
      <c r="K118" s="333"/>
      <c r="L118" s="177"/>
      <c r="M118" s="333"/>
      <c r="N118" s="177"/>
      <c r="O118" s="327"/>
      <c r="P118" s="121"/>
      <c r="Q118" s="329"/>
      <c r="R118" s="330"/>
      <c r="S118" s="17"/>
      <c r="T118" s="17"/>
      <c r="U118" s="17"/>
      <c r="V118" s="17"/>
      <c r="W118" s="17"/>
      <c r="X118" s="17"/>
      <c r="Y118" s="17"/>
      <c r="Z118" s="17"/>
    </row>
    <row r="119">
      <c r="A119" s="327"/>
      <c r="B119" s="121"/>
      <c r="C119" s="340"/>
      <c r="D119" s="339"/>
      <c r="E119" s="327"/>
      <c r="F119" s="121"/>
      <c r="G119" s="327"/>
      <c r="H119" s="121"/>
      <c r="I119" s="333"/>
      <c r="J119" s="177"/>
      <c r="K119" s="333"/>
      <c r="L119" s="177"/>
      <c r="M119" s="333"/>
      <c r="N119" s="177"/>
      <c r="O119" s="327"/>
      <c r="P119" s="121"/>
      <c r="Q119" s="329"/>
      <c r="R119" s="330"/>
      <c r="S119" s="17"/>
      <c r="T119" s="17"/>
      <c r="U119" s="17"/>
      <c r="V119" s="17"/>
      <c r="W119" s="17"/>
      <c r="X119" s="17"/>
      <c r="Y119" s="17"/>
      <c r="Z119" s="17"/>
    </row>
    <row r="120">
      <c r="A120" s="327"/>
      <c r="B120" s="121"/>
      <c r="C120" s="340"/>
      <c r="D120" s="339"/>
      <c r="E120" s="327"/>
      <c r="F120" s="121"/>
      <c r="G120" s="327"/>
      <c r="H120" s="121"/>
      <c r="I120" s="333"/>
      <c r="J120" s="177"/>
      <c r="K120" s="333"/>
      <c r="L120" s="177"/>
      <c r="M120" s="333"/>
      <c r="N120" s="177"/>
      <c r="O120" s="327"/>
      <c r="P120" s="121"/>
      <c r="Q120" s="329"/>
      <c r="R120" s="330"/>
      <c r="S120" s="17"/>
      <c r="T120" s="17"/>
      <c r="U120" s="17"/>
      <c r="V120" s="17"/>
      <c r="W120" s="17"/>
      <c r="X120" s="17"/>
      <c r="Y120" s="17"/>
      <c r="Z120" s="17"/>
    </row>
    <row r="121">
      <c r="A121" s="327"/>
      <c r="B121" s="121"/>
      <c r="C121" s="340"/>
      <c r="D121" s="339"/>
      <c r="E121" s="327"/>
      <c r="F121" s="121"/>
      <c r="G121" s="327"/>
      <c r="H121" s="121"/>
      <c r="I121" s="333"/>
      <c r="J121" s="177"/>
      <c r="K121" s="333"/>
      <c r="L121" s="177"/>
      <c r="M121" s="333"/>
      <c r="N121" s="177"/>
      <c r="O121" s="327"/>
      <c r="P121" s="121"/>
      <c r="Q121" s="329"/>
      <c r="R121" s="330"/>
      <c r="S121" s="17"/>
      <c r="T121" s="17"/>
      <c r="U121" s="17"/>
      <c r="V121" s="17"/>
      <c r="W121" s="17"/>
      <c r="X121" s="17"/>
      <c r="Y121" s="17"/>
      <c r="Z121" s="17"/>
    </row>
    <row r="122">
      <c r="A122" s="327"/>
      <c r="B122" s="121"/>
      <c r="C122" s="340"/>
      <c r="D122" s="339"/>
      <c r="E122" s="327"/>
      <c r="F122" s="121"/>
      <c r="G122" s="327"/>
      <c r="H122" s="121"/>
      <c r="I122" s="333"/>
      <c r="J122" s="177"/>
      <c r="K122" s="333"/>
      <c r="L122" s="177"/>
      <c r="M122" s="333"/>
      <c r="N122" s="177"/>
      <c r="O122" s="327"/>
      <c r="P122" s="121"/>
      <c r="Q122" s="329"/>
      <c r="R122" s="330"/>
      <c r="S122" s="17"/>
      <c r="T122" s="17"/>
      <c r="U122" s="17"/>
      <c r="V122" s="17"/>
      <c r="W122" s="17"/>
      <c r="X122" s="17"/>
      <c r="Y122" s="17"/>
      <c r="Z122" s="17"/>
    </row>
    <row r="123">
      <c r="A123" s="327"/>
      <c r="B123" s="121"/>
      <c r="C123" s="340"/>
      <c r="D123" s="339"/>
      <c r="E123" s="327"/>
      <c r="F123" s="121"/>
      <c r="G123" s="327"/>
      <c r="H123" s="121"/>
      <c r="I123" s="333"/>
      <c r="J123" s="177"/>
      <c r="K123" s="333"/>
      <c r="L123" s="177"/>
      <c r="M123" s="333"/>
      <c r="N123" s="177"/>
      <c r="O123" s="327"/>
      <c r="P123" s="121"/>
      <c r="Q123" s="329"/>
      <c r="R123" s="330"/>
      <c r="S123" s="17"/>
      <c r="T123" s="17"/>
      <c r="U123" s="17"/>
      <c r="V123" s="17"/>
      <c r="W123" s="17"/>
      <c r="X123" s="17"/>
      <c r="Y123" s="17"/>
      <c r="Z123" s="17"/>
    </row>
    <row r="124">
      <c r="A124" s="327"/>
      <c r="B124" s="121"/>
      <c r="C124" s="340"/>
      <c r="D124" s="339"/>
      <c r="E124" s="327"/>
      <c r="F124" s="121"/>
      <c r="G124" s="327"/>
      <c r="H124" s="121"/>
      <c r="I124" s="333"/>
      <c r="J124" s="177"/>
      <c r="K124" s="333"/>
      <c r="L124" s="177"/>
      <c r="M124" s="333"/>
      <c r="N124" s="177"/>
      <c r="O124" s="327"/>
      <c r="P124" s="121"/>
      <c r="Q124" s="329"/>
      <c r="R124" s="330"/>
      <c r="S124" s="17"/>
      <c r="T124" s="17"/>
      <c r="U124" s="17"/>
      <c r="V124" s="17"/>
      <c r="W124" s="17"/>
      <c r="X124" s="17"/>
      <c r="Y124" s="17"/>
      <c r="Z124" s="17"/>
    </row>
    <row r="125">
      <c r="A125" s="327"/>
      <c r="B125" s="121"/>
      <c r="C125" s="340"/>
      <c r="D125" s="339"/>
      <c r="E125" s="327"/>
      <c r="F125" s="121"/>
      <c r="G125" s="327"/>
      <c r="H125" s="121"/>
      <c r="I125" s="333"/>
      <c r="J125" s="177"/>
      <c r="K125" s="333"/>
      <c r="L125" s="177"/>
      <c r="M125" s="333"/>
      <c r="N125" s="177"/>
      <c r="O125" s="327"/>
      <c r="P125" s="121"/>
      <c r="Q125" s="329"/>
      <c r="R125" s="330"/>
      <c r="S125" s="17"/>
      <c r="T125" s="17"/>
      <c r="U125" s="17"/>
      <c r="V125" s="17"/>
      <c r="W125" s="17"/>
      <c r="X125" s="17"/>
      <c r="Y125" s="17"/>
      <c r="Z125" s="17"/>
    </row>
    <row r="126">
      <c r="A126" s="327"/>
      <c r="B126" s="121"/>
      <c r="C126" s="340"/>
      <c r="D126" s="339"/>
      <c r="E126" s="327"/>
      <c r="F126" s="121"/>
      <c r="G126" s="327"/>
      <c r="H126" s="121"/>
      <c r="I126" s="333"/>
      <c r="J126" s="177"/>
      <c r="K126" s="333"/>
      <c r="L126" s="177"/>
      <c r="M126" s="333"/>
      <c r="N126" s="177"/>
      <c r="O126" s="327"/>
      <c r="P126" s="121"/>
      <c r="Q126" s="329"/>
      <c r="R126" s="330"/>
      <c r="S126" s="17"/>
      <c r="T126" s="17"/>
      <c r="U126" s="17"/>
      <c r="V126" s="17"/>
      <c r="W126" s="17"/>
      <c r="X126" s="17"/>
      <c r="Y126" s="17"/>
      <c r="Z126" s="17"/>
    </row>
    <row r="127">
      <c r="A127" s="327"/>
      <c r="B127" s="121"/>
      <c r="C127" s="340"/>
      <c r="D127" s="339"/>
      <c r="E127" s="327"/>
      <c r="F127" s="121"/>
      <c r="G127" s="327"/>
      <c r="H127" s="121"/>
      <c r="I127" s="333"/>
      <c r="J127" s="177"/>
      <c r="K127" s="333"/>
      <c r="L127" s="177"/>
      <c r="M127" s="333"/>
      <c r="N127" s="177"/>
      <c r="O127" s="327"/>
      <c r="P127" s="121"/>
      <c r="Q127" s="329"/>
      <c r="R127" s="330"/>
      <c r="S127" s="17"/>
      <c r="T127" s="17"/>
      <c r="U127" s="17"/>
      <c r="V127" s="17"/>
      <c r="W127" s="17"/>
      <c r="X127" s="17"/>
      <c r="Y127" s="17"/>
      <c r="Z127" s="17"/>
    </row>
    <row r="128">
      <c r="A128" s="327"/>
      <c r="B128" s="121"/>
      <c r="C128" s="340"/>
      <c r="D128" s="339"/>
      <c r="E128" s="327"/>
      <c r="F128" s="121"/>
      <c r="G128" s="327"/>
      <c r="H128" s="121"/>
      <c r="I128" s="333"/>
      <c r="J128" s="177"/>
      <c r="K128" s="333"/>
      <c r="L128" s="177"/>
      <c r="M128" s="333"/>
      <c r="N128" s="177"/>
      <c r="O128" s="327"/>
      <c r="P128" s="121"/>
      <c r="Q128" s="349"/>
      <c r="R128" s="149"/>
      <c r="S128" s="17"/>
      <c r="T128" s="17"/>
      <c r="U128" s="17"/>
      <c r="V128" s="17"/>
      <c r="W128" s="17"/>
      <c r="X128" s="17"/>
      <c r="Y128" s="17"/>
      <c r="Z128" s="17"/>
    </row>
    <row r="129">
      <c r="A129" s="327"/>
      <c r="B129" s="121"/>
      <c r="C129" s="340"/>
      <c r="D129" s="339"/>
      <c r="E129" s="327"/>
      <c r="F129" s="121"/>
      <c r="G129" s="327"/>
      <c r="H129" s="121"/>
      <c r="I129" s="333"/>
      <c r="J129" s="177"/>
      <c r="K129" s="333"/>
      <c r="L129" s="177"/>
      <c r="M129" s="333"/>
      <c r="N129" s="177"/>
      <c r="O129" s="327"/>
      <c r="P129" s="121"/>
      <c r="Q129" s="349"/>
      <c r="R129" s="149"/>
      <c r="S129" s="17"/>
      <c r="T129" s="17"/>
      <c r="U129" s="17"/>
      <c r="V129" s="17"/>
      <c r="W129" s="17"/>
      <c r="X129" s="17"/>
      <c r="Y129" s="17"/>
      <c r="Z129" s="17"/>
    </row>
    <row r="130">
      <c r="A130" s="327"/>
      <c r="B130" s="121"/>
      <c r="C130" s="340"/>
      <c r="D130" s="339"/>
      <c r="E130" s="327"/>
      <c r="F130" s="121"/>
      <c r="G130" s="327"/>
      <c r="H130" s="121"/>
      <c r="I130" s="333"/>
      <c r="J130" s="177"/>
      <c r="K130" s="333"/>
      <c r="L130" s="177"/>
      <c r="M130" s="333"/>
      <c r="N130" s="177"/>
      <c r="O130" s="327"/>
      <c r="P130" s="121"/>
      <c r="Q130" s="349"/>
      <c r="R130" s="149"/>
      <c r="S130" s="17"/>
      <c r="T130" s="17"/>
      <c r="U130" s="17"/>
      <c r="V130" s="17"/>
      <c r="W130" s="17"/>
      <c r="X130" s="17"/>
      <c r="Y130" s="17"/>
      <c r="Z130" s="17"/>
    </row>
    <row r="131">
      <c r="A131" s="327"/>
      <c r="B131" s="121"/>
      <c r="C131" s="340"/>
      <c r="D131" s="339"/>
      <c r="E131" s="327"/>
      <c r="F131" s="121"/>
      <c r="G131" s="327"/>
      <c r="H131" s="121"/>
      <c r="I131" s="333"/>
      <c r="J131" s="177"/>
      <c r="K131" s="333"/>
      <c r="L131" s="177"/>
      <c r="M131" s="333"/>
      <c r="N131" s="177"/>
      <c r="O131" s="327"/>
      <c r="P131" s="121"/>
      <c r="Q131" s="349"/>
      <c r="R131" s="149"/>
      <c r="S131" s="17"/>
      <c r="T131" s="17"/>
      <c r="U131" s="17"/>
      <c r="V131" s="17"/>
      <c r="W131" s="17"/>
      <c r="X131" s="17"/>
      <c r="Y131" s="17"/>
      <c r="Z131" s="17"/>
    </row>
    <row r="132">
      <c r="A132" s="327"/>
      <c r="B132" s="121"/>
      <c r="C132" s="340"/>
      <c r="D132" s="339"/>
      <c r="E132" s="327"/>
      <c r="F132" s="121"/>
      <c r="G132" s="327"/>
      <c r="H132" s="121"/>
      <c r="I132" s="333"/>
      <c r="J132" s="177"/>
      <c r="K132" s="333"/>
      <c r="L132" s="177"/>
      <c r="M132" s="333"/>
      <c r="N132" s="177"/>
      <c r="O132" s="327"/>
      <c r="P132" s="121"/>
      <c r="Q132" s="349"/>
      <c r="R132" s="149"/>
      <c r="S132" s="17"/>
      <c r="T132" s="17"/>
      <c r="U132" s="17"/>
      <c r="V132" s="17"/>
      <c r="W132" s="17"/>
      <c r="X132" s="17"/>
      <c r="Y132" s="17"/>
      <c r="Z132" s="17"/>
    </row>
    <row r="133">
      <c r="A133" s="327"/>
      <c r="B133" s="121"/>
      <c r="C133" s="340"/>
      <c r="D133" s="339"/>
      <c r="E133" s="327"/>
      <c r="F133" s="121"/>
      <c r="G133" s="327"/>
      <c r="H133" s="121"/>
      <c r="I133" s="333"/>
      <c r="J133" s="177"/>
      <c r="K133" s="333"/>
      <c r="L133" s="177"/>
      <c r="M133" s="333"/>
      <c r="N133" s="177"/>
      <c r="O133" s="327"/>
      <c r="P133" s="121"/>
      <c r="Q133" s="349"/>
      <c r="R133" s="149"/>
      <c r="S133" s="17"/>
      <c r="T133" s="17"/>
      <c r="U133" s="17"/>
      <c r="V133" s="17"/>
      <c r="W133" s="17"/>
      <c r="X133" s="17"/>
      <c r="Y133" s="17"/>
      <c r="Z133" s="17"/>
    </row>
    <row r="134">
      <c r="A134" s="327"/>
      <c r="B134" s="121"/>
      <c r="C134" s="340"/>
      <c r="D134" s="339"/>
      <c r="E134" s="327"/>
      <c r="F134" s="121"/>
      <c r="G134" s="327"/>
      <c r="H134" s="121"/>
      <c r="I134" s="333"/>
      <c r="J134" s="177"/>
      <c r="K134" s="333"/>
      <c r="L134" s="177"/>
      <c r="M134" s="333"/>
      <c r="N134" s="177"/>
      <c r="O134" s="327"/>
      <c r="P134" s="121"/>
      <c r="Q134" s="349"/>
      <c r="R134" s="149"/>
      <c r="S134" s="17"/>
      <c r="T134" s="17"/>
      <c r="U134" s="17"/>
      <c r="V134" s="17"/>
      <c r="W134" s="17"/>
      <c r="X134" s="17"/>
      <c r="Y134" s="17"/>
      <c r="Z134" s="17"/>
    </row>
    <row r="135">
      <c r="A135" s="327"/>
      <c r="B135" s="121"/>
      <c r="C135" s="340"/>
      <c r="D135" s="339"/>
      <c r="E135" s="327"/>
      <c r="F135" s="121"/>
      <c r="G135" s="327"/>
      <c r="H135" s="121"/>
      <c r="I135" s="333"/>
      <c r="J135" s="177"/>
      <c r="K135" s="333"/>
      <c r="L135" s="177"/>
      <c r="M135" s="333"/>
      <c r="N135" s="177"/>
      <c r="O135" s="327"/>
      <c r="P135" s="121"/>
      <c r="Q135" s="349"/>
      <c r="R135" s="149"/>
      <c r="S135" s="17"/>
      <c r="T135" s="17"/>
      <c r="U135" s="17"/>
      <c r="V135" s="17"/>
      <c r="W135" s="17"/>
      <c r="X135" s="17"/>
      <c r="Y135" s="17"/>
      <c r="Z135" s="17"/>
    </row>
    <row r="136">
      <c r="A136" s="327"/>
      <c r="B136" s="121"/>
      <c r="C136" s="340"/>
      <c r="D136" s="339"/>
      <c r="E136" s="327"/>
      <c r="F136" s="121"/>
      <c r="G136" s="327"/>
      <c r="H136" s="121"/>
      <c r="I136" s="333"/>
      <c r="J136" s="177"/>
      <c r="K136" s="333"/>
      <c r="L136" s="177"/>
      <c r="M136" s="333"/>
      <c r="N136" s="177"/>
      <c r="O136" s="327"/>
      <c r="P136" s="121"/>
      <c r="Q136" s="349"/>
      <c r="R136" s="149"/>
      <c r="S136" s="17"/>
      <c r="T136" s="17"/>
      <c r="U136" s="17"/>
      <c r="V136" s="17"/>
      <c r="W136" s="17"/>
      <c r="X136" s="17"/>
      <c r="Y136" s="17"/>
      <c r="Z136" s="17"/>
    </row>
    <row r="137">
      <c r="A137" s="327"/>
      <c r="B137" s="121"/>
      <c r="C137" s="340"/>
      <c r="D137" s="339"/>
      <c r="E137" s="327"/>
      <c r="F137" s="121"/>
      <c r="G137" s="327"/>
      <c r="H137" s="121"/>
      <c r="I137" s="333"/>
      <c r="J137" s="177"/>
      <c r="K137" s="333"/>
      <c r="L137" s="177"/>
      <c r="M137" s="333"/>
      <c r="N137" s="177"/>
      <c r="O137" s="327"/>
      <c r="P137" s="121"/>
      <c r="Q137" s="349"/>
      <c r="R137" s="149"/>
      <c r="S137" s="17"/>
      <c r="T137" s="17"/>
      <c r="U137" s="17"/>
      <c r="V137" s="17"/>
      <c r="W137" s="17"/>
      <c r="X137" s="17"/>
      <c r="Y137" s="17"/>
      <c r="Z137" s="17"/>
    </row>
    <row r="138">
      <c r="A138" s="327"/>
      <c r="B138" s="121"/>
      <c r="C138" s="340"/>
      <c r="D138" s="339"/>
      <c r="E138" s="327"/>
      <c r="F138" s="121"/>
      <c r="G138" s="327"/>
      <c r="H138" s="121"/>
      <c r="I138" s="333"/>
      <c r="J138" s="177"/>
      <c r="K138" s="333"/>
      <c r="L138" s="177"/>
      <c r="M138" s="333"/>
      <c r="N138" s="177"/>
      <c r="O138" s="327"/>
      <c r="P138" s="121"/>
      <c r="Q138" s="349"/>
      <c r="R138" s="149"/>
      <c r="S138" s="17"/>
      <c r="T138" s="17"/>
      <c r="U138" s="17"/>
      <c r="V138" s="17"/>
      <c r="W138" s="17"/>
      <c r="X138" s="17"/>
      <c r="Y138" s="17"/>
      <c r="Z138" s="17"/>
    </row>
    <row r="139">
      <c r="A139" s="327"/>
      <c r="B139" s="121"/>
      <c r="C139" s="340"/>
      <c r="D139" s="339"/>
      <c r="E139" s="327"/>
      <c r="F139" s="121"/>
      <c r="G139" s="327"/>
      <c r="H139" s="121"/>
      <c r="I139" s="333"/>
      <c r="J139" s="177"/>
      <c r="K139" s="333"/>
      <c r="L139" s="177"/>
      <c r="M139" s="333"/>
      <c r="N139" s="177"/>
      <c r="O139" s="327"/>
      <c r="P139" s="121"/>
      <c r="Q139" s="349"/>
      <c r="R139" s="149"/>
      <c r="S139" s="17"/>
      <c r="T139" s="17"/>
      <c r="U139" s="17"/>
      <c r="V139" s="17"/>
      <c r="W139" s="17"/>
      <c r="X139" s="17"/>
      <c r="Y139" s="17"/>
      <c r="Z139" s="17"/>
    </row>
    <row r="140">
      <c r="A140" s="327"/>
      <c r="B140" s="121"/>
      <c r="C140" s="340"/>
      <c r="D140" s="339"/>
      <c r="E140" s="327"/>
      <c r="F140" s="121"/>
      <c r="G140" s="327"/>
      <c r="H140" s="121"/>
      <c r="I140" s="333"/>
      <c r="J140" s="177"/>
      <c r="K140" s="333"/>
      <c r="L140" s="177"/>
      <c r="M140" s="333"/>
      <c r="N140" s="177"/>
      <c r="O140" s="327"/>
      <c r="P140" s="121"/>
      <c r="Q140" s="349"/>
      <c r="R140" s="149"/>
      <c r="S140" s="17"/>
      <c r="T140" s="17"/>
      <c r="U140" s="17"/>
      <c r="V140" s="17"/>
      <c r="W140" s="17"/>
      <c r="X140" s="17"/>
      <c r="Y140" s="17"/>
      <c r="Z140" s="17"/>
    </row>
    <row r="141">
      <c r="A141" s="327"/>
      <c r="B141" s="121"/>
      <c r="C141" s="340"/>
      <c r="D141" s="339"/>
      <c r="E141" s="327"/>
      <c r="F141" s="121"/>
      <c r="G141" s="327"/>
      <c r="H141" s="121"/>
      <c r="I141" s="333"/>
      <c r="J141" s="177"/>
      <c r="K141" s="333"/>
      <c r="L141" s="177"/>
      <c r="M141" s="333"/>
      <c r="N141" s="177"/>
      <c r="O141" s="327"/>
      <c r="P141" s="121"/>
      <c r="Q141" s="349"/>
      <c r="R141" s="149"/>
      <c r="S141" s="17"/>
      <c r="T141" s="17"/>
      <c r="U141" s="17"/>
      <c r="V141" s="17"/>
      <c r="W141" s="17"/>
      <c r="X141" s="17"/>
      <c r="Y141" s="17"/>
      <c r="Z141" s="17"/>
    </row>
    <row r="142">
      <c r="A142" s="327"/>
      <c r="B142" s="121"/>
      <c r="C142" s="340"/>
      <c r="D142" s="339"/>
      <c r="E142" s="327"/>
      <c r="F142" s="121"/>
      <c r="G142" s="327"/>
      <c r="H142" s="121"/>
      <c r="I142" s="333"/>
      <c r="J142" s="177"/>
      <c r="K142" s="333"/>
      <c r="L142" s="177"/>
      <c r="M142" s="333"/>
      <c r="N142" s="177"/>
      <c r="O142" s="327"/>
      <c r="P142" s="121"/>
      <c r="Q142" s="349"/>
      <c r="R142" s="149"/>
      <c r="S142" s="17"/>
      <c r="T142" s="17"/>
      <c r="U142" s="17"/>
      <c r="V142" s="17"/>
      <c r="W142" s="17"/>
      <c r="X142" s="17"/>
      <c r="Y142" s="17"/>
      <c r="Z142" s="17"/>
    </row>
    <row r="143">
      <c r="A143" s="327"/>
      <c r="B143" s="121"/>
      <c r="C143" s="340"/>
      <c r="D143" s="339"/>
      <c r="E143" s="327"/>
      <c r="F143" s="121"/>
      <c r="G143" s="327"/>
      <c r="H143" s="121"/>
      <c r="I143" s="333"/>
      <c r="J143" s="177"/>
      <c r="K143" s="333"/>
      <c r="L143" s="177"/>
      <c r="M143" s="333"/>
      <c r="N143" s="177"/>
      <c r="O143" s="327"/>
      <c r="P143" s="121"/>
      <c r="Q143" s="349"/>
      <c r="R143" s="149"/>
      <c r="S143" s="17"/>
      <c r="T143" s="17"/>
      <c r="U143" s="17"/>
      <c r="V143" s="17"/>
      <c r="W143" s="17"/>
      <c r="X143" s="17"/>
      <c r="Y143" s="17"/>
      <c r="Z143" s="17"/>
    </row>
    <row r="144">
      <c r="A144" s="327"/>
      <c r="B144" s="121"/>
      <c r="C144" s="340"/>
      <c r="D144" s="339"/>
      <c r="E144" s="327"/>
      <c r="F144" s="121"/>
      <c r="G144" s="327"/>
      <c r="H144" s="121"/>
      <c r="I144" s="333"/>
      <c r="J144" s="177"/>
      <c r="K144" s="333"/>
      <c r="L144" s="177"/>
      <c r="M144" s="333"/>
      <c r="N144" s="177"/>
      <c r="O144" s="327"/>
      <c r="P144" s="121"/>
      <c r="Q144" s="349"/>
      <c r="R144" s="149"/>
      <c r="S144" s="17"/>
      <c r="T144" s="17"/>
      <c r="U144" s="17"/>
      <c r="V144" s="17"/>
      <c r="W144" s="17"/>
      <c r="X144" s="17"/>
      <c r="Y144" s="17"/>
      <c r="Z144" s="17"/>
    </row>
    <row r="145">
      <c r="A145" s="327"/>
      <c r="B145" s="121"/>
      <c r="C145" s="340"/>
      <c r="D145" s="339"/>
      <c r="E145" s="327"/>
      <c r="F145" s="121"/>
      <c r="G145" s="327"/>
      <c r="H145" s="121"/>
      <c r="I145" s="333"/>
      <c r="J145" s="177"/>
      <c r="K145" s="333"/>
      <c r="L145" s="177"/>
      <c r="M145" s="333"/>
      <c r="N145" s="177"/>
      <c r="O145" s="327"/>
      <c r="P145" s="121"/>
      <c r="Q145" s="349"/>
      <c r="R145" s="149"/>
      <c r="S145" s="17"/>
      <c r="T145" s="17"/>
      <c r="U145" s="17"/>
      <c r="V145" s="17"/>
      <c r="W145" s="17"/>
      <c r="X145" s="17"/>
      <c r="Y145" s="17"/>
      <c r="Z145" s="17"/>
    </row>
    <row r="146">
      <c r="A146" s="327"/>
      <c r="B146" s="121"/>
      <c r="C146" s="340"/>
      <c r="D146" s="339"/>
      <c r="E146" s="327"/>
      <c r="F146" s="121"/>
      <c r="G146" s="327"/>
      <c r="H146" s="121"/>
      <c r="I146" s="333"/>
      <c r="J146" s="177"/>
      <c r="K146" s="333"/>
      <c r="L146" s="177"/>
      <c r="M146" s="333"/>
      <c r="N146" s="177"/>
      <c r="O146" s="327"/>
      <c r="P146" s="121"/>
      <c r="Q146" s="349"/>
      <c r="R146" s="149"/>
      <c r="S146" s="17"/>
      <c r="T146" s="17"/>
      <c r="U146" s="17"/>
      <c r="V146" s="17"/>
      <c r="W146" s="17"/>
      <c r="X146" s="17"/>
      <c r="Y146" s="17"/>
      <c r="Z146" s="17"/>
    </row>
    <row r="147">
      <c r="A147" s="327"/>
      <c r="B147" s="121"/>
      <c r="C147" s="340"/>
      <c r="D147" s="339"/>
      <c r="E147" s="327"/>
      <c r="F147" s="121"/>
      <c r="G147" s="327"/>
      <c r="H147" s="121"/>
      <c r="I147" s="333"/>
      <c r="J147" s="177"/>
      <c r="K147" s="333"/>
      <c r="L147" s="177"/>
      <c r="M147" s="333"/>
      <c r="N147" s="177"/>
      <c r="O147" s="327"/>
      <c r="P147" s="121"/>
      <c r="Q147" s="349"/>
      <c r="R147" s="149"/>
      <c r="S147" s="17"/>
      <c r="T147" s="17"/>
      <c r="U147" s="17"/>
      <c r="V147" s="17"/>
      <c r="W147" s="17"/>
      <c r="X147" s="17"/>
      <c r="Y147" s="17"/>
      <c r="Z147" s="17"/>
    </row>
    <row r="148">
      <c r="A148" s="327"/>
      <c r="B148" s="121"/>
      <c r="C148" s="340"/>
      <c r="D148" s="339"/>
      <c r="E148" s="327"/>
      <c r="F148" s="121"/>
      <c r="G148" s="327"/>
      <c r="H148" s="121"/>
      <c r="I148" s="333"/>
      <c r="J148" s="177"/>
      <c r="K148" s="333"/>
      <c r="L148" s="177"/>
      <c r="M148" s="333"/>
      <c r="N148" s="177"/>
      <c r="O148" s="327"/>
      <c r="P148" s="121"/>
      <c r="Q148" s="349"/>
      <c r="R148" s="149"/>
      <c r="S148" s="17"/>
      <c r="T148" s="17"/>
      <c r="U148" s="17"/>
      <c r="V148" s="17"/>
      <c r="W148" s="17"/>
      <c r="X148" s="17"/>
      <c r="Y148" s="17"/>
      <c r="Z148" s="17"/>
    </row>
    <row r="149">
      <c r="A149" s="327"/>
      <c r="B149" s="121"/>
      <c r="C149" s="340"/>
      <c r="D149" s="339"/>
      <c r="E149" s="327"/>
      <c r="F149" s="121"/>
      <c r="G149" s="327"/>
      <c r="H149" s="121"/>
      <c r="I149" s="333"/>
      <c r="J149" s="177"/>
      <c r="K149" s="333"/>
      <c r="L149" s="177"/>
      <c r="M149" s="333"/>
      <c r="N149" s="177"/>
      <c r="O149" s="327"/>
      <c r="P149" s="121"/>
      <c r="Q149" s="349"/>
      <c r="R149" s="149"/>
      <c r="S149" s="17"/>
      <c r="T149" s="17"/>
      <c r="U149" s="17"/>
      <c r="V149" s="17"/>
      <c r="W149" s="17"/>
      <c r="X149" s="17"/>
      <c r="Y149" s="17"/>
      <c r="Z149" s="17"/>
    </row>
    <row r="150">
      <c r="A150" s="327"/>
      <c r="B150" s="121"/>
      <c r="C150" s="340"/>
      <c r="D150" s="339"/>
      <c r="E150" s="327"/>
      <c r="F150" s="121"/>
      <c r="G150" s="327"/>
      <c r="H150" s="121"/>
      <c r="I150" s="333"/>
      <c r="J150" s="177"/>
      <c r="K150" s="333"/>
      <c r="L150" s="177"/>
      <c r="M150" s="333"/>
      <c r="N150" s="177"/>
      <c r="O150" s="327"/>
      <c r="P150" s="121"/>
      <c r="Q150" s="349"/>
      <c r="R150" s="149"/>
      <c r="S150" s="17"/>
      <c r="T150" s="17"/>
      <c r="U150" s="17"/>
      <c r="V150" s="17"/>
      <c r="W150" s="17"/>
      <c r="X150" s="17"/>
      <c r="Y150" s="17"/>
      <c r="Z150" s="17"/>
    </row>
    <row r="151">
      <c r="A151" s="327"/>
      <c r="B151" s="121"/>
      <c r="C151" s="340"/>
      <c r="D151" s="339"/>
      <c r="E151" s="327"/>
      <c r="F151" s="121"/>
      <c r="G151" s="327"/>
      <c r="H151" s="121"/>
      <c r="I151" s="333"/>
      <c r="J151" s="177"/>
      <c r="K151" s="333"/>
      <c r="L151" s="177"/>
      <c r="M151" s="333"/>
      <c r="N151" s="177"/>
      <c r="O151" s="327"/>
      <c r="P151" s="121"/>
      <c r="Q151" s="349"/>
      <c r="R151" s="149"/>
      <c r="S151" s="17"/>
      <c r="T151" s="17"/>
      <c r="U151" s="17"/>
      <c r="V151" s="17"/>
      <c r="W151" s="17"/>
      <c r="X151" s="17"/>
      <c r="Y151" s="17"/>
      <c r="Z151" s="17"/>
    </row>
    <row r="152">
      <c r="A152" s="327"/>
      <c r="B152" s="121"/>
      <c r="C152" s="340"/>
      <c r="D152" s="339"/>
      <c r="E152" s="327"/>
      <c r="F152" s="121"/>
      <c r="G152" s="327"/>
      <c r="H152" s="121"/>
      <c r="I152" s="333"/>
      <c r="J152" s="177"/>
      <c r="K152" s="333"/>
      <c r="L152" s="177"/>
      <c r="M152" s="333"/>
      <c r="N152" s="177"/>
      <c r="O152" s="327"/>
      <c r="P152" s="121"/>
      <c r="Q152" s="349"/>
      <c r="R152" s="149"/>
      <c r="S152" s="17"/>
      <c r="T152" s="17"/>
      <c r="U152" s="17"/>
      <c r="V152" s="17"/>
      <c r="W152" s="17"/>
      <c r="X152" s="17"/>
      <c r="Y152" s="17"/>
      <c r="Z152" s="17"/>
    </row>
    <row r="153">
      <c r="A153" s="327"/>
      <c r="B153" s="121"/>
      <c r="C153" s="340"/>
      <c r="D153" s="339"/>
      <c r="E153" s="327"/>
      <c r="F153" s="121"/>
      <c r="G153" s="327"/>
      <c r="H153" s="121"/>
      <c r="I153" s="333"/>
      <c r="J153" s="177"/>
      <c r="K153" s="333"/>
      <c r="L153" s="177"/>
      <c r="M153" s="333"/>
      <c r="N153" s="177"/>
      <c r="O153" s="327"/>
      <c r="P153" s="121"/>
      <c r="Q153" s="349"/>
      <c r="R153" s="149"/>
      <c r="S153" s="17"/>
      <c r="T153" s="17"/>
      <c r="U153" s="17"/>
      <c r="V153" s="17"/>
      <c r="W153" s="17"/>
      <c r="X153" s="17"/>
      <c r="Y153" s="17"/>
      <c r="Z153" s="17"/>
    </row>
    <row r="154">
      <c r="A154" s="327"/>
      <c r="B154" s="121"/>
      <c r="C154" s="340"/>
      <c r="D154" s="339"/>
      <c r="E154" s="327"/>
      <c r="F154" s="121"/>
      <c r="G154" s="327"/>
      <c r="H154" s="121"/>
      <c r="I154" s="333"/>
      <c r="J154" s="177"/>
      <c r="K154" s="333"/>
      <c r="L154" s="177"/>
      <c r="M154" s="333"/>
      <c r="N154" s="177"/>
      <c r="O154" s="327"/>
      <c r="P154" s="121"/>
      <c r="Q154" s="349"/>
      <c r="R154" s="149"/>
      <c r="S154" s="17"/>
      <c r="T154" s="17"/>
      <c r="U154" s="17"/>
      <c r="V154" s="17"/>
      <c r="W154" s="17"/>
      <c r="X154" s="17"/>
      <c r="Y154" s="17"/>
      <c r="Z154" s="17"/>
    </row>
    <row r="155">
      <c r="A155" s="327"/>
      <c r="B155" s="121"/>
      <c r="C155" s="340"/>
      <c r="D155" s="339"/>
      <c r="E155" s="327"/>
      <c r="F155" s="121"/>
      <c r="G155" s="327"/>
      <c r="H155" s="121"/>
      <c r="I155" s="333"/>
      <c r="J155" s="177"/>
      <c r="K155" s="333"/>
      <c r="L155" s="177"/>
      <c r="M155" s="333"/>
      <c r="N155" s="177"/>
      <c r="O155" s="327"/>
      <c r="P155" s="121"/>
      <c r="Q155" s="349"/>
      <c r="R155" s="149"/>
      <c r="S155" s="17"/>
      <c r="T155" s="17"/>
      <c r="U155" s="17"/>
      <c r="V155" s="17"/>
      <c r="W155" s="17"/>
      <c r="X155" s="17"/>
      <c r="Y155" s="17"/>
      <c r="Z155" s="17"/>
    </row>
    <row r="156">
      <c r="A156" s="327"/>
      <c r="B156" s="121"/>
      <c r="C156" s="340"/>
      <c r="D156" s="339"/>
      <c r="E156" s="327"/>
      <c r="F156" s="121"/>
      <c r="G156" s="327"/>
      <c r="H156" s="121"/>
      <c r="I156" s="333"/>
      <c r="J156" s="177"/>
      <c r="K156" s="333"/>
      <c r="L156" s="177"/>
      <c r="M156" s="333"/>
      <c r="N156" s="177"/>
      <c r="O156" s="327"/>
      <c r="P156" s="121"/>
      <c r="Q156" s="349"/>
      <c r="R156" s="149"/>
      <c r="S156" s="17"/>
      <c r="T156" s="17"/>
      <c r="U156" s="17"/>
      <c r="V156" s="17"/>
      <c r="W156" s="17"/>
      <c r="X156" s="17"/>
      <c r="Y156" s="17"/>
      <c r="Z156" s="17"/>
    </row>
    <row r="157">
      <c r="A157" s="327"/>
      <c r="B157" s="121"/>
      <c r="C157" s="340"/>
      <c r="D157" s="339"/>
      <c r="E157" s="327"/>
      <c r="F157" s="121"/>
      <c r="G157" s="327"/>
      <c r="H157" s="121"/>
      <c r="I157" s="333"/>
      <c r="J157" s="177"/>
      <c r="K157" s="333"/>
      <c r="L157" s="177"/>
      <c r="M157" s="333"/>
      <c r="N157" s="177"/>
      <c r="O157" s="327"/>
      <c r="P157" s="121"/>
      <c r="Q157" s="349"/>
      <c r="R157" s="149"/>
      <c r="S157" s="17"/>
      <c r="T157" s="17"/>
      <c r="U157" s="17"/>
      <c r="V157" s="17"/>
      <c r="W157" s="17"/>
      <c r="X157" s="17"/>
      <c r="Y157" s="17"/>
      <c r="Z157" s="17"/>
    </row>
    <row r="158">
      <c r="A158" s="327"/>
      <c r="B158" s="121"/>
      <c r="C158" s="340"/>
      <c r="D158" s="339"/>
      <c r="E158" s="327"/>
      <c r="F158" s="121"/>
      <c r="G158" s="327"/>
      <c r="H158" s="121"/>
      <c r="I158" s="333"/>
      <c r="J158" s="177"/>
      <c r="K158" s="333"/>
      <c r="L158" s="177"/>
      <c r="M158" s="333"/>
      <c r="N158" s="177"/>
      <c r="O158" s="327"/>
      <c r="P158" s="121"/>
      <c r="Q158" s="349"/>
      <c r="R158" s="149"/>
      <c r="S158" s="17"/>
      <c r="T158" s="17"/>
      <c r="U158" s="17"/>
      <c r="V158" s="17"/>
      <c r="W158" s="17"/>
      <c r="X158" s="17"/>
      <c r="Y158" s="17"/>
      <c r="Z158" s="17"/>
    </row>
    <row r="159">
      <c r="A159" s="327"/>
      <c r="B159" s="121"/>
      <c r="C159" s="340"/>
      <c r="D159" s="339"/>
      <c r="E159" s="327"/>
      <c r="F159" s="121"/>
      <c r="G159" s="327"/>
      <c r="H159" s="121"/>
      <c r="I159" s="333"/>
      <c r="J159" s="177"/>
      <c r="K159" s="333"/>
      <c r="L159" s="177"/>
      <c r="M159" s="333"/>
      <c r="N159" s="177"/>
      <c r="O159" s="327"/>
      <c r="P159" s="121"/>
      <c r="Q159" s="349"/>
      <c r="R159" s="149"/>
      <c r="S159" s="17"/>
      <c r="T159" s="17"/>
      <c r="U159" s="17"/>
      <c r="V159" s="17"/>
      <c r="W159" s="17"/>
      <c r="X159" s="17"/>
      <c r="Y159" s="17"/>
      <c r="Z159" s="17"/>
    </row>
    <row r="160">
      <c r="A160" s="327"/>
      <c r="B160" s="121"/>
      <c r="C160" s="340"/>
      <c r="D160" s="339"/>
      <c r="E160" s="327"/>
      <c r="F160" s="121"/>
      <c r="G160" s="327"/>
      <c r="H160" s="121"/>
      <c r="I160" s="333"/>
      <c r="J160" s="177"/>
      <c r="K160" s="333"/>
      <c r="L160" s="177"/>
      <c r="M160" s="333"/>
      <c r="N160" s="177"/>
      <c r="O160" s="327"/>
      <c r="P160" s="121"/>
      <c r="Q160" s="349"/>
      <c r="R160" s="149"/>
      <c r="S160" s="17"/>
      <c r="T160" s="17"/>
      <c r="U160" s="17"/>
      <c r="V160" s="17"/>
      <c r="W160" s="17"/>
      <c r="X160" s="17"/>
      <c r="Y160" s="17"/>
      <c r="Z160" s="17"/>
    </row>
    <row r="161">
      <c r="A161" s="327"/>
      <c r="B161" s="121"/>
      <c r="C161" s="340"/>
      <c r="D161" s="339"/>
      <c r="E161" s="327"/>
      <c r="F161" s="121"/>
      <c r="G161" s="327"/>
      <c r="H161" s="121"/>
      <c r="I161" s="333"/>
      <c r="J161" s="177"/>
      <c r="K161" s="333"/>
      <c r="L161" s="177"/>
      <c r="M161" s="333"/>
      <c r="N161" s="177"/>
      <c r="O161" s="327"/>
      <c r="P161" s="121"/>
      <c r="Q161" s="349"/>
      <c r="R161" s="149"/>
      <c r="S161" s="17"/>
      <c r="T161" s="17"/>
      <c r="U161" s="17"/>
      <c r="V161" s="17"/>
      <c r="W161" s="17"/>
      <c r="X161" s="17"/>
      <c r="Y161" s="17"/>
      <c r="Z161" s="17"/>
    </row>
    <row r="162">
      <c r="A162" s="327"/>
      <c r="B162" s="121"/>
      <c r="C162" s="340"/>
      <c r="D162" s="339"/>
      <c r="E162" s="327"/>
      <c r="F162" s="121"/>
      <c r="G162" s="327"/>
      <c r="H162" s="121"/>
      <c r="I162" s="333"/>
      <c r="J162" s="177"/>
      <c r="K162" s="333"/>
      <c r="L162" s="177"/>
      <c r="M162" s="333"/>
      <c r="N162" s="177"/>
      <c r="O162" s="327"/>
      <c r="P162" s="121"/>
      <c r="Q162" s="349"/>
      <c r="R162" s="149"/>
      <c r="S162" s="17"/>
      <c r="T162" s="17"/>
      <c r="U162" s="17"/>
      <c r="V162" s="17"/>
      <c r="W162" s="17"/>
      <c r="X162" s="17"/>
      <c r="Y162" s="17"/>
      <c r="Z162" s="17"/>
    </row>
    <row r="163">
      <c r="A163" s="327"/>
      <c r="B163" s="121"/>
      <c r="C163" s="340"/>
      <c r="D163" s="339"/>
      <c r="E163" s="327"/>
      <c r="F163" s="121"/>
      <c r="G163" s="327"/>
      <c r="H163" s="121"/>
      <c r="I163" s="333"/>
      <c r="J163" s="177"/>
      <c r="K163" s="333"/>
      <c r="L163" s="177"/>
      <c r="M163" s="333"/>
      <c r="N163" s="177"/>
      <c r="O163" s="327"/>
      <c r="P163" s="121"/>
      <c r="Q163" s="349"/>
      <c r="R163" s="149"/>
      <c r="S163" s="17"/>
      <c r="T163" s="17"/>
      <c r="U163" s="17"/>
      <c r="V163" s="17"/>
      <c r="W163" s="17"/>
      <c r="X163" s="17"/>
      <c r="Y163" s="17"/>
      <c r="Z163" s="17"/>
    </row>
    <row r="164">
      <c r="A164" s="327"/>
      <c r="B164" s="121"/>
      <c r="C164" s="340"/>
      <c r="D164" s="339"/>
      <c r="E164" s="327"/>
      <c r="F164" s="121"/>
      <c r="G164" s="327"/>
      <c r="H164" s="121"/>
      <c r="I164" s="333"/>
      <c r="J164" s="177"/>
      <c r="K164" s="333"/>
      <c r="L164" s="177"/>
      <c r="M164" s="333"/>
      <c r="N164" s="177"/>
      <c r="O164" s="327"/>
      <c r="P164" s="121"/>
      <c r="Q164" s="349"/>
      <c r="R164" s="149"/>
      <c r="S164" s="17"/>
      <c r="T164" s="17"/>
      <c r="U164" s="17"/>
      <c r="V164" s="17"/>
      <c r="W164" s="17"/>
      <c r="X164" s="17"/>
      <c r="Y164" s="17"/>
      <c r="Z164" s="17"/>
    </row>
    <row r="165">
      <c r="A165" s="327"/>
      <c r="B165" s="121"/>
      <c r="C165" s="340"/>
      <c r="D165" s="339"/>
      <c r="E165" s="327"/>
      <c r="F165" s="121"/>
      <c r="G165" s="327"/>
      <c r="H165" s="121"/>
      <c r="I165" s="333"/>
      <c r="J165" s="177"/>
      <c r="K165" s="333"/>
      <c r="L165" s="177"/>
      <c r="M165" s="333"/>
      <c r="N165" s="177"/>
      <c r="O165" s="327"/>
      <c r="P165" s="121"/>
      <c r="Q165" s="349"/>
      <c r="R165" s="149"/>
      <c r="S165" s="17"/>
      <c r="T165" s="17"/>
      <c r="U165" s="17"/>
      <c r="V165" s="17"/>
      <c r="W165" s="17"/>
      <c r="X165" s="17"/>
      <c r="Y165" s="17"/>
      <c r="Z165" s="17"/>
    </row>
    <row r="166">
      <c r="A166" s="327"/>
      <c r="B166" s="121"/>
      <c r="C166" s="340"/>
      <c r="D166" s="339"/>
      <c r="E166" s="327"/>
      <c r="F166" s="121"/>
      <c r="G166" s="327"/>
      <c r="H166" s="121"/>
      <c r="I166" s="333"/>
      <c r="J166" s="177"/>
      <c r="K166" s="333"/>
      <c r="L166" s="177"/>
      <c r="M166" s="333"/>
      <c r="N166" s="177"/>
      <c r="O166" s="327"/>
      <c r="P166" s="121"/>
      <c r="Q166" s="349"/>
      <c r="R166" s="149"/>
      <c r="S166" s="17"/>
      <c r="T166" s="17"/>
      <c r="U166" s="17"/>
      <c r="V166" s="17"/>
      <c r="W166" s="17"/>
      <c r="X166" s="17"/>
      <c r="Y166" s="17"/>
      <c r="Z166" s="17"/>
    </row>
    <row r="167">
      <c r="A167" s="327"/>
      <c r="B167" s="121"/>
      <c r="C167" s="340"/>
      <c r="D167" s="339"/>
      <c r="E167" s="327"/>
      <c r="F167" s="121"/>
      <c r="G167" s="327"/>
      <c r="H167" s="121"/>
      <c r="I167" s="333"/>
      <c r="J167" s="177"/>
      <c r="K167" s="333"/>
      <c r="L167" s="177"/>
      <c r="M167" s="333"/>
      <c r="N167" s="177"/>
      <c r="O167" s="327"/>
      <c r="P167" s="121"/>
      <c r="Q167" s="349"/>
      <c r="R167" s="149"/>
      <c r="S167" s="17"/>
      <c r="T167" s="17"/>
      <c r="U167" s="17"/>
      <c r="V167" s="17"/>
      <c r="W167" s="17"/>
      <c r="X167" s="17"/>
      <c r="Y167" s="17"/>
      <c r="Z167" s="17"/>
    </row>
    <row r="168">
      <c r="A168" s="327"/>
      <c r="B168" s="121"/>
      <c r="C168" s="340"/>
      <c r="D168" s="339"/>
      <c r="E168" s="327"/>
      <c r="F168" s="121"/>
      <c r="G168" s="327"/>
      <c r="H168" s="121"/>
      <c r="I168" s="333"/>
      <c r="J168" s="177"/>
      <c r="K168" s="333"/>
      <c r="L168" s="177"/>
      <c r="M168" s="333"/>
      <c r="N168" s="177"/>
      <c r="O168" s="327"/>
      <c r="P168" s="121"/>
      <c r="Q168" s="349"/>
      <c r="R168" s="149"/>
      <c r="S168" s="17"/>
      <c r="T168" s="17"/>
      <c r="U168" s="17"/>
      <c r="V168" s="17"/>
      <c r="W168" s="17"/>
      <c r="X168" s="17"/>
      <c r="Y168" s="17"/>
      <c r="Z168" s="17"/>
    </row>
    <row r="169">
      <c r="A169" s="327"/>
      <c r="B169" s="121"/>
      <c r="C169" s="340"/>
      <c r="D169" s="339"/>
      <c r="E169" s="327"/>
      <c r="F169" s="121"/>
      <c r="G169" s="327"/>
      <c r="H169" s="121"/>
      <c r="I169" s="333"/>
      <c r="J169" s="177"/>
      <c r="K169" s="333"/>
      <c r="L169" s="177"/>
      <c r="M169" s="333"/>
      <c r="N169" s="177"/>
      <c r="O169" s="327"/>
      <c r="P169" s="121"/>
      <c r="Q169" s="349"/>
      <c r="R169" s="149"/>
      <c r="S169" s="17"/>
      <c r="T169" s="17"/>
      <c r="U169" s="17"/>
      <c r="V169" s="17"/>
      <c r="W169" s="17"/>
      <c r="X169" s="17"/>
      <c r="Y169" s="17"/>
      <c r="Z169" s="17"/>
    </row>
    <row r="170">
      <c r="A170" s="327"/>
      <c r="B170" s="121"/>
      <c r="C170" s="340"/>
      <c r="D170" s="339"/>
      <c r="E170" s="327"/>
      <c r="F170" s="121"/>
      <c r="G170" s="327"/>
      <c r="H170" s="121"/>
      <c r="I170" s="333"/>
      <c r="J170" s="177"/>
      <c r="K170" s="333"/>
      <c r="L170" s="177"/>
      <c r="M170" s="333"/>
      <c r="N170" s="177"/>
      <c r="O170" s="327"/>
      <c r="P170" s="121"/>
      <c r="Q170" s="349"/>
      <c r="R170" s="149"/>
      <c r="S170" s="17"/>
      <c r="T170" s="17"/>
      <c r="U170" s="17"/>
      <c r="V170" s="17"/>
      <c r="W170" s="17"/>
      <c r="X170" s="17"/>
      <c r="Y170" s="17"/>
      <c r="Z170" s="17"/>
    </row>
    <row r="171">
      <c r="A171" s="327"/>
      <c r="B171" s="121"/>
      <c r="C171" s="340"/>
      <c r="D171" s="339"/>
      <c r="E171" s="327"/>
      <c r="F171" s="121"/>
      <c r="G171" s="327"/>
      <c r="H171" s="121"/>
      <c r="I171" s="333"/>
      <c r="J171" s="177"/>
      <c r="K171" s="333"/>
      <c r="L171" s="177"/>
      <c r="M171" s="333"/>
      <c r="N171" s="177"/>
      <c r="O171" s="327"/>
      <c r="P171" s="121"/>
      <c r="Q171" s="349"/>
      <c r="R171" s="149"/>
      <c r="S171" s="17"/>
      <c r="T171" s="17"/>
      <c r="U171" s="17"/>
      <c r="V171" s="17"/>
      <c r="W171" s="17"/>
      <c r="X171" s="17"/>
      <c r="Y171" s="17"/>
      <c r="Z171" s="17"/>
    </row>
    <row r="172">
      <c r="A172" s="327"/>
      <c r="B172" s="121"/>
      <c r="C172" s="340"/>
      <c r="D172" s="339"/>
      <c r="E172" s="327"/>
      <c r="F172" s="121"/>
      <c r="G172" s="327"/>
      <c r="H172" s="121"/>
      <c r="I172" s="333"/>
      <c r="J172" s="177"/>
      <c r="K172" s="333"/>
      <c r="L172" s="177"/>
      <c r="M172" s="333"/>
      <c r="N172" s="177"/>
      <c r="O172" s="327"/>
      <c r="P172" s="121"/>
      <c r="Q172" s="349"/>
      <c r="R172" s="149"/>
      <c r="S172" s="17"/>
      <c r="T172" s="17"/>
      <c r="U172" s="17"/>
      <c r="V172" s="17"/>
      <c r="W172" s="17"/>
      <c r="X172" s="17"/>
      <c r="Y172" s="17"/>
      <c r="Z172" s="17"/>
    </row>
    <row r="173">
      <c r="A173" s="327"/>
      <c r="B173" s="121"/>
      <c r="C173" s="340"/>
      <c r="D173" s="339"/>
      <c r="E173" s="327"/>
      <c r="F173" s="121"/>
      <c r="G173" s="327"/>
      <c r="H173" s="121"/>
      <c r="I173" s="333"/>
      <c r="J173" s="177"/>
      <c r="K173" s="333"/>
      <c r="L173" s="177"/>
      <c r="M173" s="333"/>
      <c r="N173" s="177"/>
      <c r="O173" s="327"/>
      <c r="P173" s="121"/>
      <c r="Q173" s="349"/>
      <c r="R173" s="149"/>
      <c r="S173" s="17"/>
      <c r="T173" s="17"/>
      <c r="U173" s="17"/>
      <c r="V173" s="17"/>
      <c r="W173" s="17"/>
      <c r="X173" s="17"/>
      <c r="Y173" s="17"/>
      <c r="Z173" s="17"/>
    </row>
    <row r="174">
      <c r="A174" s="327"/>
      <c r="B174" s="121"/>
      <c r="C174" s="340"/>
      <c r="D174" s="339"/>
      <c r="E174" s="327"/>
      <c r="F174" s="121"/>
      <c r="G174" s="327"/>
      <c r="H174" s="121"/>
      <c r="I174" s="333"/>
      <c r="J174" s="177"/>
      <c r="K174" s="333"/>
      <c r="L174" s="177"/>
      <c r="M174" s="333"/>
      <c r="N174" s="177"/>
      <c r="O174" s="327"/>
      <c r="P174" s="121"/>
      <c r="Q174" s="349"/>
      <c r="R174" s="149"/>
      <c r="S174" s="17"/>
      <c r="T174" s="17"/>
      <c r="U174" s="17"/>
      <c r="V174" s="17"/>
      <c r="W174" s="17"/>
      <c r="X174" s="17"/>
      <c r="Y174" s="17"/>
      <c r="Z174" s="17"/>
    </row>
    <row r="175">
      <c r="A175" s="327"/>
      <c r="B175" s="121"/>
      <c r="C175" s="340"/>
      <c r="D175" s="339"/>
      <c r="E175" s="327"/>
      <c r="F175" s="121"/>
      <c r="G175" s="327"/>
      <c r="H175" s="121"/>
      <c r="I175" s="333"/>
      <c r="J175" s="177"/>
      <c r="K175" s="333"/>
      <c r="L175" s="177"/>
      <c r="M175" s="333"/>
      <c r="N175" s="177"/>
      <c r="O175" s="327"/>
      <c r="P175" s="121"/>
      <c r="Q175" s="349"/>
      <c r="R175" s="149"/>
      <c r="S175" s="17"/>
      <c r="T175" s="17"/>
      <c r="U175" s="17"/>
      <c r="V175" s="17"/>
      <c r="W175" s="17"/>
      <c r="X175" s="17"/>
      <c r="Y175" s="17"/>
      <c r="Z175" s="17"/>
    </row>
    <row r="176">
      <c r="A176" s="327"/>
      <c r="B176" s="121"/>
      <c r="C176" s="340"/>
      <c r="D176" s="339"/>
      <c r="E176" s="327"/>
      <c r="F176" s="121"/>
      <c r="G176" s="327"/>
      <c r="H176" s="121"/>
      <c r="I176" s="333"/>
      <c r="J176" s="177"/>
      <c r="K176" s="333"/>
      <c r="L176" s="177"/>
      <c r="M176" s="333"/>
      <c r="N176" s="177"/>
      <c r="O176" s="327"/>
      <c r="P176" s="121"/>
      <c r="Q176" s="349"/>
      <c r="R176" s="149"/>
      <c r="S176" s="17"/>
      <c r="T176" s="17"/>
      <c r="U176" s="17"/>
      <c r="V176" s="17"/>
      <c r="W176" s="17"/>
      <c r="X176" s="17"/>
      <c r="Y176" s="17"/>
      <c r="Z176" s="17"/>
    </row>
    <row r="177">
      <c r="A177" s="327"/>
      <c r="B177" s="121"/>
      <c r="C177" s="340"/>
      <c r="D177" s="339"/>
      <c r="E177" s="327"/>
      <c r="F177" s="121"/>
      <c r="G177" s="327"/>
      <c r="H177" s="121"/>
      <c r="I177" s="333"/>
      <c r="J177" s="177"/>
      <c r="K177" s="333"/>
      <c r="L177" s="177"/>
      <c r="M177" s="333"/>
      <c r="N177" s="177"/>
      <c r="O177" s="327"/>
      <c r="P177" s="121"/>
      <c r="Q177" s="349"/>
      <c r="R177" s="149"/>
      <c r="S177" s="17"/>
      <c r="T177" s="17"/>
      <c r="U177" s="17"/>
      <c r="V177" s="17"/>
      <c r="W177" s="17"/>
      <c r="X177" s="17"/>
      <c r="Y177" s="17"/>
      <c r="Z177" s="17"/>
    </row>
    <row r="178">
      <c r="A178" s="327"/>
      <c r="B178" s="121"/>
      <c r="C178" s="340"/>
      <c r="D178" s="339"/>
      <c r="E178" s="327"/>
      <c r="F178" s="121"/>
      <c r="G178" s="327"/>
      <c r="H178" s="121"/>
      <c r="I178" s="333"/>
      <c r="J178" s="177"/>
      <c r="K178" s="333"/>
      <c r="L178" s="177"/>
      <c r="M178" s="333"/>
      <c r="N178" s="177"/>
      <c r="O178" s="327"/>
      <c r="P178" s="121"/>
      <c r="Q178" s="349"/>
      <c r="R178" s="149"/>
      <c r="S178" s="17"/>
      <c r="T178" s="17"/>
      <c r="U178" s="17"/>
      <c r="V178" s="17"/>
      <c r="W178" s="17"/>
      <c r="X178" s="17"/>
      <c r="Y178" s="17"/>
      <c r="Z178" s="17"/>
    </row>
    <row r="179">
      <c r="A179" s="327"/>
      <c r="B179" s="121"/>
      <c r="C179" s="340"/>
      <c r="D179" s="339"/>
      <c r="E179" s="327"/>
      <c r="F179" s="121"/>
      <c r="G179" s="327"/>
      <c r="H179" s="121"/>
      <c r="I179" s="333"/>
      <c r="J179" s="177"/>
      <c r="K179" s="333"/>
      <c r="L179" s="177"/>
      <c r="M179" s="333"/>
      <c r="N179" s="177"/>
      <c r="O179" s="327"/>
      <c r="P179" s="121"/>
      <c r="Q179" s="349"/>
      <c r="R179" s="149"/>
      <c r="S179" s="17"/>
      <c r="T179" s="17"/>
      <c r="U179" s="17"/>
      <c r="V179" s="17"/>
      <c r="W179" s="17"/>
      <c r="X179" s="17"/>
      <c r="Y179" s="17"/>
      <c r="Z179" s="17"/>
    </row>
    <row r="180">
      <c r="A180" s="327"/>
      <c r="B180" s="121"/>
      <c r="C180" s="340"/>
      <c r="D180" s="339"/>
      <c r="E180" s="327"/>
      <c r="F180" s="121"/>
      <c r="G180" s="327"/>
      <c r="H180" s="121"/>
      <c r="I180" s="333"/>
      <c r="J180" s="177"/>
      <c r="K180" s="333"/>
      <c r="L180" s="177"/>
      <c r="M180" s="333"/>
      <c r="N180" s="177"/>
      <c r="O180" s="327"/>
      <c r="P180" s="121"/>
      <c r="Q180" s="349"/>
      <c r="R180" s="149"/>
      <c r="S180" s="17"/>
      <c r="T180" s="17"/>
      <c r="U180" s="17"/>
      <c r="V180" s="17"/>
      <c r="W180" s="17"/>
      <c r="X180" s="17"/>
      <c r="Y180" s="17"/>
      <c r="Z180" s="17"/>
    </row>
    <row r="181">
      <c r="A181" s="327"/>
      <c r="B181" s="121"/>
      <c r="C181" s="340"/>
      <c r="D181" s="339"/>
      <c r="E181" s="327"/>
      <c r="F181" s="121"/>
      <c r="G181" s="327"/>
      <c r="H181" s="121"/>
      <c r="I181" s="333"/>
      <c r="J181" s="177"/>
      <c r="K181" s="333"/>
      <c r="L181" s="177"/>
      <c r="M181" s="333"/>
      <c r="N181" s="177"/>
      <c r="O181" s="327"/>
      <c r="P181" s="121"/>
      <c r="Q181" s="349"/>
      <c r="R181" s="149"/>
      <c r="S181" s="17"/>
      <c r="T181" s="17"/>
      <c r="U181" s="17"/>
      <c r="V181" s="17"/>
      <c r="W181" s="17"/>
      <c r="X181" s="17"/>
      <c r="Y181" s="17"/>
      <c r="Z181" s="17"/>
    </row>
    <row r="182">
      <c r="A182" s="327"/>
      <c r="B182" s="121"/>
      <c r="C182" s="340"/>
      <c r="D182" s="339"/>
      <c r="E182" s="327"/>
      <c r="F182" s="121"/>
      <c r="G182" s="327"/>
      <c r="H182" s="121"/>
      <c r="I182" s="333"/>
      <c r="J182" s="177"/>
      <c r="K182" s="333"/>
      <c r="L182" s="177"/>
      <c r="M182" s="333"/>
      <c r="N182" s="177"/>
      <c r="O182" s="327"/>
      <c r="P182" s="121"/>
      <c r="Q182" s="349"/>
      <c r="R182" s="149"/>
      <c r="S182" s="17"/>
      <c r="T182" s="17"/>
      <c r="U182" s="17"/>
      <c r="V182" s="17"/>
      <c r="W182" s="17"/>
      <c r="X182" s="17"/>
      <c r="Y182" s="17"/>
      <c r="Z182" s="17"/>
    </row>
    <row r="183">
      <c r="A183" s="327"/>
      <c r="B183" s="121"/>
      <c r="C183" s="340"/>
      <c r="D183" s="339"/>
      <c r="E183" s="327"/>
      <c r="F183" s="121"/>
      <c r="G183" s="327"/>
      <c r="H183" s="121"/>
      <c r="I183" s="333"/>
      <c r="J183" s="177"/>
      <c r="K183" s="333"/>
      <c r="L183" s="177"/>
      <c r="M183" s="333"/>
      <c r="N183" s="177"/>
      <c r="O183" s="327"/>
      <c r="P183" s="121"/>
      <c r="Q183" s="349"/>
      <c r="R183" s="149"/>
      <c r="S183" s="17"/>
      <c r="T183" s="17"/>
      <c r="U183" s="17"/>
      <c r="V183" s="17"/>
      <c r="W183" s="17"/>
      <c r="X183" s="17"/>
      <c r="Y183" s="17"/>
      <c r="Z183" s="17"/>
    </row>
    <row r="184">
      <c r="A184" s="327"/>
      <c r="B184" s="121"/>
      <c r="C184" s="340"/>
      <c r="D184" s="339"/>
      <c r="E184" s="327"/>
      <c r="F184" s="121"/>
      <c r="G184" s="327"/>
      <c r="H184" s="121"/>
      <c r="I184" s="333"/>
      <c r="J184" s="177"/>
      <c r="K184" s="333"/>
      <c r="L184" s="177"/>
      <c r="M184" s="333"/>
      <c r="N184" s="177"/>
      <c r="O184" s="327"/>
      <c r="P184" s="121"/>
      <c r="Q184" s="349"/>
      <c r="R184" s="149"/>
      <c r="S184" s="17"/>
      <c r="T184" s="17"/>
      <c r="U184" s="17"/>
      <c r="V184" s="17"/>
      <c r="W184" s="17"/>
      <c r="X184" s="17"/>
      <c r="Y184" s="17"/>
      <c r="Z184" s="17"/>
    </row>
    <row r="185">
      <c r="A185" s="327"/>
      <c r="B185" s="121"/>
      <c r="C185" s="340"/>
      <c r="D185" s="339"/>
      <c r="E185" s="327"/>
      <c r="F185" s="121"/>
      <c r="G185" s="327"/>
      <c r="H185" s="121"/>
      <c r="I185" s="333"/>
      <c r="J185" s="177"/>
      <c r="K185" s="333"/>
      <c r="L185" s="177"/>
      <c r="M185" s="333"/>
      <c r="N185" s="177"/>
      <c r="O185" s="327"/>
      <c r="P185" s="121"/>
      <c r="Q185" s="349"/>
      <c r="R185" s="149"/>
      <c r="S185" s="17"/>
      <c r="T185" s="17"/>
      <c r="U185" s="17"/>
      <c r="V185" s="17"/>
      <c r="W185" s="17"/>
      <c r="X185" s="17"/>
      <c r="Y185" s="17"/>
      <c r="Z185" s="17"/>
    </row>
    <row r="186">
      <c r="A186" s="327"/>
      <c r="B186" s="121"/>
      <c r="C186" s="340"/>
      <c r="D186" s="339"/>
      <c r="E186" s="327"/>
      <c r="F186" s="121"/>
      <c r="G186" s="327"/>
      <c r="H186" s="121"/>
      <c r="I186" s="333"/>
      <c r="J186" s="177"/>
      <c r="K186" s="333"/>
      <c r="L186" s="177"/>
      <c r="M186" s="333"/>
      <c r="N186" s="177"/>
      <c r="O186" s="327"/>
      <c r="P186" s="121"/>
      <c r="Q186" s="349"/>
      <c r="R186" s="149"/>
      <c r="S186" s="17"/>
      <c r="T186" s="17"/>
      <c r="U186" s="17"/>
      <c r="V186" s="17"/>
      <c r="W186" s="17"/>
      <c r="X186" s="17"/>
      <c r="Y186" s="17"/>
      <c r="Z186" s="17"/>
    </row>
    <row r="187">
      <c r="A187" s="327"/>
      <c r="B187" s="121"/>
      <c r="C187" s="340"/>
      <c r="D187" s="339"/>
      <c r="E187" s="327"/>
      <c r="F187" s="121"/>
      <c r="G187" s="327"/>
      <c r="H187" s="121"/>
      <c r="I187" s="333"/>
      <c r="J187" s="177"/>
      <c r="K187" s="333"/>
      <c r="L187" s="177"/>
      <c r="M187" s="333"/>
      <c r="N187" s="177"/>
      <c r="O187" s="327"/>
      <c r="P187" s="121"/>
      <c r="Q187" s="349"/>
      <c r="R187" s="149"/>
      <c r="S187" s="17"/>
      <c r="T187" s="17"/>
      <c r="U187" s="17"/>
      <c r="V187" s="17"/>
      <c r="W187" s="17"/>
      <c r="X187" s="17"/>
      <c r="Y187" s="17"/>
      <c r="Z187" s="17"/>
    </row>
    <row r="188">
      <c r="A188" s="327"/>
      <c r="B188" s="121"/>
      <c r="C188" s="340"/>
      <c r="D188" s="339"/>
      <c r="E188" s="327"/>
      <c r="F188" s="121"/>
      <c r="G188" s="327"/>
      <c r="H188" s="121"/>
      <c r="I188" s="333"/>
      <c r="J188" s="177"/>
      <c r="K188" s="333"/>
      <c r="L188" s="177"/>
      <c r="M188" s="333"/>
      <c r="N188" s="177"/>
      <c r="O188" s="327"/>
      <c r="P188" s="121"/>
      <c r="Q188" s="349"/>
      <c r="R188" s="149"/>
      <c r="S188" s="17"/>
      <c r="T188" s="17"/>
      <c r="U188" s="17"/>
      <c r="V188" s="17"/>
      <c r="W188" s="17"/>
      <c r="X188" s="17"/>
      <c r="Y188" s="17"/>
      <c r="Z188" s="17"/>
    </row>
    <row r="189">
      <c r="A189" s="327"/>
      <c r="B189" s="121"/>
      <c r="C189" s="340"/>
      <c r="D189" s="339"/>
      <c r="E189" s="327"/>
      <c r="F189" s="121"/>
      <c r="G189" s="327"/>
      <c r="H189" s="121"/>
      <c r="I189" s="333"/>
      <c r="J189" s="177"/>
      <c r="K189" s="333"/>
      <c r="L189" s="177"/>
      <c r="M189" s="333"/>
      <c r="N189" s="177"/>
      <c r="O189" s="327"/>
      <c r="P189" s="121"/>
      <c r="Q189" s="349"/>
      <c r="R189" s="149"/>
      <c r="S189" s="17"/>
      <c r="T189" s="17"/>
      <c r="U189" s="17"/>
      <c r="V189" s="17"/>
      <c r="W189" s="17"/>
      <c r="X189" s="17"/>
      <c r="Y189" s="17"/>
      <c r="Z189" s="17"/>
    </row>
    <row r="190">
      <c r="A190" s="327"/>
      <c r="B190" s="121"/>
      <c r="C190" s="340"/>
      <c r="D190" s="339"/>
      <c r="E190" s="327"/>
      <c r="F190" s="121"/>
      <c r="G190" s="327"/>
      <c r="H190" s="121"/>
      <c r="I190" s="333"/>
      <c r="J190" s="177"/>
      <c r="K190" s="333"/>
      <c r="L190" s="177"/>
      <c r="M190" s="333"/>
      <c r="N190" s="177"/>
      <c r="O190" s="327"/>
      <c r="P190" s="121"/>
      <c r="Q190" s="349"/>
      <c r="R190" s="149"/>
      <c r="S190" s="17"/>
      <c r="T190" s="17"/>
      <c r="U190" s="17"/>
      <c r="V190" s="17"/>
      <c r="W190" s="17"/>
      <c r="X190" s="17"/>
      <c r="Y190" s="17"/>
      <c r="Z190" s="17"/>
    </row>
    <row r="191">
      <c r="A191" s="327"/>
      <c r="B191" s="121"/>
      <c r="C191" s="340"/>
      <c r="D191" s="339"/>
      <c r="E191" s="327"/>
      <c r="F191" s="121"/>
      <c r="G191" s="327"/>
      <c r="H191" s="121"/>
      <c r="I191" s="333"/>
      <c r="J191" s="177"/>
      <c r="K191" s="333"/>
      <c r="L191" s="177"/>
      <c r="M191" s="333"/>
      <c r="N191" s="177"/>
      <c r="O191" s="327"/>
      <c r="P191" s="121"/>
      <c r="Q191" s="349"/>
      <c r="R191" s="149"/>
      <c r="S191" s="17"/>
      <c r="T191" s="17"/>
      <c r="U191" s="17"/>
      <c r="V191" s="17"/>
      <c r="W191" s="17"/>
      <c r="X191" s="17"/>
      <c r="Y191" s="17"/>
      <c r="Z191" s="17"/>
    </row>
    <row r="192">
      <c r="A192" s="327"/>
      <c r="B192" s="121"/>
      <c r="C192" s="340"/>
      <c r="D192" s="339"/>
      <c r="E192" s="327"/>
      <c r="F192" s="121"/>
      <c r="G192" s="327"/>
      <c r="H192" s="121"/>
      <c r="I192" s="333"/>
      <c r="J192" s="177"/>
      <c r="K192" s="333"/>
      <c r="L192" s="177"/>
      <c r="M192" s="333"/>
      <c r="N192" s="177"/>
      <c r="O192" s="327"/>
      <c r="P192" s="121"/>
      <c r="Q192" s="349"/>
      <c r="R192" s="149"/>
      <c r="S192" s="17"/>
      <c r="T192" s="17"/>
      <c r="U192" s="17"/>
      <c r="V192" s="17"/>
      <c r="W192" s="17"/>
      <c r="X192" s="17"/>
      <c r="Y192" s="17"/>
      <c r="Z192" s="17"/>
    </row>
    <row r="193">
      <c r="A193" s="327"/>
      <c r="B193" s="121"/>
      <c r="C193" s="340"/>
      <c r="D193" s="339"/>
      <c r="E193" s="327"/>
      <c r="F193" s="121"/>
      <c r="G193" s="327"/>
      <c r="H193" s="121"/>
      <c r="I193" s="333"/>
      <c r="J193" s="177"/>
      <c r="K193" s="333"/>
      <c r="L193" s="177"/>
      <c r="M193" s="333"/>
      <c r="N193" s="177"/>
      <c r="O193" s="327"/>
      <c r="P193" s="121"/>
      <c r="Q193" s="349"/>
      <c r="R193" s="149"/>
      <c r="S193" s="17"/>
      <c r="T193" s="17"/>
      <c r="U193" s="17"/>
      <c r="V193" s="17"/>
      <c r="W193" s="17"/>
      <c r="X193" s="17"/>
      <c r="Y193" s="17"/>
      <c r="Z193" s="17"/>
    </row>
    <row r="194">
      <c r="A194" s="327"/>
      <c r="B194" s="121"/>
      <c r="C194" s="340"/>
      <c r="D194" s="339"/>
      <c r="E194" s="327"/>
      <c r="F194" s="121"/>
      <c r="G194" s="327"/>
      <c r="H194" s="121"/>
      <c r="I194" s="333"/>
      <c r="J194" s="177"/>
      <c r="K194" s="333"/>
      <c r="L194" s="177"/>
      <c r="M194" s="333"/>
      <c r="N194" s="177"/>
      <c r="O194" s="327"/>
      <c r="P194" s="121"/>
      <c r="Q194" s="349"/>
      <c r="R194" s="149"/>
      <c r="S194" s="17"/>
      <c r="T194" s="17"/>
      <c r="U194" s="17"/>
      <c r="V194" s="17"/>
      <c r="W194" s="17"/>
      <c r="X194" s="17"/>
      <c r="Y194" s="17"/>
      <c r="Z194" s="17"/>
    </row>
    <row r="195">
      <c r="A195" s="327"/>
      <c r="B195" s="121"/>
      <c r="C195" s="340"/>
      <c r="D195" s="339"/>
      <c r="E195" s="327"/>
      <c r="F195" s="121"/>
      <c r="G195" s="327"/>
      <c r="H195" s="121"/>
      <c r="I195" s="333"/>
      <c r="J195" s="177"/>
      <c r="K195" s="333"/>
      <c r="L195" s="177"/>
      <c r="M195" s="333"/>
      <c r="N195" s="177"/>
      <c r="O195" s="327"/>
      <c r="P195" s="121"/>
      <c r="Q195" s="349"/>
      <c r="R195" s="149"/>
      <c r="S195" s="17"/>
      <c r="T195" s="17"/>
      <c r="U195" s="17"/>
      <c r="V195" s="17"/>
      <c r="W195" s="17"/>
      <c r="X195" s="17"/>
      <c r="Y195" s="17"/>
      <c r="Z195" s="17"/>
    </row>
    <row r="196">
      <c r="A196" s="327"/>
      <c r="B196" s="121"/>
      <c r="C196" s="340"/>
      <c r="D196" s="339"/>
      <c r="E196" s="327"/>
      <c r="F196" s="121"/>
      <c r="G196" s="327"/>
      <c r="H196" s="121"/>
      <c r="I196" s="333"/>
      <c r="J196" s="177"/>
      <c r="K196" s="333"/>
      <c r="L196" s="177"/>
      <c r="M196" s="333"/>
      <c r="N196" s="177"/>
      <c r="O196" s="327"/>
      <c r="P196" s="121"/>
      <c r="Q196" s="349"/>
      <c r="R196" s="149"/>
      <c r="S196" s="17"/>
      <c r="T196" s="17"/>
      <c r="U196" s="17"/>
      <c r="V196" s="17"/>
      <c r="W196" s="17"/>
      <c r="X196" s="17"/>
      <c r="Y196" s="17"/>
      <c r="Z196" s="17"/>
    </row>
    <row r="197">
      <c r="A197" s="327"/>
      <c r="B197" s="121"/>
      <c r="C197" s="340"/>
      <c r="D197" s="339"/>
      <c r="E197" s="327"/>
      <c r="F197" s="121"/>
      <c r="G197" s="327"/>
      <c r="H197" s="121"/>
      <c r="I197" s="333"/>
      <c r="J197" s="177"/>
      <c r="K197" s="333"/>
      <c r="L197" s="177"/>
      <c r="M197" s="333"/>
      <c r="N197" s="177"/>
      <c r="O197" s="327"/>
      <c r="P197" s="121"/>
      <c r="Q197" s="349"/>
      <c r="R197" s="149"/>
      <c r="S197" s="17"/>
      <c r="T197" s="17"/>
      <c r="U197" s="17"/>
      <c r="V197" s="17"/>
      <c r="W197" s="17"/>
      <c r="X197" s="17"/>
      <c r="Y197" s="17"/>
      <c r="Z197" s="17"/>
    </row>
    <row r="198">
      <c r="A198" s="327"/>
      <c r="B198" s="121"/>
      <c r="C198" s="340"/>
      <c r="D198" s="339"/>
      <c r="E198" s="327"/>
      <c r="F198" s="121"/>
      <c r="G198" s="327"/>
      <c r="H198" s="121"/>
      <c r="I198" s="333"/>
      <c r="J198" s="177"/>
      <c r="K198" s="333"/>
      <c r="L198" s="177"/>
      <c r="M198" s="333"/>
      <c r="N198" s="177"/>
      <c r="O198" s="327"/>
      <c r="P198" s="121"/>
      <c r="Q198" s="349"/>
      <c r="R198" s="149"/>
      <c r="S198" s="17"/>
      <c r="T198" s="17"/>
      <c r="U198" s="17"/>
      <c r="V198" s="17"/>
      <c r="W198" s="17"/>
      <c r="X198" s="17"/>
      <c r="Y198" s="17"/>
      <c r="Z198" s="17"/>
    </row>
    <row r="199">
      <c r="A199" s="327"/>
      <c r="B199" s="121"/>
      <c r="C199" s="340"/>
      <c r="D199" s="339"/>
      <c r="E199" s="327"/>
      <c r="F199" s="121"/>
      <c r="G199" s="327"/>
      <c r="H199" s="121"/>
      <c r="I199" s="333"/>
      <c r="J199" s="177"/>
      <c r="K199" s="333"/>
      <c r="L199" s="177"/>
      <c r="M199" s="333"/>
      <c r="N199" s="177"/>
      <c r="O199" s="327"/>
      <c r="P199" s="121"/>
      <c r="Q199" s="349"/>
      <c r="R199" s="149"/>
      <c r="S199" s="17"/>
      <c r="T199" s="17"/>
      <c r="U199" s="17"/>
      <c r="V199" s="17"/>
      <c r="W199" s="17"/>
      <c r="X199" s="17"/>
      <c r="Y199" s="17"/>
      <c r="Z199" s="17"/>
    </row>
    <row r="200">
      <c r="A200" s="327"/>
      <c r="B200" s="121"/>
      <c r="C200" s="340"/>
      <c r="D200" s="339"/>
      <c r="E200" s="327"/>
      <c r="F200" s="121"/>
      <c r="G200" s="327"/>
      <c r="H200" s="121"/>
      <c r="I200" s="333"/>
      <c r="J200" s="177"/>
      <c r="K200" s="333"/>
      <c r="L200" s="177"/>
      <c r="M200" s="333"/>
      <c r="N200" s="177"/>
      <c r="O200" s="327"/>
      <c r="P200" s="121"/>
      <c r="Q200" s="349"/>
      <c r="R200" s="149"/>
      <c r="S200" s="17"/>
      <c r="T200" s="17"/>
      <c r="U200" s="17"/>
      <c r="V200" s="17"/>
      <c r="W200" s="17"/>
      <c r="X200" s="17"/>
      <c r="Y200" s="17"/>
      <c r="Z200" s="17"/>
    </row>
    <row r="201">
      <c r="A201" s="327"/>
      <c r="B201" s="121"/>
      <c r="C201" s="340"/>
      <c r="D201" s="339"/>
      <c r="E201" s="327"/>
      <c r="F201" s="121"/>
      <c r="G201" s="327"/>
      <c r="H201" s="121"/>
      <c r="I201" s="333"/>
      <c r="J201" s="177"/>
      <c r="K201" s="333"/>
      <c r="L201" s="177"/>
      <c r="M201" s="333"/>
      <c r="N201" s="177"/>
      <c r="O201" s="327"/>
      <c r="P201" s="121"/>
      <c r="Q201" s="349"/>
      <c r="R201" s="149"/>
      <c r="S201" s="17"/>
      <c r="T201" s="17"/>
      <c r="U201" s="17"/>
      <c r="V201" s="17"/>
      <c r="W201" s="17"/>
      <c r="X201" s="17"/>
      <c r="Y201" s="17"/>
      <c r="Z201" s="17"/>
    </row>
    <row r="202">
      <c r="A202" s="327"/>
      <c r="B202" s="121"/>
      <c r="C202" s="340"/>
      <c r="D202" s="339"/>
      <c r="E202" s="327"/>
      <c r="F202" s="121"/>
      <c r="G202" s="327"/>
      <c r="H202" s="121"/>
      <c r="I202" s="333"/>
      <c r="J202" s="177"/>
      <c r="K202" s="333"/>
      <c r="L202" s="177"/>
      <c r="M202" s="333"/>
      <c r="N202" s="177"/>
      <c r="O202" s="327"/>
      <c r="P202" s="121"/>
      <c r="Q202" s="349"/>
      <c r="R202" s="149"/>
      <c r="S202" s="17"/>
      <c r="T202" s="17"/>
      <c r="U202" s="17"/>
      <c r="V202" s="17"/>
      <c r="W202" s="17"/>
      <c r="X202" s="17"/>
      <c r="Y202" s="17"/>
      <c r="Z202" s="17"/>
    </row>
    <row r="203">
      <c r="A203" s="327"/>
      <c r="B203" s="121"/>
      <c r="C203" s="340"/>
      <c r="D203" s="339"/>
      <c r="E203" s="327"/>
      <c r="F203" s="121"/>
      <c r="G203" s="327"/>
      <c r="H203" s="121"/>
      <c r="I203" s="333"/>
      <c r="J203" s="177"/>
      <c r="K203" s="333"/>
      <c r="L203" s="177"/>
      <c r="M203" s="333"/>
      <c r="N203" s="177"/>
      <c r="O203" s="327"/>
      <c r="P203" s="121"/>
      <c r="Q203" s="349"/>
      <c r="R203" s="149"/>
      <c r="S203" s="17"/>
      <c r="T203" s="17"/>
      <c r="U203" s="17"/>
      <c r="V203" s="17"/>
      <c r="W203" s="17"/>
      <c r="X203" s="17"/>
      <c r="Y203" s="17"/>
      <c r="Z203" s="17"/>
    </row>
    <row r="204">
      <c r="A204" s="327"/>
      <c r="B204" s="121"/>
      <c r="C204" s="340"/>
      <c r="D204" s="339"/>
      <c r="E204" s="327"/>
      <c r="F204" s="121"/>
      <c r="G204" s="327"/>
      <c r="H204" s="121"/>
      <c r="I204" s="333"/>
      <c r="J204" s="177"/>
      <c r="K204" s="333"/>
      <c r="L204" s="177"/>
      <c r="M204" s="333"/>
      <c r="N204" s="177"/>
      <c r="O204" s="327"/>
      <c r="P204" s="121"/>
      <c r="Q204" s="349"/>
      <c r="R204" s="149"/>
      <c r="S204" s="17"/>
      <c r="T204" s="17"/>
      <c r="U204" s="17"/>
      <c r="V204" s="17"/>
      <c r="W204" s="17"/>
      <c r="X204" s="17"/>
      <c r="Y204" s="17"/>
      <c r="Z204" s="17"/>
    </row>
    <row r="205">
      <c r="A205" s="327"/>
      <c r="B205" s="121"/>
      <c r="C205" s="340"/>
      <c r="D205" s="339"/>
      <c r="E205" s="327"/>
      <c r="F205" s="121"/>
      <c r="G205" s="327"/>
      <c r="H205" s="121"/>
      <c r="I205" s="333"/>
      <c r="J205" s="177"/>
      <c r="K205" s="333"/>
      <c r="L205" s="177"/>
      <c r="M205" s="333"/>
      <c r="N205" s="177"/>
      <c r="O205" s="327"/>
      <c r="P205" s="121"/>
      <c r="Q205" s="349"/>
      <c r="R205" s="149"/>
      <c r="S205" s="17"/>
      <c r="T205" s="17"/>
      <c r="U205" s="17"/>
      <c r="V205" s="17"/>
      <c r="W205" s="17"/>
      <c r="X205" s="17"/>
      <c r="Y205" s="17"/>
      <c r="Z205" s="17"/>
    </row>
    <row r="206">
      <c r="A206" s="327"/>
      <c r="B206" s="121"/>
      <c r="C206" s="340"/>
      <c r="D206" s="339"/>
      <c r="E206" s="327"/>
      <c r="F206" s="121"/>
      <c r="G206" s="327"/>
      <c r="H206" s="121"/>
      <c r="I206" s="333"/>
      <c r="J206" s="177"/>
      <c r="K206" s="333"/>
      <c r="L206" s="177"/>
      <c r="M206" s="333"/>
      <c r="N206" s="177"/>
      <c r="O206" s="327"/>
      <c r="P206" s="121"/>
      <c r="Q206" s="349"/>
      <c r="R206" s="149"/>
      <c r="S206" s="17"/>
      <c r="T206" s="17"/>
      <c r="U206" s="17"/>
      <c r="V206" s="17"/>
      <c r="W206" s="17"/>
      <c r="X206" s="17"/>
      <c r="Y206" s="17"/>
      <c r="Z206" s="17"/>
    </row>
    <row r="207">
      <c r="A207" s="327"/>
      <c r="B207" s="121"/>
      <c r="C207" s="340"/>
      <c r="D207" s="339"/>
      <c r="E207" s="327"/>
      <c r="F207" s="121"/>
      <c r="G207" s="327"/>
      <c r="H207" s="121"/>
      <c r="I207" s="333"/>
      <c r="J207" s="177"/>
      <c r="K207" s="333"/>
      <c r="L207" s="177"/>
      <c r="M207" s="333"/>
      <c r="N207" s="177"/>
      <c r="O207" s="327"/>
      <c r="P207" s="121"/>
      <c r="Q207" s="349"/>
      <c r="R207" s="149"/>
      <c r="S207" s="17"/>
      <c r="T207" s="17"/>
      <c r="U207" s="17"/>
      <c r="V207" s="17"/>
      <c r="W207" s="17"/>
      <c r="X207" s="17"/>
      <c r="Y207" s="17"/>
      <c r="Z207" s="17"/>
    </row>
    <row r="208">
      <c r="A208" s="327"/>
      <c r="B208" s="121"/>
      <c r="C208" s="340"/>
      <c r="D208" s="339"/>
      <c r="E208" s="327"/>
      <c r="F208" s="121"/>
      <c r="G208" s="327"/>
      <c r="H208" s="121"/>
      <c r="I208" s="333"/>
      <c r="J208" s="177"/>
      <c r="K208" s="333"/>
      <c r="L208" s="177"/>
      <c r="M208" s="333"/>
      <c r="N208" s="177"/>
      <c r="O208" s="327"/>
      <c r="P208" s="121"/>
      <c r="Q208" s="349"/>
      <c r="R208" s="149"/>
      <c r="S208" s="17"/>
      <c r="T208" s="17"/>
      <c r="U208" s="17"/>
      <c r="V208" s="17"/>
      <c r="W208" s="17"/>
      <c r="X208" s="17"/>
      <c r="Y208" s="17"/>
      <c r="Z208" s="17"/>
    </row>
    <row r="209">
      <c r="A209" s="327"/>
      <c r="B209" s="121"/>
      <c r="C209" s="340"/>
      <c r="D209" s="339"/>
      <c r="E209" s="327"/>
      <c r="F209" s="121"/>
      <c r="G209" s="327"/>
      <c r="H209" s="121"/>
      <c r="I209" s="333"/>
      <c r="J209" s="177"/>
      <c r="K209" s="333"/>
      <c r="L209" s="177"/>
      <c r="M209" s="333"/>
      <c r="N209" s="177"/>
      <c r="O209" s="327"/>
      <c r="P209" s="121"/>
      <c r="Q209" s="349"/>
      <c r="R209" s="149"/>
      <c r="S209" s="17"/>
      <c r="T209" s="17"/>
      <c r="U209" s="17"/>
      <c r="V209" s="17"/>
      <c r="W209" s="17"/>
      <c r="X209" s="17"/>
      <c r="Y209" s="17"/>
      <c r="Z209" s="17"/>
    </row>
    <row r="210">
      <c r="A210" s="327"/>
      <c r="B210" s="121"/>
      <c r="C210" s="340"/>
      <c r="D210" s="339"/>
      <c r="E210" s="327"/>
      <c r="F210" s="121"/>
      <c r="G210" s="327"/>
      <c r="H210" s="121"/>
      <c r="I210" s="333"/>
      <c r="J210" s="177"/>
      <c r="K210" s="333"/>
      <c r="L210" s="177"/>
      <c r="M210" s="333"/>
      <c r="N210" s="177"/>
      <c r="O210" s="327"/>
      <c r="P210" s="121"/>
      <c r="Q210" s="349"/>
      <c r="R210" s="149"/>
      <c r="S210" s="17"/>
      <c r="T210" s="17"/>
      <c r="U210" s="17"/>
      <c r="V210" s="17"/>
      <c r="W210" s="17"/>
      <c r="X210" s="17"/>
      <c r="Y210" s="17"/>
      <c r="Z210" s="17"/>
    </row>
    <row r="211">
      <c r="A211" s="327"/>
      <c r="B211" s="121"/>
      <c r="C211" s="340"/>
      <c r="D211" s="339"/>
      <c r="E211" s="327"/>
      <c r="F211" s="121"/>
      <c r="G211" s="327"/>
      <c r="H211" s="121"/>
      <c r="I211" s="333"/>
      <c r="J211" s="177"/>
      <c r="K211" s="333"/>
      <c r="L211" s="177"/>
      <c r="M211" s="333"/>
      <c r="N211" s="177"/>
      <c r="O211" s="327"/>
      <c r="P211" s="121"/>
      <c r="Q211" s="349"/>
      <c r="R211" s="149"/>
      <c r="S211" s="17"/>
      <c r="T211" s="17"/>
      <c r="U211" s="17"/>
      <c r="V211" s="17"/>
      <c r="W211" s="17"/>
      <c r="X211" s="17"/>
      <c r="Y211" s="17"/>
      <c r="Z211" s="17"/>
    </row>
    <row r="212">
      <c r="A212" s="327"/>
      <c r="B212" s="121"/>
      <c r="C212" s="340"/>
      <c r="D212" s="339"/>
      <c r="E212" s="327"/>
      <c r="F212" s="121"/>
      <c r="G212" s="327"/>
      <c r="H212" s="121"/>
      <c r="I212" s="333"/>
      <c r="J212" s="177"/>
      <c r="K212" s="333"/>
      <c r="L212" s="177"/>
      <c r="M212" s="333"/>
      <c r="N212" s="177"/>
      <c r="O212" s="327"/>
      <c r="P212" s="121"/>
      <c r="Q212" s="349"/>
      <c r="R212" s="149"/>
      <c r="S212" s="17"/>
      <c r="T212" s="17"/>
      <c r="U212" s="17"/>
      <c r="V212" s="17"/>
      <c r="W212" s="17"/>
      <c r="X212" s="17"/>
      <c r="Y212" s="17"/>
      <c r="Z212" s="17"/>
    </row>
    <row r="213">
      <c r="A213" s="327"/>
      <c r="B213" s="121"/>
      <c r="C213" s="340"/>
      <c r="D213" s="339"/>
      <c r="E213" s="327"/>
      <c r="F213" s="121"/>
      <c r="G213" s="327"/>
      <c r="H213" s="121"/>
      <c r="I213" s="333"/>
      <c r="J213" s="177"/>
      <c r="K213" s="333"/>
      <c r="L213" s="177"/>
      <c r="M213" s="333"/>
      <c r="N213" s="177"/>
      <c r="O213" s="327"/>
      <c r="P213" s="121"/>
      <c r="Q213" s="349"/>
      <c r="R213" s="149"/>
      <c r="S213" s="17"/>
      <c r="T213" s="17"/>
      <c r="U213" s="17"/>
      <c r="V213" s="17"/>
      <c r="W213" s="17"/>
      <c r="X213" s="17"/>
      <c r="Y213" s="17"/>
      <c r="Z213" s="17"/>
    </row>
    <row r="214">
      <c r="A214" s="327"/>
      <c r="B214" s="121"/>
      <c r="C214" s="340"/>
      <c r="D214" s="339"/>
      <c r="E214" s="327"/>
      <c r="F214" s="121"/>
      <c r="G214" s="327"/>
      <c r="H214" s="121"/>
      <c r="I214" s="333"/>
      <c r="J214" s="177"/>
      <c r="K214" s="333"/>
      <c r="L214" s="177"/>
      <c r="M214" s="333"/>
      <c r="N214" s="177"/>
      <c r="O214" s="327"/>
      <c r="P214" s="121"/>
      <c r="Q214" s="349"/>
      <c r="R214" s="149"/>
      <c r="S214" s="17"/>
      <c r="T214" s="17"/>
      <c r="U214" s="17"/>
      <c r="V214" s="17"/>
      <c r="W214" s="17"/>
      <c r="X214" s="17"/>
      <c r="Y214" s="17"/>
      <c r="Z214" s="17"/>
    </row>
    <row r="215">
      <c r="A215" s="327"/>
      <c r="B215" s="121"/>
      <c r="C215" s="340"/>
      <c r="D215" s="339"/>
      <c r="E215" s="327"/>
      <c r="F215" s="121"/>
      <c r="G215" s="327"/>
      <c r="H215" s="121"/>
      <c r="I215" s="333"/>
      <c r="J215" s="177"/>
      <c r="K215" s="333"/>
      <c r="L215" s="177"/>
      <c r="M215" s="333"/>
      <c r="N215" s="177"/>
      <c r="O215" s="327"/>
      <c r="P215" s="121"/>
      <c r="Q215" s="349"/>
      <c r="R215" s="149"/>
      <c r="S215" s="17"/>
      <c r="T215" s="17"/>
      <c r="U215" s="17"/>
      <c r="V215" s="17"/>
      <c r="W215" s="17"/>
      <c r="X215" s="17"/>
      <c r="Y215" s="17"/>
      <c r="Z215" s="17"/>
    </row>
    <row r="216">
      <c r="A216" s="327"/>
      <c r="B216" s="121"/>
      <c r="C216" s="340"/>
      <c r="D216" s="339"/>
      <c r="E216" s="327"/>
      <c r="F216" s="121"/>
      <c r="G216" s="327"/>
      <c r="H216" s="121"/>
      <c r="I216" s="333"/>
      <c r="J216" s="177"/>
      <c r="K216" s="333"/>
      <c r="L216" s="177"/>
      <c r="M216" s="333"/>
      <c r="N216" s="177"/>
      <c r="O216" s="327"/>
      <c r="P216" s="121"/>
      <c r="Q216" s="349"/>
      <c r="R216" s="149"/>
      <c r="S216" s="17"/>
      <c r="T216" s="17"/>
      <c r="U216" s="17"/>
      <c r="V216" s="17"/>
      <c r="W216" s="17"/>
      <c r="X216" s="17"/>
      <c r="Y216" s="17"/>
      <c r="Z216" s="17"/>
    </row>
    <row r="217">
      <c r="A217" s="327"/>
      <c r="B217" s="121"/>
      <c r="C217" s="340"/>
      <c r="D217" s="339"/>
      <c r="E217" s="327"/>
      <c r="F217" s="121"/>
      <c r="G217" s="327"/>
      <c r="H217" s="121"/>
      <c r="I217" s="333"/>
      <c r="J217" s="177"/>
      <c r="K217" s="333"/>
      <c r="L217" s="177"/>
      <c r="M217" s="333"/>
      <c r="N217" s="177"/>
      <c r="O217" s="327"/>
      <c r="P217" s="121"/>
      <c r="Q217" s="349"/>
      <c r="R217" s="149"/>
      <c r="S217" s="17"/>
      <c r="T217" s="17"/>
      <c r="U217" s="17"/>
      <c r="V217" s="17"/>
      <c r="W217" s="17"/>
      <c r="X217" s="17"/>
      <c r="Y217" s="17"/>
      <c r="Z217" s="17"/>
    </row>
    <row r="218">
      <c r="A218" s="327"/>
      <c r="B218" s="121"/>
      <c r="C218" s="340"/>
      <c r="D218" s="339"/>
      <c r="E218" s="327"/>
      <c r="F218" s="121"/>
      <c r="G218" s="327"/>
      <c r="H218" s="121"/>
      <c r="I218" s="333"/>
      <c r="J218" s="177"/>
      <c r="K218" s="333"/>
      <c r="L218" s="177"/>
      <c r="M218" s="333"/>
      <c r="N218" s="177"/>
      <c r="O218" s="327"/>
      <c r="P218" s="121"/>
      <c r="Q218" s="349"/>
      <c r="R218" s="149"/>
      <c r="S218" s="17"/>
      <c r="T218" s="17"/>
      <c r="U218" s="17"/>
      <c r="V218" s="17"/>
      <c r="W218" s="17"/>
      <c r="X218" s="17"/>
      <c r="Y218" s="17"/>
      <c r="Z218" s="17"/>
    </row>
    <row r="219">
      <c r="A219" s="327"/>
      <c r="B219" s="121"/>
      <c r="C219" s="340"/>
      <c r="D219" s="339"/>
      <c r="E219" s="327"/>
      <c r="F219" s="121"/>
      <c r="G219" s="327"/>
      <c r="H219" s="121"/>
      <c r="I219" s="333"/>
      <c r="J219" s="177"/>
      <c r="K219" s="333"/>
      <c r="L219" s="177"/>
      <c r="M219" s="333"/>
      <c r="N219" s="177"/>
      <c r="O219" s="327"/>
      <c r="P219" s="121"/>
      <c r="Q219" s="349"/>
      <c r="R219" s="149"/>
      <c r="S219" s="17"/>
      <c r="T219" s="17"/>
      <c r="U219" s="17"/>
      <c r="V219" s="17"/>
      <c r="W219" s="17"/>
      <c r="X219" s="17"/>
      <c r="Y219" s="17"/>
      <c r="Z219" s="17"/>
    </row>
    <row r="220">
      <c r="A220" s="327"/>
      <c r="B220" s="121"/>
      <c r="C220" s="340"/>
      <c r="D220" s="339"/>
      <c r="E220" s="327"/>
      <c r="F220" s="121"/>
      <c r="G220" s="327"/>
      <c r="H220" s="121"/>
      <c r="I220" s="333"/>
      <c r="J220" s="177"/>
      <c r="K220" s="333"/>
      <c r="L220" s="177"/>
      <c r="M220" s="333"/>
      <c r="N220" s="177"/>
      <c r="O220" s="327"/>
      <c r="P220" s="121"/>
      <c r="Q220" s="349"/>
      <c r="R220" s="149"/>
      <c r="S220" s="17"/>
      <c r="T220" s="17"/>
      <c r="U220" s="17"/>
      <c r="V220" s="17"/>
      <c r="W220" s="17"/>
      <c r="X220" s="17"/>
      <c r="Y220" s="17"/>
      <c r="Z220" s="17"/>
    </row>
    <row r="221">
      <c r="A221" s="327"/>
      <c r="B221" s="121"/>
      <c r="C221" s="340"/>
      <c r="D221" s="339"/>
      <c r="E221" s="327"/>
      <c r="F221" s="121"/>
      <c r="G221" s="327"/>
      <c r="H221" s="121"/>
      <c r="I221" s="333"/>
      <c r="J221" s="177"/>
      <c r="K221" s="333"/>
      <c r="L221" s="177"/>
      <c r="M221" s="333"/>
      <c r="N221" s="177"/>
      <c r="O221" s="327"/>
      <c r="P221" s="121"/>
      <c r="Q221" s="349"/>
      <c r="R221" s="149"/>
      <c r="S221" s="17"/>
      <c r="T221" s="17"/>
      <c r="U221" s="17"/>
      <c r="V221" s="17"/>
      <c r="W221" s="17"/>
      <c r="X221" s="17"/>
      <c r="Y221" s="17"/>
      <c r="Z221" s="17"/>
    </row>
    <row r="222">
      <c r="A222" s="327"/>
      <c r="B222" s="121"/>
      <c r="C222" s="340"/>
      <c r="D222" s="339"/>
      <c r="E222" s="327"/>
      <c r="F222" s="121"/>
      <c r="G222" s="327"/>
      <c r="H222" s="121"/>
      <c r="I222" s="333"/>
      <c r="J222" s="177"/>
      <c r="K222" s="333"/>
      <c r="L222" s="177"/>
      <c r="M222" s="333"/>
      <c r="N222" s="177"/>
      <c r="O222" s="327"/>
      <c r="P222" s="121"/>
      <c r="Q222" s="349"/>
      <c r="R222" s="149"/>
      <c r="S222" s="17"/>
      <c r="T222" s="17"/>
      <c r="U222" s="17"/>
      <c r="V222" s="17"/>
      <c r="W222" s="17"/>
      <c r="X222" s="17"/>
      <c r="Y222" s="17"/>
      <c r="Z222" s="17"/>
    </row>
    <row r="223">
      <c r="A223" s="327"/>
      <c r="B223" s="121"/>
      <c r="C223" s="340"/>
      <c r="D223" s="339"/>
      <c r="E223" s="327"/>
      <c r="F223" s="121"/>
      <c r="G223" s="327"/>
      <c r="H223" s="121"/>
      <c r="I223" s="333"/>
      <c r="J223" s="177"/>
      <c r="K223" s="333"/>
      <c r="L223" s="177"/>
      <c r="M223" s="333"/>
      <c r="N223" s="177"/>
      <c r="O223" s="327"/>
      <c r="P223" s="121"/>
      <c r="Q223" s="349"/>
      <c r="R223" s="149"/>
      <c r="S223" s="17"/>
      <c r="T223" s="17"/>
      <c r="U223" s="17"/>
      <c r="V223" s="17"/>
      <c r="W223" s="17"/>
      <c r="X223" s="17"/>
      <c r="Y223" s="17"/>
      <c r="Z223" s="17"/>
    </row>
    <row r="224">
      <c r="A224" s="327"/>
      <c r="B224" s="121"/>
      <c r="C224" s="340"/>
      <c r="D224" s="339"/>
      <c r="E224" s="327"/>
      <c r="F224" s="121"/>
      <c r="G224" s="327"/>
      <c r="H224" s="121"/>
      <c r="I224" s="333"/>
      <c r="J224" s="177"/>
      <c r="K224" s="333"/>
      <c r="L224" s="177"/>
      <c r="M224" s="333"/>
      <c r="N224" s="177"/>
      <c r="O224" s="327"/>
      <c r="P224" s="121"/>
      <c r="Q224" s="349"/>
      <c r="R224" s="149"/>
      <c r="S224" s="17"/>
      <c r="T224" s="17"/>
      <c r="U224" s="17"/>
      <c r="V224" s="17"/>
      <c r="W224" s="17"/>
      <c r="X224" s="17"/>
      <c r="Y224" s="17"/>
      <c r="Z224" s="17"/>
    </row>
    <row r="225">
      <c r="A225" s="327"/>
      <c r="B225" s="121"/>
      <c r="C225" s="340"/>
      <c r="D225" s="339"/>
      <c r="E225" s="327"/>
      <c r="F225" s="121"/>
      <c r="G225" s="327"/>
      <c r="H225" s="121"/>
      <c r="I225" s="333"/>
      <c r="J225" s="177"/>
      <c r="K225" s="333"/>
      <c r="L225" s="177"/>
      <c r="M225" s="333"/>
      <c r="N225" s="177"/>
      <c r="O225" s="327"/>
      <c r="P225" s="121"/>
      <c r="Q225" s="349"/>
      <c r="R225" s="149"/>
      <c r="S225" s="17"/>
      <c r="T225" s="17"/>
      <c r="U225" s="17"/>
      <c r="V225" s="17"/>
      <c r="W225" s="17"/>
      <c r="X225" s="17"/>
      <c r="Y225" s="17"/>
      <c r="Z225" s="17"/>
    </row>
    <row r="226">
      <c r="A226" s="327"/>
      <c r="B226" s="121"/>
      <c r="C226" s="340"/>
      <c r="D226" s="339"/>
      <c r="E226" s="327"/>
      <c r="F226" s="121"/>
      <c r="G226" s="327"/>
      <c r="H226" s="121"/>
      <c r="I226" s="333"/>
      <c r="J226" s="177"/>
      <c r="K226" s="333"/>
      <c r="L226" s="177"/>
      <c r="M226" s="333"/>
      <c r="N226" s="177"/>
      <c r="O226" s="327"/>
      <c r="P226" s="121"/>
      <c r="Q226" s="349"/>
      <c r="R226" s="149"/>
      <c r="S226" s="17"/>
      <c r="T226" s="17"/>
      <c r="U226" s="17"/>
      <c r="V226" s="17"/>
      <c r="W226" s="17"/>
      <c r="X226" s="17"/>
      <c r="Y226" s="17"/>
      <c r="Z226" s="17"/>
    </row>
    <row r="227">
      <c r="A227" s="327"/>
      <c r="B227" s="121"/>
      <c r="C227" s="340"/>
      <c r="D227" s="339"/>
      <c r="E227" s="327"/>
      <c r="F227" s="121"/>
      <c r="G227" s="327"/>
      <c r="H227" s="121"/>
      <c r="I227" s="333"/>
      <c r="J227" s="177"/>
      <c r="K227" s="333"/>
      <c r="L227" s="177"/>
      <c r="M227" s="333"/>
      <c r="N227" s="177"/>
      <c r="O227" s="327"/>
      <c r="P227" s="121"/>
      <c r="Q227" s="349"/>
      <c r="R227" s="149"/>
      <c r="S227" s="17"/>
      <c r="T227" s="17"/>
      <c r="U227" s="17"/>
      <c r="V227" s="17"/>
      <c r="W227" s="17"/>
      <c r="X227" s="17"/>
      <c r="Y227" s="17"/>
      <c r="Z227" s="17"/>
    </row>
    <row r="228">
      <c r="A228" s="327"/>
      <c r="B228" s="121"/>
      <c r="C228" s="340"/>
      <c r="D228" s="339"/>
      <c r="E228" s="327"/>
      <c r="F228" s="121"/>
      <c r="G228" s="327"/>
      <c r="H228" s="121"/>
      <c r="I228" s="333"/>
      <c r="J228" s="177"/>
      <c r="K228" s="333"/>
      <c r="L228" s="177"/>
      <c r="M228" s="333"/>
      <c r="N228" s="177"/>
      <c r="O228" s="327"/>
      <c r="P228" s="121"/>
      <c r="Q228" s="349"/>
      <c r="R228" s="149"/>
      <c r="S228" s="17"/>
      <c r="T228" s="17"/>
      <c r="U228" s="17"/>
      <c r="V228" s="17"/>
      <c r="W228" s="17"/>
      <c r="X228" s="17"/>
      <c r="Y228" s="17"/>
      <c r="Z228" s="17"/>
    </row>
    <row r="229">
      <c r="A229" s="327"/>
      <c r="B229" s="121"/>
      <c r="C229" s="340"/>
      <c r="D229" s="339"/>
      <c r="E229" s="327"/>
      <c r="F229" s="121"/>
      <c r="G229" s="327"/>
      <c r="H229" s="121"/>
      <c r="I229" s="333"/>
      <c r="J229" s="177"/>
      <c r="K229" s="333"/>
      <c r="L229" s="177"/>
      <c r="M229" s="333"/>
      <c r="N229" s="177"/>
      <c r="O229" s="327"/>
      <c r="P229" s="121"/>
      <c r="Q229" s="349"/>
      <c r="R229" s="149"/>
      <c r="S229" s="17"/>
      <c r="T229" s="17"/>
      <c r="U229" s="17"/>
      <c r="V229" s="17"/>
      <c r="W229" s="17"/>
      <c r="X229" s="17"/>
      <c r="Y229" s="17"/>
      <c r="Z229" s="17"/>
    </row>
    <row r="230">
      <c r="A230" s="327"/>
      <c r="B230" s="121"/>
      <c r="C230" s="340"/>
      <c r="D230" s="339"/>
      <c r="E230" s="327"/>
      <c r="F230" s="121"/>
      <c r="G230" s="327"/>
      <c r="H230" s="121"/>
      <c r="I230" s="333"/>
      <c r="J230" s="177"/>
      <c r="K230" s="333"/>
      <c r="L230" s="177"/>
      <c r="M230" s="333"/>
      <c r="N230" s="177"/>
      <c r="O230" s="327"/>
      <c r="P230" s="121"/>
      <c r="Q230" s="349"/>
      <c r="R230" s="149"/>
      <c r="S230" s="17"/>
      <c r="T230" s="17"/>
      <c r="U230" s="17"/>
      <c r="V230" s="17"/>
      <c r="W230" s="17"/>
      <c r="X230" s="17"/>
      <c r="Y230" s="17"/>
      <c r="Z230" s="17"/>
    </row>
    <row r="231">
      <c r="A231" s="327"/>
      <c r="B231" s="121"/>
      <c r="C231" s="340"/>
      <c r="D231" s="339"/>
      <c r="E231" s="327"/>
      <c r="F231" s="121"/>
      <c r="G231" s="327"/>
      <c r="H231" s="121"/>
      <c r="I231" s="333"/>
      <c r="J231" s="177"/>
      <c r="K231" s="333"/>
      <c r="L231" s="177"/>
      <c r="M231" s="333"/>
      <c r="N231" s="177"/>
      <c r="O231" s="327"/>
      <c r="P231" s="121"/>
      <c r="Q231" s="349"/>
      <c r="R231" s="149"/>
      <c r="S231" s="17"/>
      <c r="T231" s="17"/>
      <c r="U231" s="17"/>
      <c r="V231" s="17"/>
      <c r="W231" s="17"/>
      <c r="X231" s="17"/>
      <c r="Y231" s="17"/>
      <c r="Z231" s="17"/>
    </row>
    <row r="232">
      <c r="A232" s="327"/>
      <c r="B232" s="121"/>
      <c r="C232" s="340"/>
      <c r="D232" s="339"/>
      <c r="E232" s="327"/>
      <c r="F232" s="121"/>
      <c r="G232" s="327"/>
      <c r="H232" s="121"/>
      <c r="I232" s="333"/>
      <c r="J232" s="177"/>
      <c r="K232" s="333"/>
      <c r="L232" s="177"/>
      <c r="M232" s="333"/>
      <c r="N232" s="177"/>
      <c r="O232" s="327"/>
      <c r="P232" s="121"/>
      <c r="Q232" s="349"/>
      <c r="R232" s="149"/>
      <c r="S232" s="17"/>
      <c r="T232" s="17"/>
      <c r="U232" s="17"/>
      <c r="V232" s="17"/>
      <c r="W232" s="17"/>
      <c r="X232" s="17"/>
      <c r="Y232" s="17"/>
      <c r="Z232" s="17"/>
    </row>
    <row r="233">
      <c r="A233" s="327"/>
      <c r="B233" s="121"/>
      <c r="C233" s="340"/>
      <c r="D233" s="339"/>
      <c r="E233" s="327"/>
      <c r="F233" s="121"/>
      <c r="G233" s="327"/>
      <c r="H233" s="121"/>
      <c r="I233" s="333"/>
      <c r="J233" s="177"/>
      <c r="K233" s="333"/>
      <c r="L233" s="177"/>
      <c r="M233" s="333"/>
      <c r="N233" s="177"/>
      <c r="O233" s="327"/>
      <c r="P233" s="121"/>
      <c r="Q233" s="349"/>
      <c r="R233" s="149"/>
      <c r="S233" s="17"/>
      <c r="T233" s="17"/>
      <c r="U233" s="17"/>
      <c r="V233" s="17"/>
      <c r="W233" s="17"/>
      <c r="X233" s="17"/>
      <c r="Y233" s="17"/>
      <c r="Z233" s="17"/>
    </row>
    <row r="234">
      <c r="A234" s="327"/>
      <c r="B234" s="121"/>
      <c r="C234" s="340"/>
      <c r="D234" s="339"/>
      <c r="E234" s="327"/>
      <c r="F234" s="121"/>
      <c r="G234" s="327"/>
      <c r="H234" s="121"/>
      <c r="I234" s="333"/>
      <c r="J234" s="177"/>
      <c r="K234" s="333"/>
      <c r="L234" s="177"/>
      <c r="M234" s="333"/>
      <c r="N234" s="177"/>
      <c r="O234" s="327"/>
      <c r="P234" s="121"/>
      <c r="Q234" s="349"/>
      <c r="R234" s="149"/>
      <c r="S234" s="17"/>
      <c r="T234" s="17"/>
      <c r="U234" s="17"/>
      <c r="V234" s="17"/>
      <c r="W234" s="17"/>
      <c r="X234" s="17"/>
      <c r="Y234" s="17"/>
      <c r="Z234" s="17"/>
    </row>
    <row r="235">
      <c r="A235" s="327"/>
      <c r="B235" s="121"/>
      <c r="C235" s="340"/>
      <c r="D235" s="339"/>
      <c r="E235" s="327"/>
      <c r="F235" s="121"/>
      <c r="G235" s="327"/>
      <c r="H235" s="121"/>
      <c r="I235" s="333"/>
      <c r="J235" s="177"/>
      <c r="K235" s="333"/>
      <c r="L235" s="177"/>
      <c r="M235" s="333"/>
      <c r="N235" s="177"/>
      <c r="O235" s="327"/>
      <c r="P235" s="121"/>
      <c r="Q235" s="349"/>
      <c r="R235" s="149"/>
      <c r="S235" s="17"/>
      <c r="T235" s="17"/>
      <c r="U235" s="17"/>
      <c r="V235" s="17"/>
      <c r="W235" s="17"/>
      <c r="X235" s="17"/>
      <c r="Y235" s="17"/>
      <c r="Z235" s="17"/>
    </row>
    <row r="236">
      <c r="A236" s="327"/>
      <c r="B236" s="121"/>
      <c r="C236" s="340"/>
      <c r="D236" s="339"/>
      <c r="E236" s="327"/>
      <c r="F236" s="121"/>
      <c r="G236" s="327"/>
      <c r="H236" s="121"/>
      <c r="I236" s="333"/>
      <c r="J236" s="177"/>
      <c r="K236" s="333"/>
      <c r="L236" s="177"/>
      <c r="M236" s="333"/>
      <c r="N236" s="177"/>
      <c r="O236" s="327"/>
      <c r="P236" s="121"/>
      <c r="Q236" s="349"/>
      <c r="R236" s="149"/>
      <c r="S236" s="17"/>
      <c r="T236" s="17"/>
      <c r="U236" s="17"/>
      <c r="V236" s="17"/>
      <c r="W236" s="17"/>
      <c r="X236" s="17"/>
      <c r="Y236" s="17"/>
      <c r="Z236" s="17"/>
    </row>
    <row r="237">
      <c r="A237" s="327"/>
      <c r="B237" s="121"/>
      <c r="C237" s="340"/>
      <c r="D237" s="339"/>
      <c r="E237" s="327"/>
      <c r="F237" s="121"/>
      <c r="G237" s="327"/>
      <c r="H237" s="121"/>
      <c r="I237" s="333"/>
      <c r="J237" s="177"/>
      <c r="K237" s="333"/>
      <c r="L237" s="177"/>
      <c r="M237" s="333"/>
      <c r="N237" s="177"/>
      <c r="O237" s="327"/>
      <c r="P237" s="121"/>
      <c r="Q237" s="349"/>
      <c r="R237" s="149"/>
      <c r="S237" s="17"/>
      <c r="T237" s="17"/>
      <c r="U237" s="17"/>
      <c r="V237" s="17"/>
      <c r="W237" s="17"/>
      <c r="X237" s="17"/>
      <c r="Y237" s="17"/>
      <c r="Z237" s="17"/>
    </row>
    <row r="238">
      <c r="A238" s="327"/>
      <c r="B238" s="121"/>
      <c r="C238" s="340"/>
      <c r="D238" s="339"/>
      <c r="E238" s="327"/>
      <c r="F238" s="121"/>
      <c r="G238" s="327"/>
      <c r="H238" s="121"/>
      <c r="I238" s="333"/>
      <c r="J238" s="177"/>
      <c r="K238" s="333"/>
      <c r="L238" s="177"/>
      <c r="M238" s="333"/>
      <c r="N238" s="177"/>
      <c r="O238" s="327"/>
      <c r="P238" s="121"/>
      <c r="Q238" s="349"/>
      <c r="R238" s="149"/>
      <c r="S238" s="17"/>
      <c r="T238" s="17"/>
      <c r="U238" s="17"/>
      <c r="V238" s="17"/>
      <c r="W238" s="17"/>
      <c r="X238" s="17"/>
      <c r="Y238" s="17"/>
      <c r="Z238" s="17"/>
    </row>
    <row r="239">
      <c r="A239" s="327"/>
      <c r="B239" s="121"/>
      <c r="C239" s="340"/>
      <c r="D239" s="339"/>
      <c r="E239" s="327"/>
      <c r="F239" s="121"/>
      <c r="G239" s="327"/>
      <c r="H239" s="121"/>
      <c r="I239" s="333"/>
      <c r="J239" s="177"/>
      <c r="K239" s="333"/>
      <c r="L239" s="177"/>
      <c r="M239" s="333"/>
      <c r="N239" s="177"/>
      <c r="O239" s="327"/>
      <c r="P239" s="121"/>
      <c r="Q239" s="349"/>
      <c r="R239" s="149"/>
      <c r="S239" s="17"/>
      <c r="T239" s="17"/>
      <c r="U239" s="17"/>
      <c r="V239" s="17"/>
      <c r="W239" s="17"/>
      <c r="X239" s="17"/>
      <c r="Y239" s="17"/>
      <c r="Z239" s="17"/>
    </row>
    <row r="240">
      <c r="A240" s="327"/>
      <c r="B240" s="121"/>
      <c r="C240" s="340"/>
      <c r="D240" s="339"/>
      <c r="E240" s="327"/>
      <c r="F240" s="121"/>
      <c r="G240" s="327"/>
      <c r="H240" s="121"/>
      <c r="I240" s="333"/>
      <c r="J240" s="177"/>
      <c r="K240" s="333"/>
      <c r="L240" s="177"/>
      <c r="M240" s="333"/>
      <c r="N240" s="177"/>
      <c r="O240" s="327"/>
      <c r="P240" s="121"/>
      <c r="Q240" s="349"/>
      <c r="R240" s="149"/>
      <c r="S240" s="17"/>
      <c r="T240" s="17"/>
      <c r="U240" s="17"/>
      <c r="V240" s="17"/>
      <c r="W240" s="17"/>
      <c r="X240" s="17"/>
      <c r="Y240" s="17"/>
      <c r="Z240" s="17"/>
    </row>
    <row r="241">
      <c r="A241" s="327"/>
      <c r="B241" s="121"/>
      <c r="C241" s="340"/>
      <c r="D241" s="339"/>
      <c r="E241" s="327"/>
      <c r="F241" s="121"/>
      <c r="G241" s="327"/>
      <c r="H241" s="121"/>
      <c r="I241" s="333"/>
      <c r="J241" s="177"/>
      <c r="K241" s="333"/>
      <c r="L241" s="177"/>
      <c r="M241" s="333"/>
      <c r="N241" s="177"/>
      <c r="O241" s="327"/>
      <c r="P241" s="121"/>
      <c r="Q241" s="349"/>
      <c r="R241" s="149"/>
      <c r="S241" s="17"/>
      <c r="T241" s="17"/>
      <c r="U241" s="17"/>
      <c r="V241" s="17"/>
      <c r="W241" s="17"/>
      <c r="X241" s="17"/>
      <c r="Y241" s="17"/>
      <c r="Z241" s="17"/>
    </row>
    <row r="242">
      <c r="A242" s="327"/>
      <c r="B242" s="121"/>
      <c r="C242" s="340"/>
      <c r="D242" s="339"/>
      <c r="E242" s="327"/>
      <c r="F242" s="121"/>
      <c r="G242" s="327"/>
      <c r="H242" s="121"/>
      <c r="I242" s="333"/>
      <c r="J242" s="177"/>
      <c r="K242" s="333"/>
      <c r="L242" s="177"/>
      <c r="M242" s="333"/>
      <c r="N242" s="177"/>
      <c r="O242" s="327"/>
      <c r="P242" s="121"/>
      <c r="Q242" s="349"/>
      <c r="R242" s="149"/>
      <c r="S242" s="17"/>
      <c r="T242" s="17"/>
      <c r="U242" s="17"/>
      <c r="V242" s="17"/>
      <c r="W242" s="17"/>
      <c r="X242" s="17"/>
      <c r="Y242" s="17"/>
      <c r="Z242" s="17"/>
    </row>
    <row r="243">
      <c r="A243" s="327"/>
      <c r="B243" s="121"/>
      <c r="C243" s="340"/>
      <c r="D243" s="339"/>
      <c r="E243" s="327"/>
      <c r="F243" s="121"/>
      <c r="G243" s="327"/>
      <c r="H243" s="121"/>
      <c r="I243" s="333"/>
      <c r="J243" s="177"/>
      <c r="K243" s="333"/>
      <c r="L243" s="177"/>
      <c r="M243" s="333"/>
      <c r="N243" s="177"/>
      <c r="O243" s="327"/>
      <c r="P243" s="121"/>
      <c r="Q243" s="349"/>
      <c r="R243" s="149"/>
      <c r="S243" s="17"/>
      <c r="T243" s="17"/>
      <c r="U243" s="17"/>
      <c r="V243" s="17"/>
      <c r="W243" s="17"/>
      <c r="X243" s="17"/>
      <c r="Y243" s="17"/>
      <c r="Z243" s="17"/>
    </row>
    <row r="244">
      <c r="A244" s="327"/>
      <c r="B244" s="121"/>
      <c r="C244" s="340"/>
      <c r="D244" s="339"/>
      <c r="E244" s="327"/>
      <c r="F244" s="121"/>
      <c r="G244" s="327"/>
      <c r="H244" s="121"/>
      <c r="I244" s="333"/>
      <c r="J244" s="177"/>
      <c r="K244" s="333"/>
      <c r="L244" s="177"/>
      <c r="M244" s="333"/>
      <c r="N244" s="177"/>
      <c r="O244" s="327"/>
      <c r="P244" s="121"/>
      <c r="Q244" s="349"/>
      <c r="R244" s="149"/>
      <c r="S244" s="17"/>
      <c r="T244" s="17"/>
      <c r="U244" s="17"/>
      <c r="V244" s="17"/>
      <c r="W244" s="17"/>
      <c r="X244" s="17"/>
      <c r="Y244" s="17"/>
      <c r="Z244" s="17"/>
    </row>
    <row r="245">
      <c r="A245" s="327"/>
      <c r="B245" s="121"/>
      <c r="C245" s="340"/>
      <c r="D245" s="339"/>
      <c r="E245" s="327"/>
      <c r="F245" s="121"/>
      <c r="G245" s="327"/>
      <c r="H245" s="121"/>
      <c r="I245" s="333"/>
      <c r="J245" s="177"/>
      <c r="K245" s="333"/>
      <c r="L245" s="177"/>
      <c r="M245" s="333"/>
      <c r="N245" s="177"/>
      <c r="O245" s="327"/>
      <c r="P245" s="121"/>
      <c r="Q245" s="349"/>
      <c r="R245" s="149"/>
      <c r="S245" s="17"/>
      <c r="T245" s="17"/>
      <c r="U245" s="17"/>
      <c r="V245" s="17"/>
      <c r="W245" s="17"/>
      <c r="X245" s="17"/>
      <c r="Y245" s="17"/>
      <c r="Z245" s="17"/>
    </row>
    <row r="246">
      <c r="A246" s="327"/>
      <c r="B246" s="121"/>
      <c r="C246" s="340"/>
      <c r="D246" s="339"/>
      <c r="E246" s="327"/>
      <c r="F246" s="121"/>
      <c r="G246" s="327"/>
      <c r="H246" s="121"/>
      <c r="I246" s="333"/>
      <c r="J246" s="177"/>
      <c r="K246" s="333"/>
      <c r="L246" s="177"/>
      <c r="M246" s="333"/>
      <c r="N246" s="177"/>
      <c r="O246" s="327"/>
      <c r="P246" s="121"/>
      <c r="Q246" s="349"/>
      <c r="R246" s="149"/>
      <c r="S246" s="17"/>
      <c r="T246" s="17"/>
      <c r="U246" s="17"/>
      <c r="V246" s="17"/>
      <c r="W246" s="17"/>
      <c r="X246" s="17"/>
      <c r="Y246" s="17"/>
      <c r="Z246" s="17"/>
    </row>
    <row r="247">
      <c r="A247" s="327"/>
      <c r="B247" s="121"/>
      <c r="C247" s="340"/>
      <c r="D247" s="339"/>
      <c r="E247" s="327"/>
      <c r="F247" s="121"/>
      <c r="G247" s="327"/>
      <c r="H247" s="121"/>
      <c r="I247" s="333"/>
      <c r="J247" s="177"/>
      <c r="K247" s="333"/>
      <c r="L247" s="177"/>
      <c r="M247" s="333"/>
      <c r="N247" s="177"/>
      <c r="O247" s="327"/>
      <c r="P247" s="121"/>
      <c r="Q247" s="349"/>
      <c r="R247" s="149"/>
      <c r="S247" s="17"/>
      <c r="T247" s="17"/>
      <c r="U247" s="17"/>
      <c r="V247" s="17"/>
      <c r="W247" s="17"/>
      <c r="X247" s="17"/>
      <c r="Y247" s="17"/>
      <c r="Z247" s="17"/>
    </row>
    <row r="248">
      <c r="A248" s="327"/>
      <c r="B248" s="121"/>
      <c r="C248" s="340"/>
      <c r="D248" s="339"/>
      <c r="E248" s="327"/>
      <c r="F248" s="121"/>
      <c r="G248" s="327"/>
      <c r="H248" s="121"/>
      <c r="I248" s="333"/>
      <c r="J248" s="177"/>
      <c r="K248" s="333"/>
      <c r="L248" s="177"/>
      <c r="M248" s="333"/>
      <c r="N248" s="177"/>
      <c r="O248" s="327"/>
      <c r="P248" s="121"/>
      <c r="Q248" s="349"/>
      <c r="R248" s="149"/>
      <c r="S248" s="17"/>
      <c r="T248" s="17"/>
      <c r="U248" s="17"/>
      <c r="V248" s="17"/>
      <c r="W248" s="17"/>
      <c r="X248" s="17"/>
      <c r="Y248" s="17"/>
      <c r="Z248" s="17"/>
    </row>
    <row r="249">
      <c r="A249" s="327"/>
      <c r="B249" s="121"/>
      <c r="C249" s="340"/>
      <c r="D249" s="339"/>
      <c r="E249" s="327"/>
      <c r="F249" s="121"/>
      <c r="G249" s="327"/>
      <c r="H249" s="121"/>
      <c r="I249" s="333"/>
      <c r="J249" s="177"/>
      <c r="K249" s="333"/>
      <c r="L249" s="177"/>
      <c r="M249" s="333"/>
      <c r="N249" s="177"/>
      <c r="O249" s="327"/>
      <c r="P249" s="121"/>
      <c r="Q249" s="349"/>
      <c r="R249" s="149"/>
      <c r="S249" s="17"/>
      <c r="T249" s="17"/>
      <c r="U249" s="17"/>
      <c r="V249" s="17"/>
      <c r="W249" s="17"/>
      <c r="X249" s="17"/>
      <c r="Y249" s="17"/>
      <c r="Z249" s="17"/>
    </row>
    <row r="250">
      <c r="A250" s="327"/>
      <c r="B250" s="121"/>
      <c r="C250" s="340"/>
      <c r="D250" s="339"/>
      <c r="E250" s="327"/>
      <c r="F250" s="121"/>
      <c r="G250" s="327"/>
      <c r="H250" s="121"/>
      <c r="I250" s="333"/>
      <c r="J250" s="177"/>
      <c r="K250" s="333"/>
      <c r="L250" s="177"/>
      <c r="M250" s="333"/>
      <c r="N250" s="177"/>
      <c r="O250" s="327"/>
      <c r="P250" s="121"/>
      <c r="Q250" s="349"/>
      <c r="R250" s="149"/>
      <c r="S250" s="17"/>
      <c r="T250" s="17"/>
      <c r="U250" s="17"/>
      <c r="V250" s="17"/>
      <c r="W250" s="17"/>
      <c r="X250" s="17"/>
      <c r="Y250" s="17"/>
      <c r="Z250" s="17"/>
    </row>
    <row r="251">
      <c r="A251" s="327"/>
      <c r="B251" s="121"/>
      <c r="C251" s="340"/>
      <c r="D251" s="339"/>
      <c r="E251" s="327"/>
      <c r="F251" s="121"/>
      <c r="G251" s="327"/>
      <c r="H251" s="121"/>
      <c r="I251" s="333"/>
      <c r="J251" s="177"/>
      <c r="K251" s="333"/>
      <c r="L251" s="177"/>
      <c r="M251" s="333"/>
      <c r="N251" s="177"/>
      <c r="O251" s="327"/>
      <c r="P251" s="121"/>
      <c r="Q251" s="349"/>
      <c r="R251" s="149"/>
      <c r="S251" s="17"/>
      <c r="T251" s="17"/>
      <c r="U251" s="17"/>
      <c r="V251" s="17"/>
      <c r="W251" s="17"/>
      <c r="X251" s="17"/>
      <c r="Y251" s="17"/>
      <c r="Z251" s="17"/>
    </row>
    <row r="252">
      <c r="A252" s="327"/>
      <c r="B252" s="121"/>
      <c r="C252" s="340"/>
      <c r="D252" s="339"/>
      <c r="E252" s="327"/>
      <c r="F252" s="121"/>
      <c r="G252" s="327"/>
      <c r="H252" s="121"/>
      <c r="I252" s="333"/>
      <c r="J252" s="177"/>
      <c r="K252" s="333"/>
      <c r="L252" s="177"/>
      <c r="M252" s="333"/>
      <c r="N252" s="177"/>
      <c r="O252" s="327"/>
      <c r="P252" s="121"/>
      <c r="Q252" s="349"/>
      <c r="R252" s="149"/>
      <c r="S252" s="17"/>
      <c r="T252" s="17"/>
      <c r="U252" s="17"/>
      <c r="V252" s="17"/>
      <c r="W252" s="17"/>
      <c r="X252" s="17"/>
      <c r="Y252" s="17"/>
      <c r="Z252" s="17"/>
    </row>
    <row r="253">
      <c r="A253" s="327"/>
      <c r="B253" s="121"/>
      <c r="C253" s="340"/>
      <c r="D253" s="339"/>
      <c r="E253" s="327"/>
      <c r="F253" s="121"/>
      <c r="G253" s="327"/>
      <c r="H253" s="121"/>
      <c r="I253" s="333"/>
      <c r="J253" s="177"/>
      <c r="K253" s="333"/>
      <c r="L253" s="177"/>
      <c r="M253" s="333"/>
      <c r="N253" s="177"/>
      <c r="O253" s="327"/>
      <c r="P253" s="121"/>
      <c r="Q253" s="349"/>
      <c r="R253" s="149"/>
      <c r="S253" s="17"/>
      <c r="T253" s="17"/>
      <c r="U253" s="17"/>
      <c r="V253" s="17"/>
      <c r="W253" s="17"/>
      <c r="X253" s="17"/>
      <c r="Y253" s="17"/>
      <c r="Z253" s="17"/>
    </row>
    <row r="254">
      <c r="A254" s="327"/>
      <c r="B254" s="121"/>
      <c r="C254" s="340"/>
      <c r="D254" s="339"/>
      <c r="E254" s="327"/>
      <c r="F254" s="121"/>
      <c r="G254" s="327"/>
      <c r="H254" s="121"/>
      <c r="I254" s="333"/>
      <c r="J254" s="177"/>
      <c r="K254" s="333"/>
      <c r="L254" s="177"/>
      <c r="M254" s="333"/>
      <c r="N254" s="177"/>
      <c r="O254" s="327"/>
      <c r="P254" s="121"/>
      <c r="Q254" s="349"/>
      <c r="R254" s="149"/>
      <c r="S254" s="17"/>
      <c r="T254" s="17"/>
      <c r="U254" s="17"/>
      <c r="V254" s="17"/>
      <c r="W254" s="17"/>
      <c r="X254" s="17"/>
      <c r="Y254" s="17"/>
      <c r="Z254" s="17"/>
    </row>
    <row r="255">
      <c r="A255" s="327"/>
      <c r="B255" s="121"/>
      <c r="C255" s="340"/>
      <c r="D255" s="339"/>
      <c r="E255" s="327"/>
      <c r="F255" s="121"/>
      <c r="G255" s="327"/>
      <c r="H255" s="121"/>
      <c r="I255" s="333"/>
      <c r="J255" s="177"/>
      <c r="K255" s="333"/>
      <c r="L255" s="177"/>
      <c r="M255" s="333"/>
      <c r="N255" s="177"/>
      <c r="O255" s="327"/>
      <c r="P255" s="121"/>
      <c r="Q255" s="349"/>
      <c r="R255" s="149"/>
      <c r="S255" s="17"/>
      <c r="T255" s="17"/>
      <c r="U255" s="17"/>
      <c r="V255" s="17"/>
      <c r="W255" s="17"/>
      <c r="X255" s="17"/>
      <c r="Y255" s="17"/>
      <c r="Z255" s="17"/>
    </row>
    <row r="256">
      <c r="A256" s="327"/>
      <c r="B256" s="121"/>
      <c r="C256" s="340"/>
      <c r="D256" s="339"/>
      <c r="E256" s="327"/>
      <c r="F256" s="121"/>
      <c r="G256" s="327"/>
      <c r="H256" s="121"/>
      <c r="I256" s="333"/>
      <c r="J256" s="177"/>
      <c r="K256" s="333"/>
      <c r="L256" s="177"/>
      <c r="M256" s="333"/>
      <c r="N256" s="177"/>
      <c r="O256" s="327"/>
      <c r="P256" s="121"/>
      <c r="Q256" s="349"/>
      <c r="R256" s="149"/>
      <c r="S256" s="17"/>
      <c r="T256" s="17"/>
      <c r="U256" s="17"/>
      <c r="V256" s="17"/>
      <c r="W256" s="17"/>
      <c r="X256" s="17"/>
      <c r="Y256" s="17"/>
      <c r="Z256" s="17"/>
    </row>
    <row r="257">
      <c r="A257" s="327"/>
      <c r="B257" s="121"/>
      <c r="C257" s="340"/>
      <c r="D257" s="339"/>
      <c r="E257" s="327"/>
      <c r="F257" s="121"/>
      <c r="G257" s="327"/>
      <c r="H257" s="121"/>
      <c r="I257" s="333"/>
      <c r="J257" s="177"/>
      <c r="K257" s="333"/>
      <c r="L257" s="177"/>
      <c r="M257" s="333"/>
      <c r="N257" s="177"/>
      <c r="O257" s="327"/>
      <c r="P257" s="121"/>
      <c r="Q257" s="349"/>
      <c r="R257" s="149"/>
      <c r="S257" s="17"/>
      <c r="T257" s="17"/>
      <c r="U257" s="17"/>
      <c r="V257" s="17"/>
      <c r="W257" s="17"/>
      <c r="X257" s="17"/>
      <c r="Y257" s="17"/>
      <c r="Z257" s="17"/>
    </row>
    <row r="258">
      <c r="A258" s="327"/>
      <c r="B258" s="121"/>
      <c r="C258" s="340"/>
      <c r="D258" s="339"/>
      <c r="E258" s="327"/>
      <c r="F258" s="121"/>
      <c r="G258" s="327"/>
      <c r="H258" s="121"/>
      <c r="I258" s="333"/>
      <c r="J258" s="177"/>
      <c r="K258" s="333"/>
      <c r="L258" s="177"/>
      <c r="M258" s="333"/>
      <c r="N258" s="177"/>
      <c r="O258" s="327"/>
      <c r="P258" s="121"/>
      <c r="Q258" s="349"/>
      <c r="R258" s="149"/>
      <c r="S258" s="17"/>
      <c r="T258" s="17"/>
      <c r="U258" s="17"/>
      <c r="V258" s="17"/>
      <c r="W258" s="17"/>
      <c r="X258" s="17"/>
      <c r="Y258" s="17"/>
      <c r="Z258" s="17"/>
    </row>
    <row r="259">
      <c r="A259" s="327"/>
      <c r="B259" s="121"/>
      <c r="C259" s="340"/>
      <c r="D259" s="339"/>
      <c r="E259" s="327"/>
      <c r="F259" s="121"/>
      <c r="G259" s="327"/>
      <c r="H259" s="121"/>
      <c r="I259" s="333"/>
      <c r="J259" s="177"/>
      <c r="K259" s="333"/>
      <c r="L259" s="177"/>
      <c r="M259" s="333"/>
      <c r="N259" s="177"/>
      <c r="O259" s="327"/>
      <c r="P259" s="121"/>
      <c r="Q259" s="349"/>
      <c r="R259" s="149"/>
      <c r="S259" s="17"/>
      <c r="T259" s="17"/>
      <c r="U259" s="17"/>
      <c r="V259" s="17"/>
      <c r="W259" s="17"/>
      <c r="X259" s="17"/>
      <c r="Y259" s="17"/>
      <c r="Z259" s="17"/>
    </row>
    <row r="260">
      <c r="A260" s="327"/>
      <c r="B260" s="121"/>
      <c r="C260" s="340"/>
      <c r="D260" s="339"/>
      <c r="E260" s="327"/>
      <c r="F260" s="121"/>
      <c r="G260" s="327"/>
      <c r="H260" s="121"/>
      <c r="I260" s="333"/>
      <c r="J260" s="177"/>
      <c r="K260" s="333"/>
      <c r="L260" s="177"/>
      <c r="M260" s="333"/>
      <c r="N260" s="177"/>
      <c r="O260" s="327"/>
      <c r="P260" s="121"/>
      <c r="Q260" s="349"/>
      <c r="R260" s="149"/>
      <c r="S260" s="17"/>
      <c r="T260" s="17"/>
      <c r="U260" s="17"/>
      <c r="V260" s="17"/>
      <c r="W260" s="17"/>
      <c r="X260" s="17"/>
      <c r="Y260" s="17"/>
      <c r="Z260" s="17"/>
    </row>
    <row r="261">
      <c r="A261" s="327"/>
      <c r="B261" s="121"/>
      <c r="C261" s="340"/>
      <c r="D261" s="339"/>
      <c r="E261" s="327"/>
      <c r="F261" s="121"/>
      <c r="G261" s="327"/>
      <c r="H261" s="121"/>
      <c r="I261" s="333"/>
      <c r="J261" s="177"/>
      <c r="K261" s="333"/>
      <c r="L261" s="177"/>
      <c r="M261" s="333"/>
      <c r="N261" s="177"/>
      <c r="O261" s="327"/>
      <c r="P261" s="121"/>
      <c r="Q261" s="349"/>
      <c r="R261" s="149"/>
      <c r="S261" s="17"/>
      <c r="T261" s="17"/>
      <c r="U261" s="17"/>
      <c r="V261" s="17"/>
      <c r="W261" s="17"/>
      <c r="X261" s="17"/>
      <c r="Y261" s="17"/>
      <c r="Z261" s="17"/>
    </row>
    <row r="262">
      <c r="A262" s="327"/>
      <c r="B262" s="121"/>
      <c r="C262" s="340"/>
      <c r="D262" s="339"/>
      <c r="E262" s="327"/>
      <c r="F262" s="121"/>
      <c r="G262" s="327"/>
      <c r="H262" s="121"/>
      <c r="I262" s="333"/>
      <c r="J262" s="177"/>
      <c r="K262" s="333"/>
      <c r="L262" s="177"/>
      <c r="M262" s="333"/>
      <c r="N262" s="177"/>
      <c r="O262" s="327"/>
      <c r="P262" s="121"/>
      <c r="Q262" s="349"/>
      <c r="R262" s="149"/>
      <c r="S262" s="17"/>
      <c r="T262" s="17"/>
      <c r="U262" s="17"/>
      <c r="V262" s="17"/>
      <c r="W262" s="17"/>
      <c r="X262" s="17"/>
      <c r="Y262" s="17"/>
      <c r="Z262" s="17"/>
    </row>
    <row r="263">
      <c r="A263" s="327"/>
      <c r="B263" s="121"/>
      <c r="C263" s="340"/>
      <c r="D263" s="339"/>
      <c r="E263" s="327"/>
      <c r="F263" s="121"/>
      <c r="G263" s="327"/>
      <c r="H263" s="121"/>
      <c r="I263" s="333"/>
      <c r="J263" s="177"/>
      <c r="K263" s="333"/>
      <c r="L263" s="177"/>
      <c r="M263" s="333"/>
      <c r="N263" s="177"/>
      <c r="O263" s="327"/>
      <c r="P263" s="121"/>
      <c r="Q263" s="349"/>
      <c r="R263" s="149"/>
      <c r="S263" s="17"/>
      <c r="T263" s="17"/>
      <c r="U263" s="17"/>
      <c r="V263" s="17"/>
      <c r="W263" s="17"/>
      <c r="X263" s="17"/>
      <c r="Y263" s="17"/>
      <c r="Z263" s="17"/>
    </row>
    <row r="264">
      <c r="A264" s="327"/>
      <c r="B264" s="121"/>
      <c r="C264" s="340"/>
      <c r="D264" s="339"/>
      <c r="E264" s="327"/>
      <c r="F264" s="121"/>
      <c r="G264" s="327"/>
      <c r="H264" s="121"/>
      <c r="I264" s="333"/>
      <c r="J264" s="177"/>
      <c r="K264" s="333"/>
      <c r="L264" s="177"/>
      <c r="M264" s="333"/>
      <c r="N264" s="177"/>
      <c r="O264" s="327"/>
      <c r="P264" s="121"/>
      <c r="Q264" s="349"/>
      <c r="R264" s="149"/>
      <c r="S264" s="17"/>
      <c r="T264" s="17"/>
      <c r="U264" s="17"/>
      <c r="V264" s="17"/>
      <c r="W264" s="17"/>
      <c r="X264" s="17"/>
      <c r="Y264" s="17"/>
      <c r="Z264" s="17"/>
    </row>
    <row r="265">
      <c r="A265" s="327"/>
      <c r="B265" s="121"/>
      <c r="C265" s="340"/>
      <c r="D265" s="339"/>
      <c r="E265" s="327"/>
      <c r="F265" s="121"/>
      <c r="G265" s="327"/>
      <c r="H265" s="121"/>
      <c r="I265" s="333"/>
      <c r="J265" s="177"/>
      <c r="K265" s="333"/>
      <c r="L265" s="177"/>
      <c r="M265" s="333"/>
      <c r="N265" s="177"/>
      <c r="O265" s="327"/>
      <c r="P265" s="121"/>
      <c r="Q265" s="349"/>
      <c r="R265" s="149"/>
      <c r="S265" s="17"/>
      <c r="T265" s="17"/>
      <c r="U265" s="17"/>
      <c r="V265" s="17"/>
      <c r="W265" s="17"/>
      <c r="X265" s="17"/>
      <c r="Y265" s="17"/>
      <c r="Z265" s="17"/>
    </row>
    <row r="266">
      <c r="A266" s="327"/>
      <c r="B266" s="121"/>
      <c r="C266" s="340"/>
      <c r="D266" s="339"/>
      <c r="E266" s="327"/>
      <c r="F266" s="121"/>
      <c r="G266" s="327"/>
      <c r="H266" s="121"/>
      <c r="I266" s="333"/>
      <c r="J266" s="177"/>
      <c r="K266" s="333"/>
      <c r="L266" s="177"/>
      <c r="M266" s="333"/>
      <c r="N266" s="177"/>
      <c r="O266" s="327"/>
      <c r="P266" s="121"/>
      <c r="Q266" s="349"/>
      <c r="R266" s="149"/>
      <c r="S266" s="17"/>
      <c r="T266" s="17"/>
      <c r="U266" s="17"/>
      <c r="V266" s="17"/>
      <c r="W266" s="17"/>
      <c r="X266" s="17"/>
      <c r="Y266" s="17"/>
      <c r="Z266" s="17"/>
    </row>
    <row r="267">
      <c r="A267" s="327"/>
      <c r="B267" s="121"/>
      <c r="C267" s="340"/>
      <c r="D267" s="339"/>
      <c r="E267" s="327"/>
      <c r="F267" s="121"/>
      <c r="G267" s="327"/>
      <c r="H267" s="121"/>
      <c r="I267" s="333"/>
      <c r="J267" s="177"/>
      <c r="K267" s="333"/>
      <c r="L267" s="177"/>
      <c r="M267" s="333"/>
      <c r="N267" s="177"/>
      <c r="O267" s="327"/>
      <c r="P267" s="121"/>
      <c r="Q267" s="349"/>
      <c r="R267" s="149"/>
      <c r="S267" s="17"/>
      <c r="T267" s="17"/>
      <c r="U267" s="17"/>
      <c r="V267" s="17"/>
      <c r="W267" s="17"/>
      <c r="X267" s="17"/>
      <c r="Y267" s="17"/>
      <c r="Z267" s="17"/>
    </row>
    <row r="268">
      <c r="A268" s="327"/>
      <c r="B268" s="121"/>
      <c r="C268" s="340"/>
      <c r="D268" s="339"/>
      <c r="E268" s="327"/>
      <c r="F268" s="121"/>
      <c r="G268" s="327"/>
      <c r="H268" s="121"/>
      <c r="I268" s="333"/>
      <c r="J268" s="177"/>
      <c r="K268" s="333"/>
      <c r="L268" s="177"/>
      <c r="M268" s="333"/>
      <c r="N268" s="177"/>
      <c r="O268" s="327"/>
      <c r="P268" s="121"/>
      <c r="Q268" s="349"/>
      <c r="R268" s="149"/>
      <c r="S268" s="17"/>
      <c r="T268" s="17"/>
      <c r="U268" s="17"/>
      <c r="V268" s="17"/>
      <c r="W268" s="17"/>
      <c r="X268" s="17"/>
      <c r="Y268" s="17"/>
      <c r="Z268" s="17"/>
    </row>
    <row r="269">
      <c r="A269" s="327"/>
      <c r="B269" s="121"/>
      <c r="C269" s="340"/>
      <c r="D269" s="339"/>
      <c r="E269" s="327"/>
      <c r="F269" s="121"/>
      <c r="G269" s="327"/>
      <c r="H269" s="121"/>
      <c r="I269" s="333"/>
      <c r="J269" s="177"/>
      <c r="K269" s="333"/>
      <c r="L269" s="177"/>
      <c r="M269" s="333"/>
      <c r="N269" s="177"/>
      <c r="O269" s="327"/>
      <c r="P269" s="121"/>
      <c r="Q269" s="349"/>
      <c r="R269" s="149"/>
      <c r="S269" s="17"/>
      <c r="T269" s="17"/>
      <c r="U269" s="17"/>
      <c r="V269" s="17"/>
      <c r="W269" s="17"/>
      <c r="X269" s="17"/>
      <c r="Y269" s="17"/>
      <c r="Z269" s="17"/>
    </row>
    <row r="270">
      <c r="A270" s="327"/>
      <c r="B270" s="121"/>
      <c r="C270" s="340"/>
      <c r="D270" s="339"/>
      <c r="E270" s="327"/>
      <c r="F270" s="121"/>
      <c r="G270" s="327"/>
      <c r="H270" s="121"/>
      <c r="I270" s="333"/>
      <c r="J270" s="177"/>
      <c r="K270" s="333"/>
      <c r="L270" s="177"/>
      <c r="M270" s="333"/>
      <c r="N270" s="177"/>
      <c r="O270" s="327"/>
      <c r="P270" s="121"/>
      <c r="Q270" s="349"/>
      <c r="R270" s="149"/>
      <c r="S270" s="17"/>
      <c r="T270" s="17"/>
      <c r="U270" s="17"/>
      <c r="V270" s="17"/>
      <c r="W270" s="17"/>
      <c r="X270" s="17"/>
      <c r="Y270" s="17"/>
      <c r="Z270" s="17"/>
    </row>
    <row r="271">
      <c r="A271" s="327"/>
      <c r="B271" s="121"/>
      <c r="C271" s="340"/>
      <c r="D271" s="339"/>
      <c r="E271" s="327"/>
      <c r="F271" s="121"/>
      <c r="G271" s="327"/>
      <c r="H271" s="121"/>
      <c r="I271" s="333"/>
      <c r="J271" s="177"/>
      <c r="K271" s="333"/>
      <c r="L271" s="177"/>
      <c r="M271" s="333"/>
      <c r="N271" s="177"/>
      <c r="O271" s="327"/>
      <c r="P271" s="121"/>
      <c r="Q271" s="349"/>
      <c r="R271" s="149"/>
      <c r="S271" s="17"/>
      <c r="T271" s="17"/>
      <c r="U271" s="17"/>
      <c r="V271" s="17"/>
      <c r="W271" s="17"/>
      <c r="X271" s="17"/>
      <c r="Y271" s="17"/>
      <c r="Z271" s="17"/>
    </row>
    <row r="272">
      <c r="A272" s="327"/>
      <c r="B272" s="121"/>
      <c r="C272" s="340"/>
      <c r="D272" s="339"/>
      <c r="E272" s="327"/>
      <c r="F272" s="121"/>
      <c r="G272" s="327"/>
      <c r="H272" s="121"/>
      <c r="I272" s="333"/>
      <c r="J272" s="177"/>
      <c r="K272" s="333"/>
      <c r="L272" s="177"/>
      <c r="M272" s="333"/>
      <c r="N272" s="177"/>
      <c r="O272" s="327"/>
      <c r="P272" s="121"/>
      <c r="Q272" s="349"/>
      <c r="R272" s="149"/>
      <c r="S272" s="17"/>
      <c r="T272" s="17"/>
      <c r="U272" s="17"/>
      <c r="V272" s="17"/>
      <c r="W272" s="17"/>
      <c r="X272" s="17"/>
      <c r="Y272" s="17"/>
      <c r="Z272" s="17"/>
    </row>
    <row r="273">
      <c r="A273" s="327"/>
      <c r="B273" s="121"/>
      <c r="C273" s="340"/>
      <c r="D273" s="339"/>
      <c r="E273" s="327"/>
      <c r="F273" s="121"/>
      <c r="G273" s="327"/>
      <c r="H273" s="121"/>
      <c r="I273" s="333"/>
      <c r="J273" s="177"/>
      <c r="K273" s="333"/>
      <c r="L273" s="177"/>
      <c r="M273" s="333"/>
      <c r="N273" s="177"/>
      <c r="O273" s="327"/>
      <c r="P273" s="121"/>
      <c r="Q273" s="349"/>
      <c r="R273" s="149"/>
      <c r="S273" s="17"/>
      <c r="T273" s="17"/>
      <c r="U273" s="17"/>
      <c r="V273" s="17"/>
      <c r="W273" s="17"/>
      <c r="X273" s="17"/>
      <c r="Y273" s="17"/>
      <c r="Z273" s="17"/>
    </row>
    <row r="274">
      <c r="A274" s="327"/>
      <c r="B274" s="121"/>
      <c r="C274" s="340"/>
      <c r="D274" s="339"/>
      <c r="E274" s="327"/>
      <c r="F274" s="121"/>
      <c r="G274" s="327"/>
      <c r="H274" s="121"/>
      <c r="I274" s="333"/>
      <c r="J274" s="177"/>
      <c r="K274" s="333"/>
      <c r="L274" s="177"/>
      <c r="M274" s="333"/>
      <c r="N274" s="177"/>
      <c r="O274" s="327"/>
      <c r="P274" s="121"/>
      <c r="Q274" s="349"/>
      <c r="R274" s="149"/>
      <c r="S274" s="17"/>
      <c r="T274" s="17"/>
      <c r="U274" s="17"/>
      <c r="V274" s="17"/>
      <c r="W274" s="17"/>
      <c r="X274" s="17"/>
      <c r="Y274" s="17"/>
      <c r="Z274" s="17"/>
    </row>
    <row r="275">
      <c r="A275" s="327"/>
      <c r="B275" s="121"/>
      <c r="C275" s="340"/>
      <c r="D275" s="339"/>
      <c r="E275" s="327"/>
      <c r="F275" s="121"/>
      <c r="G275" s="327"/>
      <c r="H275" s="121"/>
      <c r="I275" s="333"/>
      <c r="J275" s="177"/>
      <c r="K275" s="333"/>
      <c r="L275" s="177"/>
      <c r="M275" s="333"/>
      <c r="N275" s="177"/>
      <c r="O275" s="327"/>
      <c r="P275" s="121"/>
      <c r="Q275" s="349"/>
      <c r="R275" s="149"/>
      <c r="S275" s="17"/>
      <c r="T275" s="17"/>
      <c r="U275" s="17"/>
      <c r="V275" s="17"/>
      <c r="W275" s="17"/>
      <c r="X275" s="17"/>
      <c r="Y275" s="17"/>
      <c r="Z275" s="17"/>
    </row>
    <row r="276">
      <c r="A276" s="327"/>
      <c r="B276" s="121"/>
      <c r="C276" s="340"/>
      <c r="D276" s="339"/>
      <c r="E276" s="327"/>
      <c r="F276" s="121"/>
      <c r="G276" s="327"/>
      <c r="H276" s="121"/>
      <c r="I276" s="333"/>
      <c r="J276" s="177"/>
      <c r="K276" s="333"/>
      <c r="L276" s="177"/>
      <c r="M276" s="333"/>
      <c r="N276" s="177"/>
      <c r="O276" s="327"/>
      <c r="P276" s="121"/>
      <c r="Q276" s="349"/>
      <c r="R276" s="149"/>
      <c r="S276" s="17"/>
      <c r="T276" s="17"/>
      <c r="U276" s="17"/>
      <c r="V276" s="17"/>
      <c r="W276" s="17"/>
      <c r="X276" s="17"/>
      <c r="Y276" s="17"/>
      <c r="Z276" s="17"/>
    </row>
    <row r="277">
      <c r="A277" s="327"/>
      <c r="B277" s="121"/>
      <c r="C277" s="340"/>
      <c r="D277" s="339"/>
      <c r="E277" s="327"/>
      <c r="F277" s="121"/>
      <c r="G277" s="327"/>
      <c r="H277" s="121"/>
      <c r="I277" s="333"/>
      <c r="J277" s="177"/>
      <c r="K277" s="333"/>
      <c r="L277" s="177"/>
      <c r="M277" s="333"/>
      <c r="N277" s="177"/>
      <c r="O277" s="327"/>
      <c r="P277" s="121"/>
      <c r="Q277" s="349"/>
      <c r="R277" s="149"/>
      <c r="S277" s="17"/>
      <c r="T277" s="17"/>
      <c r="U277" s="17"/>
      <c r="V277" s="17"/>
      <c r="W277" s="17"/>
      <c r="X277" s="17"/>
      <c r="Y277" s="17"/>
      <c r="Z277" s="17"/>
    </row>
    <row r="278">
      <c r="A278" s="327"/>
      <c r="B278" s="121"/>
      <c r="C278" s="340"/>
      <c r="D278" s="339"/>
      <c r="E278" s="327"/>
      <c r="F278" s="121"/>
      <c r="G278" s="327"/>
      <c r="H278" s="121"/>
      <c r="I278" s="333"/>
      <c r="J278" s="177"/>
      <c r="K278" s="333"/>
      <c r="L278" s="177"/>
      <c r="M278" s="333"/>
      <c r="N278" s="177"/>
      <c r="O278" s="327"/>
      <c r="P278" s="121"/>
      <c r="Q278" s="349"/>
      <c r="R278" s="149"/>
      <c r="S278" s="17"/>
      <c r="T278" s="17"/>
      <c r="U278" s="17"/>
      <c r="V278" s="17"/>
      <c r="W278" s="17"/>
      <c r="X278" s="17"/>
      <c r="Y278" s="17"/>
      <c r="Z278" s="17"/>
    </row>
    <row r="279">
      <c r="A279" s="327"/>
      <c r="B279" s="121"/>
      <c r="C279" s="340"/>
      <c r="D279" s="339"/>
      <c r="E279" s="327"/>
      <c r="F279" s="121"/>
      <c r="G279" s="327"/>
      <c r="H279" s="121"/>
      <c r="I279" s="333"/>
      <c r="J279" s="177"/>
      <c r="K279" s="333"/>
      <c r="L279" s="177"/>
      <c r="M279" s="333"/>
      <c r="N279" s="177"/>
      <c r="O279" s="327"/>
      <c r="P279" s="121"/>
      <c r="Q279" s="349"/>
      <c r="R279" s="149"/>
      <c r="S279" s="17"/>
      <c r="T279" s="17"/>
      <c r="U279" s="17"/>
      <c r="V279" s="17"/>
      <c r="W279" s="17"/>
      <c r="X279" s="17"/>
      <c r="Y279" s="17"/>
      <c r="Z279" s="17"/>
    </row>
    <row r="280">
      <c r="A280" s="327"/>
      <c r="B280" s="121"/>
      <c r="C280" s="340"/>
      <c r="D280" s="339"/>
      <c r="E280" s="327"/>
      <c r="F280" s="121"/>
      <c r="G280" s="327"/>
      <c r="H280" s="121"/>
      <c r="I280" s="333"/>
      <c r="J280" s="177"/>
      <c r="K280" s="333"/>
      <c r="L280" s="177"/>
      <c r="M280" s="333"/>
      <c r="N280" s="177"/>
      <c r="O280" s="327"/>
      <c r="P280" s="121"/>
      <c r="Q280" s="349"/>
      <c r="R280" s="149"/>
      <c r="S280" s="17"/>
      <c r="T280" s="17"/>
      <c r="U280" s="17"/>
      <c r="V280" s="17"/>
      <c r="W280" s="17"/>
      <c r="X280" s="17"/>
      <c r="Y280" s="17"/>
      <c r="Z280" s="17"/>
    </row>
    <row r="281">
      <c r="A281" s="327"/>
      <c r="B281" s="121"/>
      <c r="C281" s="340"/>
      <c r="D281" s="339"/>
      <c r="E281" s="327"/>
      <c r="F281" s="121"/>
      <c r="G281" s="327"/>
      <c r="H281" s="121"/>
      <c r="I281" s="333"/>
      <c r="J281" s="177"/>
      <c r="K281" s="333"/>
      <c r="L281" s="177"/>
      <c r="M281" s="333"/>
      <c r="N281" s="177"/>
      <c r="O281" s="327"/>
      <c r="P281" s="121"/>
      <c r="Q281" s="349"/>
      <c r="R281" s="149"/>
      <c r="S281" s="17"/>
      <c r="T281" s="17"/>
      <c r="U281" s="17"/>
      <c r="V281" s="17"/>
      <c r="W281" s="17"/>
      <c r="X281" s="17"/>
      <c r="Y281" s="17"/>
      <c r="Z281" s="17"/>
    </row>
    <row r="282">
      <c r="A282" s="327"/>
      <c r="B282" s="121"/>
      <c r="C282" s="340"/>
      <c r="D282" s="339"/>
      <c r="E282" s="327"/>
      <c r="F282" s="121"/>
      <c r="G282" s="327"/>
      <c r="H282" s="121"/>
      <c r="I282" s="333"/>
      <c r="J282" s="177"/>
      <c r="K282" s="333"/>
      <c r="L282" s="177"/>
      <c r="M282" s="333"/>
      <c r="N282" s="177"/>
      <c r="O282" s="327"/>
      <c r="P282" s="121"/>
      <c r="Q282" s="349"/>
      <c r="R282" s="149"/>
      <c r="S282" s="17"/>
      <c r="T282" s="17"/>
      <c r="U282" s="17"/>
      <c r="V282" s="17"/>
      <c r="W282" s="17"/>
      <c r="X282" s="17"/>
      <c r="Y282" s="17"/>
      <c r="Z282" s="17"/>
    </row>
    <row r="283">
      <c r="A283" s="327"/>
      <c r="B283" s="121"/>
      <c r="C283" s="340"/>
      <c r="D283" s="339"/>
      <c r="E283" s="327"/>
      <c r="F283" s="121"/>
      <c r="G283" s="327"/>
      <c r="H283" s="121"/>
      <c r="I283" s="333"/>
      <c r="J283" s="177"/>
      <c r="K283" s="333"/>
      <c r="L283" s="177"/>
      <c r="M283" s="333"/>
      <c r="N283" s="177"/>
      <c r="O283" s="327"/>
      <c r="P283" s="121"/>
      <c r="Q283" s="349"/>
      <c r="R283" s="149"/>
      <c r="S283" s="17"/>
      <c r="T283" s="17"/>
      <c r="U283" s="17"/>
      <c r="V283" s="17"/>
      <c r="W283" s="17"/>
      <c r="X283" s="17"/>
      <c r="Y283" s="17"/>
      <c r="Z283" s="17"/>
    </row>
    <row r="284">
      <c r="A284" s="327"/>
      <c r="B284" s="121"/>
      <c r="C284" s="340"/>
      <c r="D284" s="339"/>
      <c r="E284" s="327"/>
      <c r="F284" s="121"/>
      <c r="G284" s="327"/>
      <c r="H284" s="121"/>
      <c r="I284" s="333"/>
      <c r="J284" s="177"/>
      <c r="K284" s="333"/>
      <c r="L284" s="177"/>
      <c r="M284" s="333"/>
      <c r="N284" s="177"/>
      <c r="O284" s="327"/>
      <c r="P284" s="121"/>
      <c r="Q284" s="349"/>
      <c r="R284" s="149"/>
      <c r="S284" s="17"/>
      <c r="T284" s="17"/>
      <c r="U284" s="17"/>
      <c r="V284" s="17"/>
      <c r="W284" s="17"/>
      <c r="X284" s="17"/>
      <c r="Y284" s="17"/>
      <c r="Z284" s="17"/>
    </row>
    <row r="285">
      <c r="A285" s="327"/>
      <c r="B285" s="121"/>
      <c r="C285" s="340"/>
      <c r="D285" s="339"/>
      <c r="E285" s="327"/>
      <c r="F285" s="121"/>
      <c r="G285" s="327"/>
      <c r="H285" s="121"/>
      <c r="I285" s="333"/>
      <c r="J285" s="177"/>
      <c r="K285" s="333"/>
      <c r="L285" s="177"/>
      <c r="M285" s="333"/>
      <c r="N285" s="177"/>
      <c r="O285" s="327"/>
      <c r="P285" s="121"/>
      <c r="Q285" s="349"/>
      <c r="R285" s="149"/>
      <c r="S285" s="17"/>
      <c r="T285" s="17"/>
      <c r="U285" s="17"/>
      <c r="V285" s="17"/>
      <c r="W285" s="17"/>
      <c r="X285" s="17"/>
      <c r="Y285" s="17"/>
      <c r="Z285" s="17"/>
    </row>
    <row r="286">
      <c r="A286" s="327"/>
      <c r="B286" s="121"/>
      <c r="C286" s="340"/>
      <c r="D286" s="339"/>
      <c r="E286" s="327"/>
      <c r="F286" s="121"/>
      <c r="G286" s="327"/>
      <c r="H286" s="121"/>
      <c r="I286" s="333"/>
      <c r="J286" s="177"/>
      <c r="K286" s="333"/>
      <c r="L286" s="177"/>
      <c r="M286" s="333"/>
      <c r="N286" s="177"/>
      <c r="O286" s="327"/>
      <c r="P286" s="121"/>
      <c r="Q286" s="349"/>
      <c r="R286" s="149"/>
      <c r="S286" s="17"/>
      <c r="T286" s="17"/>
      <c r="U286" s="17"/>
      <c r="V286" s="17"/>
      <c r="W286" s="17"/>
      <c r="X286" s="17"/>
      <c r="Y286" s="17"/>
      <c r="Z286" s="17"/>
    </row>
    <row r="287">
      <c r="A287" s="327"/>
      <c r="B287" s="121"/>
      <c r="C287" s="340"/>
      <c r="D287" s="339"/>
      <c r="E287" s="327"/>
      <c r="F287" s="121"/>
      <c r="G287" s="327"/>
      <c r="H287" s="121"/>
      <c r="I287" s="333"/>
      <c r="J287" s="177"/>
      <c r="K287" s="333"/>
      <c r="L287" s="177"/>
      <c r="M287" s="333"/>
      <c r="N287" s="177"/>
      <c r="O287" s="327"/>
      <c r="P287" s="121"/>
      <c r="Q287" s="349"/>
      <c r="R287" s="149"/>
      <c r="S287" s="17"/>
      <c r="T287" s="17"/>
      <c r="U287" s="17"/>
      <c r="V287" s="17"/>
      <c r="W287" s="17"/>
      <c r="X287" s="17"/>
      <c r="Y287" s="17"/>
      <c r="Z287" s="17"/>
    </row>
    <row r="288">
      <c r="A288" s="327"/>
      <c r="B288" s="121"/>
      <c r="C288" s="340"/>
      <c r="D288" s="339"/>
      <c r="E288" s="327"/>
      <c r="F288" s="121"/>
      <c r="G288" s="327"/>
      <c r="H288" s="121"/>
      <c r="I288" s="333"/>
      <c r="J288" s="177"/>
      <c r="K288" s="333"/>
      <c r="L288" s="177"/>
      <c r="M288" s="333"/>
      <c r="N288" s="177"/>
      <c r="O288" s="327"/>
      <c r="P288" s="121"/>
      <c r="Q288" s="349"/>
      <c r="R288" s="149"/>
      <c r="S288" s="17"/>
      <c r="T288" s="17"/>
      <c r="U288" s="17"/>
      <c r="V288" s="17"/>
      <c r="W288" s="17"/>
      <c r="X288" s="17"/>
      <c r="Y288" s="17"/>
      <c r="Z288" s="17"/>
    </row>
    <row r="289">
      <c r="A289" s="327"/>
      <c r="B289" s="121"/>
      <c r="C289" s="340"/>
      <c r="D289" s="339"/>
      <c r="E289" s="327"/>
      <c r="F289" s="121"/>
      <c r="G289" s="327"/>
      <c r="H289" s="121"/>
      <c r="I289" s="333"/>
      <c r="J289" s="177"/>
      <c r="K289" s="333"/>
      <c r="L289" s="177"/>
      <c r="M289" s="333"/>
      <c r="N289" s="177"/>
      <c r="O289" s="327"/>
      <c r="P289" s="121"/>
      <c r="Q289" s="349"/>
      <c r="R289" s="149"/>
      <c r="S289" s="17"/>
      <c r="T289" s="17"/>
      <c r="U289" s="17"/>
      <c r="V289" s="17"/>
      <c r="W289" s="17"/>
      <c r="X289" s="17"/>
      <c r="Y289" s="17"/>
      <c r="Z289" s="17"/>
    </row>
    <row r="290">
      <c r="A290" s="327"/>
      <c r="B290" s="121"/>
      <c r="C290" s="340"/>
      <c r="D290" s="339"/>
      <c r="E290" s="327"/>
      <c r="F290" s="121"/>
      <c r="G290" s="327"/>
      <c r="H290" s="121"/>
      <c r="I290" s="333"/>
      <c r="J290" s="177"/>
      <c r="K290" s="333"/>
      <c r="L290" s="177"/>
      <c r="M290" s="333"/>
      <c r="N290" s="177"/>
      <c r="O290" s="327"/>
      <c r="P290" s="121"/>
      <c r="Q290" s="349"/>
      <c r="R290" s="149"/>
      <c r="S290" s="17"/>
      <c r="T290" s="17"/>
      <c r="U290" s="17"/>
      <c r="V290" s="17"/>
      <c r="W290" s="17"/>
      <c r="X290" s="17"/>
      <c r="Y290" s="17"/>
      <c r="Z290" s="17"/>
    </row>
    <row r="291">
      <c r="A291" s="327"/>
      <c r="B291" s="121"/>
      <c r="C291" s="340"/>
      <c r="D291" s="339"/>
      <c r="E291" s="327"/>
      <c r="F291" s="121"/>
      <c r="G291" s="327"/>
      <c r="H291" s="121"/>
      <c r="I291" s="333"/>
      <c r="J291" s="177"/>
      <c r="K291" s="333"/>
      <c r="L291" s="177"/>
      <c r="M291" s="333"/>
      <c r="N291" s="177"/>
      <c r="O291" s="327"/>
      <c r="P291" s="121"/>
      <c r="Q291" s="349"/>
      <c r="R291" s="149"/>
      <c r="S291" s="17"/>
      <c r="T291" s="17"/>
      <c r="U291" s="17"/>
      <c r="V291" s="17"/>
      <c r="W291" s="17"/>
      <c r="X291" s="17"/>
      <c r="Y291" s="17"/>
      <c r="Z291" s="17"/>
    </row>
    <row r="292">
      <c r="A292" s="327"/>
      <c r="B292" s="121"/>
      <c r="C292" s="340"/>
      <c r="D292" s="339"/>
      <c r="E292" s="327"/>
      <c r="F292" s="121"/>
      <c r="G292" s="327"/>
      <c r="H292" s="121"/>
      <c r="I292" s="333"/>
      <c r="J292" s="177"/>
      <c r="K292" s="333"/>
      <c r="L292" s="177"/>
      <c r="M292" s="333"/>
      <c r="N292" s="177"/>
      <c r="O292" s="327"/>
      <c r="P292" s="121"/>
      <c r="Q292" s="349"/>
      <c r="R292" s="149"/>
      <c r="S292" s="17"/>
      <c r="T292" s="17"/>
      <c r="U292" s="17"/>
      <c r="V292" s="17"/>
      <c r="W292" s="17"/>
      <c r="X292" s="17"/>
      <c r="Y292" s="17"/>
      <c r="Z292" s="17"/>
    </row>
    <row r="293">
      <c r="A293" s="327"/>
      <c r="B293" s="121"/>
      <c r="C293" s="340"/>
      <c r="D293" s="339"/>
      <c r="E293" s="327"/>
      <c r="F293" s="121"/>
      <c r="G293" s="327"/>
      <c r="H293" s="121"/>
      <c r="I293" s="333"/>
      <c r="J293" s="177"/>
      <c r="K293" s="333"/>
      <c r="L293" s="177"/>
      <c r="M293" s="333"/>
      <c r="N293" s="177"/>
      <c r="O293" s="327"/>
      <c r="P293" s="121"/>
      <c r="Q293" s="349"/>
      <c r="R293" s="149"/>
      <c r="S293" s="17"/>
      <c r="T293" s="17"/>
      <c r="U293" s="17"/>
      <c r="V293" s="17"/>
      <c r="W293" s="17"/>
      <c r="X293" s="17"/>
      <c r="Y293" s="17"/>
      <c r="Z293" s="17"/>
    </row>
    <row r="294">
      <c r="A294" s="327"/>
      <c r="B294" s="121"/>
      <c r="C294" s="340"/>
      <c r="D294" s="339"/>
      <c r="E294" s="327"/>
      <c r="F294" s="121"/>
      <c r="G294" s="327"/>
      <c r="H294" s="121"/>
      <c r="I294" s="333"/>
      <c r="J294" s="177"/>
      <c r="K294" s="333"/>
      <c r="L294" s="177"/>
      <c r="M294" s="333"/>
      <c r="N294" s="177"/>
      <c r="O294" s="327"/>
      <c r="P294" s="121"/>
      <c r="Q294" s="349"/>
      <c r="R294" s="149"/>
      <c r="S294" s="17"/>
      <c r="T294" s="17"/>
      <c r="U294" s="17"/>
      <c r="V294" s="17"/>
      <c r="W294" s="17"/>
      <c r="X294" s="17"/>
      <c r="Y294" s="17"/>
      <c r="Z294" s="17"/>
    </row>
    <row r="295">
      <c r="A295" s="327"/>
      <c r="B295" s="121"/>
      <c r="C295" s="340"/>
      <c r="D295" s="339"/>
      <c r="E295" s="327"/>
      <c r="F295" s="121"/>
      <c r="G295" s="327"/>
      <c r="H295" s="121"/>
      <c r="I295" s="333"/>
      <c r="J295" s="177"/>
      <c r="K295" s="333"/>
      <c r="L295" s="177"/>
      <c r="M295" s="333"/>
      <c r="N295" s="177"/>
      <c r="O295" s="327"/>
      <c r="P295" s="121"/>
      <c r="Q295" s="349"/>
      <c r="R295" s="149"/>
      <c r="S295" s="17"/>
      <c r="T295" s="17"/>
      <c r="U295" s="17"/>
      <c r="V295" s="17"/>
      <c r="W295" s="17"/>
      <c r="X295" s="17"/>
      <c r="Y295" s="17"/>
      <c r="Z295" s="17"/>
    </row>
    <row r="296">
      <c r="A296" s="327"/>
      <c r="B296" s="121"/>
      <c r="C296" s="340"/>
      <c r="D296" s="339"/>
      <c r="E296" s="327"/>
      <c r="F296" s="121"/>
      <c r="G296" s="327"/>
      <c r="H296" s="121"/>
      <c r="I296" s="333"/>
      <c r="J296" s="177"/>
      <c r="K296" s="333"/>
      <c r="L296" s="177"/>
      <c r="M296" s="333"/>
      <c r="N296" s="177"/>
      <c r="O296" s="327"/>
      <c r="P296" s="121"/>
      <c r="Q296" s="349"/>
      <c r="R296" s="149"/>
      <c r="S296" s="17"/>
      <c r="T296" s="17"/>
      <c r="U296" s="17"/>
      <c r="V296" s="17"/>
      <c r="W296" s="17"/>
      <c r="X296" s="17"/>
      <c r="Y296" s="17"/>
      <c r="Z296" s="17"/>
    </row>
    <row r="297">
      <c r="A297" s="327"/>
      <c r="B297" s="121"/>
      <c r="C297" s="340"/>
      <c r="D297" s="339"/>
      <c r="E297" s="327"/>
      <c r="F297" s="121"/>
      <c r="G297" s="327"/>
      <c r="H297" s="121"/>
      <c r="I297" s="333"/>
      <c r="J297" s="177"/>
      <c r="K297" s="333"/>
      <c r="L297" s="177"/>
      <c r="M297" s="333"/>
      <c r="N297" s="177"/>
      <c r="O297" s="327"/>
      <c r="P297" s="121"/>
      <c r="Q297" s="349"/>
      <c r="R297" s="149"/>
      <c r="S297" s="17"/>
      <c r="T297" s="17"/>
      <c r="U297" s="17"/>
      <c r="V297" s="17"/>
      <c r="W297" s="17"/>
      <c r="X297" s="17"/>
      <c r="Y297" s="17"/>
      <c r="Z297" s="17"/>
    </row>
    <row r="298">
      <c r="A298" s="327"/>
      <c r="B298" s="121"/>
      <c r="C298" s="340"/>
      <c r="D298" s="339"/>
      <c r="E298" s="327"/>
      <c r="F298" s="121"/>
      <c r="G298" s="327"/>
      <c r="H298" s="121"/>
      <c r="I298" s="333"/>
      <c r="J298" s="177"/>
      <c r="K298" s="333"/>
      <c r="L298" s="177"/>
      <c r="M298" s="333"/>
      <c r="N298" s="177"/>
      <c r="O298" s="327"/>
      <c r="P298" s="121"/>
      <c r="Q298" s="349"/>
      <c r="R298" s="149"/>
      <c r="S298" s="17"/>
      <c r="T298" s="17"/>
      <c r="U298" s="17"/>
      <c r="V298" s="17"/>
      <c r="W298" s="17"/>
      <c r="X298" s="17"/>
      <c r="Y298" s="17"/>
      <c r="Z298" s="17"/>
    </row>
    <row r="299">
      <c r="A299" s="327"/>
      <c r="B299" s="121"/>
      <c r="C299" s="340"/>
      <c r="D299" s="339"/>
      <c r="E299" s="327"/>
      <c r="F299" s="121"/>
      <c r="G299" s="327"/>
      <c r="H299" s="121"/>
      <c r="I299" s="333"/>
      <c r="J299" s="177"/>
      <c r="K299" s="333"/>
      <c r="L299" s="177"/>
      <c r="M299" s="333"/>
      <c r="N299" s="177"/>
      <c r="O299" s="327"/>
      <c r="P299" s="121"/>
      <c r="Q299" s="349"/>
      <c r="R299" s="149"/>
      <c r="S299" s="17"/>
      <c r="T299" s="17"/>
      <c r="U299" s="17"/>
      <c r="V299" s="17"/>
      <c r="W299" s="17"/>
      <c r="X299" s="17"/>
      <c r="Y299" s="17"/>
      <c r="Z299" s="17"/>
    </row>
    <row r="300">
      <c r="A300" s="327"/>
      <c r="B300" s="121"/>
      <c r="C300" s="340"/>
      <c r="D300" s="339"/>
      <c r="E300" s="327"/>
      <c r="F300" s="121"/>
      <c r="G300" s="327"/>
      <c r="H300" s="121"/>
      <c r="I300" s="333"/>
      <c r="J300" s="177"/>
      <c r="K300" s="333"/>
      <c r="L300" s="177"/>
      <c r="M300" s="333"/>
      <c r="N300" s="177"/>
      <c r="O300" s="327"/>
      <c r="P300" s="121"/>
      <c r="Q300" s="349"/>
      <c r="R300" s="149"/>
      <c r="S300" s="17"/>
      <c r="T300" s="17"/>
      <c r="U300" s="17"/>
      <c r="V300" s="17"/>
      <c r="W300" s="17"/>
      <c r="X300" s="17"/>
      <c r="Y300" s="17"/>
      <c r="Z300" s="17"/>
    </row>
    <row r="301">
      <c r="A301" s="327"/>
      <c r="B301" s="121"/>
      <c r="C301" s="340"/>
      <c r="D301" s="339"/>
      <c r="E301" s="327"/>
      <c r="F301" s="121"/>
      <c r="G301" s="327"/>
      <c r="H301" s="121"/>
      <c r="I301" s="333"/>
      <c r="J301" s="177"/>
      <c r="K301" s="333"/>
      <c r="L301" s="177"/>
      <c r="M301" s="333"/>
      <c r="N301" s="177"/>
      <c r="O301" s="327"/>
      <c r="P301" s="121"/>
      <c r="Q301" s="349"/>
      <c r="R301" s="149"/>
      <c r="S301" s="17"/>
      <c r="T301" s="17"/>
      <c r="U301" s="17"/>
      <c r="V301" s="17"/>
      <c r="W301" s="17"/>
      <c r="X301" s="17"/>
      <c r="Y301" s="17"/>
      <c r="Z301" s="17"/>
    </row>
    <row r="302">
      <c r="A302" s="327"/>
      <c r="B302" s="121"/>
      <c r="C302" s="340"/>
      <c r="D302" s="339"/>
      <c r="E302" s="327"/>
      <c r="F302" s="121"/>
      <c r="G302" s="327"/>
      <c r="H302" s="121"/>
      <c r="I302" s="333"/>
      <c r="J302" s="177"/>
      <c r="K302" s="333"/>
      <c r="L302" s="177"/>
      <c r="M302" s="333"/>
      <c r="N302" s="177"/>
      <c r="O302" s="327"/>
      <c r="P302" s="121"/>
      <c r="Q302" s="349"/>
      <c r="R302" s="149"/>
      <c r="S302" s="17"/>
      <c r="T302" s="17"/>
      <c r="U302" s="17"/>
      <c r="V302" s="17"/>
      <c r="W302" s="17"/>
      <c r="X302" s="17"/>
      <c r="Y302" s="17"/>
      <c r="Z302" s="17"/>
    </row>
    <row r="303">
      <c r="A303" s="327"/>
      <c r="B303" s="121"/>
      <c r="C303" s="340"/>
      <c r="D303" s="339"/>
      <c r="E303" s="327"/>
      <c r="F303" s="121"/>
      <c r="G303" s="327"/>
      <c r="H303" s="121"/>
      <c r="I303" s="333"/>
      <c r="J303" s="177"/>
      <c r="K303" s="333"/>
      <c r="L303" s="177"/>
      <c r="M303" s="333"/>
      <c r="N303" s="177"/>
      <c r="O303" s="327"/>
      <c r="P303" s="121"/>
      <c r="Q303" s="349"/>
      <c r="R303" s="149"/>
      <c r="S303" s="17"/>
      <c r="T303" s="17"/>
      <c r="U303" s="17"/>
      <c r="V303" s="17"/>
      <c r="W303" s="17"/>
      <c r="X303" s="17"/>
      <c r="Y303" s="17"/>
      <c r="Z303" s="17"/>
    </row>
    <row r="304">
      <c r="A304" s="327"/>
      <c r="B304" s="121"/>
      <c r="C304" s="340"/>
      <c r="D304" s="339"/>
      <c r="E304" s="327"/>
      <c r="F304" s="121"/>
      <c r="G304" s="327"/>
      <c r="H304" s="121"/>
      <c r="I304" s="333"/>
      <c r="J304" s="177"/>
      <c r="K304" s="333"/>
      <c r="L304" s="177"/>
      <c r="M304" s="333"/>
      <c r="N304" s="177"/>
      <c r="O304" s="327"/>
      <c r="P304" s="121"/>
      <c r="Q304" s="349"/>
      <c r="R304" s="149"/>
      <c r="S304" s="17"/>
      <c r="T304" s="17"/>
      <c r="U304" s="17"/>
      <c r="V304" s="17"/>
      <c r="W304" s="17"/>
      <c r="X304" s="17"/>
      <c r="Y304" s="17"/>
      <c r="Z304" s="17"/>
    </row>
    <row r="305">
      <c r="A305" s="327"/>
      <c r="B305" s="121"/>
      <c r="C305" s="340"/>
      <c r="D305" s="339"/>
      <c r="E305" s="327"/>
      <c r="F305" s="121"/>
      <c r="G305" s="327"/>
      <c r="H305" s="121"/>
      <c r="I305" s="333"/>
      <c r="J305" s="177"/>
      <c r="K305" s="333"/>
      <c r="L305" s="177"/>
      <c r="M305" s="333"/>
      <c r="N305" s="177"/>
      <c r="O305" s="327"/>
      <c r="P305" s="121"/>
      <c r="Q305" s="349"/>
      <c r="R305" s="149"/>
      <c r="S305" s="17"/>
      <c r="T305" s="17"/>
      <c r="U305" s="17"/>
      <c r="V305" s="17"/>
      <c r="W305" s="17"/>
      <c r="X305" s="17"/>
      <c r="Y305" s="17"/>
      <c r="Z305" s="17"/>
    </row>
    <row r="306">
      <c r="A306" s="327"/>
      <c r="B306" s="121"/>
      <c r="C306" s="340"/>
      <c r="D306" s="339"/>
      <c r="E306" s="327"/>
      <c r="F306" s="121"/>
      <c r="G306" s="327"/>
      <c r="H306" s="121"/>
      <c r="I306" s="333"/>
      <c r="J306" s="177"/>
      <c r="K306" s="333"/>
      <c r="L306" s="177"/>
      <c r="M306" s="333"/>
      <c r="N306" s="177"/>
      <c r="O306" s="327"/>
      <c r="P306" s="121"/>
      <c r="Q306" s="349"/>
      <c r="R306" s="149"/>
      <c r="S306" s="17"/>
      <c r="T306" s="17"/>
      <c r="U306" s="17"/>
      <c r="V306" s="17"/>
      <c r="W306" s="17"/>
      <c r="X306" s="17"/>
      <c r="Y306" s="17"/>
      <c r="Z306" s="17"/>
    </row>
    <row r="307">
      <c r="A307" s="327"/>
      <c r="B307" s="121"/>
      <c r="C307" s="340"/>
      <c r="D307" s="339"/>
      <c r="E307" s="327"/>
      <c r="F307" s="121"/>
      <c r="G307" s="327"/>
      <c r="H307" s="121"/>
      <c r="I307" s="333"/>
      <c r="J307" s="177"/>
      <c r="K307" s="333"/>
      <c r="L307" s="177"/>
      <c r="M307" s="333"/>
      <c r="N307" s="177"/>
      <c r="O307" s="327"/>
      <c r="P307" s="121"/>
      <c r="Q307" s="349"/>
      <c r="R307" s="149"/>
      <c r="S307" s="17"/>
      <c r="T307" s="17"/>
      <c r="U307" s="17"/>
      <c r="V307" s="17"/>
      <c r="W307" s="17"/>
      <c r="X307" s="17"/>
      <c r="Y307" s="17"/>
      <c r="Z307" s="17"/>
    </row>
    <row r="308">
      <c r="A308" s="327"/>
      <c r="B308" s="121"/>
      <c r="C308" s="340"/>
      <c r="D308" s="339"/>
      <c r="E308" s="327"/>
      <c r="F308" s="121"/>
      <c r="G308" s="327"/>
      <c r="H308" s="121"/>
      <c r="I308" s="333"/>
      <c r="J308" s="177"/>
      <c r="K308" s="333"/>
      <c r="L308" s="177"/>
      <c r="M308" s="333"/>
      <c r="N308" s="177"/>
      <c r="O308" s="327"/>
      <c r="P308" s="121"/>
      <c r="Q308" s="349"/>
      <c r="R308" s="149"/>
      <c r="S308" s="17"/>
      <c r="T308" s="17"/>
      <c r="U308" s="17"/>
      <c r="V308" s="17"/>
      <c r="W308" s="17"/>
      <c r="X308" s="17"/>
      <c r="Y308" s="17"/>
      <c r="Z308" s="17"/>
    </row>
    <row r="309">
      <c r="A309" s="327"/>
      <c r="B309" s="121"/>
      <c r="C309" s="340"/>
      <c r="D309" s="339"/>
      <c r="E309" s="327"/>
      <c r="F309" s="121"/>
      <c r="G309" s="327"/>
      <c r="H309" s="121"/>
      <c r="I309" s="333"/>
      <c r="J309" s="177"/>
      <c r="K309" s="333"/>
      <c r="L309" s="177"/>
      <c r="M309" s="333"/>
      <c r="N309" s="177"/>
      <c r="O309" s="327"/>
      <c r="P309" s="121"/>
      <c r="Q309" s="349"/>
      <c r="R309" s="149"/>
      <c r="S309" s="17"/>
      <c r="T309" s="17"/>
      <c r="U309" s="17"/>
      <c r="V309" s="17"/>
      <c r="W309" s="17"/>
      <c r="X309" s="17"/>
      <c r="Y309" s="17"/>
      <c r="Z309" s="17"/>
    </row>
    <row r="310">
      <c r="A310" s="327"/>
      <c r="B310" s="121"/>
      <c r="C310" s="340"/>
      <c r="D310" s="339"/>
      <c r="E310" s="327"/>
      <c r="F310" s="121"/>
      <c r="G310" s="327"/>
      <c r="H310" s="121"/>
      <c r="I310" s="333"/>
      <c r="J310" s="177"/>
      <c r="K310" s="333"/>
      <c r="L310" s="177"/>
      <c r="M310" s="333"/>
      <c r="N310" s="177"/>
      <c r="O310" s="327"/>
      <c r="P310" s="121"/>
      <c r="Q310" s="349"/>
      <c r="R310" s="149"/>
      <c r="S310" s="17"/>
      <c r="T310" s="17"/>
      <c r="U310" s="17"/>
      <c r="V310" s="17"/>
      <c r="W310" s="17"/>
      <c r="X310" s="17"/>
      <c r="Y310" s="17"/>
      <c r="Z310" s="17"/>
    </row>
    <row r="311">
      <c r="A311" s="327"/>
      <c r="B311" s="121"/>
      <c r="C311" s="340"/>
      <c r="D311" s="339"/>
      <c r="E311" s="327"/>
      <c r="F311" s="121"/>
      <c r="G311" s="327"/>
      <c r="H311" s="121"/>
      <c r="I311" s="333"/>
      <c r="J311" s="177"/>
      <c r="K311" s="333"/>
      <c r="L311" s="177"/>
      <c r="M311" s="333"/>
      <c r="N311" s="177"/>
      <c r="O311" s="327"/>
      <c r="P311" s="121"/>
      <c r="Q311" s="349"/>
      <c r="R311" s="149"/>
      <c r="S311" s="17"/>
      <c r="T311" s="17"/>
      <c r="U311" s="17"/>
      <c r="V311" s="17"/>
      <c r="W311" s="17"/>
      <c r="X311" s="17"/>
      <c r="Y311" s="17"/>
      <c r="Z311" s="17"/>
    </row>
    <row r="312">
      <c r="A312" s="327"/>
      <c r="B312" s="121"/>
      <c r="C312" s="340"/>
      <c r="D312" s="339"/>
      <c r="E312" s="327"/>
      <c r="F312" s="121"/>
      <c r="G312" s="327"/>
      <c r="H312" s="121"/>
      <c r="I312" s="333"/>
      <c r="J312" s="177"/>
      <c r="K312" s="333"/>
      <c r="L312" s="177"/>
      <c r="M312" s="333"/>
      <c r="N312" s="177"/>
      <c r="O312" s="327"/>
      <c r="P312" s="121"/>
      <c r="Q312" s="349"/>
      <c r="R312" s="149"/>
      <c r="S312" s="17"/>
      <c r="T312" s="17"/>
      <c r="U312" s="17"/>
      <c r="V312" s="17"/>
      <c r="W312" s="17"/>
      <c r="X312" s="17"/>
      <c r="Y312" s="17"/>
      <c r="Z312" s="17"/>
    </row>
    <row r="313">
      <c r="A313" s="327"/>
      <c r="B313" s="121"/>
      <c r="C313" s="340"/>
      <c r="D313" s="339"/>
      <c r="E313" s="327"/>
      <c r="F313" s="121"/>
      <c r="G313" s="327"/>
      <c r="H313" s="121"/>
      <c r="I313" s="333"/>
      <c r="J313" s="177"/>
      <c r="K313" s="333"/>
      <c r="L313" s="177"/>
      <c r="M313" s="333"/>
      <c r="N313" s="177"/>
      <c r="O313" s="327"/>
      <c r="P313" s="121"/>
      <c r="Q313" s="349"/>
      <c r="R313" s="149"/>
      <c r="S313" s="17"/>
      <c r="T313" s="17"/>
      <c r="U313" s="17"/>
      <c r="V313" s="17"/>
      <c r="W313" s="17"/>
      <c r="X313" s="17"/>
      <c r="Y313" s="17"/>
      <c r="Z313" s="17"/>
    </row>
    <row r="314">
      <c r="A314" s="327"/>
      <c r="B314" s="121"/>
      <c r="C314" s="340"/>
      <c r="D314" s="339"/>
      <c r="E314" s="327"/>
      <c r="F314" s="121"/>
      <c r="G314" s="327"/>
      <c r="H314" s="121"/>
      <c r="I314" s="333"/>
      <c r="J314" s="177"/>
      <c r="K314" s="333"/>
      <c r="L314" s="177"/>
      <c r="M314" s="333"/>
      <c r="N314" s="177"/>
      <c r="O314" s="327"/>
      <c r="P314" s="121"/>
      <c r="Q314" s="349"/>
      <c r="R314" s="149"/>
      <c r="S314" s="17"/>
      <c r="T314" s="17"/>
      <c r="U314" s="17"/>
      <c r="V314" s="17"/>
      <c r="W314" s="17"/>
      <c r="X314" s="17"/>
      <c r="Y314" s="17"/>
      <c r="Z314" s="17"/>
    </row>
    <row r="315">
      <c r="A315" s="327"/>
      <c r="B315" s="121"/>
      <c r="C315" s="340"/>
      <c r="D315" s="339"/>
      <c r="E315" s="327"/>
      <c r="F315" s="121"/>
      <c r="G315" s="327"/>
      <c r="H315" s="121"/>
      <c r="I315" s="333"/>
      <c r="J315" s="177"/>
      <c r="K315" s="333"/>
      <c r="L315" s="177"/>
      <c r="M315" s="333"/>
      <c r="N315" s="177"/>
      <c r="O315" s="327"/>
      <c r="P315" s="121"/>
      <c r="Q315" s="349"/>
      <c r="R315" s="149"/>
      <c r="S315" s="17"/>
      <c r="T315" s="17"/>
      <c r="U315" s="17"/>
      <c r="V315" s="17"/>
      <c r="W315" s="17"/>
      <c r="X315" s="17"/>
      <c r="Y315" s="17"/>
      <c r="Z315" s="17"/>
    </row>
    <row r="316">
      <c r="A316" s="327"/>
      <c r="B316" s="121"/>
      <c r="C316" s="340"/>
      <c r="D316" s="339"/>
      <c r="E316" s="327"/>
      <c r="F316" s="121"/>
      <c r="G316" s="327"/>
      <c r="H316" s="121"/>
      <c r="I316" s="333"/>
      <c r="J316" s="177"/>
      <c r="K316" s="333"/>
      <c r="L316" s="177"/>
      <c r="M316" s="333"/>
      <c r="N316" s="177"/>
      <c r="O316" s="327"/>
      <c r="P316" s="121"/>
      <c r="Q316" s="349"/>
      <c r="R316" s="149"/>
      <c r="S316" s="17"/>
      <c r="T316" s="17"/>
      <c r="U316" s="17"/>
      <c r="V316" s="17"/>
      <c r="W316" s="17"/>
      <c r="X316" s="17"/>
      <c r="Y316" s="17"/>
      <c r="Z316" s="17"/>
    </row>
    <row r="317">
      <c r="A317" s="327"/>
      <c r="B317" s="121"/>
      <c r="C317" s="340"/>
      <c r="D317" s="339"/>
      <c r="E317" s="327"/>
      <c r="F317" s="121"/>
      <c r="G317" s="327"/>
      <c r="H317" s="121"/>
      <c r="I317" s="333"/>
      <c r="J317" s="177"/>
      <c r="K317" s="333"/>
      <c r="L317" s="177"/>
      <c r="M317" s="333"/>
      <c r="N317" s="177"/>
      <c r="O317" s="327"/>
      <c r="P317" s="121"/>
      <c r="Q317" s="349"/>
      <c r="R317" s="149"/>
      <c r="S317" s="17"/>
      <c r="T317" s="17"/>
      <c r="U317" s="17"/>
      <c r="V317" s="17"/>
      <c r="W317" s="17"/>
      <c r="X317" s="17"/>
      <c r="Y317" s="17"/>
      <c r="Z317" s="17"/>
    </row>
    <row r="318">
      <c r="A318" s="327"/>
      <c r="B318" s="121"/>
      <c r="C318" s="340"/>
      <c r="D318" s="339"/>
      <c r="E318" s="327"/>
      <c r="F318" s="121"/>
      <c r="G318" s="327"/>
      <c r="H318" s="121"/>
      <c r="I318" s="333"/>
      <c r="J318" s="177"/>
      <c r="K318" s="333"/>
      <c r="L318" s="177"/>
      <c r="M318" s="333"/>
      <c r="N318" s="177"/>
      <c r="O318" s="327"/>
      <c r="P318" s="121"/>
      <c r="Q318" s="349"/>
      <c r="R318" s="149"/>
      <c r="S318" s="17"/>
      <c r="T318" s="17"/>
      <c r="U318" s="17"/>
      <c r="V318" s="17"/>
      <c r="W318" s="17"/>
      <c r="X318" s="17"/>
      <c r="Y318" s="17"/>
      <c r="Z318" s="17"/>
    </row>
    <row r="319">
      <c r="A319" s="327"/>
      <c r="B319" s="121"/>
      <c r="C319" s="340"/>
      <c r="D319" s="339"/>
      <c r="E319" s="327"/>
      <c r="F319" s="121"/>
      <c r="G319" s="327"/>
      <c r="H319" s="121"/>
      <c r="I319" s="333"/>
      <c r="J319" s="177"/>
      <c r="K319" s="333"/>
      <c r="L319" s="177"/>
      <c r="M319" s="333"/>
      <c r="N319" s="177"/>
      <c r="O319" s="327"/>
      <c r="P319" s="121"/>
      <c r="Q319" s="349"/>
      <c r="R319" s="149"/>
      <c r="S319" s="17"/>
      <c r="T319" s="17"/>
      <c r="U319" s="17"/>
      <c r="V319" s="17"/>
      <c r="W319" s="17"/>
      <c r="X319" s="17"/>
      <c r="Y319" s="17"/>
      <c r="Z319" s="17"/>
    </row>
    <row r="320">
      <c r="A320" s="327"/>
      <c r="B320" s="121"/>
      <c r="C320" s="340"/>
      <c r="D320" s="339"/>
      <c r="E320" s="327"/>
      <c r="F320" s="121"/>
      <c r="G320" s="327"/>
      <c r="H320" s="121"/>
      <c r="I320" s="333"/>
      <c r="J320" s="177"/>
      <c r="K320" s="333"/>
      <c r="L320" s="177"/>
      <c r="M320" s="333"/>
      <c r="N320" s="177"/>
      <c r="O320" s="327"/>
      <c r="P320" s="121"/>
      <c r="Q320" s="349"/>
      <c r="R320" s="149"/>
      <c r="S320" s="17"/>
      <c r="T320" s="17"/>
      <c r="U320" s="17"/>
      <c r="V320" s="17"/>
      <c r="W320" s="17"/>
      <c r="X320" s="17"/>
      <c r="Y320" s="17"/>
      <c r="Z320" s="17"/>
    </row>
    <row r="321">
      <c r="A321" s="327"/>
      <c r="B321" s="121"/>
      <c r="C321" s="340"/>
      <c r="D321" s="339"/>
      <c r="E321" s="327"/>
      <c r="F321" s="121"/>
      <c r="G321" s="327"/>
      <c r="H321" s="121"/>
      <c r="I321" s="333"/>
      <c r="J321" s="177"/>
      <c r="K321" s="333"/>
      <c r="L321" s="177"/>
      <c r="M321" s="333"/>
      <c r="N321" s="177"/>
      <c r="O321" s="327"/>
      <c r="P321" s="121"/>
      <c r="Q321" s="349"/>
      <c r="R321" s="149"/>
      <c r="S321" s="17"/>
      <c r="T321" s="17"/>
      <c r="U321" s="17"/>
      <c r="V321" s="17"/>
      <c r="W321" s="17"/>
      <c r="X321" s="17"/>
      <c r="Y321" s="17"/>
      <c r="Z321" s="17"/>
    </row>
    <row r="322">
      <c r="A322" s="327"/>
      <c r="B322" s="121"/>
      <c r="C322" s="340"/>
      <c r="D322" s="339"/>
      <c r="E322" s="327"/>
      <c r="F322" s="121"/>
      <c r="G322" s="327"/>
      <c r="H322" s="121"/>
      <c r="I322" s="333"/>
      <c r="J322" s="177"/>
      <c r="K322" s="333"/>
      <c r="L322" s="177"/>
      <c r="M322" s="333"/>
      <c r="N322" s="177"/>
      <c r="O322" s="327"/>
      <c r="P322" s="121"/>
      <c r="Q322" s="349"/>
      <c r="R322" s="149"/>
      <c r="S322" s="17"/>
      <c r="T322" s="17"/>
      <c r="U322" s="17"/>
      <c r="V322" s="17"/>
      <c r="W322" s="17"/>
      <c r="X322" s="17"/>
      <c r="Y322" s="17"/>
      <c r="Z322" s="17"/>
    </row>
    <row r="323">
      <c r="A323" s="327"/>
      <c r="B323" s="121"/>
      <c r="C323" s="340"/>
      <c r="D323" s="339"/>
      <c r="E323" s="327"/>
      <c r="F323" s="121"/>
      <c r="G323" s="327"/>
      <c r="H323" s="121"/>
      <c r="I323" s="333"/>
      <c r="J323" s="177"/>
      <c r="K323" s="333"/>
      <c r="L323" s="177"/>
      <c r="M323" s="333"/>
      <c r="N323" s="177"/>
      <c r="O323" s="327"/>
      <c r="P323" s="121"/>
      <c r="Q323" s="349"/>
      <c r="R323" s="149"/>
      <c r="S323" s="17"/>
      <c r="T323" s="17"/>
      <c r="U323" s="17"/>
      <c r="V323" s="17"/>
      <c r="W323" s="17"/>
      <c r="X323" s="17"/>
      <c r="Y323" s="17"/>
      <c r="Z323" s="17"/>
    </row>
    <row r="324">
      <c r="A324" s="327"/>
      <c r="B324" s="121"/>
      <c r="C324" s="340"/>
      <c r="D324" s="339"/>
      <c r="E324" s="327"/>
      <c r="F324" s="121"/>
      <c r="G324" s="327"/>
      <c r="H324" s="121"/>
      <c r="I324" s="333"/>
      <c r="J324" s="177"/>
      <c r="K324" s="333"/>
      <c r="L324" s="177"/>
      <c r="M324" s="333"/>
      <c r="N324" s="177"/>
      <c r="O324" s="327"/>
      <c r="P324" s="121"/>
      <c r="Q324" s="349"/>
      <c r="R324" s="149"/>
      <c r="S324" s="17"/>
      <c r="T324" s="17"/>
      <c r="U324" s="17"/>
      <c r="V324" s="17"/>
      <c r="W324" s="17"/>
      <c r="X324" s="17"/>
      <c r="Y324" s="17"/>
      <c r="Z324" s="17"/>
    </row>
    <row r="325">
      <c r="A325" s="327"/>
      <c r="B325" s="121"/>
      <c r="C325" s="340"/>
      <c r="D325" s="339"/>
      <c r="E325" s="327"/>
      <c r="F325" s="121"/>
      <c r="G325" s="327"/>
      <c r="H325" s="121"/>
      <c r="I325" s="333"/>
      <c r="J325" s="177"/>
      <c r="K325" s="333"/>
      <c r="L325" s="177"/>
      <c r="M325" s="333"/>
      <c r="N325" s="177"/>
      <c r="O325" s="327"/>
      <c r="P325" s="121"/>
      <c r="Q325" s="349"/>
      <c r="R325" s="149"/>
      <c r="S325" s="17"/>
      <c r="T325" s="17"/>
      <c r="U325" s="17"/>
      <c r="V325" s="17"/>
      <c r="W325" s="17"/>
      <c r="X325" s="17"/>
      <c r="Y325" s="17"/>
      <c r="Z325" s="17"/>
    </row>
    <row r="326">
      <c r="A326" s="327"/>
      <c r="B326" s="121"/>
      <c r="C326" s="340"/>
      <c r="D326" s="339"/>
      <c r="E326" s="327"/>
      <c r="F326" s="121"/>
      <c r="G326" s="327"/>
      <c r="H326" s="121"/>
      <c r="I326" s="333"/>
      <c r="J326" s="177"/>
      <c r="K326" s="333"/>
      <c r="L326" s="177"/>
      <c r="M326" s="333"/>
      <c r="N326" s="177"/>
      <c r="O326" s="327"/>
      <c r="P326" s="121"/>
      <c r="Q326" s="349"/>
      <c r="R326" s="149"/>
      <c r="S326" s="17"/>
      <c r="T326" s="17"/>
      <c r="U326" s="17"/>
      <c r="V326" s="17"/>
      <c r="W326" s="17"/>
      <c r="X326" s="17"/>
      <c r="Y326" s="17"/>
      <c r="Z326" s="17"/>
    </row>
    <row r="327">
      <c r="A327" s="327"/>
      <c r="B327" s="121"/>
      <c r="C327" s="340"/>
      <c r="D327" s="339"/>
      <c r="E327" s="327"/>
      <c r="F327" s="121"/>
      <c r="G327" s="327"/>
      <c r="H327" s="121"/>
      <c r="I327" s="333"/>
      <c r="J327" s="177"/>
      <c r="K327" s="333"/>
      <c r="L327" s="177"/>
      <c r="M327" s="333"/>
      <c r="N327" s="177"/>
      <c r="O327" s="327"/>
      <c r="P327" s="121"/>
      <c r="Q327" s="349"/>
      <c r="R327" s="149"/>
      <c r="S327" s="17"/>
      <c r="T327" s="17"/>
      <c r="U327" s="17"/>
      <c r="V327" s="17"/>
      <c r="W327" s="17"/>
      <c r="X327" s="17"/>
      <c r="Y327" s="17"/>
      <c r="Z327" s="17"/>
    </row>
    <row r="328">
      <c r="A328" s="327"/>
      <c r="B328" s="121"/>
      <c r="C328" s="340"/>
      <c r="D328" s="339"/>
      <c r="E328" s="327"/>
      <c r="F328" s="121"/>
      <c r="G328" s="327"/>
      <c r="H328" s="121"/>
      <c r="I328" s="333"/>
      <c r="J328" s="177"/>
      <c r="K328" s="333"/>
      <c r="L328" s="177"/>
      <c r="M328" s="333"/>
      <c r="N328" s="177"/>
      <c r="O328" s="327"/>
      <c r="P328" s="121"/>
      <c r="Q328" s="349"/>
      <c r="R328" s="149"/>
      <c r="S328" s="17"/>
      <c r="T328" s="17"/>
      <c r="U328" s="17"/>
      <c r="V328" s="17"/>
      <c r="W328" s="17"/>
      <c r="X328" s="17"/>
      <c r="Y328" s="17"/>
      <c r="Z328" s="17"/>
    </row>
    <row r="329">
      <c r="A329" s="327"/>
      <c r="B329" s="121"/>
      <c r="C329" s="340"/>
      <c r="D329" s="339"/>
      <c r="E329" s="327"/>
      <c r="F329" s="121"/>
      <c r="G329" s="327"/>
      <c r="H329" s="121"/>
      <c r="I329" s="333"/>
      <c r="J329" s="177"/>
      <c r="K329" s="333"/>
      <c r="L329" s="177"/>
      <c r="M329" s="333"/>
      <c r="N329" s="177"/>
      <c r="O329" s="327"/>
      <c r="P329" s="121"/>
      <c r="Q329" s="349"/>
      <c r="R329" s="149"/>
      <c r="S329" s="17"/>
      <c r="T329" s="17"/>
      <c r="U329" s="17"/>
      <c r="V329" s="17"/>
      <c r="W329" s="17"/>
      <c r="X329" s="17"/>
      <c r="Y329" s="17"/>
      <c r="Z329" s="17"/>
    </row>
    <row r="330">
      <c r="A330" s="327"/>
      <c r="B330" s="121"/>
      <c r="C330" s="340"/>
      <c r="D330" s="339"/>
      <c r="E330" s="327"/>
      <c r="F330" s="121"/>
      <c r="G330" s="327"/>
      <c r="H330" s="121"/>
      <c r="I330" s="333"/>
      <c r="J330" s="177"/>
      <c r="K330" s="333"/>
      <c r="L330" s="177"/>
      <c r="M330" s="333"/>
      <c r="N330" s="177"/>
      <c r="O330" s="327"/>
      <c r="P330" s="121"/>
      <c r="Q330" s="349"/>
      <c r="R330" s="149"/>
      <c r="S330" s="17"/>
      <c r="T330" s="17"/>
      <c r="U330" s="17"/>
      <c r="V330" s="17"/>
      <c r="W330" s="17"/>
      <c r="X330" s="17"/>
      <c r="Y330" s="17"/>
      <c r="Z330" s="17"/>
    </row>
    <row r="331">
      <c r="A331" s="327"/>
      <c r="B331" s="121"/>
      <c r="C331" s="340"/>
      <c r="D331" s="339"/>
      <c r="E331" s="327"/>
      <c r="F331" s="121"/>
      <c r="G331" s="327"/>
      <c r="H331" s="121"/>
      <c r="I331" s="333"/>
      <c r="J331" s="177"/>
      <c r="K331" s="333"/>
      <c r="L331" s="177"/>
      <c r="M331" s="333"/>
      <c r="N331" s="177"/>
      <c r="O331" s="327"/>
      <c r="P331" s="121"/>
      <c r="Q331" s="349"/>
      <c r="R331" s="149"/>
      <c r="S331" s="17"/>
      <c r="T331" s="17"/>
      <c r="U331" s="17"/>
      <c r="V331" s="17"/>
      <c r="W331" s="17"/>
      <c r="X331" s="17"/>
      <c r="Y331" s="17"/>
      <c r="Z331" s="17"/>
    </row>
    <row r="332">
      <c r="A332" s="327"/>
      <c r="B332" s="121"/>
      <c r="C332" s="340"/>
      <c r="D332" s="339"/>
      <c r="E332" s="327"/>
      <c r="F332" s="121"/>
      <c r="G332" s="327"/>
      <c r="H332" s="121"/>
      <c r="I332" s="333"/>
      <c r="J332" s="177"/>
      <c r="K332" s="333"/>
      <c r="L332" s="177"/>
      <c r="M332" s="333"/>
      <c r="N332" s="177"/>
      <c r="O332" s="327"/>
      <c r="P332" s="121"/>
      <c r="Q332" s="349"/>
      <c r="R332" s="149"/>
      <c r="S332" s="17"/>
      <c r="T332" s="17"/>
      <c r="U332" s="17"/>
      <c r="V332" s="17"/>
      <c r="W332" s="17"/>
      <c r="X332" s="17"/>
      <c r="Y332" s="17"/>
      <c r="Z332" s="17"/>
    </row>
    <row r="333">
      <c r="A333" s="327"/>
      <c r="B333" s="121"/>
      <c r="C333" s="340"/>
      <c r="D333" s="339"/>
      <c r="E333" s="327"/>
      <c r="F333" s="121"/>
      <c r="G333" s="327"/>
      <c r="H333" s="121"/>
      <c r="I333" s="333"/>
      <c r="J333" s="177"/>
      <c r="K333" s="333"/>
      <c r="L333" s="177"/>
      <c r="M333" s="333"/>
      <c r="N333" s="177"/>
      <c r="O333" s="327"/>
      <c r="P333" s="121"/>
      <c r="Q333" s="349"/>
      <c r="R333" s="149"/>
      <c r="S333" s="17"/>
      <c r="T333" s="17"/>
      <c r="U333" s="17"/>
      <c r="V333" s="17"/>
      <c r="W333" s="17"/>
      <c r="X333" s="17"/>
      <c r="Y333" s="17"/>
      <c r="Z333" s="17"/>
    </row>
    <row r="334">
      <c r="A334" s="327"/>
      <c r="B334" s="121"/>
      <c r="C334" s="340"/>
      <c r="D334" s="339"/>
      <c r="E334" s="327"/>
      <c r="F334" s="121"/>
      <c r="G334" s="327"/>
      <c r="H334" s="121"/>
      <c r="I334" s="333"/>
      <c r="J334" s="177"/>
      <c r="K334" s="333"/>
      <c r="L334" s="177"/>
      <c r="M334" s="333"/>
      <c r="N334" s="177"/>
      <c r="O334" s="327"/>
      <c r="P334" s="121"/>
      <c r="Q334" s="349"/>
      <c r="R334" s="149"/>
      <c r="S334" s="17"/>
      <c r="T334" s="17"/>
      <c r="U334" s="17"/>
      <c r="V334" s="17"/>
      <c r="W334" s="17"/>
      <c r="X334" s="17"/>
      <c r="Y334" s="17"/>
      <c r="Z334" s="17"/>
    </row>
    <row r="335">
      <c r="A335" s="327"/>
      <c r="B335" s="121"/>
      <c r="C335" s="340"/>
      <c r="D335" s="339"/>
      <c r="E335" s="327"/>
      <c r="F335" s="121"/>
      <c r="G335" s="327"/>
      <c r="H335" s="121"/>
      <c r="I335" s="333"/>
      <c r="J335" s="177"/>
      <c r="K335" s="333"/>
      <c r="L335" s="177"/>
      <c r="M335" s="333"/>
      <c r="N335" s="177"/>
      <c r="O335" s="327"/>
      <c r="P335" s="121"/>
      <c r="Q335" s="349"/>
      <c r="R335" s="149"/>
      <c r="S335" s="17"/>
      <c r="T335" s="17"/>
      <c r="U335" s="17"/>
      <c r="V335" s="17"/>
      <c r="W335" s="17"/>
      <c r="X335" s="17"/>
      <c r="Y335" s="17"/>
      <c r="Z335" s="17"/>
    </row>
    <row r="336">
      <c r="A336" s="327"/>
      <c r="B336" s="121"/>
      <c r="C336" s="340"/>
      <c r="D336" s="339"/>
      <c r="E336" s="327"/>
      <c r="F336" s="121"/>
      <c r="G336" s="327"/>
      <c r="H336" s="121"/>
      <c r="I336" s="333"/>
      <c r="J336" s="177"/>
      <c r="K336" s="333"/>
      <c r="L336" s="177"/>
      <c r="M336" s="333"/>
      <c r="N336" s="177"/>
      <c r="O336" s="327"/>
      <c r="P336" s="121"/>
      <c r="Q336" s="349"/>
      <c r="R336" s="149"/>
      <c r="S336" s="17"/>
      <c r="T336" s="17"/>
      <c r="U336" s="17"/>
      <c r="V336" s="17"/>
      <c r="W336" s="17"/>
      <c r="X336" s="17"/>
      <c r="Y336" s="17"/>
      <c r="Z336" s="17"/>
    </row>
    <row r="337">
      <c r="A337" s="327"/>
      <c r="B337" s="121"/>
      <c r="C337" s="340"/>
      <c r="D337" s="339"/>
      <c r="E337" s="327"/>
      <c r="F337" s="121"/>
      <c r="G337" s="327"/>
      <c r="H337" s="121"/>
      <c r="I337" s="333"/>
      <c r="J337" s="177"/>
      <c r="K337" s="333"/>
      <c r="L337" s="177"/>
      <c r="M337" s="333"/>
      <c r="N337" s="177"/>
      <c r="O337" s="327"/>
      <c r="P337" s="121"/>
      <c r="Q337" s="349"/>
      <c r="R337" s="149"/>
      <c r="S337" s="17"/>
      <c r="T337" s="17"/>
      <c r="U337" s="17"/>
      <c r="V337" s="17"/>
      <c r="W337" s="17"/>
      <c r="X337" s="17"/>
      <c r="Y337" s="17"/>
      <c r="Z337" s="17"/>
    </row>
    <row r="338">
      <c r="A338" s="327"/>
      <c r="B338" s="121"/>
      <c r="C338" s="340"/>
      <c r="D338" s="339"/>
      <c r="E338" s="327"/>
      <c r="F338" s="121"/>
      <c r="G338" s="327"/>
      <c r="H338" s="121"/>
      <c r="I338" s="333"/>
      <c r="J338" s="177"/>
      <c r="K338" s="333"/>
      <c r="L338" s="177"/>
      <c r="M338" s="333"/>
      <c r="N338" s="177"/>
      <c r="O338" s="327"/>
      <c r="P338" s="121"/>
      <c r="Q338" s="349"/>
      <c r="R338" s="149"/>
      <c r="S338" s="17"/>
      <c r="T338" s="17"/>
      <c r="U338" s="17"/>
      <c r="V338" s="17"/>
      <c r="W338" s="17"/>
      <c r="X338" s="17"/>
      <c r="Y338" s="17"/>
      <c r="Z338" s="17"/>
    </row>
    <row r="339">
      <c r="A339" s="327"/>
      <c r="B339" s="121"/>
      <c r="C339" s="340"/>
      <c r="D339" s="339"/>
      <c r="E339" s="327"/>
      <c r="F339" s="121"/>
      <c r="G339" s="327"/>
      <c r="H339" s="121"/>
      <c r="I339" s="333"/>
      <c r="J339" s="177"/>
      <c r="K339" s="333"/>
      <c r="L339" s="177"/>
      <c r="M339" s="333"/>
      <c r="N339" s="177"/>
      <c r="O339" s="327"/>
      <c r="P339" s="121"/>
      <c r="Q339" s="349"/>
      <c r="R339" s="149"/>
      <c r="S339" s="17"/>
      <c r="T339" s="17"/>
      <c r="U339" s="17"/>
      <c r="V339" s="17"/>
      <c r="W339" s="17"/>
      <c r="X339" s="17"/>
      <c r="Y339" s="17"/>
      <c r="Z339" s="17"/>
    </row>
    <row r="340">
      <c r="A340" s="327"/>
      <c r="B340" s="121"/>
      <c r="C340" s="340"/>
      <c r="D340" s="339"/>
      <c r="E340" s="327"/>
      <c r="F340" s="121"/>
      <c r="G340" s="327"/>
      <c r="H340" s="121"/>
      <c r="I340" s="333"/>
      <c r="J340" s="177"/>
      <c r="K340" s="333"/>
      <c r="L340" s="177"/>
      <c r="M340" s="333"/>
      <c r="N340" s="177"/>
      <c r="O340" s="327"/>
      <c r="P340" s="121"/>
      <c r="Q340" s="349"/>
      <c r="R340" s="149"/>
      <c r="S340" s="17"/>
      <c r="T340" s="17"/>
      <c r="U340" s="17"/>
      <c r="V340" s="17"/>
      <c r="W340" s="17"/>
      <c r="X340" s="17"/>
      <c r="Y340" s="17"/>
      <c r="Z340" s="17"/>
    </row>
    <row r="341">
      <c r="A341" s="327"/>
      <c r="B341" s="121"/>
      <c r="C341" s="340"/>
      <c r="D341" s="339"/>
      <c r="E341" s="327"/>
      <c r="F341" s="121"/>
      <c r="G341" s="327"/>
      <c r="H341" s="121"/>
      <c r="I341" s="333"/>
      <c r="J341" s="177"/>
      <c r="K341" s="333"/>
      <c r="L341" s="177"/>
      <c r="M341" s="333"/>
      <c r="N341" s="177"/>
      <c r="O341" s="327"/>
      <c r="P341" s="121"/>
      <c r="Q341" s="349"/>
      <c r="R341" s="149"/>
      <c r="S341" s="17"/>
      <c r="T341" s="17"/>
      <c r="U341" s="17"/>
      <c r="V341" s="17"/>
      <c r="W341" s="17"/>
      <c r="X341" s="17"/>
      <c r="Y341" s="17"/>
      <c r="Z341" s="17"/>
    </row>
    <row r="342">
      <c r="A342" s="327"/>
      <c r="B342" s="121"/>
      <c r="C342" s="340"/>
      <c r="D342" s="339"/>
      <c r="E342" s="327"/>
      <c r="F342" s="121"/>
      <c r="G342" s="327"/>
      <c r="H342" s="121"/>
      <c r="I342" s="333"/>
      <c r="J342" s="177"/>
      <c r="K342" s="333"/>
      <c r="L342" s="177"/>
      <c r="M342" s="333"/>
      <c r="N342" s="177"/>
      <c r="O342" s="327"/>
      <c r="P342" s="121"/>
      <c r="Q342" s="349"/>
      <c r="R342" s="149"/>
      <c r="S342" s="17"/>
      <c r="T342" s="17"/>
      <c r="U342" s="17"/>
      <c r="V342" s="17"/>
      <c r="W342" s="17"/>
      <c r="X342" s="17"/>
      <c r="Y342" s="17"/>
      <c r="Z342" s="17"/>
    </row>
    <row r="343">
      <c r="A343" s="327"/>
      <c r="B343" s="121"/>
      <c r="C343" s="340"/>
      <c r="D343" s="339"/>
      <c r="E343" s="327"/>
      <c r="F343" s="121"/>
      <c r="G343" s="327"/>
      <c r="H343" s="121"/>
      <c r="I343" s="333"/>
      <c r="J343" s="177"/>
      <c r="K343" s="333"/>
      <c r="L343" s="177"/>
      <c r="M343" s="333"/>
      <c r="N343" s="177"/>
      <c r="O343" s="327"/>
      <c r="P343" s="121"/>
      <c r="Q343" s="349"/>
      <c r="R343" s="149"/>
      <c r="S343" s="17"/>
      <c r="T343" s="17"/>
      <c r="U343" s="17"/>
      <c r="V343" s="17"/>
      <c r="W343" s="17"/>
      <c r="X343" s="17"/>
      <c r="Y343" s="17"/>
      <c r="Z343" s="17"/>
    </row>
    <row r="344">
      <c r="A344" s="327"/>
      <c r="B344" s="121"/>
      <c r="C344" s="340"/>
      <c r="D344" s="339"/>
      <c r="E344" s="327"/>
      <c r="F344" s="121"/>
      <c r="G344" s="327"/>
      <c r="H344" s="121"/>
      <c r="I344" s="333"/>
      <c r="J344" s="177"/>
      <c r="K344" s="333"/>
      <c r="L344" s="177"/>
      <c r="M344" s="333"/>
      <c r="N344" s="177"/>
      <c r="O344" s="327"/>
      <c r="P344" s="121"/>
      <c r="Q344" s="349"/>
      <c r="R344" s="149"/>
      <c r="S344" s="17"/>
      <c r="T344" s="17"/>
      <c r="U344" s="17"/>
      <c r="V344" s="17"/>
      <c r="W344" s="17"/>
      <c r="X344" s="17"/>
      <c r="Y344" s="17"/>
      <c r="Z344" s="17"/>
    </row>
    <row r="345">
      <c r="A345" s="327"/>
      <c r="B345" s="121"/>
      <c r="C345" s="340"/>
      <c r="D345" s="339"/>
      <c r="E345" s="327"/>
      <c r="F345" s="121"/>
      <c r="G345" s="327"/>
      <c r="H345" s="121"/>
      <c r="I345" s="333"/>
      <c r="J345" s="177"/>
      <c r="K345" s="333"/>
      <c r="L345" s="177"/>
      <c r="M345" s="333"/>
      <c r="N345" s="177"/>
      <c r="O345" s="327"/>
      <c r="P345" s="121"/>
      <c r="Q345" s="349"/>
      <c r="R345" s="149"/>
      <c r="S345" s="17"/>
      <c r="T345" s="17"/>
      <c r="U345" s="17"/>
      <c r="V345" s="17"/>
      <c r="W345" s="17"/>
      <c r="X345" s="17"/>
      <c r="Y345" s="17"/>
      <c r="Z345" s="17"/>
    </row>
    <row r="346">
      <c r="A346" s="327"/>
      <c r="B346" s="121"/>
      <c r="C346" s="340"/>
      <c r="D346" s="339"/>
      <c r="E346" s="327"/>
      <c r="F346" s="121"/>
      <c r="G346" s="327"/>
      <c r="H346" s="121"/>
      <c r="I346" s="333"/>
      <c r="J346" s="177"/>
      <c r="K346" s="333"/>
      <c r="L346" s="177"/>
      <c r="M346" s="333"/>
      <c r="N346" s="177"/>
      <c r="O346" s="327"/>
      <c r="P346" s="121"/>
      <c r="Q346" s="349"/>
      <c r="R346" s="149"/>
      <c r="S346" s="17"/>
      <c r="T346" s="17"/>
      <c r="U346" s="17"/>
      <c r="V346" s="17"/>
      <c r="W346" s="17"/>
      <c r="X346" s="17"/>
      <c r="Y346" s="17"/>
      <c r="Z346" s="17"/>
    </row>
    <row r="347">
      <c r="A347" s="327"/>
      <c r="B347" s="121"/>
      <c r="C347" s="340"/>
      <c r="D347" s="339"/>
      <c r="E347" s="327"/>
      <c r="F347" s="121"/>
      <c r="G347" s="327"/>
      <c r="H347" s="121"/>
      <c r="I347" s="333"/>
      <c r="J347" s="177"/>
      <c r="K347" s="333"/>
      <c r="L347" s="177"/>
      <c r="M347" s="333"/>
      <c r="N347" s="177"/>
      <c r="O347" s="327"/>
      <c r="P347" s="121"/>
      <c r="Q347" s="349"/>
      <c r="R347" s="149"/>
      <c r="S347" s="17"/>
      <c r="T347" s="17"/>
      <c r="U347" s="17"/>
      <c r="V347" s="17"/>
      <c r="W347" s="17"/>
      <c r="X347" s="17"/>
      <c r="Y347" s="17"/>
      <c r="Z347" s="17"/>
    </row>
    <row r="348">
      <c r="A348" s="327"/>
      <c r="B348" s="121"/>
      <c r="C348" s="340"/>
      <c r="D348" s="339"/>
      <c r="E348" s="327"/>
      <c r="F348" s="121"/>
      <c r="G348" s="327"/>
      <c r="H348" s="121"/>
      <c r="I348" s="333"/>
      <c r="J348" s="177"/>
      <c r="K348" s="333"/>
      <c r="L348" s="177"/>
      <c r="M348" s="333"/>
      <c r="N348" s="177"/>
      <c r="O348" s="327"/>
      <c r="P348" s="121"/>
      <c r="Q348" s="349"/>
      <c r="R348" s="149"/>
      <c r="S348" s="17"/>
      <c r="T348" s="17"/>
      <c r="U348" s="17"/>
      <c r="V348" s="17"/>
      <c r="W348" s="17"/>
      <c r="X348" s="17"/>
      <c r="Y348" s="17"/>
      <c r="Z348" s="17"/>
    </row>
    <row r="349">
      <c r="A349" s="327"/>
      <c r="B349" s="121"/>
      <c r="C349" s="340"/>
      <c r="D349" s="339"/>
      <c r="E349" s="327"/>
      <c r="F349" s="121"/>
      <c r="G349" s="327"/>
      <c r="H349" s="121"/>
      <c r="I349" s="333"/>
      <c r="J349" s="177"/>
      <c r="K349" s="333"/>
      <c r="L349" s="177"/>
      <c r="M349" s="333"/>
      <c r="N349" s="177"/>
      <c r="O349" s="327"/>
      <c r="P349" s="121"/>
      <c r="Q349" s="349"/>
      <c r="R349" s="149"/>
      <c r="S349" s="17"/>
      <c r="T349" s="17"/>
      <c r="U349" s="17"/>
      <c r="V349" s="17"/>
      <c r="W349" s="17"/>
      <c r="X349" s="17"/>
      <c r="Y349" s="17"/>
      <c r="Z349" s="17"/>
    </row>
    <row r="350">
      <c r="A350" s="327"/>
      <c r="B350" s="121"/>
      <c r="C350" s="340"/>
      <c r="D350" s="339"/>
      <c r="E350" s="327"/>
      <c r="F350" s="121"/>
      <c r="G350" s="327"/>
      <c r="H350" s="121"/>
      <c r="I350" s="333"/>
      <c r="J350" s="177"/>
      <c r="K350" s="333"/>
      <c r="L350" s="177"/>
      <c r="M350" s="333"/>
      <c r="N350" s="177"/>
      <c r="O350" s="327"/>
      <c r="P350" s="121"/>
      <c r="Q350" s="349"/>
      <c r="R350" s="149"/>
      <c r="S350" s="17"/>
      <c r="T350" s="17"/>
      <c r="U350" s="17"/>
      <c r="V350" s="17"/>
      <c r="W350" s="17"/>
      <c r="X350" s="17"/>
      <c r="Y350" s="17"/>
      <c r="Z350" s="17"/>
    </row>
    <row r="351">
      <c r="A351" s="327"/>
      <c r="B351" s="121"/>
      <c r="C351" s="340"/>
      <c r="D351" s="339"/>
      <c r="E351" s="327"/>
      <c r="F351" s="121"/>
      <c r="G351" s="327"/>
      <c r="H351" s="121"/>
      <c r="I351" s="333"/>
      <c r="J351" s="177"/>
      <c r="K351" s="333"/>
      <c r="L351" s="177"/>
      <c r="M351" s="333"/>
      <c r="N351" s="177"/>
      <c r="O351" s="327"/>
      <c r="P351" s="121"/>
      <c r="Q351" s="349"/>
      <c r="R351" s="149"/>
      <c r="S351" s="17"/>
      <c r="T351" s="17"/>
      <c r="U351" s="17"/>
      <c r="V351" s="17"/>
      <c r="W351" s="17"/>
      <c r="X351" s="17"/>
      <c r="Y351" s="17"/>
      <c r="Z351" s="17"/>
    </row>
    <row r="352">
      <c r="A352" s="327"/>
      <c r="B352" s="121"/>
      <c r="C352" s="340"/>
      <c r="D352" s="339"/>
      <c r="E352" s="327"/>
      <c r="F352" s="121"/>
      <c r="G352" s="327"/>
      <c r="H352" s="121"/>
      <c r="I352" s="333"/>
      <c r="J352" s="177"/>
      <c r="K352" s="333"/>
      <c r="L352" s="177"/>
      <c r="M352" s="333"/>
      <c r="N352" s="177"/>
      <c r="O352" s="327"/>
      <c r="P352" s="121"/>
      <c r="Q352" s="349"/>
      <c r="R352" s="149"/>
      <c r="S352" s="17"/>
      <c r="T352" s="17"/>
      <c r="U352" s="17"/>
      <c r="V352" s="17"/>
      <c r="W352" s="17"/>
      <c r="X352" s="17"/>
      <c r="Y352" s="17"/>
      <c r="Z352" s="17"/>
    </row>
    <row r="353">
      <c r="A353" s="327"/>
      <c r="B353" s="121"/>
      <c r="C353" s="340"/>
      <c r="D353" s="339"/>
      <c r="E353" s="327"/>
      <c r="F353" s="121"/>
      <c r="G353" s="327"/>
      <c r="H353" s="121"/>
      <c r="I353" s="333"/>
      <c r="J353" s="177"/>
      <c r="K353" s="333"/>
      <c r="L353" s="177"/>
      <c r="M353" s="333"/>
      <c r="N353" s="177"/>
      <c r="O353" s="327"/>
      <c r="P353" s="121"/>
      <c r="Q353" s="349"/>
      <c r="R353" s="149"/>
      <c r="S353" s="17"/>
      <c r="T353" s="17"/>
      <c r="U353" s="17"/>
      <c r="V353" s="17"/>
      <c r="W353" s="17"/>
      <c r="X353" s="17"/>
      <c r="Y353" s="17"/>
      <c r="Z353" s="17"/>
    </row>
    <row r="354">
      <c r="A354" s="327"/>
      <c r="B354" s="121"/>
      <c r="C354" s="340"/>
      <c r="D354" s="339"/>
      <c r="E354" s="327"/>
      <c r="F354" s="121"/>
      <c r="G354" s="327"/>
      <c r="H354" s="121"/>
      <c r="I354" s="333"/>
      <c r="J354" s="177"/>
      <c r="K354" s="333"/>
      <c r="L354" s="177"/>
      <c r="M354" s="333"/>
      <c r="N354" s="177"/>
      <c r="O354" s="327"/>
      <c r="P354" s="121"/>
      <c r="Q354" s="349"/>
      <c r="R354" s="149"/>
      <c r="S354" s="17"/>
      <c r="T354" s="17"/>
      <c r="U354" s="17"/>
      <c r="V354" s="17"/>
      <c r="W354" s="17"/>
      <c r="X354" s="17"/>
      <c r="Y354" s="17"/>
      <c r="Z354" s="17"/>
    </row>
    <row r="355">
      <c r="A355" s="327"/>
      <c r="B355" s="121"/>
      <c r="C355" s="340"/>
      <c r="D355" s="339"/>
      <c r="E355" s="327"/>
      <c r="F355" s="121"/>
      <c r="G355" s="327"/>
      <c r="H355" s="121"/>
      <c r="I355" s="333"/>
      <c r="J355" s="177"/>
      <c r="K355" s="333"/>
      <c r="L355" s="177"/>
      <c r="M355" s="333"/>
      <c r="N355" s="177"/>
      <c r="O355" s="327"/>
      <c r="P355" s="121"/>
      <c r="Q355" s="349"/>
      <c r="R355" s="149"/>
      <c r="S355" s="17"/>
      <c r="T355" s="17"/>
      <c r="U355" s="17"/>
      <c r="V355" s="17"/>
      <c r="W355" s="17"/>
      <c r="X355" s="17"/>
      <c r="Y355" s="17"/>
      <c r="Z355" s="17"/>
    </row>
    <row r="356">
      <c r="A356" s="327"/>
      <c r="B356" s="121"/>
      <c r="C356" s="340"/>
      <c r="D356" s="339"/>
      <c r="E356" s="327"/>
      <c r="F356" s="121"/>
      <c r="G356" s="327"/>
      <c r="H356" s="121"/>
      <c r="I356" s="333"/>
      <c r="J356" s="177"/>
      <c r="K356" s="333"/>
      <c r="L356" s="177"/>
      <c r="M356" s="333"/>
      <c r="N356" s="177"/>
      <c r="O356" s="327"/>
      <c r="P356" s="121"/>
      <c r="Q356" s="349"/>
      <c r="R356" s="149"/>
      <c r="S356" s="17"/>
      <c r="T356" s="17"/>
      <c r="U356" s="17"/>
      <c r="V356" s="17"/>
      <c r="W356" s="17"/>
      <c r="X356" s="17"/>
      <c r="Y356" s="17"/>
      <c r="Z356" s="17"/>
    </row>
    <row r="357">
      <c r="A357" s="327"/>
      <c r="B357" s="121"/>
      <c r="C357" s="340"/>
      <c r="D357" s="339"/>
      <c r="E357" s="327"/>
      <c r="F357" s="121"/>
      <c r="G357" s="327"/>
      <c r="H357" s="121"/>
      <c r="I357" s="333"/>
      <c r="J357" s="177"/>
      <c r="K357" s="333"/>
      <c r="L357" s="177"/>
      <c r="M357" s="333"/>
      <c r="N357" s="177"/>
      <c r="O357" s="327"/>
      <c r="P357" s="121"/>
      <c r="Q357" s="349"/>
      <c r="R357" s="149"/>
      <c r="S357" s="17"/>
      <c r="T357" s="17"/>
      <c r="U357" s="17"/>
      <c r="V357" s="17"/>
      <c r="W357" s="17"/>
      <c r="X357" s="17"/>
      <c r="Y357" s="17"/>
      <c r="Z357" s="17"/>
    </row>
    <row r="358">
      <c r="A358" s="327"/>
      <c r="B358" s="121"/>
      <c r="C358" s="340"/>
      <c r="D358" s="339"/>
      <c r="E358" s="327"/>
      <c r="F358" s="121"/>
      <c r="G358" s="327"/>
      <c r="H358" s="121"/>
      <c r="I358" s="333"/>
      <c r="J358" s="177"/>
      <c r="K358" s="333"/>
      <c r="L358" s="177"/>
      <c r="M358" s="333"/>
      <c r="N358" s="177"/>
      <c r="O358" s="327"/>
      <c r="P358" s="121"/>
      <c r="Q358" s="349"/>
      <c r="R358" s="149"/>
      <c r="S358" s="17"/>
      <c r="T358" s="17"/>
      <c r="U358" s="17"/>
      <c r="V358" s="17"/>
      <c r="W358" s="17"/>
      <c r="X358" s="17"/>
      <c r="Y358" s="17"/>
      <c r="Z358" s="17"/>
    </row>
    <row r="359">
      <c r="A359" s="327"/>
      <c r="B359" s="121"/>
      <c r="C359" s="340"/>
      <c r="D359" s="339"/>
      <c r="E359" s="327"/>
      <c r="F359" s="121"/>
      <c r="G359" s="327"/>
      <c r="H359" s="121"/>
      <c r="I359" s="333"/>
      <c r="J359" s="177"/>
      <c r="K359" s="333"/>
      <c r="L359" s="177"/>
      <c r="M359" s="333"/>
      <c r="N359" s="177"/>
      <c r="O359" s="327"/>
      <c r="P359" s="121"/>
      <c r="Q359" s="349"/>
      <c r="R359" s="149"/>
      <c r="S359" s="17"/>
      <c r="T359" s="17"/>
      <c r="U359" s="17"/>
      <c r="V359" s="17"/>
      <c r="W359" s="17"/>
      <c r="X359" s="17"/>
      <c r="Y359" s="17"/>
      <c r="Z359" s="17"/>
    </row>
    <row r="360">
      <c r="A360" s="327"/>
      <c r="B360" s="121"/>
      <c r="C360" s="340"/>
      <c r="D360" s="339"/>
      <c r="E360" s="327"/>
      <c r="F360" s="121"/>
      <c r="G360" s="327"/>
      <c r="H360" s="121"/>
      <c r="I360" s="333"/>
      <c r="J360" s="177"/>
      <c r="K360" s="333"/>
      <c r="L360" s="177"/>
      <c r="M360" s="333"/>
      <c r="N360" s="177"/>
      <c r="O360" s="327"/>
      <c r="P360" s="121"/>
      <c r="Q360" s="349"/>
      <c r="R360" s="149"/>
      <c r="S360" s="17"/>
      <c r="T360" s="17"/>
      <c r="U360" s="17"/>
      <c r="V360" s="17"/>
      <c r="W360" s="17"/>
      <c r="X360" s="17"/>
      <c r="Y360" s="17"/>
      <c r="Z360" s="17"/>
    </row>
    <row r="361">
      <c r="A361" s="327"/>
      <c r="B361" s="121"/>
      <c r="C361" s="340"/>
      <c r="D361" s="339"/>
      <c r="E361" s="327"/>
      <c r="F361" s="121"/>
      <c r="G361" s="327"/>
      <c r="H361" s="121"/>
      <c r="I361" s="333"/>
      <c r="J361" s="177"/>
      <c r="K361" s="333"/>
      <c r="L361" s="177"/>
      <c r="M361" s="333"/>
      <c r="N361" s="177"/>
      <c r="O361" s="327"/>
      <c r="P361" s="121"/>
      <c r="Q361" s="349"/>
      <c r="R361" s="149"/>
      <c r="S361" s="17"/>
      <c r="T361" s="17"/>
      <c r="U361" s="17"/>
      <c r="V361" s="17"/>
      <c r="W361" s="17"/>
      <c r="X361" s="17"/>
      <c r="Y361" s="17"/>
      <c r="Z361" s="17"/>
    </row>
    <row r="362">
      <c r="A362" s="327"/>
      <c r="B362" s="121"/>
      <c r="C362" s="340"/>
      <c r="D362" s="339"/>
      <c r="E362" s="327"/>
      <c r="F362" s="121"/>
      <c r="G362" s="327"/>
      <c r="H362" s="121"/>
      <c r="I362" s="333"/>
      <c r="J362" s="177"/>
      <c r="K362" s="333"/>
      <c r="L362" s="177"/>
      <c r="M362" s="333"/>
      <c r="N362" s="177"/>
      <c r="O362" s="327"/>
      <c r="P362" s="121"/>
      <c r="Q362" s="349"/>
      <c r="R362" s="149"/>
      <c r="S362" s="17"/>
      <c r="T362" s="17"/>
      <c r="U362" s="17"/>
      <c r="V362" s="17"/>
      <c r="W362" s="17"/>
      <c r="X362" s="17"/>
      <c r="Y362" s="17"/>
      <c r="Z362" s="17"/>
    </row>
    <row r="363">
      <c r="A363" s="327"/>
      <c r="B363" s="121"/>
      <c r="C363" s="340"/>
      <c r="D363" s="339"/>
      <c r="E363" s="327"/>
      <c r="F363" s="121"/>
      <c r="G363" s="327"/>
      <c r="H363" s="121"/>
      <c r="I363" s="333"/>
      <c r="J363" s="177"/>
      <c r="K363" s="333"/>
      <c r="L363" s="177"/>
      <c r="M363" s="333"/>
      <c r="N363" s="177"/>
      <c r="O363" s="327"/>
      <c r="P363" s="121"/>
      <c r="Q363" s="349"/>
      <c r="R363" s="149"/>
      <c r="S363" s="17"/>
      <c r="T363" s="17"/>
      <c r="U363" s="17"/>
      <c r="V363" s="17"/>
      <c r="W363" s="17"/>
      <c r="X363" s="17"/>
      <c r="Y363" s="17"/>
      <c r="Z363" s="17"/>
    </row>
    <row r="364">
      <c r="A364" s="327"/>
      <c r="B364" s="121"/>
      <c r="C364" s="340"/>
      <c r="D364" s="339"/>
      <c r="E364" s="327"/>
      <c r="F364" s="121"/>
      <c r="G364" s="327"/>
      <c r="H364" s="121"/>
      <c r="I364" s="333"/>
      <c r="J364" s="177"/>
      <c r="K364" s="333"/>
      <c r="L364" s="177"/>
      <c r="M364" s="333"/>
      <c r="N364" s="177"/>
      <c r="O364" s="327"/>
      <c r="P364" s="121"/>
      <c r="Q364" s="349"/>
      <c r="R364" s="149"/>
      <c r="S364" s="17"/>
      <c r="T364" s="17"/>
      <c r="U364" s="17"/>
      <c r="V364" s="17"/>
      <c r="W364" s="17"/>
      <c r="X364" s="17"/>
      <c r="Y364" s="17"/>
      <c r="Z364" s="17"/>
    </row>
    <row r="365">
      <c r="A365" s="327"/>
      <c r="B365" s="121"/>
      <c r="C365" s="340"/>
      <c r="D365" s="339"/>
      <c r="E365" s="327"/>
      <c r="F365" s="121"/>
      <c r="G365" s="327"/>
      <c r="H365" s="121"/>
      <c r="I365" s="333"/>
      <c r="J365" s="177"/>
      <c r="K365" s="333"/>
      <c r="L365" s="177"/>
      <c r="M365" s="333"/>
      <c r="N365" s="177"/>
      <c r="O365" s="327"/>
      <c r="P365" s="121"/>
      <c r="Q365" s="349"/>
      <c r="R365" s="149"/>
      <c r="S365" s="17"/>
      <c r="T365" s="17"/>
      <c r="U365" s="17"/>
      <c r="V365" s="17"/>
      <c r="W365" s="17"/>
      <c r="X365" s="17"/>
      <c r="Y365" s="17"/>
      <c r="Z365" s="17"/>
    </row>
    <row r="366">
      <c r="A366" s="327"/>
      <c r="B366" s="121"/>
      <c r="C366" s="340"/>
      <c r="D366" s="339"/>
      <c r="E366" s="327"/>
      <c r="F366" s="121"/>
      <c r="G366" s="327"/>
      <c r="H366" s="121"/>
      <c r="I366" s="333"/>
      <c r="J366" s="177"/>
      <c r="K366" s="333"/>
      <c r="L366" s="177"/>
      <c r="M366" s="333"/>
      <c r="N366" s="177"/>
      <c r="O366" s="327"/>
      <c r="P366" s="121"/>
      <c r="Q366" s="349"/>
      <c r="R366" s="149"/>
      <c r="S366" s="17"/>
      <c r="T366" s="17"/>
      <c r="U366" s="17"/>
      <c r="V366" s="17"/>
      <c r="W366" s="17"/>
      <c r="X366" s="17"/>
      <c r="Y366" s="17"/>
      <c r="Z366" s="17"/>
    </row>
    <row r="367">
      <c r="A367" s="327"/>
      <c r="B367" s="121"/>
      <c r="C367" s="340"/>
      <c r="D367" s="339"/>
      <c r="E367" s="327"/>
      <c r="F367" s="121"/>
      <c r="G367" s="327"/>
      <c r="H367" s="121"/>
      <c r="I367" s="333"/>
      <c r="J367" s="177"/>
      <c r="K367" s="333"/>
      <c r="L367" s="177"/>
      <c r="M367" s="333"/>
      <c r="N367" s="177"/>
      <c r="O367" s="327"/>
      <c r="P367" s="121"/>
      <c r="Q367" s="349"/>
      <c r="R367" s="149"/>
      <c r="S367" s="17"/>
      <c r="T367" s="17"/>
      <c r="U367" s="17"/>
      <c r="V367" s="17"/>
      <c r="W367" s="17"/>
      <c r="X367" s="17"/>
      <c r="Y367" s="17"/>
      <c r="Z367" s="17"/>
    </row>
    <row r="368">
      <c r="A368" s="327"/>
      <c r="B368" s="121"/>
      <c r="C368" s="340"/>
      <c r="D368" s="339"/>
      <c r="E368" s="327"/>
      <c r="F368" s="121"/>
      <c r="G368" s="327"/>
      <c r="H368" s="121"/>
      <c r="I368" s="333"/>
      <c r="J368" s="177"/>
      <c r="K368" s="333"/>
      <c r="L368" s="177"/>
      <c r="M368" s="333"/>
      <c r="N368" s="177"/>
      <c r="O368" s="327"/>
      <c r="P368" s="121"/>
      <c r="Q368" s="349"/>
      <c r="R368" s="149"/>
      <c r="S368" s="17"/>
      <c r="T368" s="17"/>
      <c r="U368" s="17"/>
      <c r="V368" s="17"/>
      <c r="W368" s="17"/>
      <c r="X368" s="17"/>
      <c r="Y368" s="17"/>
      <c r="Z368" s="17"/>
    </row>
    <row r="369">
      <c r="A369" s="327"/>
      <c r="B369" s="121"/>
      <c r="C369" s="340"/>
      <c r="D369" s="339"/>
      <c r="E369" s="327"/>
      <c r="F369" s="121"/>
      <c r="G369" s="327"/>
      <c r="H369" s="121"/>
      <c r="I369" s="333"/>
      <c r="J369" s="177"/>
      <c r="K369" s="333"/>
      <c r="L369" s="177"/>
      <c r="M369" s="333"/>
      <c r="N369" s="177"/>
      <c r="O369" s="327"/>
      <c r="P369" s="121"/>
      <c r="Q369" s="349"/>
      <c r="R369" s="149"/>
      <c r="S369" s="17"/>
      <c r="T369" s="17"/>
      <c r="U369" s="17"/>
      <c r="V369" s="17"/>
      <c r="W369" s="17"/>
      <c r="X369" s="17"/>
      <c r="Y369" s="17"/>
      <c r="Z369" s="17"/>
    </row>
    <row r="370">
      <c r="A370" s="327"/>
      <c r="B370" s="121"/>
      <c r="C370" s="340"/>
      <c r="D370" s="339"/>
      <c r="E370" s="327"/>
      <c r="F370" s="121"/>
      <c r="G370" s="327"/>
      <c r="H370" s="121"/>
      <c r="I370" s="333"/>
      <c r="J370" s="177"/>
      <c r="K370" s="333"/>
      <c r="L370" s="177"/>
      <c r="M370" s="333"/>
      <c r="N370" s="177"/>
      <c r="O370" s="327"/>
      <c r="P370" s="121"/>
      <c r="Q370" s="349"/>
      <c r="R370" s="149"/>
      <c r="S370" s="17"/>
      <c r="T370" s="17"/>
      <c r="U370" s="17"/>
      <c r="V370" s="17"/>
      <c r="W370" s="17"/>
      <c r="X370" s="17"/>
      <c r="Y370" s="17"/>
      <c r="Z370" s="17"/>
    </row>
    <row r="371">
      <c r="A371" s="327"/>
      <c r="B371" s="121"/>
      <c r="C371" s="340"/>
      <c r="D371" s="339"/>
      <c r="E371" s="327"/>
      <c r="F371" s="121"/>
      <c r="G371" s="327"/>
      <c r="H371" s="121"/>
      <c r="I371" s="333"/>
      <c r="J371" s="177"/>
      <c r="K371" s="333"/>
      <c r="L371" s="177"/>
      <c r="M371" s="333"/>
      <c r="N371" s="177"/>
      <c r="O371" s="327"/>
      <c r="P371" s="121"/>
      <c r="Q371" s="349"/>
      <c r="R371" s="149"/>
      <c r="S371" s="17"/>
      <c r="T371" s="17"/>
      <c r="U371" s="17"/>
      <c r="V371" s="17"/>
      <c r="W371" s="17"/>
      <c r="X371" s="17"/>
      <c r="Y371" s="17"/>
      <c r="Z371" s="17"/>
    </row>
    <row r="372">
      <c r="A372" s="327"/>
      <c r="B372" s="121"/>
      <c r="C372" s="340"/>
      <c r="D372" s="339"/>
      <c r="E372" s="327"/>
      <c r="F372" s="121"/>
      <c r="G372" s="327"/>
      <c r="H372" s="121"/>
      <c r="I372" s="333"/>
      <c r="J372" s="177"/>
      <c r="K372" s="333"/>
      <c r="L372" s="177"/>
      <c r="M372" s="333"/>
      <c r="N372" s="177"/>
      <c r="O372" s="327"/>
      <c r="P372" s="121"/>
      <c r="Q372" s="349"/>
      <c r="R372" s="149"/>
      <c r="S372" s="17"/>
      <c r="T372" s="17"/>
      <c r="U372" s="17"/>
      <c r="V372" s="17"/>
      <c r="W372" s="17"/>
      <c r="X372" s="17"/>
      <c r="Y372" s="17"/>
      <c r="Z372" s="17"/>
    </row>
    <row r="373">
      <c r="A373" s="327"/>
      <c r="B373" s="121"/>
      <c r="C373" s="340"/>
      <c r="D373" s="339"/>
      <c r="E373" s="327"/>
      <c r="F373" s="121"/>
      <c r="G373" s="327"/>
      <c r="H373" s="121"/>
      <c r="I373" s="333"/>
      <c r="J373" s="177"/>
      <c r="K373" s="333"/>
      <c r="L373" s="177"/>
      <c r="M373" s="333"/>
      <c r="N373" s="177"/>
      <c r="O373" s="327"/>
      <c r="P373" s="121"/>
      <c r="Q373" s="349"/>
      <c r="R373" s="149"/>
      <c r="S373" s="17"/>
      <c r="T373" s="17"/>
      <c r="U373" s="17"/>
      <c r="V373" s="17"/>
      <c r="W373" s="17"/>
      <c r="X373" s="17"/>
      <c r="Y373" s="17"/>
      <c r="Z373" s="17"/>
    </row>
    <row r="374">
      <c r="A374" s="327"/>
      <c r="B374" s="121"/>
      <c r="C374" s="340"/>
      <c r="D374" s="339"/>
      <c r="E374" s="327"/>
      <c r="F374" s="121"/>
      <c r="G374" s="327"/>
      <c r="H374" s="121"/>
      <c r="I374" s="333"/>
      <c r="J374" s="177"/>
      <c r="K374" s="333"/>
      <c r="L374" s="177"/>
      <c r="M374" s="333"/>
      <c r="N374" s="177"/>
      <c r="O374" s="327"/>
      <c r="P374" s="121"/>
      <c r="Q374" s="349"/>
      <c r="R374" s="149"/>
      <c r="S374" s="17"/>
      <c r="T374" s="17"/>
      <c r="U374" s="17"/>
      <c r="V374" s="17"/>
      <c r="W374" s="17"/>
      <c r="X374" s="17"/>
      <c r="Y374" s="17"/>
      <c r="Z374" s="17"/>
    </row>
    <row r="375">
      <c r="A375" s="327"/>
      <c r="B375" s="121"/>
      <c r="C375" s="340"/>
      <c r="D375" s="339"/>
      <c r="E375" s="327"/>
      <c r="F375" s="121"/>
      <c r="G375" s="327"/>
      <c r="H375" s="121"/>
      <c r="I375" s="333"/>
      <c r="J375" s="177"/>
      <c r="K375" s="333"/>
      <c r="L375" s="177"/>
      <c r="M375" s="333"/>
      <c r="N375" s="177"/>
      <c r="O375" s="327"/>
      <c r="P375" s="121"/>
      <c r="Q375" s="349"/>
      <c r="R375" s="149"/>
      <c r="S375" s="17"/>
      <c r="T375" s="17"/>
      <c r="U375" s="17"/>
      <c r="V375" s="17"/>
      <c r="W375" s="17"/>
      <c r="X375" s="17"/>
      <c r="Y375" s="17"/>
      <c r="Z375" s="17"/>
    </row>
    <row r="376">
      <c r="A376" s="327"/>
      <c r="B376" s="121"/>
      <c r="C376" s="340"/>
      <c r="D376" s="339"/>
      <c r="E376" s="327"/>
      <c r="F376" s="121"/>
      <c r="G376" s="327"/>
      <c r="H376" s="121"/>
      <c r="I376" s="333"/>
      <c r="J376" s="177"/>
      <c r="K376" s="333"/>
      <c r="L376" s="177"/>
      <c r="M376" s="333"/>
      <c r="N376" s="177"/>
      <c r="O376" s="327"/>
      <c r="P376" s="121"/>
      <c r="Q376" s="349"/>
      <c r="R376" s="149"/>
      <c r="S376" s="17"/>
      <c r="T376" s="17"/>
      <c r="U376" s="17"/>
      <c r="V376" s="17"/>
      <c r="W376" s="17"/>
      <c r="X376" s="17"/>
      <c r="Y376" s="17"/>
      <c r="Z376" s="17"/>
    </row>
    <row r="377">
      <c r="A377" s="327"/>
      <c r="B377" s="121"/>
      <c r="C377" s="340"/>
      <c r="D377" s="339"/>
      <c r="E377" s="327"/>
      <c r="F377" s="121"/>
      <c r="G377" s="327"/>
      <c r="H377" s="121"/>
      <c r="I377" s="333"/>
      <c r="J377" s="177"/>
      <c r="K377" s="333"/>
      <c r="L377" s="177"/>
      <c r="M377" s="333"/>
      <c r="N377" s="177"/>
      <c r="O377" s="327"/>
      <c r="P377" s="121"/>
      <c r="Q377" s="349"/>
      <c r="R377" s="149"/>
      <c r="S377" s="17"/>
      <c r="T377" s="17"/>
      <c r="U377" s="17"/>
      <c r="V377" s="17"/>
      <c r="W377" s="17"/>
      <c r="X377" s="17"/>
      <c r="Y377" s="17"/>
      <c r="Z377" s="17"/>
    </row>
    <row r="378">
      <c r="A378" s="327"/>
      <c r="B378" s="121"/>
      <c r="C378" s="340"/>
      <c r="D378" s="339"/>
      <c r="E378" s="327"/>
      <c r="F378" s="121"/>
      <c r="G378" s="327"/>
      <c r="H378" s="121"/>
      <c r="I378" s="333"/>
      <c r="J378" s="177"/>
      <c r="K378" s="333"/>
      <c r="L378" s="177"/>
      <c r="M378" s="333"/>
      <c r="N378" s="177"/>
      <c r="O378" s="327"/>
      <c r="P378" s="121"/>
      <c r="Q378" s="349"/>
      <c r="R378" s="149"/>
      <c r="S378" s="17"/>
      <c r="T378" s="17"/>
      <c r="U378" s="17"/>
      <c r="V378" s="17"/>
      <c r="W378" s="17"/>
      <c r="X378" s="17"/>
      <c r="Y378" s="17"/>
      <c r="Z378" s="17"/>
    </row>
    <row r="379">
      <c r="A379" s="327"/>
      <c r="B379" s="121"/>
      <c r="C379" s="340"/>
      <c r="D379" s="339"/>
      <c r="E379" s="327"/>
      <c r="F379" s="121"/>
      <c r="G379" s="327"/>
      <c r="H379" s="121"/>
      <c r="I379" s="333"/>
      <c r="J379" s="177"/>
      <c r="K379" s="333"/>
      <c r="L379" s="177"/>
      <c r="M379" s="333"/>
      <c r="N379" s="177"/>
      <c r="O379" s="327"/>
      <c r="P379" s="121"/>
      <c r="Q379" s="349"/>
      <c r="R379" s="149"/>
      <c r="S379" s="17"/>
      <c r="T379" s="17"/>
      <c r="U379" s="17"/>
      <c r="V379" s="17"/>
      <c r="W379" s="17"/>
      <c r="X379" s="17"/>
      <c r="Y379" s="17"/>
      <c r="Z379" s="17"/>
    </row>
    <row r="380">
      <c r="A380" s="327"/>
      <c r="B380" s="121"/>
      <c r="C380" s="340"/>
      <c r="D380" s="339"/>
      <c r="E380" s="327"/>
      <c r="F380" s="121"/>
      <c r="G380" s="327"/>
      <c r="H380" s="121"/>
      <c r="I380" s="333"/>
      <c r="J380" s="177"/>
      <c r="K380" s="333"/>
      <c r="L380" s="177"/>
      <c r="M380" s="333"/>
      <c r="N380" s="177"/>
      <c r="O380" s="327"/>
      <c r="P380" s="121"/>
      <c r="Q380" s="349"/>
      <c r="R380" s="149"/>
      <c r="S380" s="17"/>
      <c r="T380" s="17"/>
      <c r="U380" s="17"/>
      <c r="V380" s="17"/>
      <c r="W380" s="17"/>
      <c r="X380" s="17"/>
      <c r="Y380" s="17"/>
      <c r="Z380" s="17"/>
    </row>
    <row r="381">
      <c r="A381" s="327"/>
      <c r="B381" s="121"/>
      <c r="C381" s="340"/>
      <c r="D381" s="339"/>
      <c r="E381" s="327"/>
      <c r="F381" s="121"/>
      <c r="G381" s="327"/>
      <c r="H381" s="121"/>
      <c r="I381" s="333"/>
      <c r="J381" s="177"/>
      <c r="K381" s="333"/>
      <c r="L381" s="177"/>
      <c r="M381" s="333"/>
      <c r="N381" s="177"/>
      <c r="O381" s="327"/>
      <c r="P381" s="121"/>
      <c r="Q381" s="349"/>
      <c r="R381" s="149"/>
      <c r="S381" s="17"/>
      <c r="T381" s="17"/>
      <c r="U381" s="17"/>
      <c r="V381" s="17"/>
      <c r="W381" s="17"/>
      <c r="X381" s="17"/>
      <c r="Y381" s="17"/>
      <c r="Z381" s="17"/>
    </row>
    <row r="382">
      <c r="A382" s="327"/>
      <c r="B382" s="121"/>
      <c r="C382" s="340"/>
      <c r="D382" s="339"/>
      <c r="E382" s="327"/>
      <c r="F382" s="121"/>
      <c r="G382" s="327"/>
      <c r="H382" s="121"/>
      <c r="I382" s="333"/>
      <c r="J382" s="177"/>
      <c r="K382" s="333"/>
      <c r="L382" s="177"/>
      <c r="M382" s="333"/>
      <c r="N382" s="177"/>
      <c r="O382" s="327"/>
      <c r="P382" s="121"/>
      <c r="Q382" s="349"/>
      <c r="R382" s="149"/>
      <c r="S382" s="17"/>
      <c r="T382" s="17"/>
      <c r="U382" s="17"/>
      <c r="V382" s="17"/>
      <c r="W382" s="17"/>
      <c r="X382" s="17"/>
      <c r="Y382" s="17"/>
      <c r="Z382" s="17"/>
    </row>
    <row r="383">
      <c r="A383" s="327"/>
      <c r="B383" s="121"/>
      <c r="C383" s="340"/>
      <c r="D383" s="339"/>
      <c r="E383" s="327"/>
      <c r="F383" s="121"/>
      <c r="G383" s="327"/>
      <c r="H383" s="121"/>
      <c r="I383" s="333"/>
      <c r="J383" s="177"/>
      <c r="K383" s="333"/>
      <c r="L383" s="177"/>
      <c r="M383" s="333"/>
      <c r="N383" s="177"/>
      <c r="O383" s="327"/>
      <c r="P383" s="121"/>
      <c r="Q383" s="349"/>
      <c r="R383" s="149"/>
      <c r="S383" s="17"/>
      <c r="T383" s="17"/>
      <c r="U383" s="17"/>
      <c r="V383" s="17"/>
      <c r="W383" s="17"/>
      <c r="X383" s="17"/>
      <c r="Y383" s="17"/>
      <c r="Z383" s="17"/>
    </row>
    <row r="384">
      <c r="A384" s="327"/>
      <c r="B384" s="121"/>
      <c r="C384" s="340"/>
      <c r="D384" s="339"/>
      <c r="E384" s="327"/>
      <c r="F384" s="121"/>
      <c r="G384" s="327"/>
      <c r="H384" s="121"/>
      <c r="I384" s="333"/>
      <c r="J384" s="177"/>
      <c r="K384" s="333"/>
      <c r="L384" s="177"/>
      <c r="M384" s="333"/>
      <c r="N384" s="177"/>
      <c r="O384" s="327"/>
      <c r="P384" s="121"/>
      <c r="Q384" s="349"/>
      <c r="R384" s="149"/>
      <c r="S384" s="17"/>
      <c r="T384" s="17"/>
      <c r="U384" s="17"/>
      <c r="V384" s="17"/>
      <c r="W384" s="17"/>
      <c r="X384" s="17"/>
      <c r="Y384" s="17"/>
      <c r="Z384" s="17"/>
    </row>
    <row r="385">
      <c r="A385" s="327"/>
      <c r="B385" s="121"/>
      <c r="C385" s="340"/>
      <c r="D385" s="339"/>
      <c r="E385" s="327"/>
      <c r="F385" s="121"/>
      <c r="G385" s="327"/>
      <c r="H385" s="121"/>
      <c r="I385" s="333"/>
      <c r="J385" s="177"/>
      <c r="K385" s="333"/>
      <c r="L385" s="177"/>
      <c r="M385" s="333"/>
      <c r="N385" s="177"/>
      <c r="O385" s="327"/>
      <c r="P385" s="121"/>
      <c r="Q385" s="349"/>
      <c r="R385" s="149"/>
      <c r="S385" s="17"/>
      <c r="T385" s="17"/>
      <c r="U385" s="17"/>
      <c r="V385" s="17"/>
      <c r="W385" s="17"/>
      <c r="X385" s="17"/>
      <c r="Y385" s="17"/>
      <c r="Z385" s="17"/>
    </row>
    <row r="386">
      <c r="A386" s="327"/>
      <c r="B386" s="121"/>
      <c r="C386" s="340"/>
      <c r="D386" s="339"/>
      <c r="E386" s="327"/>
      <c r="F386" s="121"/>
      <c r="G386" s="327"/>
      <c r="H386" s="121"/>
      <c r="I386" s="333"/>
      <c r="J386" s="177"/>
      <c r="K386" s="333"/>
      <c r="L386" s="177"/>
      <c r="M386" s="333"/>
      <c r="N386" s="177"/>
      <c r="O386" s="327"/>
      <c r="P386" s="121"/>
      <c r="Q386" s="349"/>
      <c r="R386" s="149"/>
      <c r="S386" s="17"/>
      <c r="T386" s="17"/>
      <c r="U386" s="17"/>
      <c r="V386" s="17"/>
      <c r="W386" s="17"/>
      <c r="X386" s="17"/>
      <c r="Y386" s="17"/>
      <c r="Z386" s="17"/>
    </row>
    <row r="387">
      <c r="A387" s="327"/>
      <c r="B387" s="121"/>
      <c r="C387" s="340"/>
      <c r="D387" s="339"/>
      <c r="E387" s="327"/>
      <c r="F387" s="121"/>
      <c r="G387" s="327"/>
      <c r="H387" s="121"/>
      <c r="I387" s="333"/>
      <c r="J387" s="177"/>
      <c r="K387" s="333"/>
      <c r="L387" s="177"/>
      <c r="M387" s="333"/>
      <c r="N387" s="177"/>
      <c r="O387" s="327"/>
      <c r="P387" s="121"/>
      <c r="Q387" s="349"/>
      <c r="R387" s="149"/>
      <c r="S387" s="17"/>
      <c r="T387" s="17"/>
      <c r="U387" s="17"/>
      <c r="V387" s="17"/>
      <c r="W387" s="17"/>
      <c r="X387" s="17"/>
      <c r="Y387" s="17"/>
      <c r="Z387" s="17"/>
    </row>
    <row r="388">
      <c r="A388" s="327"/>
      <c r="B388" s="121"/>
      <c r="C388" s="340"/>
      <c r="D388" s="339"/>
      <c r="E388" s="327"/>
      <c r="F388" s="121"/>
      <c r="G388" s="327"/>
      <c r="H388" s="121"/>
      <c r="I388" s="333"/>
      <c r="J388" s="177"/>
      <c r="K388" s="333"/>
      <c r="L388" s="177"/>
      <c r="M388" s="333"/>
      <c r="N388" s="177"/>
      <c r="O388" s="327"/>
      <c r="P388" s="121"/>
      <c r="Q388" s="349"/>
      <c r="R388" s="149"/>
      <c r="S388" s="17"/>
      <c r="T388" s="17"/>
      <c r="U388" s="17"/>
      <c r="V388" s="17"/>
      <c r="W388" s="17"/>
      <c r="X388" s="17"/>
      <c r="Y388" s="17"/>
      <c r="Z388" s="17"/>
    </row>
    <row r="389">
      <c r="A389" s="327"/>
      <c r="B389" s="121"/>
      <c r="C389" s="340"/>
      <c r="D389" s="339"/>
      <c r="E389" s="327"/>
      <c r="F389" s="121"/>
      <c r="G389" s="327"/>
      <c r="H389" s="121"/>
      <c r="I389" s="333"/>
      <c r="J389" s="177"/>
      <c r="K389" s="333"/>
      <c r="L389" s="177"/>
      <c r="M389" s="333"/>
      <c r="N389" s="177"/>
      <c r="O389" s="327"/>
      <c r="P389" s="121"/>
      <c r="Q389" s="349"/>
      <c r="R389" s="149"/>
      <c r="S389" s="17"/>
      <c r="T389" s="17"/>
      <c r="U389" s="17"/>
      <c r="V389" s="17"/>
      <c r="W389" s="17"/>
      <c r="X389" s="17"/>
      <c r="Y389" s="17"/>
      <c r="Z389" s="17"/>
    </row>
    <row r="390">
      <c r="A390" s="327"/>
      <c r="B390" s="121"/>
      <c r="C390" s="340"/>
      <c r="D390" s="339"/>
      <c r="E390" s="327"/>
      <c r="F390" s="121"/>
      <c r="G390" s="327"/>
      <c r="H390" s="121"/>
      <c r="I390" s="333"/>
      <c r="J390" s="177"/>
      <c r="K390" s="333"/>
      <c r="L390" s="177"/>
      <c r="M390" s="333"/>
      <c r="N390" s="177"/>
      <c r="O390" s="327"/>
      <c r="P390" s="121"/>
      <c r="Q390" s="349"/>
      <c r="R390" s="149"/>
      <c r="S390" s="17"/>
      <c r="T390" s="17"/>
      <c r="U390" s="17"/>
      <c r="V390" s="17"/>
      <c r="W390" s="17"/>
      <c r="X390" s="17"/>
      <c r="Y390" s="17"/>
      <c r="Z390" s="17"/>
    </row>
    <row r="391">
      <c r="A391" s="327"/>
      <c r="B391" s="121"/>
      <c r="C391" s="340"/>
      <c r="D391" s="339"/>
      <c r="E391" s="327"/>
      <c r="F391" s="121"/>
      <c r="G391" s="327"/>
      <c r="H391" s="121"/>
      <c r="I391" s="333"/>
      <c r="J391" s="177"/>
      <c r="K391" s="333"/>
      <c r="L391" s="177"/>
      <c r="M391" s="333"/>
      <c r="N391" s="177"/>
      <c r="O391" s="327"/>
      <c r="P391" s="121"/>
      <c r="Q391" s="349"/>
      <c r="R391" s="149"/>
      <c r="S391" s="17"/>
      <c r="T391" s="17"/>
      <c r="U391" s="17"/>
      <c r="V391" s="17"/>
      <c r="W391" s="17"/>
      <c r="X391" s="17"/>
      <c r="Y391" s="17"/>
      <c r="Z391" s="17"/>
    </row>
    <row r="392">
      <c r="A392" s="327"/>
      <c r="B392" s="121"/>
      <c r="C392" s="340"/>
      <c r="D392" s="339"/>
      <c r="E392" s="327"/>
      <c r="F392" s="121"/>
      <c r="G392" s="327"/>
      <c r="H392" s="121"/>
      <c r="I392" s="333"/>
      <c r="J392" s="177"/>
      <c r="K392" s="333"/>
      <c r="L392" s="177"/>
      <c r="M392" s="333"/>
      <c r="N392" s="177"/>
      <c r="O392" s="327"/>
      <c r="P392" s="121"/>
      <c r="Q392" s="349"/>
      <c r="R392" s="149"/>
      <c r="S392" s="17"/>
      <c r="T392" s="17"/>
      <c r="U392" s="17"/>
      <c r="V392" s="17"/>
      <c r="W392" s="17"/>
      <c r="X392" s="17"/>
      <c r="Y392" s="17"/>
      <c r="Z392" s="17"/>
    </row>
    <row r="393">
      <c r="A393" s="327"/>
      <c r="B393" s="121"/>
      <c r="C393" s="340"/>
      <c r="D393" s="339"/>
      <c r="E393" s="327"/>
      <c r="F393" s="121"/>
      <c r="G393" s="327"/>
      <c r="H393" s="121"/>
      <c r="I393" s="333"/>
      <c r="J393" s="177"/>
      <c r="K393" s="333"/>
      <c r="L393" s="177"/>
      <c r="M393" s="333"/>
      <c r="N393" s="177"/>
      <c r="O393" s="327"/>
      <c r="P393" s="121"/>
      <c r="Q393" s="349"/>
      <c r="R393" s="149"/>
      <c r="S393" s="17"/>
      <c r="T393" s="17"/>
      <c r="U393" s="17"/>
      <c r="V393" s="17"/>
      <c r="W393" s="17"/>
      <c r="X393" s="17"/>
      <c r="Y393" s="17"/>
      <c r="Z393" s="17"/>
    </row>
    <row r="394">
      <c r="A394" s="327"/>
      <c r="B394" s="121"/>
      <c r="C394" s="340"/>
      <c r="D394" s="339"/>
      <c r="E394" s="327"/>
      <c r="F394" s="121"/>
      <c r="G394" s="327"/>
      <c r="H394" s="121"/>
      <c r="I394" s="333"/>
      <c r="J394" s="177"/>
      <c r="K394" s="333"/>
      <c r="L394" s="177"/>
      <c r="M394" s="333"/>
      <c r="N394" s="177"/>
      <c r="O394" s="327"/>
      <c r="P394" s="121"/>
      <c r="Q394" s="349"/>
      <c r="R394" s="149"/>
      <c r="S394" s="17"/>
      <c r="T394" s="17"/>
      <c r="U394" s="17"/>
      <c r="V394" s="17"/>
      <c r="W394" s="17"/>
      <c r="X394" s="17"/>
      <c r="Y394" s="17"/>
      <c r="Z394" s="17"/>
    </row>
    <row r="395">
      <c r="A395" s="327"/>
      <c r="B395" s="121"/>
      <c r="C395" s="340"/>
      <c r="D395" s="339"/>
      <c r="E395" s="327"/>
      <c r="F395" s="121"/>
      <c r="G395" s="327"/>
      <c r="H395" s="121"/>
      <c r="I395" s="333"/>
      <c r="J395" s="177"/>
      <c r="K395" s="333"/>
      <c r="L395" s="177"/>
      <c r="M395" s="333"/>
      <c r="N395" s="177"/>
      <c r="O395" s="327"/>
      <c r="P395" s="121"/>
      <c r="Q395" s="349"/>
      <c r="R395" s="149"/>
      <c r="S395" s="17"/>
      <c r="T395" s="17"/>
      <c r="U395" s="17"/>
      <c r="V395" s="17"/>
      <c r="W395" s="17"/>
      <c r="X395" s="17"/>
      <c r="Y395" s="17"/>
      <c r="Z395" s="17"/>
    </row>
    <row r="396">
      <c r="A396" s="327"/>
      <c r="B396" s="121"/>
      <c r="C396" s="340"/>
      <c r="D396" s="339"/>
      <c r="E396" s="327"/>
      <c r="F396" s="121"/>
      <c r="G396" s="327"/>
      <c r="H396" s="121"/>
      <c r="I396" s="333"/>
      <c r="J396" s="177"/>
      <c r="K396" s="333"/>
      <c r="L396" s="177"/>
      <c r="M396" s="333"/>
      <c r="N396" s="177"/>
      <c r="O396" s="327"/>
      <c r="P396" s="121"/>
      <c r="Q396" s="349"/>
      <c r="R396" s="149"/>
      <c r="S396" s="17"/>
      <c r="T396" s="17"/>
      <c r="U396" s="17"/>
      <c r="V396" s="17"/>
      <c r="W396" s="17"/>
      <c r="X396" s="17"/>
      <c r="Y396" s="17"/>
      <c r="Z396" s="17"/>
    </row>
    <row r="397">
      <c r="A397" s="327"/>
      <c r="B397" s="121"/>
      <c r="C397" s="340"/>
      <c r="D397" s="339"/>
      <c r="E397" s="327"/>
      <c r="F397" s="121"/>
      <c r="G397" s="327"/>
      <c r="H397" s="121"/>
      <c r="I397" s="333"/>
      <c r="J397" s="177"/>
      <c r="K397" s="333"/>
      <c r="L397" s="177"/>
      <c r="M397" s="333"/>
      <c r="N397" s="177"/>
      <c r="O397" s="327"/>
      <c r="P397" s="121"/>
      <c r="Q397" s="349"/>
      <c r="R397" s="149"/>
      <c r="S397" s="17"/>
      <c r="T397" s="17"/>
      <c r="U397" s="17"/>
      <c r="V397" s="17"/>
      <c r="W397" s="17"/>
      <c r="X397" s="17"/>
      <c r="Y397" s="17"/>
      <c r="Z397" s="17"/>
    </row>
    <row r="398">
      <c r="A398" s="327"/>
      <c r="B398" s="121"/>
      <c r="C398" s="340"/>
      <c r="D398" s="339"/>
      <c r="E398" s="327"/>
      <c r="F398" s="121"/>
      <c r="G398" s="327"/>
      <c r="H398" s="121"/>
      <c r="I398" s="333"/>
      <c r="J398" s="177"/>
      <c r="K398" s="333"/>
      <c r="L398" s="177"/>
      <c r="M398" s="333"/>
      <c r="N398" s="177"/>
      <c r="O398" s="327"/>
      <c r="P398" s="121"/>
      <c r="Q398" s="349"/>
      <c r="R398" s="149"/>
      <c r="S398" s="17"/>
      <c r="T398" s="17"/>
      <c r="U398" s="17"/>
      <c r="V398" s="17"/>
      <c r="W398" s="17"/>
      <c r="X398" s="17"/>
      <c r="Y398" s="17"/>
      <c r="Z398" s="17"/>
    </row>
    <row r="399">
      <c r="A399" s="327"/>
      <c r="B399" s="121"/>
      <c r="C399" s="340"/>
      <c r="D399" s="339"/>
      <c r="E399" s="327"/>
      <c r="F399" s="121"/>
      <c r="G399" s="327"/>
      <c r="H399" s="121"/>
      <c r="I399" s="333"/>
      <c r="J399" s="177"/>
      <c r="K399" s="333"/>
      <c r="L399" s="177"/>
      <c r="M399" s="333"/>
      <c r="N399" s="177"/>
      <c r="O399" s="327"/>
      <c r="P399" s="121"/>
      <c r="Q399" s="349"/>
      <c r="R399" s="149"/>
      <c r="S399" s="17"/>
      <c r="T399" s="17"/>
      <c r="U399" s="17"/>
      <c r="V399" s="17"/>
      <c r="W399" s="17"/>
      <c r="X399" s="17"/>
      <c r="Y399" s="17"/>
      <c r="Z399" s="17"/>
    </row>
    <row r="400">
      <c r="A400" s="327"/>
      <c r="B400" s="121"/>
      <c r="C400" s="340"/>
      <c r="D400" s="339"/>
      <c r="E400" s="327"/>
      <c r="F400" s="121"/>
      <c r="G400" s="327"/>
      <c r="H400" s="121"/>
      <c r="I400" s="333"/>
      <c r="J400" s="177"/>
      <c r="K400" s="333"/>
      <c r="L400" s="177"/>
      <c r="M400" s="333"/>
      <c r="N400" s="177"/>
      <c r="O400" s="327"/>
      <c r="P400" s="121"/>
      <c r="Q400" s="349"/>
      <c r="R400" s="149"/>
      <c r="S400" s="17"/>
      <c r="T400" s="17"/>
      <c r="U400" s="17"/>
      <c r="V400" s="17"/>
      <c r="W400" s="17"/>
      <c r="X400" s="17"/>
      <c r="Y400" s="17"/>
      <c r="Z400" s="17"/>
    </row>
    <row r="401">
      <c r="A401" s="327"/>
      <c r="B401" s="121"/>
      <c r="C401" s="340"/>
      <c r="D401" s="339"/>
      <c r="E401" s="327"/>
      <c r="F401" s="121"/>
      <c r="G401" s="327"/>
      <c r="H401" s="121"/>
      <c r="I401" s="333"/>
      <c r="J401" s="177"/>
      <c r="K401" s="333"/>
      <c r="L401" s="177"/>
      <c r="M401" s="333"/>
      <c r="N401" s="177"/>
      <c r="O401" s="327"/>
      <c r="P401" s="121"/>
      <c r="Q401" s="349"/>
      <c r="R401" s="149"/>
      <c r="S401" s="17"/>
      <c r="T401" s="17"/>
      <c r="U401" s="17"/>
      <c r="V401" s="17"/>
      <c r="W401" s="17"/>
      <c r="X401" s="17"/>
      <c r="Y401" s="17"/>
      <c r="Z401" s="17"/>
    </row>
    <row r="402">
      <c r="A402" s="327"/>
      <c r="B402" s="121"/>
      <c r="C402" s="340"/>
      <c r="D402" s="339"/>
      <c r="E402" s="327"/>
      <c r="F402" s="121"/>
      <c r="G402" s="327"/>
      <c r="H402" s="121"/>
      <c r="I402" s="333"/>
      <c r="J402" s="177"/>
      <c r="K402" s="333"/>
      <c r="L402" s="177"/>
      <c r="M402" s="333"/>
      <c r="N402" s="177"/>
      <c r="O402" s="327"/>
      <c r="P402" s="121"/>
      <c r="Q402" s="349"/>
      <c r="R402" s="149"/>
      <c r="S402" s="17"/>
      <c r="T402" s="17"/>
      <c r="U402" s="17"/>
      <c r="V402" s="17"/>
      <c r="W402" s="17"/>
      <c r="X402" s="17"/>
      <c r="Y402" s="17"/>
      <c r="Z402" s="17"/>
    </row>
    <row r="403">
      <c r="A403" s="327"/>
      <c r="B403" s="121"/>
      <c r="C403" s="340"/>
      <c r="D403" s="339"/>
      <c r="E403" s="327"/>
      <c r="F403" s="121"/>
      <c r="G403" s="327"/>
      <c r="H403" s="121"/>
      <c r="I403" s="333"/>
      <c r="J403" s="177"/>
      <c r="K403" s="333"/>
      <c r="L403" s="177"/>
      <c r="M403" s="333"/>
      <c r="N403" s="177"/>
      <c r="O403" s="327"/>
      <c r="P403" s="121"/>
      <c r="Q403" s="349"/>
      <c r="R403" s="149"/>
      <c r="S403" s="17"/>
      <c r="T403" s="17"/>
      <c r="U403" s="17"/>
      <c r="V403" s="17"/>
      <c r="W403" s="17"/>
      <c r="X403" s="17"/>
      <c r="Y403" s="17"/>
      <c r="Z403" s="17"/>
    </row>
    <row r="404">
      <c r="A404" s="327"/>
      <c r="B404" s="121"/>
      <c r="C404" s="340"/>
      <c r="D404" s="339"/>
      <c r="E404" s="327"/>
      <c r="F404" s="121"/>
      <c r="G404" s="327"/>
      <c r="H404" s="121"/>
      <c r="I404" s="333"/>
      <c r="J404" s="177"/>
      <c r="K404" s="333"/>
      <c r="L404" s="177"/>
      <c r="M404" s="333"/>
      <c r="N404" s="177"/>
      <c r="O404" s="327"/>
      <c r="P404" s="121"/>
      <c r="Q404" s="349"/>
      <c r="R404" s="149"/>
      <c r="S404" s="17"/>
      <c r="T404" s="17"/>
      <c r="U404" s="17"/>
      <c r="V404" s="17"/>
      <c r="W404" s="17"/>
      <c r="X404" s="17"/>
      <c r="Y404" s="17"/>
      <c r="Z404" s="17"/>
    </row>
    <row r="405">
      <c r="A405" s="327"/>
      <c r="B405" s="121"/>
      <c r="C405" s="340"/>
      <c r="D405" s="339"/>
      <c r="E405" s="327"/>
      <c r="F405" s="121"/>
      <c r="G405" s="327"/>
      <c r="H405" s="121"/>
      <c r="I405" s="333"/>
      <c r="J405" s="177"/>
      <c r="K405" s="333"/>
      <c r="L405" s="177"/>
      <c r="M405" s="333"/>
      <c r="N405" s="177"/>
      <c r="O405" s="327"/>
      <c r="P405" s="121"/>
      <c r="Q405" s="349"/>
      <c r="R405" s="149"/>
      <c r="S405" s="17"/>
      <c r="T405" s="17"/>
      <c r="U405" s="17"/>
      <c r="V405" s="17"/>
      <c r="W405" s="17"/>
      <c r="X405" s="17"/>
      <c r="Y405" s="17"/>
      <c r="Z405" s="17"/>
    </row>
    <row r="406">
      <c r="A406" s="327"/>
      <c r="B406" s="121"/>
      <c r="C406" s="340"/>
      <c r="D406" s="339"/>
      <c r="E406" s="327"/>
      <c r="F406" s="121"/>
      <c r="G406" s="327"/>
      <c r="H406" s="121"/>
      <c r="I406" s="333"/>
      <c r="J406" s="177"/>
      <c r="K406" s="333"/>
      <c r="L406" s="177"/>
      <c r="M406" s="333"/>
      <c r="N406" s="177"/>
      <c r="O406" s="327"/>
      <c r="P406" s="121"/>
      <c r="Q406" s="349"/>
      <c r="R406" s="149"/>
      <c r="S406" s="17"/>
      <c r="T406" s="17"/>
      <c r="U406" s="17"/>
      <c r="V406" s="17"/>
      <c r="W406" s="17"/>
      <c r="X406" s="17"/>
      <c r="Y406" s="17"/>
      <c r="Z406" s="17"/>
    </row>
    <row r="407">
      <c r="A407" s="327"/>
      <c r="B407" s="121"/>
      <c r="C407" s="340"/>
      <c r="D407" s="339"/>
      <c r="E407" s="327"/>
      <c r="F407" s="121"/>
      <c r="G407" s="327"/>
      <c r="H407" s="121"/>
      <c r="I407" s="333"/>
      <c r="J407" s="177"/>
      <c r="K407" s="333"/>
      <c r="L407" s="177"/>
      <c r="M407" s="333"/>
      <c r="N407" s="177"/>
      <c r="O407" s="327"/>
      <c r="P407" s="121"/>
      <c r="Q407" s="349"/>
      <c r="R407" s="149"/>
      <c r="S407" s="17"/>
      <c r="T407" s="17"/>
      <c r="U407" s="17"/>
      <c r="V407" s="17"/>
      <c r="W407" s="17"/>
      <c r="X407" s="17"/>
      <c r="Y407" s="17"/>
      <c r="Z407" s="17"/>
    </row>
    <row r="408">
      <c r="A408" s="327"/>
      <c r="B408" s="121"/>
      <c r="C408" s="340"/>
      <c r="D408" s="339"/>
      <c r="E408" s="327"/>
      <c r="F408" s="121"/>
      <c r="G408" s="327"/>
      <c r="H408" s="121"/>
      <c r="I408" s="333"/>
      <c r="J408" s="177"/>
      <c r="K408" s="333"/>
      <c r="L408" s="177"/>
      <c r="M408" s="333"/>
      <c r="N408" s="177"/>
      <c r="O408" s="327"/>
      <c r="P408" s="121"/>
      <c r="Q408" s="349"/>
      <c r="R408" s="149"/>
      <c r="S408" s="17"/>
      <c r="T408" s="17"/>
      <c r="U408" s="17"/>
      <c r="V408" s="17"/>
      <c r="W408" s="17"/>
      <c r="X408" s="17"/>
      <c r="Y408" s="17"/>
      <c r="Z408" s="17"/>
    </row>
    <row r="409">
      <c r="A409" s="327"/>
      <c r="B409" s="121"/>
      <c r="C409" s="340"/>
      <c r="D409" s="339"/>
      <c r="E409" s="327"/>
      <c r="F409" s="121"/>
      <c r="G409" s="327"/>
      <c r="H409" s="121"/>
      <c r="I409" s="333"/>
      <c r="J409" s="177"/>
      <c r="K409" s="333"/>
      <c r="L409" s="177"/>
      <c r="M409" s="333"/>
      <c r="N409" s="177"/>
      <c r="O409" s="327"/>
      <c r="P409" s="121"/>
      <c r="Q409" s="349"/>
      <c r="R409" s="149"/>
      <c r="S409" s="17"/>
      <c r="T409" s="17"/>
      <c r="U409" s="17"/>
      <c r="V409" s="17"/>
      <c r="W409" s="17"/>
      <c r="X409" s="17"/>
      <c r="Y409" s="17"/>
      <c r="Z409" s="17"/>
    </row>
    <row r="410">
      <c r="A410" s="327"/>
      <c r="B410" s="121"/>
      <c r="C410" s="340"/>
      <c r="D410" s="339"/>
      <c r="E410" s="327"/>
      <c r="F410" s="121"/>
      <c r="G410" s="327"/>
      <c r="H410" s="121"/>
      <c r="I410" s="333"/>
      <c r="J410" s="177"/>
      <c r="K410" s="333"/>
      <c r="L410" s="177"/>
      <c r="M410" s="333"/>
      <c r="N410" s="177"/>
      <c r="O410" s="327"/>
      <c r="P410" s="121"/>
      <c r="Q410" s="349"/>
      <c r="R410" s="149"/>
      <c r="S410" s="17"/>
      <c r="T410" s="17"/>
      <c r="U410" s="17"/>
      <c r="V410" s="17"/>
      <c r="W410" s="17"/>
      <c r="X410" s="17"/>
      <c r="Y410" s="17"/>
      <c r="Z410" s="17"/>
    </row>
    <row r="411">
      <c r="A411" s="327"/>
      <c r="B411" s="121"/>
      <c r="C411" s="340"/>
      <c r="D411" s="339"/>
      <c r="E411" s="327"/>
      <c r="F411" s="121"/>
      <c r="G411" s="327"/>
      <c r="H411" s="121"/>
      <c r="I411" s="333"/>
      <c r="J411" s="177"/>
      <c r="K411" s="333"/>
      <c r="L411" s="177"/>
      <c r="M411" s="333"/>
      <c r="N411" s="177"/>
      <c r="O411" s="327"/>
      <c r="P411" s="121"/>
      <c r="Q411" s="349"/>
      <c r="R411" s="149"/>
      <c r="S411" s="17"/>
      <c r="T411" s="17"/>
      <c r="U411" s="17"/>
      <c r="V411" s="17"/>
      <c r="W411" s="17"/>
      <c r="X411" s="17"/>
      <c r="Y411" s="17"/>
      <c r="Z411" s="17"/>
    </row>
    <row r="412">
      <c r="A412" s="327"/>
      <c r="B412" s="121"/>
      <c r="C412" s="340"/>
      <c r="D412" s="339"/>
      <c r="E412" s="327"/>
      <c r="F412" s="121"/>
      <c r="G412" s="327"/>
      <c r="H412" s="121"/>
      <c r="I412" s="333"/>
      <c r="J412" s="177"/>
      <c r="K412" s="333"/>
      <c r="L412" s="177"/>
      <c r="M412" s="333"/>
      <c r="N412" s="177"/>
      <c r="O412" s="327"/>
      <c r="P412" s="121"/>
      <c r="Q412" s="349"/>
      <c r="R412" s="149"/>
      <c r="S412" s="17"/>
      <c r="T412" s="17"/>
      <c r="U412" s="17"/>
      <c r="V412" s="17"/>
      <c r="W412" s="17"/>
      <c r="X412" s="17"/>
      <c r="Y412" s="17"/>
      <c r="Z412" s="17"/>
    </row>
    <row r="413">
      <c r="A413" s="327"/>
      <c r="B413" s="121"/>
      <c r="C413" s="340"/>
      <c r="D413" s="339"/>
      <c r="E413" s="327"/>
      <c r="F413" s="121"/>
      <c r="G413" s="327"/>
      <c r="H413" s="121"/>
      <c r="I413" s="333"/>
      <c r="J413" s="177"/>
      <c r="K413" s="333"/>
      <c r="L413" s="177"/>
      <c r="M413" s="333"/>
      <c r="N413" s="177"/>
      <c r="O413" s="327"/>
      <c r="P413" s="121"/>
      <c r="Q413" s="349"/>
      <c r="R413" s="149"/>
      <c r="S413" s="17"/>
      <c r="T413" s="17"/>
      <c r="U413" s="17"/>
      <c r="V413" s="17"/>
      <c r="W413" s="17"/>
      <c r="X413" s="17"/>
      <c r="Y413" s="17"/>
      <c r="Z413" s="17"/>
    </row>
    <row r="414">
      <c r="A414" s="327"/>
      <c r="B414" s="121"/>
      <c r="C414" s="340"/>
      <c r="D414" s="339"/>
      <c r="E414" s="327"/>
      <c r="F414" s="121"/>
      <c r="G414" s="327"/>
      <c r="H414" s="121"/>
      <c r="I414" s="333"/>
      <c r="J414" s="177"/>
      <c r="K414" s="333"/>
      <c r="L414" s="177"/>
      <c r="M414" s="333"/>
      <c r="N414" s="177"/>
      <c r="O414" s="327"/>
      <c r="P414" s="121"/>
      <c r="Q414" s="349"/>
      <c r="R414" s="149"/>
      <c r="S414" s="17"/>
      <c r="T414" s="17"/>
      <c r="U414" s="17"/>
      <c r="V414" s="17"/>
      <c r="W414" s="17"/>
      <c r="X414" s="17"/>
      <c r="Y414" s="17"/>
      <c r="Z414" s="17"/>
    </row>
    <row r="415">
      <c r="A415" s="327"/>
      <c r="B415" s="121"/>
      <c r="C415" s="340"/>
      <c r="D415" s="339"/>
      <c r="E415" s="327"/>
      <c r="F415" s="121"/>
      <c r="G415" s="327"/>
      <c r="H415" s="121"/>
      <c r="I415" s="333"/>
      <c r="J415" s="177"/>
      <c r="K415" s="333"/>
      <c r="L415" s="177"/>
      <c r="M415" s="333"/>
      <c r="N415" s="177"/>
      <c r="O415" s="327"/>
      <c r="P415" s="121"/>
      <c r="Q415" s="349"/>
      <c r="R415" s="149"/>
      <c r="S415" s="17"/>
      <c r="T415" s="17"/>
      <c r="U415" s="17"/>
      <c r="V415" s="17"/>
      <c r="W415" s="17"/>
      <c r="X415" s="17"/>
      <c r="Y415" s="17"/>
      <c r="Z415" s="17"/>
    </row>
    <row r="416">
      <c r="A416" s="327"/>
      <c r="B416" s="121"/>
      <c r="C416" s="340"/>
      <c r="D416" s="339"/>
      <c r="E416" s="327"/>
      <c r="F416" s="121"/>
      <c r="G416" s="327"/>
      <c r="H416" s="121"/>
      <c r="I416" s="333"/>
      <c r="J416" s="177"/>
      <c r="K416" s="333"/>
      <c r="L416" s="177"/>
      <c r="M416" s="333"/>
      <c r="N416" s="177"/>
      <c r="O416" s="327"/>
      <c r="P416" s="121"/>
      <c r="Q416" s="349"/>
      <c r="R416" s="149"/>
      <c r="S416" s="17"/>
      <c r="T416" s="17"/>
      <c r="U416" s="17"/>
      <c r="V416" s="17"/>
      <c r="W416" s="17"/>
      <c r="X416" s="17"/>
      <c r="Y416" s="17"/>
      <c r="Z416" s="17"/>
    </row>
    <row r="417">
      <c r="A417" s="327"/>
      <c r="B417" s="121"/>
      <c r="C417" s="340"/>
      <c r="D417" s="339"/>
      <c r="E417" s="327"/>
      <c r="F417" s="121"/>
      <c r="G417" s="327"/>
      <c r="H417" s="121"/>
      <c r="I417" s="333"/>
      <c r="J417" s="177"/>
      <c r="K417" s="333"/>
      <c r="L417" s="177"/>
      <c r="M417" s="333"/>
      <c r="N417" s="177"/>
      <c r="O417" s="327"/>
      <c r="P417" s="121"/>
      <c r="Q417" s="349"/>
      <c r="R417" s="149"/>
      <c r="S417" s="17"/>
      <c r="T417" s="17"/>
      <c r="U417" s="17"/>
      <c r="V417" s="17"/>
      <c r="W417" s="17"/>
      <c r="X417" s="17"/>
      <c r="Y417" s="17"/>
      <c r="Z417" s="17"/>
    </row>
    <row r="418">
      <c r="A418" s="327"/>
      <c r="B418" s="121"/>
      <c r="C418" s="340"/>
      <c r="D418" s="339"/>
      <c r="E418" s="327"/>
      <c r="F418" s="121"/>
      <c r="G418" s="327"/>
      <c r="H418" s="121"/>
      <c r="I418" s="333"/>
      <c r="J418" s="177"/>
      <c r="K418" s="333"/>
      <c r="L418" s="177"/>
      <c r="M418" s="333"/>
      <c r="N418" s="177"/>
      <c r="O418" s="327"/>
      <c r="P418" s="121"/>
      <c r="Q418" s="349"/>
      <c r="R418" s="149"/>
      <c r="S418" s="17"/>
      <c r="T418" s="17"/>
      <c r="U418" s="17"/>
      <c r="V418" s="17"/>
      <c r="W418" s="17"/>
      <c r="X418" s="17"/>
      <c r="Y418" s="17"/>
      <c r="Z418" s="17"/>
    </row>
    <row r="419">
      <c r="A419" s="327"/>
      <c r="B419" s="121"/>
      <c r="C419" s="340"/>
      <c r="D419" s="339"/>
      <c r="E419" s="327"/>
      <c r="F419" s="121"/>
      <c r="G419" s="327"/>
      <c r="H419" s="121"/>
      <c r="I419" s="333"/>
      <c r="J419" s="177"/>
      <c r="K419" s="333"/>
      <c r="L419" s="177"/>
      <c r="M419" s="333"/>
      <c r="N419" s="177"/>
      <c r="O419" s="327"/>
      <c r="P419" s="121"/>
      <c r="Q419" s="349"/>
      <c r="R419" s="149"/>
      <c r="S419" s="17"/>
      <c r="T419" s="17"/>
      <c r="U419" s="17"/>
      <c r="V419" s="17"/>
      <c r="W419" s="17"/>
      <c r="X419" s="17"/>
      <c r="Y419" s="17"/>
      <c r="Z419" s="17"/>
    </row>
    <row r="420">
      <c r="A420" s="327"/>
      <c r="B420" s="121"/>
      <c r="C420" s="340"/>
      <c r="D420" s="339"/>
      <c r="E420" s="327"/>
      <c r="F420" s="121"/>
      <c r="G420" s="327"/>
      <c r="H420" s="121"/>
      <c r="I420" s="333"/>
      <c r="J420" s="177"/>
      <c r="K420" s="333"/>
      <c r="L420" s="177"/>
      <c r="M420" s="333"/>
      <c r="N420" s="177"/>
      <c r="O420" s="327"/>
      <c r="P420" s="121"/>
      <c r="Q420" s="349"/>
      <c r="R420" s="149"/>
      <c r="S420" s="17"/>
      <c r="T420" s="17"/>
      <c r="U420" s="17"/>
      <c r="V420" s="17"/>
      <c r="W420" s="17"/>
      <c r="X420" s="17"/>
      <c r="Y420" s="17"/>
      <c r="Z420" s="17"/>
    </row>
    <row r="421">
      <c r="A421" s="327"/>
      <c r="B421" s="121"/>
      <c r="C421" s="340"/>
      <c r="D421" s="339"/>
      <c r="E421" s="327"/>
      <c r="F421" s="121"/>
      <c r="G421" s="327"/>
      <c r="H421" s="121"/>
      <c r="I421" s="333"/>
      <c r="J421" s="177"/>
      <c r="K421" s="333"/>
      <c r="L421" s="177"/>
      <c r="M421" s="333"/>
      <c r="N421" s="177"/>
      <c r="O421" s="327"/>
      <c r="P421" s="121"/>
      <c r="Q421" s="349"/>
      <c r="R421" s="149"/>
      <c r="S421" s="17"/>
      <c r="T421" s="17"/>
      <c r="U421" s="17"/>
      <c r="V421" s="17"/>
      <c r="W421" s="17"/>
      <c r="X421" s="17"/>
      <c r="Y421" s="17"/>
      <c r="Z421" s="17"/>
    </row>
    <row r="422">
      <c r="A422" s="327"/>
      <c r="B422" s="121"/>
      <c r="C422" s="340"/>
      <c r="D422" s="339"/>
      <c r="E422" s="327"/>
      <c r="F422" s="121"/>
      <c r="G422" s="327"/>
      <c r="H422" s="121"/>
      <c r="I422" s="333"/>
      <c r="J422" s="177"/>
      <c r="K422" s="333"/>
      <c r="L422" s="177"/>
      <c r="M422" s="333"/>
      <c r="N422" s="177"/>
      <c r="O422" s="327"/>
      <c r="P422" s="121"/>
      <c r="Q422" s="349"/>
      <c r="R422" s="149"/>
      <c r="S422" s="17"/>
      <c r="T422" s="17"/>
      <c r="U422" s="17"/>
      <c r="V422" s="17"/>
      <c r="W422" s="17"/>
      <c r="X422" s="17"/>
      <c r="Y422" s="17"/>
      <c r="Z422" s="17"/>
    </row>
    <row r="423">
      <c r="A423" s="327"/>
      <c r="B423" s="121"/>
      <c r="C423" s="340"/>
      <c r="D423" s="339"/>
      <c r="E423" s="327"/>
      <c r="F423" s="121"/>
      <c r="G423" s="327"/>
      <c r="H423" s="121"/>
      <c r="I423" s="333"/>
      <c r="J423" s="177"/>
      <c r="K423" s="333"/>
      <c r="L423" s="177"/>
      <c r="M423" s="333"/>
      <c r="N423" s="177"/>
      <c r="O423" s="327"/>
      <c r="P423" s="121"/>
      <c r="Q423" s="349"/>
      <c r="R423" s="149"/>
      <c r="S423" s="17"/>
      <c r="T423" s="17"/>
      <c r="U423" s="17"/>
      <c r="V423" s="17"/>
      <c r="W423" s="17"/>
      <c r="X423" s="17"/>
      <c r="Y423" s="17"/>
      <c r="Z423" s="17"/>
    </row>
    <row r="424">
      <c r="A424" s="327"/>
      <c r="B424" s="121"/>
      <c r="C424" s="340"/>
      <c r="D424" s="339"/>
      <c r="E424" s="327"/>
      <c r="F424" s="121"/>
      <c r="G424" s="327"/>
      <c r="H424" s="121"/>
      <c r="I424" s="333"/>
      <c r="J424" s="177"/>
      <c r="K424" s="333"/>
      <c r="L424" s="177"/>
      <c r="M424" s="333"/>
      <c r="N424" s="177"/>
      <c r="O424" s="327"/>
      <c r="P424" s="121"/>
      <c r="Q424" s="349"/>
      <c r="R424" s="149"/>
      <c r="S424" s="17"/>
      <c r="T424" s="17"/>
      <c r="U424" s="17"/>
      <c r="V424" s="17"/>
      <c r="W424" s="17"/>
      <c r="X424" s="17"/>
      <c r="Y424" s="17"/>
      <c r="Z424" s="17"/>
    </row>
    <row r="425">
      <c r="A425" s="327"/>
      <c r="B425" s="121"/>
      <c r="C425" s="340"/>
      <c r="D425" s="339"/>
      <c r="E425" s="327"/>
      <c r="F425" s="121"/>
      <c r="G425" s="327"/>
      <c r="H425" s="121"/>
      <c r="I425" s="333"/>
      <c r="J425" s="177"/>
      <c r="K425" s="333"/>
      <c r="L425" s="177"/>
      <c r="M425" s="333"/>
      <c r="N425" s="177"/>
      <c r="O425" s="327"/>
      <c r="P425" s="121"/>
      <c r="Q425" s="349"/>
      <c r="R425" s="149"/>
      <c r="S425" s="17"/>
      <c r="T425" s="17"/>
      <c r="U425" s="17"/>
      <c r="V425" s="17"/>
      <c r="W425" s="17"/>
      <c r="X425" s="17"/>
      <c r="Y425" s="17"/>
      <c r="Z425" s="17"/>
    </row>
    <row r="426">
      <c r="A426" s="327"/>
      <c r="B426" s="121"/>
      <c r="C426" s="340"/>
      <c r="D426" s="339"/>
      <c r="E426" s="327"/>
      <c r="F426" s="121"/>
      <c r="G426" s="327"/>
      <c r="H426" s="121"/>
      <c r="I426" s="333"/>
      <c r="J426" s="177"/>
      <c r="K426" s="333"/>
      <c r="L426" s="177"/>
      <c r="M426" s="333"/>
      <c r="N426" s="177"/>
      <c r="O426" s="327"/>
      <c r="P426" s="121"/>
      <c r="Q426" s="349"/>
      <c r="R426" s="149"/>
      <c r="S426" s="17"/>
      <c r="T426" s="17"/>
      <c r="U426" s="17"/>
      <c r="V426" s="17"/>
      <c r="W426" s="17"/>
      <c r="X426" s="17"/>
      <c r="Y426" s="17"/>
      <c r="Z426" s="17"/>
    </row>
    <row r="427">
      <c r="A427" s="327"/>
      <c r="B427" s="121"/>
      <c r="C427" s="340"/>
      <c r="D427" s="339"/>
      <c r="E427" s="327"/>
      <c r="F427" s="121"/>
      <c r="G427" s="327"/>
      <c r="H427" s="121"/>
      <c r="I427" s="333"/>
      <c r="J427" s="177"/>
      <c r="K427" s="333"/>
      <c r="L427" s="177"/>
      <c r="M427" s="333"/>
      <c r="N427" s="177"/>
      <c r="O427" s="327"/>
      <c r="P427" s="121"/>
      <c r="Q427" s="349"/>
      <c r="R427" s="149"/>
      <c r="S427" s="17"/>
      <c r="T427" s="17"/>
      <c r="U427" s="17"/>
      <c r="V427" s="17"/>
      <c r="W427" s="17"/>
      <c r="X427" s="17"/>
      <c r="Y427" s="17"/>
      <c r="Z427" s="17"/>
    </row>
    <row r="428">
      <c r="A428" s="327"/>
      <c r="B428" s="121"/>
      <c r="C428" s="340"/>
      <c r="D428" s="339"/>
      <c r="E428" s="327"/>
      <c r="F428" s="121"/>
      <c r="G428" s="327"/>
      <c r="H428" s="121"/>
      <c r="I428" s="333"/>
      <c r="J428" s="177"/>
      <c r="K428" s="333"/>
      <c r="L428" s="177"/>
      <c r="M428" s="333"/>
      <c r="N428" s="177"/>
      <c r="O428" s="327"/>
      <c r="P428" s="121"/>
      <c r="Q428" s="349"/>
      <c r="R428" s="149"/>
      <c r="S428" s="17"/>
      <c r="T428" s="17"/>
      <c r="U428" s="17"/>
      <c r="V428" s="17"/>
      <c r="W428" s="17"/>
      <c r="X428" s="17"/>
      <c r="Y428" s="17"/>
      <c r="Z428" s="17"/>
    </row>
    <row r="429">
      <c r="A429" s="327"/>
      <c r="B429" s="121"/>
      <c r="C429" s="340"/>
      <c r="D429" s="339"/>
      <c r="E429" s="327"/>
      <c r="F429" s="121"/>
      <c r="G429" s="327"/>
      <c r="H429" s="121"/>
      <c r="I429" s="333"/>
      <c r="J429" s="177"/>
      <c r="K429" s="333"/>
      <c r="L429" s="177"/>
      <c r="M429" s="333"/>
      <c r="N429" s="177"/>
      <c r="O429" s="327"/>
      <c r="P429" s="121"/>
      <c r="Q429" s="349"/>
      <c r="R429" s="149"/>
      <c r="S429" s="17"/>
      <c r="T429" s="17"/>
      <c r="U429" s="17"/>
      <c r="V429" s="17"/>
      <c r="W429" s="17"/>
      <c r="X429" s="17"/>
      <c r="Y429" s="17"/>
      <c r="Z429" s="17"/>
    </row>
    <row r="430">
      <c r="A430" s="327"/>
      <c r="B430" s="121"/>
      <c r="C430" s="340"/>
      <c r="D430" s="339"/>
      <c r="E430" s="327"/>
      <c r="F430" s="121"/>
      <c r="G430" s="327"/>
      <c r="H430" s="121"/>
      <c r="I430" s="333"/>
      <c r="J430" s="177"/>
      <c r="K430" s="333"/>
      <c r="L430" s="177"/>
      <c r="M430" s="333"/>
      <c r="N430" s="177"/>
      <c r="O430" s="327"/>
      <c r="P430" s="121"/>
      <c r="Q430" s="349"/>
      <c r="R430" s="149"/>
      <c r="S430" s="17"/>
      <c r="T430" s="17"/>
      <c r="U430" s="17"/>
      <c r="V430" s="17"/>
      <c r="W430" s="17"/>
      <c r="X430" s="17"/>
      <c r="Y430" s="17"/>
      <c r="Z430" s="17"/>
    </row>
    <row r="431">
      <c r="A431" s="327"/>
      <c r="B431" s="121"/>
      <c r="C431" s="340"/>
      <c r="D431" s="339"/>
      <c r="E431" s="327"/>
      <c r="F431" s="121"/>
      <c r="G431" s="327"/>
      <c r="H431" s="121"/>
      <c r="I431" s="333"/>
      <c r="J431" s="177"/>
      <c r="K431" s="333"/>
      <c r="L431" s="177"/>
      <c r="M431" s="333"/>
      <c r="N431" s="177"/>
      <c r="O431" s="327"/>
      <c r="P431" s="121"/>
      <c r="Q431" s="349"/>
      <c r="R431" s="149"/>
      <c r="S431" s="17"/>
      <c r="T431" s="17"/>
      <c r="U431" s="17"/>
      <c r="V431" s="17"/>
      <c r="W431" s="17"/>
      <c r="X431" s="17"/>
      <c r="Y431" s="17"/>
      <c r="Z431" s="17"/>
    </row>
    <row r="432">
      <c r="A432" s="327"/>
      <c r="B432" s="121"/>
      <c r="C432" s="340"/>
      <c r="D432" s="339"/>
      <c r="E432" s="327"/>
      <c r="F432" s="121"/>
      <c r="G432" s="327"/>
      <c r="H432" s="121"/>
      <c r="I432" s="333"/>
      <c r="J432" s="177"/>
      <c r="K432" s="333"/>
      <c r="L432" s="177"/>
      <c r="M432" s="333"/>
      <c r="N432" s="177"/>
      <c r="O432" s="327"/>
      <c r="P432" s="121"/>
      <c r="Q432" s="349"/>
      <c r="R432" s="149"/>
      <c r="S432" s="17"/>
      <c r="T432" s="17"/>
      <c r="U432" s="17"/>
      <c r="V432" s="17"/>
      <c r="W432" s="17"/>
      <c r="X432" s="17"/>
      <c r="Y432" s="17"/>
      <c r="Z432" s="17"/>
    </row>
    <row r="433">
      <c r="A433" s="327"/>
      <c r="B433" s="121"/>
      <c r="C433" s="340"/>
      <c r="D433" s="339"/>
      <c r="E433" s="327"/>
      <c r="F433" s="121"/>
      <c r="G433" s="327"/>
      <c r="H433" s="121"/>
      <c r="I433" s="333"/>
      <c r="J433" s="177"/>
      <c r="K433" s="333"/>
      <c r="L433" s="177"/>
      <c r="M433" s="333"/>
      <c r="N433" s="177"/>
      <c r="O433" s="327"/>
      <c r="P433" s="121"/>
      <c r="Q433" s="349"/>
      <c r="R433" s="149"/>
      <c r="S433" s="17"/>
      <c r="T433" s="17"/>
      <c r="U433" s="17"/>
      <c r="V433" s="17"/>
      <c r="W433" s="17"/>
      <c r="X433" s="17"/>
      <c r="Y433" s="17"/>
      <c r="Z433" s="17"/>
    </row>
    <row r="434">
      <c r="A434" s="327"/>
      <c r="B434" s="121"/>
      <c r="C434" s="340"/>
      <c r="D434" s="339"/>
      <c r="E434" s="327"/>
      <c r="F434" s="121"/>
      <c r="G434" s="327"/>
      <c r="H434" s="121"/>
      <c r="I434" s="333"/>
      <c r="J434" s="177"/>
      <c r="K434" s="333"/>
      <c r="L434" s="177"/>
      <c r="M434" s="333"/>
      <c r="N434" s="177"/>
      <c r="O434" s="327"/>
      <c r="P434" s="121"/>
      <c r="Q434" s="349"/>
      <c r="R434" s="149"/>
      <c r="S434" s="17"/>
      <c r="T434" s="17"/>
      <c r="U434" s="17"/>
      <c r="V434" s="17"/>
      <c r="W434" s="17"/>
      <c r="X434" s="17"/>
      <c r="Y434" s="17"/>
      <c r="Z434" s="17"/>
    </row>
    <row r="435">
      <c r="A435" s="327"/>
      <c r="B435" s="121"/>
      <c r="C435" s="340"/>
      <c r="D435" s="339"/>
      <c r="E435" s="327"/>
      <c r="F435" s="121"/>
      <c r="G435" s="327"/>
      <c r="H435" s="121"/>
      <c r="I435" s="333"/>
      <c r="J435" s="177"/>
      <c r="K435" s="333"/>
      <c r="L435" s="177"/>
      <c r="M435" s="333"/>
      <c r="N435" s="177"/>
      <c r="O435" s="327"/>
      <c r="P435" s="121"/>
      <c r="Q435" s="349"/>
      <c r="R435" s="149"/>
      <c r="S435" s="17"/>
      <c r="T435" s="17"/>
      <c r="U435" s="17"/>
      <c r="V435" s="17"/>
      <c r="W435" s="17"/>
      <c r="X435" s="17"/>
      <c r="Y435" s="17"/>
      <c r="Z435" s="17"/>
    </row>
    <row r="436">
      <c r="A436" s="327"/>
      <c r="B436" s="121"/>
      <c r="C436" s="340"/>
      <c r="D436" s="339"/>
      <c r="E436" s="327"/>
      <c r="F436" s="121"/>
      <c r="G436" s="327"/>
      <c r="H436" s="121"/>
      <c r="I436" s="333"/>
      <c r="J436" s="177"/>
      <c r="K436" s="333"/>
      <c r="L436" s="177"/>
      <c r="M436" s="333"/>
      <c r="N436" s="177"/>
      <c r="O436" s="327"/>
      <c r="P436" s="121"/>
      <c r="Q436" s="349"/>
      <c r="R436" s="149"/>
      <c r="S436" s="17"/>
      <c r="T436" s="17"/>
      <c r="U436" s="17"/>
      <c r="V436" s="17"/>
      <c r="W436" s="17"/>
      <c r="X436" s="17"/>
      <c r="Y436" s="17"/>
      <c r="Z436" s="17"/>
    </row>
    <row r="437">
      <c r="A437" s="327"/>
      <c r="B437" s="121"/>
      <c r="C437" s="340"/>
      <c r="D437" s="339"/>
      <c r="E437" s="327"/>
      <c r="F437" s="121"/>
      <c r="G437" s="327"/>
      <c r="H437" s="121"/>
      <c r="I437" s="333"/>
      <c r="J437" s="177"/>
      <c r="K437" s="333"/>
      <c r="L437" s="177"/>
      <c r="M437" s="333"/>
      <c r="N437" s="177"/>
      <c r="O437" s="327"/>
      <c r="P437" s="121"/>
      <c r="Q437" s="349"/>
      <c r="R437" s="149"/>
      <c r="S437" s="17"/>
      <c r="T437" s="17"/>
      <c r="U437" s="17"/>
      <c r="V437" s="17"/>
      <c r="W437" s="17"/>
      <c r="X437" s="17"/>
      <c r="Y437" s="17"/>
      <c r="Z437" s="17"/>
    </row>
    <row r="438">
      <c r="A438" s="327"/>
      <c r="B438" s="121"/>
      <c r="C438" s="340"/>
      <c r="D438" s="339"/>
      <c r="E438" s="327"/>
      <c r="F438" s="121"/>
      <c r="G438" s="327"/>
      <c r="H438" s="121"/>
      <c r="I438" s="333"/>
      <c r="J438" s="177"/>
      <c r="K438" s="333"/>
      <c r="L438" s="177"/>
      <c r="M438" s="333"/>
      <c r="N438" s="177"/>
      <c r="O438" s="327"/>
      <c r="P438" s="121"/>
      <c r="Q438" s="349"/>
      <c r="R438" s="149"/>
      <c r="S438" s="17"/>
      <c r="T438" s="17"/>
      <c r="U438" s="17"/>
      <c r="V438" s="17"/>
      <c r="W438" s="17"/>
      <c r="X438" s="17"/>
      <c r="Y438" s="17"/>
      <c r="Z438" s="17"/>
    </row>
    <row r="439">
      <c r="A439" s="327"/>
      <c r="B439" s="121"/>
      <c r="C439" s="340"/>
      <c r="D439" s="339"/>
      <c r="E439" s="327"/>
      <c r="F439" s="121"/>
      <c r="G439" s="327"/>
      <c r="H439" s="121"/>
      <c r="I439" s="333"/>
      <c r="J439" s="177"/>
      <c r="K439" s="333"/>
      <c r="L439" s="177"/>
      <c r="M439" s="333"/>
      <c r="N439" s="177"/>
      <c r="O439" s="327"/>
      <c r="P439" s="121"/>
      <c r="Q439" s="349"/>
      <c r="R439" s="149"/>
      <c r="S439" s="17"/>
      <c r="T439" s="17"/>
      <c r="U439" s="17"/>
      <c r="V439" s="17"/>
      <c r="W439" s="17"/>
      <c r="X439" s="17"/>
      <c r="Y439" s="17"/>
      <c r="Z439" s="17"/>
    </row>
    <row r="440">
      <c r="A440" s="327"/>
      <c r="B440" s="121"/>
      <c r="C440" s="340"/>
      <c r="D440" s="339"/>
      <c r="E440" s="327"/>
      <c r="F440" s="121"/>
      <c r="G440" s="327"/>
      <c r="H440" s="121"/>
      <c r="I440" s="333"/>
      <c r="J440" s="177"/>
      <c r="K440" s="333"/>
      <c r="L440" s="177"/>
      <c r="M440" s="333"/>
      <c r="N440" s="177"/>
      <c r="O440" s="327"/>
      <c r="P440" s="121"/>
      <c r="Q440" s="349"/>
      <c r="R440" s="149"/>
      <c r="S440" s="17"/>
      <c r="T440" s="17"/>
      <c r="U440" s="17"/>
      <c r="V440" s="17"/>
      <c r="W440" s="17"/>
      <c r="X440" s="17"/>
      <c r="Y440" s="17"/>
      <c r="Z440" s="17"/>
    </row>
    <row r="441">
      <c r="A441" s="327"/>
      <c r="B441" s="121"/>
      <c r="C441" s="340"/>
      <c r="D441" s="339"/>
      <c r="E441" s="327"/>
      <c r="F441" s="121"/>
      <c r="G441" s="327"/>
      <c r="H441" s="121"/>
      <c r="I441" s="333"/>
      <c r="J441" s="177"/>
      <c r="K441" s="333"/>
      <c r="L441" s="177"/>
      <c r="M441" s="333"/>
      <c r="N441" s="177"/>
      <c r="O441" s="327"/>
      <c r="P441" s="121"/>
      <c r="Q441" s="349"/>
      <c r="R441" s="149"/>
      <c r="S441" s="17"/>
      <c r="T441" s="17"/>
      <c r="U441" s="17"/>
      <c r="V441" s="17"/>
      <c r="W441" s="17"/>
      <c r="X441" s="17"/>
      <c r="Y441" s="17"/>
      <c r="Z441" s="17"/>
    </row>
    <row r="442">
      <c r="A442" s="327"/>
      <c r="B442" s="121"/>
      <c r="C442" s="340"/>
      <c r="D442" s="339"/>
      <c r="E442" s="327"/>
      <c r="F442" s="121"/>
      <c r="G442" s="327"/>
      <c r="H442" s="121"/>
      <c r="I442" s="333"/>
      <c r="J442" s="177"/>
      <c r="K442" s="333"/>
      <c r="L442" s="177"/>
      <c r="M442" s="333"/>
      <c r="N442" s="177"/>
      <c r="O442" s="327"/>
      <c r="P442" s="121"/>
      <c r="Q442" s="349"/>
      <c r="R442" s="149"/>
      <c r="S442" s="17"/>
      <c r="T442" s="17"/>
      <c r="U442" s="17"/>
      <c r="V442" s="17"/>
      <c r="W442" s="17"/>
      <c r="X442" s="17"/>
      <c r="Y442" s="17"/>
      <c r="Z442" s="17"/>
    </row>
    <row r="443">
      <c r="A443" s="327"/>
      <c r="B443" s="121"/>
      <c r="C443" s="340"/>
      <c r="D443" s="339"/>
      <c r="E443" s="327"/>
      <c r="F443" s="121"/>
      <c r="G443" s="327"/>
      <c r="H443" s="121"/>
      <c r="I443" s="333"/>
      <c r="J443" s="177"/>
      <c r="K443" s="333"/>
      <c r="L443" s="177"/>
      <c r="M443" s="333"/>
      <c r="N443" s="177"/>
      <c r="O443" s="327"/>
      <c r="P443" s="121"/>
      <c r="Q443" s="349"/>
      <c r="R443" s="149"/>
      <c r="S443" s="17"/>
      <c r="T443" s="17"/>
      <c r="U443" s="17"/>
      <c r="V443" s="17"/>
      <c r="W443" s="17"/>
      <c r="X443" s="17"/>
      <c r="Y443" s="17"/>
      <c r="Z443" s="17"/>
    </row>
    <row r="444">
      <c r="A444" s="327"/>
      <c r="B444" s="121"/>
      <c r="C444" s="340"/>
      <c r="D444" s="339"/>
      <c r="E444" s="327"/>
      <c r="F444" s="121"/>
      <c r="G444" s="327"/>
      <c r="H444" s="121"/>
      <c r="I444" s="333"/>
      <c r="J444" s="177"/>
      <c r="K444" s="333"/>
      <c r="L444" s="177"/>
      <c r="M444" s="333"/>
      <c r="N444" s="177"/>
      <c r="O444" s="327"/>
      <c r="P444" s="121"/>
      <c r="Q444" s="349"/>
      <c r="R444" s="149"/>
      <c r="S444" s="17"/>
      <c r="T444" s="17"/>
      <c r="U444" s="17"/>
      <c r="V444" s="17"/>
      <c r="W444" s="17"/>
      <c r="X444" s="17"/>
      <c r="Y444" s="17"/>
      <c r="Z444" s="17"/>
    </row>
    <row r="445">
      <c r="A445" s="327"/>
      <c r="B445" s="121"/>
      <c r="C445" s="340"/>
      <c r="D445" s="339"/>
      <c r="E445" s="327"/>
      <c r="F445" s="121"/>
      <c r="G445" s="327"/>
      <c r="H445" s="121"/>
      <c r="I445" s="333"/>
      <c r="J445" s="177"/>
      <c r="K445" s="333"/>
      <c r="L445" s="177"/>
      <c r="M445" s="333"/>
      <c r="N445" s="177"/>
      <c r="O445" s="327"/>
      <c r="P445" s="121"/>
      <c r="Q445" s="349"/>
      <c r="R445" s="149"/>
      <c r="S445" s="17"/>
      <c r="T445" s="17"/>
      <c r="U445" s="17"/>
      <c r="V445" s="17"/>
      <c r="W445" s="17"/>
      <c r="X445" s="17"/>
      <c r="Y445" s="17"/>
      <c r="Z445" s="17"/>
    </row>
    <row r="446">
      <c r="A446" s="327"/>
      <c r="B446" s="121"/>
      <c r="C446" s="340"/>
      <c r="D446" s="339"/>
      <c r="E446" s="327"/>
      <c r="F446" s="121"/>
      <c r="G446" s="327"/>
      <c r="H446" s="121"/>
      <c r="I446" s="333"/>
      <c r="J446" s="177"/>
      <c r="K446" s="333"/>
      <c r="L446" s="177"/>
      <c r="M446" s="333"/>
      <c r="N446" s="177"/>
      <c r="O446" s="327"/>
      <c r="P446" s="121"/>
      <c r="Q446" s="349"/>
      <c r="R446" s="149"/>
      <c r="S446" s="17"/>
      <c r="T446" s="17"/>
      <c r="U446" s="17"/>
      <c r="V446" s="17"/>
      <c r="W446" s="17"/>
      <c r="X446" s="17"/>
      <c r="Y446" s="17"/>
      <c r="Z446" s="17"/>
    </row>
    <row r="447">
      <c r="A447" s="327"/>
      <c r="B447" s="121"/>
      <c r="C447" s="340"/>
      <c r="D447" s="339"/>
      <c r="E447" s="327"/>
      <c r="F447" s="121"/>
      <c r="G447" s="327"/>
      <c r="H447" s="121"/>
      <c r="I447" s="333"/>
      <c r="J447" s="177"/>
      <c r="K447" s="333"/>
      <c r="L447" s="177"/>
      <c r="M447" s="333"/>
      <c r="N447" s="177"/>
      <c r="O447" s="327"/>
      <c r="P447" s="121"/>
      <c r="Q447" s="349"/>
      <c r="R447" s="149"/>
      <c r="S447" s="17"/>
      <c r="T447" s="17"/>
      <c r="U447" s="17"/>
      <c r="V447" s="17"/>
      <c r="W447" s="17"/>
      <c r="X447" s="17"/>
      <c r="Y447" s="17"/>
      <c r="Z447" s="17"/>
    </row>
    <row r="448">
      <c r="A448" s="327"/>
      <c r="B448" s="121"/>
      <c r="C448" s="340"/>
      <c r="D448" s="339"/>
      <c r="E448" s="327"/>
      <c r="F448" s="121"/>
      <c r="G448" s="327"/>
      <c r="H448" s="121"/>
      <c r="I448" s="333"/>
      <c r="J448" s="177"/>
      <c r="K448" s="333"/>
      <c r="L448" s="177"/>
      <c r="M448" s="333"/>
      <c r="N448" s="177"/>
      <c r="O448" s="327"/>
      <c r="P448" s="121"/>
      <c r="Q448" s="349"/>
      <c r="R448" s="149"/>
      <c r="S448" s="17"/>
      <c r="T448" s="17"/>
      <c r="U448" s="17"/>
      <c r="V448" s="17"/>
      <c r="W448" s="17"/>
      <c r="X448" s="17"/>
      <c r="Y448" s="17"/>
      <c r="Z448" s="17"/>
    </row>
    <row r="449">
      <c r="A449" s="327"/>
      <c r="B449" s="121"/>
      <c r="C449" s="340"/>
      <c r="D449" s="339"/>
      <c r="E449" s="327"/>
      <c r="F449" s="121"/>
      <c r="G449" s="327"/>
      <c r="H449" s="121"/>
      <c r="I449" s="333"/>
      <c r="J449" s="177"/>
      <c r="K449" s="333"/>
      <c r="L449" s="177"/>
      <c r="M449" s="333"/>
      <c r="N449" s="177"/>
      <c r="O449" s="327"/>
      <c r="P449" s="121"/>
      <c r="Q449" s="349"/>
      <c r="R449" s="149"/>
      <c r="S449" s="17"/>
      <c r="T449" s="17"/>
      <c r="U449" s="17"/>
      <c r="V449" s="17"/>
      <c r="W449" s="17"/>
      <c r="X449" s="17"/>
      <c r="Y449" s="17"/>
      <c r="Z449" s="17"/>
    </row>
    <row r="450">
      <c r="A450" s="327"/>
      <c r="B450" s="121"/>
      <c r="C450" s="340"/>
      <c r="D450" s="339"/>
      <c r="E450" s="327"/>
      <c r="F450" s="121"/>
      <c r="G450" s="327"/>
      <c r="H450" s="121"/>
      <c r="I450" s="333"/>
      <c r="J450" s="177"/>
      <c r="K450" s="333"/>
      <c r="L450" s="177"/>
      <c r="M450" s="333"/>
      <c r="N450" s="177"/>
      <c r="O450" s="327"/>
      <c r="P450" s="121"/>
      <c r="Q450" s="349"/>
      <c r="R450" s="149"/>
      <c r="S450" s="17"/>
      <c r="T450" s="17"/>
      <c r="U450" s="17"/>
      <c r="V450" s="17"/>
      <c r="W450" s="17"/>
      <c r="X450" s="17"/>
      <c r="Y450" s="17"/>
      <c r="Z450" s="17"/>
    </row>
    <row r="451">
      <c r="A451" s="327"/>
      <c r="B451" s="121"/>
      <c r="C451" s="340"/>
      <c r="D451" s="339"/>
      <c r="E451" s="327"/>
      <c r="F451" s="121"/>
      <c r="G451" s="327"/>
      <c r="H451" s="121"/>
      <c r="I451" s="333"/>
      <c r="J451" s="177"/>
      <c r="K451" s="333"/>
      <c r="L451" s="177"/>
      <c r="M451" s="333"/>
      <c r="N451" s="177"/>
      <c r="O451" s="327"/>
      <c r="P451" s="121"/>
      <c r="Q451" s="349"/>
      <c r="R451" s="149"/>
      <c r="S451" s="17"/>
      <c r="T451" s="17"/>
      <c r="U451" s="17"/>
      <c r="V451" s="17"/>
      <c r="W451" s="17"/>
      <c r="X451" s="17"/>
      <c r="Y451" s="17"/>
      <c r="Z451" s="17"/>
    </row>
    <row r="452">
      <c r="A452" s="327"/>
      <c r="B452" s="121"/>
      <c r="C452" s="340"/>
      <c r="D452" s="339"/>
      <c r="E452" s="327"/>
      <c r="F452" s="121"/>
      <c r="G452" s="327"/>
      <c r="H452" s="121"/>
      <c r="I452" s="333"/>
      <c r="J452" s="177"/>
      <c r="K452" s="333"/>
      <c r="L452" s="177"/>
      <c r="M452" s="333"/>
      <c r="N452" s="177"/>
      <c r="O452" s="327"/>
      <c r="P452" s="121"/>
      <c r="Q452" s="349"/>
      <c r="R452" s="149"/>
      <c r="S452" s="17"/>
      <c r="T452" s="17"/>
      <c r="U452" s="17"/>
      <c r="V452" s="17"/>
      <c r="W452" s="17"/>
      <c r="X452" s="17"/>
      <c r="Y452" s="17"/>
      <c r="Z452" s="17"/>
    </row>
    <row r="453">
      <c r="A453" s="327"/>
      <c r="B453" s="121"/>
      <c r="C453" s="340"/>
      <c r="D453" s="339"/>
      <c r="E453" s="327"/>
      <c r="F453" s="121"/>
      <c r="G453" s="327"/>
      <c r="H453" s="121"/>
      <c r="I453" s="333"/>
      <c r="J453" s="177"/>
      <c r="K453" s="333"/>
      <c r="L453" s="177"/>
      <c r="M453" s="333"/>
      <c r="N453" s="177"/>
      <c r="O453" s="327"/>
      <c r="P453" s="121"/>
      <c r="Q453" s="349"/>
      <c r="R453" s="149"/>
      <c r="S453" s="17"/>
      <c r="T453" s="17"/>
      <c r="U453" s="17"/>
      <c r="V453" s="17"/>
      <c r="W453" s="17"/>
      <c r="X453" s="17"/>
      <c r="Y453" s="17"/>
      <c r="Z453" s="17"/>
    </row>
    <row r="454">
      <c r="A454" s="327"/>
      <c r="B454" s="121"/>
      <c r="C454" s="340"/>
      <c r="D454" s="339"/>
      <c r="E454" s="327"/>
      <c r="F454" s="121"/>
      <c r="G454" s="327"/>
      <c r="H454" s="121"/>
      <c r="I454" s="333"/>
      <c r="J454" s="177"/>
      <c r="K454" s="333"/>
      <c r="L454" s="177"/>
      <c r="M454" s="333"/>
      <c r="N454" s="177"/>
      <c r="O454" s="327"/>
      <c r="P454" s="121"/>
      <c r="Q454" s="349"/>
      <c r="R454" s="149"/>
      <c r="S454" s="17"/>
      <c r="T454" s="17"/>
      <c r="U454" s="17"/>
      <c r="V454" s="17"/>
      <c r="W454" s="17"/>
      <c r="X454" s="17"/>
      <c r="Y454" s="17"/>
      <c r="Z454" s="17"/>
    </row>
    <row r="455">
      <c r="A455" s="327"/>
      <c r="B455" s="121"/>
      <c r="C455" s="340"/>
      <c r="D455" s="339"/>
      <c r="E455" s="327"/>
      <c r="F455" s="121"/>
      <c r="G455" s="327"/>
      <c r="H455" s="121"/>
      <c r="I455" s="333"/>
      <c r="J455" s="177"/>
      <c r="K455" s="333"/>
      <c r="L455" s="177"/>
      <c r="M455" s="333"/>
      <c r="N455" s="177"/>
      <c r="O455" s="327"/>
      <c r="P455" s="121"/>
      <c r="Q455" s="349"/>
      <c r="R455" s="149"/>
      <c r="S455" s="17"/>
      <c r="T455" s="17"/>
      <c r="U455" s="17"/>
      <c r="V455" s="17"/>
      <c r="W455" s="17"/>
      <c r="X455" s="17"/>
      <c r="Y455" s="17"/>
      <c r="Z455" s="17"/>
    </row>
    <row r="456">
      <c r="A456" s="327"/>
      <c r="B456" s="121"/>
      <c r="C456" s="340"/>
      <c r="D456" s="339"/>
      <c r="E456" s="327"/>
      <c r="F456" s="121"/>
      <c r="G456" s="327"/>
      <c r="H456" s="121"/>
      <c r="I456" s="333"/>
      <c r="J456" s="177"/>
      <c r="K456" s="333"/>
      <c r="L456" s="177"/>
      <c r="M456" s="333"/>
      <c r="N456" s="177"/>
      <c r="O456" s="327"/>
      <c r="P456" s="121"/>
      <c r="Q456" s="349"/>
      <c r="R456" s="149"/>
      <c r="S456" s="17"/>
      <c r="T456" s="17"/>
      <c r="U456" s="17"/>
      <c r="V456" s="17"/>
      <c r="W456" s="17"/>
      <c r="X456" s="17"/>
      <c r="Y456" s="17"/>
      <c r="Z456" s="17"/>
    </row>
    <row r="457">
      <c r="A457" s="327"/>
      <c r="B457" s="121"/>
      <c r="C457" s="340"/>
      <c r="D457" s="339"/>
      <c r="E457" s="327"/>
      <c r="F457" s="121"/>
      <c r="G457" s="327"/>
      <c r="H457" s="121"/>
      <c r="I457" s="333"/>
      <c r="J457" s="177"/>
      <c r="K457" s="333"/>
      <c r="L457" s="177"/>
      <c r="M457" s="333"/>
      <c r="N457" s="177"/>
      <c r="O457" s="327"/>
      <c r="P457" s="121"/>
      <c r="Q457" s="349"/>
      <c r="R457" s="149"/>
      <c r="S457" s="17"/>
      <c r="T457" s="17"/>
      <c r="U457" s="17"/>
      <c r="V457" s="17"/>
      <c r="W457" s="17"/>
      <c r="X457" s="17"/>
      <c r="Y457" s="17"/>
      <c r="Z457" s="17"/>
    </row>
    <row r="458">
      <c r="A458" s="327"/>
      <c r="B458" s="121"/>
      <c r="C458" s="340"/>
      <c r="D458" s="339"/>
      <c r="E458" s="327"/>
      <c r="F458" s="121"/>
      <c r="G458" s="327"/>
      <c r="H458" s="121"/>
      <c r="I458" s="333"/>
      <c r="J458" s="177"/>
      <c r="K458" s="333"/>
      <c r="L458" s="177"/>
      <c r="M458" s="333"/>
      <c r="N458" s="177"/>
      <c r="O458" s="327"/>
      <c r="P458" s="121"/>
      <c r="Q458" s="349"/>
      <c r="R458" s="149"/>
      <c r="S458" s="17"/>
      <c r="T458" s="17"/>
      <c r="U458" s="17"/>
      <c r="V458" s="17"/>
      <c r="W458" s="17"/>
      <c r="X458" s="17"/>
      <c r="Y458" s="17"/>
      <c r="Z458" s="17"/>
    </row>
    <row r="459">
      <c r="A459" s="327"/>
      <c r="B459" s="121"/>
      <c r="C459" s="340"/>
      <c r="D459" s="339"/>
      <c r="E459" s="327"/>
      <c r="F459" s="121"/>
      <c r="G459" s="327"/>
      <c r="H459" s="121"/>
      <c r="I459" s="333"/>
      <c r="J459" s="177"/>
      <c r="K459" s="333"/>
      <c r="L459" s="177"/>
      <c r="M459" s="333"/>
      <c r="N459" s="177"/>
      <c r="O459" s="327"/>
      <c r="P459" s="121"/>
      <c r="Q459" s="349"/>
      <c r="R459" s="149"/>
      <c r="S459" s="17"/>
      <c r="T459" s="17"/>
      <c r="U459" s="17"/>
      <c r="V459" s="17"/>
      <c r="W459" s="17"/>
      <c r="X459" s="17"/>
      <c r="Y459" s="17"/>
      <c r="Z459" s="17"/>
    </row>
    <row r="460">
      <c r="A460" s="327"/>
      <c r="B460" s="121"/>
      <c r="C460" s="340"/>
      <c r="D460" s="339"/>
      <c r="E460" s="327"/>
      <c r="F460" s="121"/>
      <c r="G460" s="327"/>
      <c r="H460" s="121"/>
      <c r="I460" s="333"/>
      <c r="J460" s="177"/>
      <c r="K460" s="333"/>
      <c r="L460" s="177"/>
      <c r="M460" s="333"/>
      <c r="N460" s="177"/>
      <c r="O460" s="327"/>
      <c r="P460" s="121"/>
      <c r="Q460" s="349"/>
      <c r="R460" s="149"/>
      <c r="S460" s="17"/>
      <c r="T460" s="17"/>
      <c r="U460" s="17"/>
      <c r="V460" s="17"/>
      <c r="W460" s="17"/>
      <c r="X460" s="17"/>
      <c r="Y460" s="17"/>
      <c r="Z460" s="17"/>
    </row>
    <row r="461">
      <c r="A461" s="327"/>
      <c r="B461" s="121"/>
      <c r="C461" s="340"/>
      <c r="D461" s="339"/>
      <c r="E461" s="327"/>
      <c r="F461" s="121"/>
      <c r="G461" s="327"/>
      <c r="H461" s="121"/>
      <c r="I461" s="333"/>
      <c r="J461" s="177"/>
      <c r="K461" s="333"/>
      <c r="L461" s="177"/>
      <c r="M461" s="333"/>
      <c r="N461" s="177"/>
      <c r="O461" s="327"/>
      <c r="P461" s="121"/>
      <c r="Q461" s="349"/>
      <c r="R461" s="149"/>
      <c r="S461" s="17"/>
      <c r="T461" s="17"/>
      <c r="U461" s="17"/>
      <c r="V461" s="17"/>
      <c r="W461" s="17"/>
      <c r="X461" s="17"/>
      <c r="Y461" s="17"/>
      <c r="Z461" s="17"/>
    </row>
    <row r="462">
      <c r="A462" s="327"/>
      <c r="B462" s="121"/>
      <c r="C462" s="340"/>
      <c r="D462" s="339"/>
      <c r="E462" s="327"/>
      <c r="F462" s="121"/>
      <c r="G462" s="327"/>
      <c r="H462" s="121"/>
      <c r="I462" s="333"/>
      <c r="J462" s="177"/>
      <c r="K462" s="333"/>
      <c r="L462" s="177"/>
      <c r="M462" s="333"/>
      <c r="N462" s="177"/>
      <c r="O462" s="327"/>
      <c r="P462" s="121"/>
      <c r="Q462" s="349"/>
      <c r="R462" s="149"/>
      <c r="S462" s="17"/>
      <c r="T462" s="17"/>
      <c r="U462" s="17"/>
      <c r="V462" s="17"/>
      <c r="W462" s="17"/>
      <c r="X462" s="17"/>
      <c r="Y462" s="17"/>
      <c r="Z462" s="17"/>
    </row>
    <row r="463">
      <c r="A463" s="327"/>
      <c r="B463" s="121"/>
      <c r="C463" s="340"/>
      <c r="D463" s="339"/>
      <c r="E463" s="327"/>
      <c r="F463" s="121"/>
      <c r="G463" s="327"/>
      <c r="H463" s="121"/>
      <c r="I463" s="333"/>
      <c r="J463" s="177"/>
      <c r="K463" s="333"/>
      <c r="L463" s="177"/>
      <c r="M463" s="333"/>
      <c r="N463" s="177"/>
      <c r="O463" s="327"/>
      <c r="P463" s="121"/>
      <c r="Q463" s="349"/>
      <c r="R463" s="149"/>
      <c r="S463" s="17"/>
      <c r="T463" s="17"/>
      <c r="U463" s="17"/>
      <c r="V463" s="17"/>
      <c r="W463" s="17"/>
      <c r="X463" s="17"/>
      <c r="Y463" s="17"/>
      <c r="Z463" s="17"/>
    </row>
    <row r="464">
      <c r="A464" s="327"/>
      <c r="B464" s="121"/>
      <c r="C464" s="340"/>
      <c r="D464" s="339"/>
      <c r="E464" s="327"/>
      <c r="F464" s="121"/>
      <c r="G464" s="327"/>
      <c r="H464" s="121"/>
      <c r="I464" s="333"/>
      <c r="J464" s="177"/>
      <c r="K464" s="333"/>
      <c r="L464" s="177"/>
      <c r="M464" s="333"/>
      <c r="N464" s="177"/>
      <c r="O464" s="327"/>
      <c r="P464" s="121"/>
      <c r="Q464" s="349"/>
      <c r="R464" s="149"/>
      <c r="S464" s="17"/>
      <c r="T464" s="17"/>
      <c r="U464" s="17"/>
      <c r="V464" s="17"/>
      <c r="W464" s="17"/>
      <c r="X464" s="17"/>
      <c r="Y464" s="17"/>
      <c r="Z464" s="17"/>
    </row>
    <row r="465">
      <c r="A465" s="327"/>
      <c r="B465" s="121"/>
      <c r="C465" s="340"/>
      <c r="D465" s="339"/>
      <c r="E465" s="327"/>
      <c r="F465" s="121"/>
      <c r="G465" s="327"/>
      <c r="H465" s="121"/>
      <c r="I465" s="333"/>
      <c r="J465" s="177"/>
      <c r="K465" s="333"/>
      <c r="L465" s="177"/>
      <c r="M465" s="333"/>
      <c r="N465" s="177"/>
      <c r="O465" s="327"/>
      <c r="P465" s="121"/>
      <c r="Q465" s="349"/>
      <c r="R465" s="149"/>
      <c r="S465" s="17"/>
      <c r="T465" s="17"/>
      <c r="U465" s="17"/>
      <c r="V465" s="17"/>
      <c r="W465" s="17"/>
      <c r="X465" s="17"/>
      <c r="Y465" s="17"/>
      <c r="Z465" s="17"/>
    </row>
    <row r="466">
      <c r="A466" s="327"/>
      <c r="B466" s="121"/>
      <c r="C466" s="340"/>
      <c r="D466" s="339"/>
      <c r="E466" s="327"/>
      <c r="F466" s="121"/>
      <c r="G466" s="327"/>
      <c r="H466" s="121"/>
      <c r="I466" s="333"/>
      <c r="J466" s="177"/>
      <c r="K466" s="333"/>
      <c r="L466" s="177"/>
      <c r="M466" s="333"/>
      <c r="N466" s="177"/>
      <c r="O466" s="327"/>
      <c r="P466" s="121"/>
      <c r="Q466" s="349"/>
      <c r="R466" s="149"/>
      <c r="S466" s="17"/>
      <c r="T466" s="17"/>
      <c r="U466" s="17"/>
      <c r="V466" s="17"/>
      <c r="W466" s="17"/>
      <c r="X466" s="17"/>
      <c r="Y466" s="17"/>
      <c r="Z466" s="17"/>
    </row>
    <row r="467">
      <c r="A467" s="327"/>
      <c r="B467" s="121"/>
      <c r="C467" s="340"/>
      <c r="D467" s="339"/>
      <c r="E467" s="327"/>
      <c r="F467" s="121"/>
      <c r="G467" s="327"/>
      <c r="H467" s="121"/>
      <c r="I467" s="333"/>
      <c r="J467" s="177"/>
      <c r="K467" s="333"/>
      <c r="L467" s="177"/>
      <c r="M467" s="333"/>
      <c r="N467" s="177"/>
      <c r="O467" s="327"/>
      <c r="P467" s="121"/>
      <c r="Q467" s="349"/>
      <c r="R467" s="149"/>
      <c r="S467" s="17"/>
      <c r="T467" s="17"/>
      <c r="U467" s="17"/>
      <c r="V467" s="17"/>
      <c r="W467" s="17"/>
      <c r="X467" s="17"/>
      <c r="Y467" s="17"/>
      <c r="Z467" s="17"/>
    </row>
    <row r="468">
      <c r="A468" s="327"/>
      <c r="B468" s="121"/>
      <c r="C468" s="340"/>
      <c r="D468" s="339"/>
      <c r="E468" s="327"/>
      <c r="F468" s="121"/>
      <c r="G468" s="327"/>
      <c r="H468" s="121"/>
      <c r="I468" s="333"/>
      <c r="J468" s="177"/>
      <c r="K468" s="333"/>
      <c r="L468" s="177"/>
      <c r="M468" s="333"/>
      <c r="N468" s="177"/>
      <c r="O468" s="327"/>
      <c r="P468" s="121"/>
      <c r="Q468" s="349"/>
      <c r="R468" s="149"/>
      <c r="S468" s="17"/>
      <c r="T468" s="17"/>
      <c r="U468" s="17"/>
      <c r="V468" s="17"/>
      <c r="W468" s="17"/>
      <c r="X468" s="17"/>
      <c r="Y468" s="17"/>
      <c r="Z468" s="17"/>
    </row>
    <row r="469">
      <c r="A469" s="327"/>
      <c r="B469" s="121"/>
      <c r="C469" s="340"/>
      <c r="D469" s="339"/>
      <c r="E469" s="327"/>
      <c r="F469" s="121"/>
      <c r="G469" s="327"/>
      <c r="H469" s="121"/>
      <c r="I469" s="333"/>
      <c r="J469" s="177"/>
      <c r="K469" s="333"/>
      <c r="L469" s="177"/>
      <c r="M469" s="333"/>
      <c r="N469" s="177"/>
      <c r="O469" s="327"/>
      <c r="P469" s="121"/>
      <c r="Q469" s="349"/>
      <c r="R469" s="149"/>
      <c r="S469" s="17"/>
      <c r="T469" s="17"/>
      <c r="U469" s="17"/>
      <c r="V469" s="17"/>
      <c r="W469" s="17"/>
      <c r="X469" s="17"/>
      <c r="Y469" s="17"/>
      <c r="Z469" s="17"/>
    </row>
    <row r="470">
      <c r="A470" s="327"/>
      <c r="B470" s="121"/>
      <c r="C470" s="340"/>
      <c r="D470" s="339"/>
      <c r="E470" s="327"/>
      <c r="F470" s="121"/>
      <c r="G470" s="327"/>
      <c r="H470" s="121"/>
      <c r="I470" s="333"/>
      <c r="J470" s="177"/>
      <c r="K470" s="333"/>
      <c r="L470" s="177"/>
      <c r="M470" s="333"/>
      <c r="N470" s="177"/>
      <c r="O470" s="327"/>
      <c r="P470" s="121"/>
      <c r="Q470" s="349"/>
      <c r="R470" s="149"/>
      <c r="S470" s="17"/>
      <c r="T470" s="17"/>
      <c r="U470" s="17"/>
      <c r="V470" s="17"/>
      <c r="W470" s="17"/>
      <c r="X470" s="17"/>
      <c r="Y470" s="17"/>
      <c r="Z470" s="17"/>
    </row>
    <row r="471">
      <c r="A471" s="327"/>
      <c r="B471" s="121"/>
      <c r="C471" s="340"/>
      <c r="D471" s="339"/>
      <c r="E471" s="327"/>
      <c r="F471" s="121"/>
      <c r="G471" s="327"/>
      <c r="H471" s="121"/>
      <c r="I471" s="333"/>
      <c r="J471" s="177"/>
      <c r="K471" s="333"/>
      <c r="L471" s="177"/>
      <c r="M471" s="333"/>
      <c r="N471" s="177"/>
      <c r="O471" s="327"/>
      <c r="P471" s="121"/>
      <c r="Q471" s="349"/>
      <c r="R471" s="149"/>
      <c r="S471" s="17"/>
      <c r="T471" s="17"/>
      <c r="U471" s="17"/>
      <c r="V471" s="17"/>
      <c r="W471" s="17"/>
      <c r="X471" s="17"/>
      <c r="Y471" s="17"/>
      <c r="Z471" s="17"/>
    </row>
    <row r="472">
      <c r="A472" s="327"/>
      <c r="B472" s="121"/>
      <c r="C472" s="340"/>
      <c r="D472" s="339"/>
      <c r="E472" s="327"/>
      <c r="F472" s="121"/>
      <c r="G472" s="327"/>
      <c r="H472" s="121"/>
      <c r="I472" s="333"/>
      <c r="J472" s="177"/>
      <c r="K472" s="333"/>
      <c r="L472" s="177"/>
      <c r="M472" s="333"/>
      <c r="N472" s="177"/>
      <c r="O472" s="327"/>
      <c r="P472" s="121"/>
      <c r="Q472" s="349"/>
      <c r="R472" s="149"/>
      <c r="S472" s="17"/>
      <c r="T472" s="17"/>
      <c r="U472" s="17"/>
      <c r="V472" s="17"/>
      <c r="W472" s="17"/>
      <c r="X472" s="17"/>
      <c r="Y472" s="17"/>
      <c r="Z472" s="17"/>
    </row>
    <row r="473">
      <c r="A473" s="327"/>
      <c r="B473" s="121"/>
      <c r="C473" s="340"/>
      <c r="D473" s="339"/>
      <c r="E473" s="327"/>
      <c r="F473" s="121"/>
      <c r="G473" s="327"/>
      <c r="H473" s="121"/>
      <c r="I473" s="333"/>
      <c r="J473" s="177"/>
      <c r="K473" s="333"/>
      <c r="L473" s="177"/>
      <c r="M473" s="333"/>
      <c r="N473" s="177"/>
      <c r="O473" s="327"/>
      <c r="P473" s="121"/>
      <c r="Q473" s="349"/>
      <c r="R473" s="149"/>
      <c r="S473" s="17"/>
      <c r="T473" s="17"/>
      <c r="U473" s="17"/>
      <c r="V473" s="17"/>
      <c r="W473" s="17"/>
      <c r="X473" s="17"/>
      <c r="Y473" s="17"/>
      <c r="Z473" s="17"/>
    </row>
    <row r="474">
      <c r="A474" s="327"/>
      <c r="B474" s="121"/>
      <c r="C474" s="340"/>
      <c r="D474" s="339"/>
      <c r="E474" s="327"/>
      <c r="F474" s="121"/>
      <c r="G474" s="327"/>
      <c r="H474" s="121"/>
      <c r="I474" s="333"/>
      <c r="J474" s="177"/>
      <c r="K474" s="333"/>
      <c r="L474" s="177"/>
      <c r="M474" s="333"/>
      <c r="N474" s="177"/>
      <c r="O474" s="327"/>
      <c r="P474" s="121"/>
      <c r="Q474" s="349"/>
      <c r="R474" s="149"/>
      <c r="S474" s="17"/>
      <c r="T474" s="17"/>
      <c r="U474" s="17"/>
      <c r="V474" s="17"/>
      <c r="W474" s="17"/>
      <c r="X474" s="17"/>
      <c r="Y474" s="17"/>
      <c r="Z474" s="17"/>
    </row>
    <row r="475">
      <c r="A475" s="327"/>
      <c r="B475" s="121"/>
      <c r="C475" s="340"/>
      <c r="D475" s="339"/>
      <c r="E475" s="327"/>
      <c r="F475" s="121"/>
      <c r="G475" s="327"/>
      <c r="H475" s="121"/>
      <c r="I475" s="333"/>
      <c r="J475" s="177"/>
      <c r="K475" s="333"/>
      <c r="L475" s="177"/>
      <c r="M475" s="333"/>
      <c r="N475" s="177"/>
      <c r="O475" s="327"/>
      <c r="P475" s="121"/>
      <c r="Q475" s="349"/>
      <c r="R475" s="149"/>
      <c r="S475" s="17"/>
      <c r="T475" s="17"/>
      <c r="U475" s="17"/>
      <c r="V475" s="17"/>
      <c r="W475" s="17"/>
      <c r="X475" s="17"/>
      <c r="Y475" s="17"/>
      <c r="Z475" s="17"/>
    </row>
    <row r="476">
      <c r="A476" s="327"/>
      <c r="B476" s="121"/>
      <c r="C476" s="340"/>
      <c r="D476" s="339"/>
      <c r="E476" s="327"/>
      <c r="F476" s="121"/>
      <c r="G476" s="327"/>
      <c r="H476" s="121"/>
      <c r="I476" s="333"/>
      <c r="J476" s="177"/>
      <c r="K476" s="333"/>
      <c r="L476" s="177"/>
      <c r="M476" s="333"/>
      <c r="N476" s="177"/>
      <c r="O476" s="327"/>
      <c r="P476" s="121"/>
      <c r="Q476" s="349"/>
      <c r="R476" s="149"/>
      <c r="S476" s="17"/>
      <c r="T476" s="17"/>
      <c r="U476" s="17"/>
      <c r="V476" s="17"/>
      <c r="W476" s="17"/>
      <c r="X476" s="17"/>
      <c r="Y476" s="17"/>
      <c r="Z476" s="17"/>
    </row>
    <row r="477">
      <c r="A477" s="327"/>
      <c r="B477" s="121"/>
      <c r="C477" s="340"/>
      <c r="D477" s="339"/>
      <c r="E477" s="327"/>
      <c r="F477" s="121"/>
      <c r="G477" s="327"/>
      <c r="H477" s="121"/>
      <c r="I477" s="333"/>
      <c r="J477" s="177"/>
      <c r="K477" s="333"/>
      <c r="L477" s="177"/>
      <c r="M477" s="333"/>
      <c r="N477" s="177"/>
      <c r="O477" s="327"/>
      <c r="P477" s="121"/>
      <c r="Q477" s="349"/>
      <c r="R477" s="149"/>
      <c r="S477" s="17"/>
      <c r="T477" s="17"/>
      <c r="U477" s="17"/>
      <c r="V477" s="17"/>
      <c r="W477" s="17"/>
      <c r="X477" s="17"/>
      <c r="Y477" s="17"/>
      <c r="Z477" s="17"/>
    </row>
    <row r="478">
      <c r="A478" s="327"/>
      <c r="B478" s="121"/>
      <c r="C478" s="340"/>
      <c r="D478" s="339"/>
      <c r="E478" s="327"/>
      <c r="F478" s="121"/>
      <c r="G478" s="327"/>
      <c r="H478" s="121"/>
      <c r="I478" s="333"/>
      <c r="J478" s="177"/>
      <c r="K478" s="333"/>
      <c r="L478" s="177"/>
      <c r="M478" s="333"/>
      <c r="N478" s="177"/>
      <c r="O478" s="327"/>
      <c r="P478" s="121"/>
      <c r="Q478" s="349"/>
      <c r="R478" s="149"/>
      <c r="S478" s="17"/>
      <c r="T478" s="17"/>
      <c r="U478" s="17"/>
      <c r="V478" s="17"/>
      <c r="W478" s="17"/>
      <c r="X478" s="17"/>
      <c r="Y478" s="17"/>
      <c r="Z478" s="17"/>
    </row>
    <row r="479">
      <c r="A479" s="327"/>
      <c r="B479" s="121"/>
      <c r="C479" s="340"/>
      <c r="D479" s="339"/>
      <c r="E479" s="327"/>
      <c r="F479" s="121"/>
      <c r="G479" s="327"/>
      <c r="H479" s="121"/>
      <c r="I479" s="333"/>
      <c r="J479" s="177"/>
      <c r="K479" s="333"/>
      <c r="L479" s="177"/>
      <c r="M479" s="333"/>
      <c r="N479" s="177"/>
      <c r="O479" s="327"/>
      <c r="P479" s="121"/>
      <c r="Q479" s="349"/>
      <c r="R479" s="149"/>
      <c r="S479" s="17"/>
      <c r="T479" s="17"/>
      <c r="U479" s="17"/>
      <c r="V479" s="17"/>
      <c r="W479" s="17"/>
      <c r="X479" s="17"/>
      <c r="Y479" s="17"/>
      <c r="Z479" s="17"/>
    </row>
    <row r="480">
      <c r="A480" s="327"/>
      <c r="B480" s="121"/>
      <c r="C480" s="340"/>
      <c r="D480" s="339"/>
      <c r="E480" s="327"/>
      <c r="F480" s="121"/>
      <c r="G480" s="327"/>
      <c r="H480" s="121"/>
      <c r="I480" s="333"/>
      <c r="J480" s="177"/>
      <c r="K480" s="333"/>
      <c r="L480" s="177"/>
      <c r="M480" s="333"/>
      <c r="N480" s="177"/>
      <c r="O480" s="327"/>
      <c r="P480" s="121"/>
      <c r="Q480" s="349"/>
      <c r="R480" s="149"/>
      <c r="S480" s="17"/>
      <c r="T480" s="17"/>
      <c r="U480" s="17"/>
      <c r="V480" s="17"/>
      <c r="W480" s="17"/>
      <c r="X480" s="17"/>
      <c r="Y480" s="17"/>
      <c r="Z480" s="17"/>
    </row>
    <row r="481">
      <c r="A481" s="327"/>
      <c r="B481" s="121"/>
      <c r="C481" s="340"/>
      <c r="D481" s="339"/>
      <c r="E481" s="327"/>
      <c r="F481" s="121"/>
      <c r="G481" s="327"/>
      <c r="H481" s="121"/>
      <c r="I481" s="333"/>
      <c r="J481" s="177"/>
      <c r="K481" s="333"/>
      <c r="L481" s="177"/>
      <c r="M481" s="333"/>
      <c r="N481" s="177"/>
      <c r="O481" s="327"/>
      <c r="P481" s="121"/>
      <c r="Q481" s="349"/>
      <c r="R481" s="149"/>
      <c r="S481" s="17"/>
      <c r="T481" s="17"/>
      <c r="U481" s="17"/>
      <c r="V481" s="17"/>
      <c r="W481" s="17"/>
      <c r="X481" s="17"/>
      <c r="Y481" s="17"/>
      <c r="Z481" s="17"/>
    </row>
    <row r="482">
      <c r="A482" s="327"/>
      <c r="B482" s="121"/>
      <c r="C482" s="340"/>
      <c r="D482" s="339"/>
      <c r="E482" s="327"/>
      <c r="F482" s="121"/>
      <c r="G482" s="327"/>
      <c r="H482" s="121"/>
      <c r="I482" s="333"/>
      <c r="J482" s="177"/>
      <c r="K482" s="333"/>
      <c r="L482" s="177"/>
      <c r="M482" s="333"/>
      <c r="N482" s="177"/>
      <c r="O482" s="327"/>
      <c r="P482" s="121"/>
      <c r="Q482" s="349"/>
      <c r="R482" s="149"/>
      <c r="S482" s="17"/>
      <c r="T482" s="17"/>
      <c r="U482" s="17"/>
      <c r="V482" s="17"/>
      <c r="W482" s="17"/>
      <c r="X482" s="17"/>
      <c r="Y482" s="17"/>
      <c r="Z482" s="17"/>
    </row>
    <row r="483">
      <c r="A483" s="327"/>
      <c r="B483" s="121"/>
      <c r="C483" s="340"/>
      <c r="D483" s="339"/>
      <c r="E483" s="327"/>
      <c r="F483" s="121"/>
      <c r="G483" s="327"/>
      <c r="H483" s="121"/>
      <c r="I483" s="333"/>
      <c r="J483" s="177"/>
      <c r="K483" s="333"/>
      <c r="L483" s="177"/>
      <c r="M483" s="333"/>
      <c r="N483" s="177"/>
      <c r="O483" s="327"/>
      <c r="P483" s="121"/>
      <c r="Q483" s="349"/>
      <c r="R483" s="149"/>
      <c r="S483" s="17"/>
      <c r="T483" s="17"/>
      <c r="U483" s="17"/>
      <c r="V483" s="17"/>
      <c r="W483" s="17"/>
      <c r="X483" s="17"/>
      <c r="Y483" s="17"/>
      <c r="Z483" s="17"/>
    </row>
    <row r="484">
      <c r="A484" s="327"/>
      <c r="B484" s="121"/>
      <c r="C484" s="340"/>
      <c r="D484" s="339"/>
      <c r="E484" s="327"/>
      <c r="F484" s="121"/>
      <c r="G484" s="327"/>
      <c r="H484" s="121"/>
      <c r="I484" s="333"/>
      <c r="J484" s="177"/>
      <c r="K484" s="333"/>
      <c r="L484" s="177"/>
      <c r="M484" s="333"/>
      <c r="N484" s="177"/>
      <c r="O484" s="327"/>
      <c r="P484" s="121"/>
      <c r="Q484" s="349"/>
      <c r="R484" s="149"/>
      <c r="S484" s="17"/>
      <c r="T484" s="17"/>
      <c r="U484" s="17"/>
      <c r="V484" s="17"/>
      <c r="W484" s="17"/>
      <c r="X484" s="17"/>
      <c r="Y484" s="17"/>
      <c r="Z484" s="17"/>
    </row>
    <row r="485">
      <c r="A485" s="327"/>
      <c r="B485" s="121"/>
      <c r="C485" s="340"/>
      <c r="D485" s="339"/>
      <c r="E485" s="327"/>
      <c r="F485" s="121"/>
      <c r="G485" s="327"/>
      <c r="H485" s="121"/>
      <c r="I485" s="333"/>
      <c r="J485" s="177"/>
      <c r="K485" s="333"/>
      <c r="L485" s="177"/>
      <c r="M485" s="333"/>
      <c r="N485" s="177"/>
      <c r="O485" s="327"/>
      <c r="P485" s="121"/>
      <c r="Q485" s="349"/>
      <c r="R485" s="149"/>
      <c r="S485" s="17"/>
      <c r="T485" s="17"/>
      <c r="U485" s="17"/>
      <c r="V485" s="17"/>
      <c r="W485" s="17"/>
      <c r="X485" s="17"/>
      <c r="Y485" s="17"/>
      <c r="Z485" s="17"/>
    </row>
    <row r="486">
      <c r="A486" s="327"/>
      <c r="B486" s="121"/>
      <c r="C486" s="340"/>
      <c r="D486" s="339"/>
      <c r="E486" s="327"/>
      <c r="F486" s="121"/>
      <c r="G486" s="327"/>
      <c r="H486" s="121"/>
      <c r="I486" s="333"/>
      <c r="J486" s="177"/>
      <c r="K486" s="333"/>
      <c r="L486" s="177"/>
      <c r="M486" s="333"/>
      <c r="N486" s="177"/>
      <c r="O486" s="327"/>
      <c r="P486" s="121"/>
      <c r="Q486" s="349"/>
      <c r="R486" s="149"/>
      <c r="S486" s="17"/>
      <c r="T486" s="17"/>
      <c r="U486" s="17"/>
      <c r="V486" s="17"/>
      <c r="W486" s="17"/>
      <c r="X486" s="17"/>
      <c r="Y486" s="17"/>
      <c r="Z486" s="17"/>
    </row>
    <row r="487">
      <c r="A487" s="327"/>
      <c r="B487" s="121"/>
      <c r="C487" s="340"/>
      <c r="D487" s="339"/>
      <c r="E487" s="327"/>
      <c r="F487" s="121"/>
      <c r="G487" s="327"/>
      <c r="H487" s="121"/>
      <c r="I487" s="333"/>
      <c r="J487" s="177"/>
      <c r="K487" s="333"/>
      <c r="L487" s="177"/>
      <c r="M487" s="333"/>
      <c r="N487" s="177"/>
      <c r="O487" s="327"/>
      <c r="P487" s="121"/>
      <c r="Q487" s="349"/>
      <c r="R487" s="149"/>
      <c r="S487" s="17"/>
      <c r="T487" s="17"/>
      <c r="U487" s="17"/>
      <c r="V487" s="17"/>
      <c r="W487" s="17"/>
      <c r="X487" s="17"/>
      <c r="Y487" s="17"/>
      <c r="Z487" s="17"/>
    </row>
    <row r="488">
      <c r="A488" s="327"/>
      <c r="B488" s="121"/>
      <c r="C488" s="340"/>
      <c r="D488" s="339"/>
      <c r="E488" s="327"/>
      <c r="F488" s="121"/>
      <c r="G488" s="327"/>
      <c r="H488" s="121"/>
      <c r="I488" s="333"/>
      <c r="J488" s="177"/>
      <c r="K488" s="333"/>
      <c r="L488" s="177"/>
      <c r="M488" s="333"/>
      <c r="N488" s="177"/>
      <c r="O488" s="327"/>
      <c r="P488" s="121"/>
      <c r="Q488" s="349"/>
      <c r="R488" s="149"/>
      <c r="S488" s="17"/>
      <c r="T488" s="17"/>
      <c r="U488" s="17"/>
      <c r="V488" s="17"/>
      <c r="W488" s="17"/>
      <c r="X488" s="17"/>
      <c r="Y488" s="17"/>
      <c r="Z488" s="17"/>
    </row>
    <row r="489">
      <c r="A489" s="327"/>
      <c r="B489" s="121"/>
      <c r="C489" s="340"/>
      <c r="D489" s="339"/>
      <c r="E489" s="327"/>
      <c r="F489" s="121"/>
      <c r="G489" s="327"/>
      <c r="H489" s="121"/>
      <c r="I489" s="333"/>
      <c r="J489" s="177"/>
      <c r="K489" s="333"/>
      <c r="L489" s="177"/>
      <c r="M489" s="333"/>
      <c r="N489" s="177"/>
      <c r="O489" s="327"/>
      <c r="P489" s="121"/>
      <c r="Q489" s="349"/>
      <c r="R489" s="149"/>
      <c r="S489" s="17"/>
      <c r="T489" s="17"/>
      <c r="U489" s="17"/>
      <c r="V489" s="17"/>
      <c r="W489" s="17"/>
      <c r="X489" s="17"/>
      <c r="Y489" s="17"/>
      <c r="Z489" s="17"/>
    </row>
    <row r="490">
      <c r="A490" s="327"/>
      <c r="B490" s="121"/>
      <c r="C490" s="340"/>
      <c r="D490" s="339"/>
      <c r="E490" s="327"/>
      <c r="F490" s="121"/>
      <c r="G490" s="327"/>
      <c r="H490" s="121"/>
      <c r="I490" s="333"/>
      <c r="J490" s="177"/>
      <c r="K490" s="333"/>
      <c r="L490" s="177"/>
      <c r="M490" s="333"/>
      <c r="N490" s="177"/>
      <c r="O490" s="327"/>
      <c r="P490" s="121"/>
      <c r="Q490" s="349"/>
      <c r="R490" s="149"/>
      <c r="S490" s="17"/>
      <c r="T490" s="17"/>
      <c r="U490" s="17"/>
      <c r="V490" s="17"/>
      <c r="W490" s="17"/>
      <c r="X490" s="17"/>
      <c r="Y490" s="17"/>
      <c r="Z490" s="17"/>
    </row>
    <row r="491">
      <c r="A491" s="327"/>
      <c r="B491" s="121"/>
      <c r="C491" s="340"/>
      <c r="D491" s="339"/>
      <c r="E491" s="327"/>
      <c r="F491" s="121"/>
      <c r="G491" s="327"/>
      <c r="H491" s="121"/>
      <c r="I491" s="333"/>
      <c r="J491" s="177"/>
      <c r="K491" s="333"/>
      <c r="L491" s="177"/>
      <c r="M491" s="333"/>
      <c r="N491" s="177"/>
      <c r="O491" s="327"/>
      <c r="P491" s="121"/>
      <c r="Q491" s="349"/>
      <c r="R491" s="149"/>
      <c r="S491" s="17"/>
      <c r="T491" s="17"/>
      <c r="U491" s="17"/>
      <c r="V491" s="17"/>
      <c r="W491" s="17"/>
      <c r="X491" s="17"/>
      <c r="Y491" s="17"/>
      <c r="Z491" s="17"/>
    </row>
    <row r="492">
      <c r="A492" s="327"/>
      <c r="B492" s="121"/>
      <c r="C492" s="340"/>
      <c r="D492" s="339"/>
      <c r="E492" s="327"/>
      <c r="F492" s="121"/>
      <c r="G492" s="327"/>
      <c r="H492" s="121"/>
      <c r="I492" s="333"/>
      <c r="J492" s="177"/>
      <c r="K492" s="333"/>
      <c r="L492" s="177"/>
      <c r="M492" s="333"/>
      <c r="N492" s="177"/>
      <c r="O492" s="327"/>
      <c r="P492" s="121"/>
      <c r="Q492" s="349"/>
      <c r="R492" s="149"/>
      <c r="S492" s="17"/>
      <c r="T492" s="17"/>
      <c r="U492" s="17"/>
      <c r="V492" s="17"/>
      <c r="W492" s="17"/>
      <c r="X492" s="17"/>
      <c r="Y492" s="17"/>
      <c r="Z492" s="17"/>
    </row>
    <row r="493">
      <c r="A493" s="327"/>
      <c r="B493" s="121"/>
      <c r="C493" s="340"/>
      <c r="D493" s="339"/>
      <c r="E493" s="327"/>
      <c r="F493" s="121"/>
      <c r="G493" s="327"/>
      <c r="H493" s="121"/>
      <c r="I493" s="333"/>
      <c r="J493" s="177"/>
      <c r="K493" s="333"/>
      <c r="L493" s="177"/>
      <c r="M493" s="333"/>
      <c r="N493" s="177"/>
      <c r="O493" s="327"/>
      <c r="P493" s="121"/>
      <c r="Q493" s="349"/>
      <c r="R493" s="149"/>
      <c r="S493" s="17"/>
      <c r="T493" s="17"/>
      <c r="U493" s="17"/>
      <c r="V493" s="17"/>
      <c r="W493" s="17"/>
      <c r="X493" s="17"/>
      <c r="Y493" s="17"/>
      <c r="Z493" s="17"/>
    </row>
    <row r="494">
      <c r="A494" s="327"/>
      <c r="B494" s="121"/>
      <c r="C494" s="340"/>
      <c r="D494" s="339"/>
      <c r="E494" s="327"/>
      <c r="F494" s="121"/>
      <c r="G494" s="327"/>
      <c r="H494" s="121"/>
      <c r="I494" s="333"/>
      <c r="J494" s="177"/>
      <c r="K494" s="333"/>
      <c r="L494" s="177"/>
      <c r="M494" s="333"/>
      <c r="N494" s="177"/>
      <c r="O494" s="327"/>
      <c r="P494" s="121"/>
      <c r="Q494" s="349"/>
      <c r="R494" s="149"/>
      <c r="S494" s="17"/>
      <c r="T494" s="17"/>
      <c r="U494" s="17"/>
      <c r="V494" s="17"/>
      <c r="W494" s="17"/>
      <c r="X494" s="17"/>
      <c r="Y494" s="17"/>
      <c r="Z494" s="17"/>
    </row>
    <row r="495">
      <c r="A495" s="327"/>
      <c r="B495" s="121"/>
      <c r="C495" s="340"/>
      <c r="D495" s="339"/>
      <c r="E495" s="327"/>
      <c r="F495" s="121"/>
      <c r="G495" s="327"/>
      <c r="H495" s="121"/>
      <c r="I495" s="333"/>
      <c r="J495" s="177"/>
      <c r="K495" s="333"/>
      <c r="L495" s="177"/>
      <c r="M495" s="333"/>
      <c r="N495" s="177"/>
      <c r="O495" s="327"/>
      <c r="P495" s="121"/>
      <c r="Q495" s="349"/>
      <c r="R495" s="149"/>
      <c r="S495" s="17"/>
      <c r="T495" s="17"/>
      <c r="U495" s="17"/>
      <c r="V495" s="17"/>
      <c r="W495" s="17"/>
      <c r="X495" s="17"/>
      <c r="Y495" s="17"/>
      <c r="Z495" s="17"/>
    </row>
    <row r="496">
      <c r="A496" s="327"/>
      <c r="B496" s="121"/>
      <c r="C496" s="340"/>
      <c r="D496" s="339"/>
      <c r="E496" s="327"/>
      <c r="F496" s="121"/>
      <c r="G496" s="327"/>
      <c r="H496" s="121"/>
      <c r="I496" s="333"/>
      <c r="J496" s="177"/>
      <c r="K496" s="333"/>
      <c r="L496" s="177"/>
      <c r="M496" s="333"/>
      <c r="N496" s="177"/>
      <c r="O496" s="327"/>
      <c r="P496" s="121"/>
      <c r="Q496" s="349"/>
      <c r="R496" s="149"/>
      <c r="S496" s="17"/>
      <c r="T496" s="17"/>
      <c r="U496" s="17"/>
      <c r="V496" s="17"/>
      <c r="W496" s="17"/>
      <c r="X496" s="17"/>
      <c r="Y496" s="17"/>
      <c r="Z496" s="17"/>
    </row>
    <row r="497">
      <c r="A497" s="327"/>
      <c r="B497" s="121"/>
      <c r="C497" s="340"/>
      <c r="D497" s="339"/>
      <c r="E497" s="327"/>
      <c r="F497" s="121"/>
      <c r="G497" s="327"/>
      <c r="H497" s="121"/>
      <c r="I497" s="333"/>
      <c r="J497" s="177"/>
      <c r="K497" s="333"/>
      <c r="L497" s="177"/>
      <c r="M497" s="333"/>
      <c r="N497" s="177"/>
      <c r="O497" s="327"/>
      <c r="P497" s="121"/>
      <c r="Q497" s="349"/>
      <c r="R497" s="149"/>
      <c r="S497" s="17"/>
      <c r="T497" s="17"/>
      <c r="U497" s="17"/>
      <c r="V497" s="17"/>
      <c r="W497" s="17"/>
      <c r="X497" s="17"/>
      <c r="Y497" s="17"/>
      <c r="Z497" s="17"/>
    </row>
    <row r="498">
      <c r="A498" s="327"/>
      <c r="B498" s="121"/>
      <c r="C498" s="340"/>
      <c r="D498" s="339"/>
      <c r="E498" s="327"/>
      <c r="F498" s="121"/>
      <c r="G498" s="327"/>
      <c r="H498" s="121"/>
      <c r="I498" s="333"/>
      <c r="J498" s="177"/>
      <c r="K498" s="333"/>
      <c r="L498" s="177"/>
      <c r="M498" s="333"/>
      <c r="N498" s="177"/>
      <c r="O498" s="327"/>
      <c r="P498" s="121"/>
      <c r="Q498" s="349"/>
      <c r="R498" s="149"/>
      <c r="S498" s="17"/>
      <c r="T498" s="17"/>
      <c r="U498" s="17"/>
      <c r="V498" s="17"/>
      <c r="W498" s="17"/>
      <c r="X498" s="17"/>
      <c r="Y498" s="17"/>
      <c r="Z498" s="17"/>
    </row>
    <row r="499">
      <c r="A499" s="327"/>
      <c r="B499" s="121"/>
      <c r="C499" s="340"/>
      <c r="D499" s="339"/>
      <c r="E499" s="327"/>
      <c r="F499" s="121"/>
      <c r="G499" s="327"/>
      <c r="H499" s="121"/>
      <c r="I499" s="333"/>
      <c r="J499" s="177"/>
      <c r="K499" s="333"/>
      <c r="L499" s="177"/>
      <c r="M499" s="333"/>
      <c r="N499" s="177"/>
      <c r="O499" s="327"/>
      <c r="P499" s="121"/>
      <c r="Q499" s="349"/>
      <c r="R499" s="149"/>
      <c r="S499" s="17"/>
      <c r="T499" s="17"/>
      <c r="U499" s="17"/>
      <c r="V499" s="17"/>
      <c r="W499" s="17"/>
      <c r="X499" s="17"/>
      <c r="Y499" s="17"/>
      <c r="Z499" s="17"/>
    </row>
    <row r="500">
      <c r="A500" s="327"/>
      <c r="B500" s="121"/>
      <c r="C500" s="340"/>
      <c r="D500" s="339"/>
      <c r="E500" s="327"/>
      <c r="F500" s="121"/>
      <c r="G500" s="327"/>
      <c r="H500" s="121"/>
      <c r="I500" s="333"/>
      <c r="J500" s="177"/>
      <c r="K500" s="333"/>
      <c r="L500" s="177"/>
      <c r="M500" s="333"/>
      <c r="N500" s="177"/>
      <c r="O500" s="327"/>
      <c r="P500" s="121"/>
      <c r="Q500" s="349"/>
      <c r="R500" s="149"/>
      <c r="S500" s="17"/>
      <c r="T500" s="17"/>
      <c r="U500" s="17"/>
      <c r="V500" s="17"/>
      <c r="W500" s="17"/>
      <c r="X500" s="17"/>
      <c r="Y500" s="17"/>
      <c r="Z500" s="17"/>
    </row>
    <row r="501">
      <c r="A501" s="327"/>
      <c r="B501" s="121"/>
      <c r="C501" s="340"/>
      <c r="D501" s="339"/>
      <c r="E501" s="327"/>
      <c r="F501" s="121"/>
      <c r="G501" s="327"/>
      <c r="H501" s="121"/>
      <c r="I501" s="333"/>
      <c r="J501" s="177"/>
      <c r="K501" s="333"/>
      <c r="L501" s="177"/>
      <c r="M501" s="333"/>
      <c r="N501" s="177"/>
      <c r="O501" s="327"/>
      <c r="P501" s="121"/>
      <c r="Q501" s="349"/>
      <c r="R501" s="149"/>
      <c r="S501" s="17"/>
      <c r="T501" s="17"/>
      <c r="U501" s="17"/>
      <c r="V501" s="17"/>
      <c r="W501" s="17"/>
      <c r="X501" s="17"/>
      <c r="Y501" s="17"/>
      <c r="Z501" s="17"/>
    </row>
    <row r="502">
      <c r="A502" s="327"/>
      <c r="B502" s="121"/>
      <c r="C502" s="340"/>
      <c r="D502" s="339"/>
      <c r="E502" s="327"/>
      <c r="F502" s="121"/>
      <c r="G502" s="327"/>
      <c r="H502" s="121"/>
      <c r="I502" s="333"/>
      <c r="J502" s="177"/>
      <c r="K502" s="333"/>
      <c r="L502" s="177"/>
      <c r="M502" s="333"/>
      <c r="N502" s="177"/>
      <c r="O502" s="327"/>
      <c r="P502" s="121"/>
      <c r="Q502" s="349"/>
      <c r="R502" s="149"/>
      <c r="S502" s="17"/>
      <c r="T502" s="17"/>
      <c r="U502" s="17"/>
      <c r="V502" s="17"/>
      <c r="W502" s="17"/>
      <c r="X502" s="17"/>
      <c r="Y502" s="17"/>
      <c r="Z502" s="17"/>
    </row>
    <row r="503">
      <c r="A503" s="327"/>
      <c r="B503" s="121"/>
      <c r="C503" s="340"/>
      <c r="D503" s="339"/>
      <c r="E503" s="327"/>
      <c r="F503" s="121"/>
      <c r="G503" s="327"/>
      <c r="H503" s="121"/>
      <c r="I503" s="333"/>
      <c r="J503" s="177"/>
      <c r="K503" s="333"/>
      <c r="L503" s="177"/>
      <c r="M503" s="333"/>
      <c r="N503" s="177"/>
      <c r="O503" s="327"/>
      <c r="P503" s="121"/>
      <c r="Q503" s="349"/>
      <c r="R503" s="149"/>
      <c r="S503" s="17"/>
      <c r="T503" s="17"/>
      <c r="U503" s="17"/>
      <c r="V503" s="17"/>
      <c r="W503" s="17"/>
      <c r="X503" s="17"/>
      <c r="Y503" s="17"/>
      <c r="Z503" s="17"/>
    </row>
    <row r="504">
      <c r="A504" s="327"/>
      <c r="B504" s="121"/>
      <c r="C504" s="340"/>
      <c r="D504" s="339"/>
      <c r="E504" s="327"/>
      <c r="F504" s="121"/>
      <c r="G504" s="327"/>
      <c r="H504" s="121"/>
      <c r="I504" s="333"/>
      <c r="J504" s="177"/>
      <c r="K504" s="333"/>
      <c r="L504" s="177"/>
      <c r="M504" s="333"/>
      <c r="N504" s="177"/>
      <c r="O504" s="327"/>
      <c r="P504" s="121"/>
      <c r="Q504" s="349"/>
      <c r="R504" s="149"/>
      <c r="S504" s="17"/>
      <c r="T504" s="17"/>
      <c r="U504" s="17"/>
      <c r="V504" s="17"/>
      <c r="W504" s="17"/>
      <c r="X504" s="17"/>
      <c r="Y504" s="17"/>
      <c r="Z504" s="17"/>
    </row>
    <row r="505">
      <c r="A505" s="327"/>
      <c r="B505" s="121"/>
      <c r="C505" s="340"/>
      <c r="D505" s="339"/>
      <c r="E505" s="327"/>
      <c r="F505" s="121"/>
      <c r="G505" s="327"/>
      <c r="H505" s="121"/>
      <c r="I505" s="333"/>
      <c r="J505" s="177"/>
      <c r="K505" s="333"/>
      <c r="L505" s="177"/>
      <c r="M505" s="333"/>
      <c r="N505" s="177"/>
      <c r="O505" s="327"/>
      <c r="P505" s="121"/>
      <c r="Q505" s="349"/>
      <c r="R505" s="149"/>
      <c r="S505" s="17"/>
      <c r="T505" s="17"/>
      <c r="U505" s="17"/>
      <c r="V505" s="17"/>
      <c r="W505" s="17"/>
      <c r="X505" s="17"/>
      <c r="Y505" s="17"/>
      <c r="Z505" s="17"/>
    </row>
    <row r="506">
      <c r="A506" s="327"/>
      <c r="B506" s="121"/>
      <c r="C506" s="340"/>
      <c r="D506" s="339"/>
      <c r="E506" s="327"/>
      <c r="F506" s="121"/>
      <c r="G506" s="327"/>
      <c r="H506" s="121"/>
      <c r="I506" s="333"/>
      <c r="J506" s="177"/>
      <c r="K506" s="333"/>
      <c r="L506" s="177"/>
      <c r="M506" s="333"/>
      <c r="N506" s="177"/>
      <c r="O506" s="327"/>
      <c r="P506" s="121"/>
      <c r="Q506" s="349"/>
      <c r="R506" s="149"/>
      <c r="S506" s="17"/>
      <c r="T506" s="17"/>
      <c r="U506" s="17"/>
      <c r="V506" s="17"/>
      <c r="W506" s="17"/>
      <c r="X506" s="17"/>
      <c r="Y506" s="17"/>
      <c r="Z506" s="17"/>
    </row>
    <row r="507">
      <c r="A507" s="327"/>
      <c r="B507" s="121"/>
      <c r="C507" s="340"/>
      <c r="D507" s="339"/>
      <c r="E507" s="327"/>
      <c r="F507" s="121"/>
      <c r="G507" s="327"/>
      <c r="H507" s="121"/>
      <c r="I507" s="333"/>
      <c r="J507" s="177"/>
      <c r="K507" s="333"/>
      <c r="L507" s="177"/>
      <c r="M507" s="333"/>
      <c r="N507" s="177"/>
      <c r="O507" s="327"/>
      <c r="P507" s="121"/>
      <c r="Q507" s="349"/>
      <c r="R507" s="149"/>
      <c r="S507" s="17"/>
      <c r="T507" s="17"/>
      <c r="U507" s="17"/>
      <c r="V507" s="17"/>
      <c r="W507" s="17"/>
      <c r="X507" s="17"/>
      <c r="Y507" s="17"/>
      <c r="Z507" s="17"/>
    </row>
    <row r="508">
      <c r="A508" s="327"/>
      <c r="B508" s="121"/>
      <c r="C508" s="340"/>
      <c r="D508" s="339"/>
      <c r="E508" s="327"/>
      <c r="F508" s="121"/>
      <c r="G508" s="327"/>
      <c r="H508" s="121"/>
      <c r="I508" s="333"/>
      <c r="J508" s="177"/>
      <c r="K508" s="333"/>
      <c r="L508" s="177"/>
      <c r="M508" s="333"/>
      <c r="N508" s="177"/>
      <c r="O508" s="327"/>
      <c r="P508" s="121"/>
      <c r="Q508" s="349"/>
      <c r="R508" s="149"/>
      <c r="S508" s="17"/>
      <c r="T508" s="17"/>
      <c r="U508" s="17"/>
      <c r="V508" s="17"/>
      <c r="W508" s="17"/>
      <c r="X508" s="17"/>
      <c r="Y508" s="17"/>
      <c r="Z508" s="17"/>
    </row>
    <row r="509">
      <c r="A509" s="327"/>
      <c r="B509" s="121"/>
      <c r="C509" s="340"/>
      <c r="D509" s="339"/>
      <c r="E509" s="327"/>
      <c r="F509" s="121"/>
      <c r="G509" s="327"/>
      <c r="H509" s="121"/>
      <c r="I509" s="333"/>
      <c r="J509" s="177"/>
      <c r="K509" s="333"/>
      <c r="L509" s="177"/>
      <c r="M509" s="333"/>
      <c r="N509" s="177"/>
      <c r="O509" s="327"/>
      <c r="P509" s="121"/>
      <c r="Q509" s="349"/>
      <c r="R509" s="149"/>
      <c r="S509" s="17"/>
      <c r="T509" s="17"/>
      <c r="U509" s="17"/>
      <c r="V509" s="17"/>
      <c r="W509" s="17"/>
      <c r="X509" s="17"/>
      <c r="Y509" s="17"/>
      <c r="Z509" s="17"/>
    </row>
    <row r="510">
      <c r="A510" s="327"/>
      <c r="B510" s="121"/>
      <c r="C510" s="340"/>
      <c r="D510" s="339"/>
      <c r="E510" s="327"/>
      <c r="F510" s="121"/>
      <c r="G510" s="327"/>
      <c r="H510" s="121"/>
      <c r="I510" s="333"/>
      <c r="J510" s="177"/>
      <c r="K510" s="333"/>
      <c r="L510" s="177"/>
      <c r="M510" s="333"/>
      <c r="N510" s="177"/>
      <c r="O510" s="327"/>
      <c r="P510" s="121"/>
      <c r="Q510" s="349"/>
      <c r="R510" s="149"/>
      <c r="S510" s="17"/>
      <c r="T510" s="17"/>
      <c r="U510" s="17"/>
      <c r="V510" s="17"/>
      <c r="W510" s="17"/>
      <c r="X510" s="17"/>
      <c r="Y510" s="17"/>
      <c r="Z510" s="17"/>
    </row>
    <row r="511">
      <c r="A511" s="327"/>
      <c r="B511" s="121"/>
      <c r="C511" s="340"/>
      <c r="D511" s="339"/>
      <c r="E511" s="327"/>
      <c r="F511" s="121"/>
      <c r="G511" s="327"/>
      <c r="H511" s="121"/>
      <c r="I511" s="333"/>
      <c r="J511" s="177"/>
      <c r="K511" s="333"/>
      <c r="L511" s="177"/>
      <c r="M511" s="333"/>
      <c r="N511" s="177"/>
      <c r="O511" s="327"/>
      <c r="P511" s="121"/>
      <c r="Q511" s="349"/>
      <c r="R511" s="149"/>
      <c r="S511" s="17"/>
      <c r="T511" s="17"/>
      <c r="U511" s="17"/>
      <c r="V511" s="17"/>
      <c r="W511" s="17"/>
      <c r="X511" s="17"/>
      <c r="Y511" s="17"/>
      <c r="Z511" s="17"/>
    </row>
    <row r="512">
      <c r="A512" s="327"/>
      <c r="B512" s="121"/>
      <c r="C512" s="340"/>
      <c r="D512" s="339"/>
      <c r="E512" s="327"/>
      <c r="F512" s="121"/>
      <c r="G512" s="327"/>
      <c r="H512" s="121"/>
      <c r="I512" s="333"/>
      <c r="J512" s="177"/>
      <c r="K512" s="333"/>
      <c r="L512" s="177"/>
      <c r="M512" s="333"/>
      <c r="N512" s="177"/>
      <c r="O512" s="327"/>
      <c r="P512" s="121"/>
      <c r="Q512" s="349"/>
      <c r="R512" s="149"/>
      <c r="S512" s="17"/>
      <c r="T512" s="17"/>
      <c r="U512" s="17"/>
      <c r="V512" s="17"/>
      <c r="W512" s="17"/>
      <c r="X512" s="17"/>
      <c r="Y512" s="17"/>
      <c r="Z512" s="17"/>
    </row>
    <row r="513">
      <c r="A513" s="327"/>
      <c r="B513" s="121"/>
      <c r="C513" s="340"/>
      <c r="D513" s="339"/>
      <c r="E513" s="327"/>
      <c r="F513" s="121"/>
      <c r="G513" s="327"/>
      <c r="H513" s="121"/>
      <c r="I513" s="333"/>
      <c r="J513" s="177"/>
      <c r="K513" s="333"/>
      <c r="L513" s="177"/>
      <c r="M513" s="333"/>
      <c r="N513" s="177"/>
      <c r="O513" s="327"/>
      <c r="P513" s="121"/>
      <c r="Q513" s="143"/>
      <c r="R513" s="149"/>
      <c r="S513" s="17"/>
      <c r="T513" s="17"/>
      <c r="U513" s="17"/>
      <c r="V513" s="17"/>
      <c r="W513" s="17"/>
      <c r="X513" s="17"/>
      <c r="Y513" s="17"/>
      <c r="Z513" s="17"/>
    </row>
    <row r="514">
      <c r="A514" s="327"/>
      <c r="B514" s="121"/>
      <c r="C514" s="340"/>
      <c r="D514" s="339"/>
      <c r="E514" s="327"/>
      <c r="F514" s="121"/>
      <c r="G514" s="327"/>
      <c r="H514" s="121"/>
      <c r="I514" s="333"/>
      <c r="J514" s="177"/>
      <c r="K514" s="333"/>
      <c r="L514" s="177"/>
      <c r="M514" s="333"/>
      <c r="N514" s="177"/>
      <c r="O514" s="327"/>
      <c r="P514" s="121"/>
      <c r="Q514" s="143"/>
      <c r="R514" s="149"/>
      <c r="S514" s="17"/>
      <c r="T514" s="17"/>
      <c r="U514" s="17"/>
      <c r="V514" s="17"/>
      <c r="W514" s="17"/>
      <c r="X514" s="17"/>
      <c r="Y514" s="17"/>
      <c r="Z514" s="17"/>
    </row>
    <row r="515">
      <c r="A515" s="327"/>
      <c r="B515" s="121"/>
      <c r="C515" s="340"/>
      <c r="D515" s="339"/>
      <c r="E515" s="327"/>
      <c r="F515" s="121"/>
      <c r="G515" s="327"/>
      <c r="H515" s="121"/>
      <c r="I515" s="333"/>
      <c r="J515" s="177"/>
      <c r="K515" s="333"/>
      <c r="L515" s="177"/>
      <c r="M515" s="333"/>
      <c r="N515" s="177"/>
      <c r="O515" s="327"/>
      <c r="P515" s="121"/>
      <c r="Q515" s="143"/>
      <c r="R515" s="149"/>
      <c r="S515" s="17"/>
      <c r="T515" s="17"/>
      <c r="U515" s="17"/>
      <c r="V515" s="17"/>
      <c r="W515" s="17"/>
      <c r="X515" s="17"/>
      <c r="Y515" s="17"/>
      <c r="Z515" s="17"/>
    </row>
    <row r="516">
      <c r="A516" s="327"/>
      <c r="B516" s="121"/>
      <c r="C516" s="340"/>
      <c r="D516" s="339"/>
      <c r="E516" s="327"/>
      <c r="F516" s="121"/>
      <c r="G516" s="327"/>
      <c r="H516" s="121"/>
      <c r="I516" s="333"/>
      <c r="J516" s="177"/>
      <c r="K516" s="333"/>
      <c r="L516" s="177"/>
      <c r="M516" s="333"/>
      <c r="N516" s="177"/>
      <c r="O516" s="327"/>
      <c r="P516" s="121"/>
      <c r="Q516" s="143"/>
      <c r="R516" s="149"/>
      <c r="S516" s="17"/>
      <c r="T516" s="17"/>
      <c r="U516" s="17"/>
      <c r="V516" s="17"/>
      <c r="W516" s="17"/>
      <c r="X516" s="17"/>
      <c r="Y516" s="17"/>
      <c r="Z516" s="17"/>
    </row>
    <row r="517">
      <c r="A517" s="327"/>
      <c r="B517" s="121"/>
      <c r="C517" s="340"/>
      <c r="D517" s="339"/>
      <c r="E517" s="327"/>
      <c r="F517" s="121"/>
      <c r="G517" s="327"/>
      <c r="H517" s="121"/>
      <c r="I517" s="333"/>
      <c r="J517" s="177"/>
      <c r="K517" s="333"/>
      <c r="L517" s="177"/>
      <c r="M517" s="333"/>
      <c r="N517" s="177"/>
      <c r="O517" s="327"/>
      <c r="P517" s="121"/>
      <c r="Q517" s="143"/>
      <c r="R517" s="149"/>
      <c r="S517" s="17"/>
      <c r="T517" s="17"/>
      <c r="U517" s="17"/>
      <c r="V517" s="17"/>
      <c r="W517" s="17"/>
      <c r="X517" s="17"/>
      <c r="Y517" s="17"/>
      <c r="Z517" s="17"/>
    </row>
    <row r="518">
      <c r="A518" s="327"/>
      <c r="B518" s="121"/>
      <c r="C518" s="340"/>
      <c r="D518" s="339"/>
      <c r="E518" s="327"/>
      <c r="F518" s="121"/>
      <c r="G518" s="327"/>
      <c r="H518" s="121"/>
      <c r="I518" s="333"/>
      <c r="J518" s="177"/>
      <c r="K518" s="333"/>
      <c r="L518" s="177"/>
      <c r="M518" s="333"/>
      <c r="N518" s="177"/>
      <c r="O518" s="327"/>
      <c r="P518" s="121"/>
      <c r="Q518" s="143"/>
      <c r="R518" s="149"/>
      <c r="S518" s="17"/>
      <c r="T518" s="17"/>
      <c r="U518" s="17"/>
      <c r="V518" s="17"/>
      <c r="W518" s="17"/>
      <c r="X518" s="17"/>
      <c r="Y518" s="17"/>
      <c r="Z518" s="17"/>
    </row>
    <row r="519">
      <c r="A519" s="327"/>
      <c r="B519" s="121"/>
      <c r="C519" s="340"/>
      <c r="D519" s="339"/>
      <c r="E519" s="327"/>
      <c r="F519" s="121"/>
      <c r="G519" s="327"/>
      <c r="H519" s="121"/>
      <c r="I519" s="333"/>
      <c r="J519" s="177"/>
      <c r="K519" s="333"/>
      <c r="L519" s="177"/>
      <c r="M519" s="333"/>
      <c r="N519" s="177"/>
      <c r="O519" s="327"/>
      <c r="P519" s="121"/>
      <c r="Q519" s="143"/>
      <c r="R519" s="149"/>
      <c r="S519" s="17"/>
      <c r="T519" s="17"/>
      <c r="U519" s="17"/>
      <c r="V519" s="17"/>
      <c r="W519" s="17"/>
      <c r="X519" s="17"/>
      <c r="Y519" s="17"/>
      <c r="Z519" s="17"/>
    </row>
    <row r="520">
      <c r="A520" s="327"/>
      <c r="B520" s="121"/>
      <c r="C520" s="340"/>
      <c r="D520" s="339"/>
      <c r="E520" s="327"/>
      <c r="F520" s="121"/>
      <c r="G520" s="327"/>
      <c r="H520" s="121"/>
      <c r="I520" s="333"/>
      <c r="J520" s="177"/>
      <c r="K520" s="333"/>
      <c r="L520" s="177"/>
      <c r="M520" s="333"/>
      <c r="N520" s="177"/>
      <c r="O520" s="327"/>
      <c r="P520" s="121"/>
      <c r="Q520" s="143"/>
      <c r="R520" s="149"/>
      <c r="S520" s="17"/>
      <c r="T520" s="17"/>
      <c r="U520" s="17"/>
      <c r="V520" s="17"/>
      <c r="W520" s="17"/>
      <c r="X520" s="17"/>
      <c r="Y520" s="17"/>
      <c r="Z520" s="17"/>
    </row>
    <row r="521">
      <c r="A521" s="327"/>
      <c r="B521" s="121"/>
      <c r="C521" s="340"/>
      <c r="D521" s="339"/>
      <c r="E521" s="327"/>
      <c r="F521" s="121"/>
      <c r="G521" s="327"/>
      <c r="H521" s="121"/>
      <c r="I521" s="333"/>
      <c r="J521" s="177"/>
      <c r="K521" s="333"/>
      <c r="L521" s="177"/>
      <c r="M521" s="333"/>
      <c r="N521" s="177"/>
      <c r="O521" s="327"/>
      <c r="P521" s="121"/>
      <c r="Q521" s="143"/>
      <c r="R521" s="149"/>
      <c r="S521" s="17"/>
      <c r="T521" s="17"/>
      <c r="U521" s="17"/>
      <c r="V521" s="17"/>
      <c r="W521" s="17"/>
      <c r="X521" s="17"/>
      <c r="Y521" s="17"/>
      <c r="Z521" s="17"/>
    </row>
    <row r="522">
      <c r="A522" s="327"/>
      <c r="B522" s="121"/>
      <c r="C522" s="340"/>
      <c r="D522" s="339"/>
      <c r="E522" s="327"/>
      <c r="F522" s="121"/>
      <c r="G522" s="327"/>
      <c r="H522" s="121"/>
      <c r="I522" s="333"/>
      <c r="J522" s="177"/>
      <c r="K522" s="333"/>
      <c r="L522" s="177"/>
      <c r="M522" s="333"/>
      <c r="N522" s="177"/>
      <c r="O522" s="327"/>
      <c r="P522" s="121"/>
      <c r="Q522" s="143"/>
      <c r="R522" s="149"/>
      <c r="S522" s="17"/>
      <c r="T522" s="17"/>
      <c r="U522" s="17"/>
      <c r="V522" s="17"/>
      <c r="W522" s="17"/>
      <c r="X522" s="17"/>
      <c r="Y522" s="17"/>
      <c r="Z522" s="17"/>
    </row>
    <row r="523">
      <c r="A523" s="327"/>
      <c r="B523" s="121"/>
      <c r="C523" s="340"/>
      <c r="D523" s="339"/>
      <c r="E523" s="327"/>
      <c r="F523" s="121"/>
      <c r="G523" s="327"/>
      <c r="H523" s="121"/>
      <c r="I523" s="333"/>
      <c r="J523" s="177"/>
      <c r="K523" s="333"/>
      <c r="L523" s="177"/>
      <c r="M523" s="333"/>
      <c r="N523" s="177"/>
      <c r="O523" s="327"/>
      <c r="P523" s="121"/>
      <c r="Q523" s="143"/>
      <c r="R523" s="149"/>
      <c r="S523" s="17"/>
      <c r="T523" s="17"/>
      <c r="U523" s="17"/>
      <c r="V523" s="17"/>
      <c r="W523" s="17"/>
      <c r="X523" s="17"/>
      <c r="Y523" s="17"/>
      <c r="Z523" s="17"/>
    </row>
    <row r="524">
      <c r="A524" s="327"/>
      <c r="B524" s="121"/>
      <c r="C524" s="340"/>
      <c r="D524" s="339"/>
      <c r="E524" s="327"/>
      <c r="F524" s="121"/>
      <c r="G524" s="327"/>
      <c r="H524" s="121"/>
      <c r="I524" s="333"/>
      <c r="J524" s="177"/>
      <c r="K524" s="333"/>
      <c r="L524" s="177"/>
      <c r="M524" s="333"/>
      <c r="N524" s="177"/>
      <c r="O524" s="327"/>
      <c r="P524" s="121"/>
      <c r="Q524" s="143"/>
      <c r="R524" s="149"/>
      <c r="S524" s="17"/>
      <c r="T524" s="17"/>
      <c r="U524" s="17"/>
      <c r="V524" s="17"/>
      <c r="W524" s="17"/>
      <c r="X524" s="17"/>
      <c r="Y524" s="17"/>
      <c r="Z524" s="17"/>
    </row>
    <row r="525">
      <c r="A525" s="327"/>
      <c r="B525" s="121"/>
      <c r="C525" s="340"/>
      <c r="D525" s="339"/>
      <c r="E525" s="327"/>
      <c r="F525" s="121"/>
      <c r="G525" s="327"/>
      <c r="H525" s="121"/>
      <c r="I525" s="333"/>
      <c r="J525" s="177"/>
      <c r="K525" s="333"/>
      <c r="L525" s="177"/>
      <c r="M525" s="333"/>
      <c r="N525" s="177"/>
      <c r="O525" s="327"/>
      <c r="P525" s="121"/>
      <c r="Q525" s="143"/>
      <c r="R525" s="149"/>
      <c r="S525" s="17"/>
      <c r="T525" s="17"/>
      <c r="U525" s="17"/>
      <c r="V525" s="17"/>
      <c r="W525" s="17"/>
      <c r="X525" s="17"/>
      <c r="Y525" s="17"/>
      <c r="Z525" s="17"/>
    </row>
    <row r="526">
      <c r="A526" s="327"/>
      <c r="B526" s="121"/>
      <c r="C526" s="340"/>
      <c r="D526" s="339"/>
      <c r="E526" s="327"/>
      <c r="F526" s="121"/>
      <c r="G526" s="327"/>
      <c r="H526" s="121"/>
      <c r="I526" s="333"/>
      <c r="J526" s="177"/>
      <c r="K526" s="333"/>
      <c r="L526" s="177"/>
      <c r="M526" s="333"/>
      <c r="N526" s="177"/>
      <c r="O526" s="327"/>
      <c r="P526" s="121"/>
      <c r="Q526" s="143"/>
      <c r="R526" s="149"/>
      <c r="S526" s="17"/>
      <c r="T526" s="17"/>
      <c r="U526" s="17"/>
      <c r="V526" s="17"/>
      <c r="W526" s="17"/>
      <c r="X526" s="17"/>
      <c r="Y526" s="17"/>
      <c r="Z526" s="17"/>
    </row>
    <row r="527">
      <c r="A527" s="327"/>
      <c r="B527" s="121"/>
      <c r="C527" s="340"/>
      <c r="D527" s="339"/>
      <c r="E527" s="327"/>
      <c r="F527" s="121"/>
      <c r="G527" s="327"/>
      <c r="H527" s="121"/>
      <c r="I527" s="333"/>
      <c r="J527" s="177"/>
      <c r="K527" s="333"/>
      <c r="L527" s="177"/>
      <c r="M527" s="333"/>
      <c r="N527" s="177"/>
      <c r="O527" s="327"/>
      <c r="P527" s="121"/>
      <c r="Q527" s="143"/>
      <c r="R527" s="149"/>
      <c r="S527" s="17"/>
      <c r="T527" s="17"/>
      <c r="U527" s="17"/>
      <c r="V527" s="17"/>
      <c r="W527" s="17"/>
      <c r="X527" s="17"/>
      <c r="Y527" s="17"/>
      <c r="Z527" s="17"/>
    </row>
    <row r="528">
      <c r="A528" s="327"/>
      <c r="B528" s="121"/>
      <c r="C528" s="340"/>
      <c r="D528" s="339"/>
      <c r="E528" s="327"/>
      <c r="F528" s="121"/>
      <c r="G528" s="327"/>
      <c r="H528" s="121"/>
      <c r="I528" s="333"/>
      <c r="J528" s="177"/>
      <c r="K528" s="333"/>
      <c r="L528" s="177"/>
      <c r="M528" s="333"/>
      <c r="N528" s="177"/>
      <c r="O528" s="327"/>
      <c r="P528" s="121"/>
      <c r="Q528" s="143"/>
      <c r="R528" s="149"/>
      <c r="S528" s="17"/>
      <c r="T528" s="17"/>
      <c r="U528" s="17"/>
      <c r="V528" s="17"/>
      <c r="W528" s="17"/>
      <c r="X528" s="17"/>
      <c r="Y528" s="17"/>
      <c r="Z528" s="17"/>
    </row>
    <row r="529">
      <c r="A529" s="327"/>
      <c r="B529" s="121"/>
      <c r="C529" s="340"/>
      <c r="D529" s="339"/>
      <c r="E529" s="327"/>
      <c r="F529" s="121"/>
      <c r="G529" s="327"/>
      <c r="H529" s="121"/>
      <c r="I529" s="333"/>
      <c r="J529" s="177"/>
      <c r="K529" s="333"/>
      <c r="L529" s="177"/>
      <c r="M529" s="333"/>
      <c r="N529" s="177"/>
      <c r="O529" s="327"/>
      <c r="P529" s="121"/>
      <c r="Q529" s="143"/>
      <c r="R529" s="149"/>
      <c r="S529" s="17"/>
      <c r="T529" s="17"/>
      <c r="U529" s="17"/>
      <c r="V529" s="17"/>
      <c r="W529" s="17"/>
      <c r="X529" s="17"/>
      <c r="Y529" s="17"/>
      <c r="Z529" s="17"/>
    </row>
    <row r="530">
      <c r="A530" s="327"/>
      <c r="B530" s="121"/>
      <c r="C530" s="340"/>
      <c r="D530" s="339"/>
      <c r="E530" s="327"/>
      <c r="F530" s="121"/>
      <c r="G530" s="327"/>
      <c r="H530" s="121"/>
      <c r="I530" s="333"/>
      <c r="J530" s="177"/>
      <c r="K530" s="333"/>
      <c r="L530" s="177"/>
      <c r="M530" s="333"/>
      <c r="N530" s="177"/>
      <c r="O530" s="327"/>
      <c r="P530" s="121"/>
      <c r="Q530" s="143"/>
      <c r="R530" s="149"/>
      <c r="S530" s="17"/>
      <c r="T530" s="17"/>
      <c r="U530" s="17"/>
      <c r="V530" s="17"/>
      <c r="W530" s="17"/>
      <c r="X530" s="17"/>
      <c r="Y530" s="17"/>
      <c r="Z530" s="17"/>
    </row>
    <row r="531">
      <c r="A531" s="327"/>
      <c r="B531" s="121"/>
      <c r="C531" s="340"/>
      <c r="D531" s="339"/>
      <c r="E531" s="327"/>
      <c r="F531" s="121"/>
      <c r="G531" s="327"/>
      <c r="H531" s="121"/>
      <c r="I531" s="333"/>
      <c r="J531" s="177"/>
      <c r="K531" s="333"/>
      <c r="L531" s="177"/>
      <c r="M531" s="333"/>
      <c r="N531" s="177"/>
      <c r="O531" s="327"/>
      <c r="P531" s="121"/>
      <c r="Q531" s="143"/>
      <c r="R531" s="143"/>
      <c r="S531" s="17"/>
      <c r="T531" s="17"/>
      <c r="U531" s="17"/>
      <c r="V531" s="17"/>
      <c r="W531" s="17"/>
      <c r="X531" s="17"/>
      <c r="Y531" s="17"/>
      <c r="Z531" s="17"/>
    </row>
    <row r="532">
      <c r="A532" s="327"/>
      <c r="B532" s="121"/>
      <c r="C532" s="340"/>
      <c r="D532" s="339"/>
      <c r="E532" s="327"/>
      <c r="F532" s="121"/>
      <c r="G532" s="327"/>
      <c r="H532" s="121"/>
      <c r="I532" s="333"/>
      <c r="J532" s="177"/>
      <c r="K532" s="333"/>
      <c r="L532" s="177"/>
      <c r="M532" s="333"/>
      <c r="N532" s="177"/>
      <c r="O532" s="327"/>
      <c r="P532" s="121"/>
      <c r="Q532" s="143"/>
      <c r="R532" s="143"/>
      <c r="S532" s="17"/>
      <c r="T532" s="17"/>
      <c r="U532" s="17"/>
      <c r="V532" s="17"/>
      <c r="W532" s="17"/>
      <c r="X532" s="17"/>
      <c r="Y532" s="17"/>
      <c r="Z532" s="17"/>
    </row>
    <row r="533">
      <c r="A533" s="327"/>
      <c r="B533" s="121"/>
      <c r="C533" s="340"/>
      <c r="D533" s="339"/>
      <c r="E533" s="327"/>
      <c r="F533" s="121"/>
      <c r="G533" s="327"/>
      <c r="H533" s="121"/>
      <c r="I533" s="333"/>
      <c r="J533" s="177"/>
      <c r="K533" s="333"/>
      <c r="L533" s="177"/>
      <c r="M533" s="333"/>
      <c r="N533" s="177"/>
      <c r="O533" s="327"/>
      <c r="P533" s="121"/>
      <c r="Q533" s="143"/>
      <c r="R533" s="143"/>
      <c r="S533" s="17"/>
      <c r="T533" s="17"/>
      <c r="U533" s="17"/>
      <c r="V533" s="17"/>
      <c r="W533" s="17"/>
      <c r="X533" s="17"/>
      <c r="Y533" s="17"/>
      <c r="Z533" s="17"/>
    </row>
    <row r="534">
      <c r="A534" s="327"/>
      <c r="B534" s="121"/>
      <c r="C534" s="340"/>
      <c r="D534" s="339"/>
      <c r="E534" s="327"/>
      <c r="F534" s="121"/>
      <c r="G534" s="327"/>
      <c r="H534" s="121"/>
      <c r="I534" s="333"/>
      <c r="J534" s="177"/>
      <c r="K534" s="333"/>
      <c r="L534" s="177"/>
      <c r="M534" s="333"/>
      <c r="N534" s="177"/>
      <c r="O534" s="327"/>
      <c r="P534" s="121"/>
      <c r="Q534" s="143"/>
      <c r="R534" s="143"/>
      <c r="S534" s="17"/>
      <c r="T534" s="17"/>
      <c r="U534" s="17"/>
      <c r="V534" s="17"/>
      <c r="W534" s="17"/>
      <c r="X534" s="17"/>
      <c r="Y534" s="17"/>
      <c r="Z534" s="17"/>
    </row>
    <row r="535">
      <c r="A535" s="327"/>
      <c r="B535" s="121"/>
      <c r="C535" s="340"/>
      <c r="D535" s="339"/>
      <c r="E535" s="327"/>
      <c r="F535" s="121"/>
      <c r="G535" s="327"/>
      <c r="H535" s="121"/>
      <c r="I535" s="333"/>
      <c r="J535" s="177"/>
      <c r="K535" s="333"/>
      <c r="L535" s="177"/>
      <c r="M535" s="333"/>
      <c r="N535" s="177"/>
      <c r="O535" s="327"/>
      <c r="P535" s="121"/>
      <c r="Q535" s="143"/>
      <c r="R535" s="143"/>
      <c r="S535" s="17"/>
      <c r="T535" s="17"/>
      <c r="U535" s="17"/>
      <c r="V535" s="17"/>
      <c r="W535" s="17"/>
      <c r="X535" s="17"/>
      <c r="Y535" s="17"/>
      <c r="Z535" s="17"/>
    </row>
    <row r="536">
      <c r="A536" s="327"/>
      <c r="B536" s="121"/>
      <c r="C536" s="340"/>
      <c r="D536" s="339"/>
      <c r="E536" s="327"/>
      <c r="F536" s="121"/>
      <c r="G536" s="327"/>
      <c r="H536" s="121"/>
      <c r="I536" s="333"/>
      <c r="J536" s="177"/>
      <c r="K536" s="333"/>
      <c r="L536" s="177"/>
      <c r="M536" s="333"/>
      <c r="N536" s="177"/>
      <c r="O536" s="327"/>
      <c r="P536" s="121"/>
      <c r="Q536" s="143"/>
      <c r="R536" s="143"/>
      <c r="S536" s="17"/>
      <c r="T536" s="17"/>
      <c r="U536" s="17"/>
      <c r="V536" s="17"/>
      <c r="W536" s="17"/>
      <c r="X536" s="17"/>
      <c r="Y536" s="17"/>
      <c r="Z536" s="17"/>
    </row>
    <row r="537">
      <c r="A537" s="327"/>
      <c r="B537" s="121"/>
      <c r="C537" s="340"/>
      <c r="D537" s="339"/>
      <c r="E537" s="327"/>
      <c r="F537" s="121"/>
      <c r="G537" s="327"/>
      <c r="H537" s="121"/>
      <c r="I537" s="333"/>
      <c r="J537" s="177"/>
      <c r="K537" s="333"/>
      <c r="L537" s="177"/>
      <c r="M537" s="333"/>
      <c r="N537" s="177"/>
      <c r="O537" s="327"/>
      <c r="P537" s="121"/>
      <c r="Q537" s="143"/>
      <c r="R537" s="143"/>
      <c r="S537" s="17"/>
      <c r="T537" s="17"/>
      <c r="U537" s="17"/>
      <c r="V537" s="17"/>
      <c r="W537" s="17"/>
      <c r="X537" s="17"/>
      <c r="Y537" s="17"/>
      <c r="Z537" s="17"/>
    </row>
    <row r="538">
      <c r="A538" s="327"/>
      <c r="B538" s="121"/>
      <c r="C538" s="340"/>
      <c r="D538" s="339"/>
      <c r="E538" s="327"/>
      <c r="F538" s="121"/>
      <c r="G538" s="327"/>
      <c r="H538" s="121"/>
      <c r="I538" s="333"/>
      <c r="J538" s="177"/>
      <c r="K538" s="333"/>
      <c r="L538" s="177"/>
      <c r="M538" s="333"/>
      <c r="N538" s="177"/>
      <c r="O538" s="327"/>
      <c r="P538" s="121"/>
      <c r="Q538" s="143"/>
      <c r="R538" s="143"/>
      <c r="S538" s="17"/>
      <c r="T538" s="17"/>
      <c r="U538" s="17"/>
      <c r="V538" s="17"/>
      <c r="W538" s="17"/>
      <c r="X538" s="17"/>
      <c r="Y538" s="17"/>
      <c r="Z538" s="17"/>
    </row>
    <row r="539">
      <c r="A539" s="327"/>
      <c r="B539" s="121"/>
      <c r="C539" s="340"/>
      <c r="D539" s="339"/>
      <c r="E539" s="327"/>
      <c r="F539" s="121"/>
      <c r="G539" s="327"/>
      <c r="H539" s="121"/>
      <c r="I539" s="333"/>
      <c r="J539" s="177"/>
      <c r="K539" s="333"/>
      <c r="L539" s="177"/>
      <c r="M539" s="333"/>
      <c r="N539" s="177"/>
      <c r="O539" s="327"/>
      <c r="P539" s="121"/>
      <c r="Q539" s="143"/>
      <c r="R539" s="143"/>
      <c r="S539" s="17"/>
      <c r="T539" s="17"/>
      <c r="U539" s="17"/>
      <c r="V539" s="17"/>
      <c r="W539" s="17"/>
      <c r="X539" s="17"/>
      <c r="Y539" s="17"/>
      <c r="Z539" s="17"/>
    </row>
    <row r="540">
      <c r="A540" s="327"/>
      <c r="B540" s="121"/>
      <c r="C540" s="340"/>
      <c r="D540" s="339"/>
      <c r="E540" s="327"/>
      <c r="F540" s="121"/>
      <c r="G540" s="327"/>
      <c r="H540" s="121"/>
      <c r="I540" s="333"/>
      <c r="J540" s="177"/>
      <c r="K540" s="333"/>
      <c r="L540" s="177"/>
      <c r="M540" s="333"/>
      <c r="N540" s="177"/>
      <c r="O540" s="327"/>
      <c r="P540" s="121"/>
      <c r="Q540" s="143"/>
      <c r="R540" s="143"/>
      <c r="S540" s="17"/>
      <c r="T540" s="17"/>
      <c r="U540" s="17"/>
      <c r="V540" s="17"/>
      <c r="W540" s="17"/>
      <c r="X540" s="17"/>
      <c r="Y540" s="17"/>
      <c r="Z540" s="17"/>
    </row>
    <row r="541">
      <c r="A541" s="327"/>
      <c r="B541" s="121"/>
      <c r="C541" s="340"/>
      <c r="D541" s="339"/>
      <c r="E541" s="327"/>
      <c r="F541" s="121"/>
      <c r="G541" s="327"/>
      <c r="H541" s="121"/>
      <c r="I541" s="333"/>
      <c r="J541" s="177"/>
      <c r="K541" s="333"/>
      <c r="L541" s="177"/>
      <c r="M541" s="333"/>
      <c r="N541" s="177"/>
      <c r="O541" s="327"/>
      <c r="P541" s="121"/>
      <c r="Q541" s="143"/>
      <c r="R541" s="143"/>
      <c r="S541" s="17"/>
      <c r="T541" s="17"/>
      <c r="U541" s="17"/>
      <c r="V541" s="17"/>
      <c r="W541" s="17"/>
      <c r="X541" s="17"/>
      <c r="Y541" s="17"/>
      <c r="Z541" s="17"/>
    </row>
    <row r="542">
      <c r="A542" s="327"/>
      <c r="B542" s="121"/>
      <c r="C542" s="340"/>
      <c r="D542" s="339"/>
      <c r="E542" s="327"/>
      <c r="F542" s="121"/>
      <c r="G542" s="327"/>
      <c r="H542" s="121"/>
      <c r="I542" s="333"/>
      <c r="J542" s="177"/>
      <c r="K542" s="333"/>
      <c r="L542" s="177"/>
      <c r="M542" s="333"/>
      <c r="N542" s="177"/>
      <c r="O542" s="327"/>
      <c r="P542" s="121"/>
      <c r="Q542" s="143"/>
      <c r="R542" s="143"/>
      <c r="S542" s="17"/>
      <c r="T542" s="17"/>
      <c r="U542" s="17"/>
      <c r="V542" s="17"/>
      <c r="W542" s="17"/>
      <c r="X542" s="17"/>
      <c r="Y542" s="17"/>
      <c r="Z542" s="17"/>
    </row>
    <row r="543">
      <c r="A543" s="327"/>
      <c r="B543" s="121"/>
      <c r="C543" s="340"/>
      <c r="D543" s="339"/>
      <c r="E543" s="327"/>
      <c r="F543" s="121"/>
      <c r="G543" s="327"/>
      <c r="H543" s="121"/>
      <c r="I543" s="333"/>
      <c r="J543" s="177"/>
      <c r="K543" s="333"/>
      <c r="L543" s="177"/>
      <c r="M543" s="333"/>
      <c r="N543" s="177"/>
      <c r="O543" s="327"/>
      <c r="P543" s="121"/>
      <c r="Q543" s="143"/>
      <c r="R543" s="143"/>
      <c r="S543" s="17"/>
      <c r="T543" s="17"/>
      <c r="U543" s="17"/>
      <c r="V543" s="17"/>
      <c r="W543" s="17"/>
      <c r="X543" s="17"/>
      <c r="Y543" s="17"/>
      <c r="Z543" s="17"/>
    </row>
    <row r="544">
      <c r="A544" s="327"/>
      <c r="B544" s="121"/>
      <c r="C544" s="340"/>
      <c r="D544" s="339"/>
      <c r="E544" s="327"/>
      <c r="F544" s="121"/>
      <c r="G544" s="327"/>
      <c r="H544" s="121"/>
      <c r="I544" s="333"/>
      <c r="J544" s="177"/>
      <c r="K544" s="333"/>
      <c r="L544" s="177"/>
      <c r="M544" s="333"/>
      <c r="N544" s="177"/>
      <c r="O544" s="327"/>
      <c r="P544" s="121"/>
      <c r="Q544" s="143"/>
      <c r="R544" s="143"/>
      <c r="S544" s="17"/>
      <c r="T544" s="17"/>
      <c r="U544" s="17"/>
      <c r="V544" s="17"/>
      <c r="W544" s="17"/>
      <c r="X544" s="17"/>
      <c r="Y544" s="17"/>
      <c r="Z544" s="17"/>
    </row>
    <row r="545">
      <c r="A545" s="327"/>
      <c r="B545" s="121"/>
      <c r="C545" s="340"/>
      <c r="D545" s="339"/>
      <c r="E545" s="327"/>
      <c r="F545" s="121"/>
      <c r="G545" s="327"/>
      <c r="H545" s="121"/>
      <c r="I545" s="333"/>
      <c r="J545" s="177"/>
      <c r="K545" s="333"/>
      <c r="L545" s="177"/>
      <c r="M545" s="333"/>
      <c r="N545" s="177"/>
      <c r="O545" s="327"/>
      <c r="P545" s="121"/>
      <c r="Q545" s="143"/>
      <c r="R545" s="143"/>
      <c r="S545" s="17"/>
      <c r="T545" s="17"/>
      <c r="U545" s="17"/>
      <c r="V545" s="17"/>
      <c r="W545" s="17"/>
      <c r="X545" s="17"/>
      <c r="Y545" s="17"/>
      <c r="Z545" s="17"/>
    </row>
    <row r="546">
      <c r="A546" s="327"/>
      <c r="B546" s="121"/>
      <c r="C546" s="340"/>
      <c r="D546" s="339"/>
      <c r="E546" s="327"/>
      <c r="F546" s="121"/>
      <c r="G546" s="327"/>
      <c r="H546" s="121"/>
      <c r="I546" s="333"/>
      <c r="J546" s="177"/>
      <c r="K546" s="333"/>
      <c r="L546" s="177"/>
      <c r="M546" s="333"/>
      <c r="N546" s="177"/>
      <c r="O546" s="327"/>
      <c r="P546" s="121"/>
      <c r="Q546" s="143"/>
      <c r="R546" s="143"/>
      <c r="S546" s="17"/>
      <c r="T546" s="17"/>
      <c r="U546" s="17"/>
      <c r="V546" s="17"/>
      <c r="W546" s="17"/>
      <c r="X546" s="17"/>
      <c r="Y546" s="17"/>
      <c r="Z546" s="17"/>
    </row>
    <row r="547">
      <c r="A547" s="327"/>
      <c r="B547" s="121"/>
      <c r="C547" s="340"/>
      <c r="D547" s="339"/>
      <c r="E547" s="327"/>
      <c r="F547" s="121"/>
      <c r="G547" s="327"/>
      <c r="H547" s="121"/>
      <c r="I547" s="333"/>
      <c r="J547" s="177"/>
      <c r="K547" s="333"/>
      <c r="L547" s="177"/>
      <c r="M547" s="333"/>
      <c r="N547" s="177"/>
      <c r="O547" s="327"/>
      <c r="P547" s="121"/>
      <c r="Q547" s="143"/>
      <c r="R547" s="143"/>
      <c r="S547" s="17"/>
      <c r="T547" s="17"/>
      <c r="U547" s="17"/>
      <c r="V547" s="17"/>
      <c r="W547" s="17"/>
      <c r="X547" s="17"/>
      <c r="Y547" s="17"/>
      <c r="Z547" s="17"/>
    </row>
    <row r="548">
      <c r="A548" s="327"/>
      <c r="B548" s="121"/>
      <c r="C548" s="340"/>
      <c r="D548" s="339"/>
      <c r="E548" s="327"/>
      <c r="F548" s="121"/>
      <c r="G548" s="327"/>
      <c r="H548" s="121"/>
      <c r="I548" s="333"/>
      <c r="J548" s="177"/>
      <c r="K548" s="333"/>
      <c r="L548" s="177"/>
      <c r="M548" s="333"/>
      <c r="N548" s="177"/>
      <c r="O548" s="327"/>
      <c r="P548" s="121"/>
      <c r="Q548" s="143"/>
      <c r="R548" s="143"/>
      <c r="S548" s="17"/>
      <c r="T548" s="17"/>
      <c r="U548" s="17"/>
      <c r="V548" s="17"/>
      <c r="W548" s="17"/>
      <c r="X548" s="17"/>
      <c r="Y548" s="17"/>
      <c r="Z548" s="17"/>
    </row>
    <row r="549">
      <c r="A549" s="327"/>
      <c r="B549" s="121"/>
      <c r="C549" s="340"/>
      <c r="D549" s="339"/>
      <c r="E549" s="327"/>
      <c r="F549" s="121"/>
      <c r="G549" s="327"/>
      <c r="H549" s="121"/>
      <c r="I549" s="333"/>
      <c r="J549" s="177"/>
      <c r="K549" s="333"/>
      <c r="L549" s="177"/>
      <c r="M549" s="333"/>
      <c r="N549" s="177"/>
      <c r="O549" s="327"/>
      <c r="P549" s="121"/>
      <c r="Q549" s="143"/>
      <c r="R549" s="143"/>
      <c r="S549" s="17"/>
      <c r="T549" s="17"/>
      <c r="U549" s="17"/>
      <c r="V549" s="17"/>
      <c r="W549" s="17"/>
      <c r="X549" s="17"/>
      <c r="Y549" s="17"/>
      <c r="Z549" s="17"/>
    </row>
    <row r="550">
      <c r="A550" s="327"/>
      <c r="B550" s="121"/>
      <c r="C550" s="340"/>
      <c r="D550" s="339"/>
      <c r="E550" s="327"/>
      <c r="F550" s="121"/>
      <c r="G550" s="327"/>
      <c r="H550" s="121"/>
      <c r="I550" s="333"/>
      <c r="J550" s="177"/>
      <c r="K550" s="333"/>
      <c r="L550" s="177"/>
      <c r="M550" s="333"/>
      <c r="N550" s="177"/>
      <c r="O550" s="327"/>
      <c r="P550" s="121"/>
      <c r="Q550" s="143"/>
      <c r="R550" s="143"/>
      <c r="S550" s="17"/>
      <c r="T550" s="17"/>
      <c r="U550" s="17"/>
      <c r="V550" s="17"/>
      <c r="W550" s="17"/>
      <c r="X550" s="17"/>
      <c r="Y550" s="17"/>
      <c r="Z550" s="17"/>
    </row>
    <row r="551">
      <c r="A551" s="327"/>
      <c r="B551" s="121"/>
      <c r="C551" s="340"/>
      <c r="D551" s="339"/>
      <c r="E551" s="327"/>
      <c r="F551" s="121"/>
      <c r="G551" s="327"/>
      <c r="H551" s="121"/>
      <c r="I551" s="333"/>
      <c r="J551" s="177"/>
      <c r="K551" s="333"/>
      <c r="L551" s="177"/>
      <c r="M551" s="333"/>
      <c r="N551" s="177"/>
      <c r="O551" s="327"/>
      <c r="P551" s="121"/>
      <c r="Q551" s="143"/>
      <c r="R551" s="143"/>
      <c r="S551" s="17"/>
      <c r="T551" s="17"/>
      <c r="U551" s="17"/>
      <c r="V551" s="17"/>
      <c r="W551" s="17"/>
      <c r="X551" s="17"/>
      <c r="Y551" s="17"/>
      <c r="Z551" s="17"/>
    </row>
    <row r="552">
      <c r="A552" s="327"/>
      <c r="B552" s="121"/>
      <c r="C552" s="340"/>
      <c r="D552" s="339"/>
      <c r="E552" s="327"/>
      <c r="F552" s="121"/>
      <c r="G552" s="327"/>
      <c r="H552" s="121"/>
      <c r="I552" s="333"/>
      <c r="J552" s="177"/>
      <c r="K552" s="333"/>
      <c r="L552" s="177"/>
      <c r="M552" s="333"/>
      <c r="N552" s="177"/>
      <c r="O552" s="327"/>
      <c r="P552" s="121"/>
      <c r="Q552" s="143"/>
      <c r="R552" s="143"/>
      <c r="S552" s="17"/>
      <c r="T552" s="17"/>
      <c r="U552" s="17"/>
      <c r="V552" s="17"/>
      <c r="W552" s="17"/>
      <c r="X552" s="17"/>
      <c r="Y552" s="17"/>
      <c r="Z552" s="17"/>
    </row>
    <row r="553">
      <c r="A553" s="327"/>
      <c r="B553" s="121"/>
      <c r="C553" s="340"/>
      <c r="D553" s="339"/>
      <c r="E553" s="327"/>
      <c r="F553" s="121"/>
      <c r="G553" s="327"/>
      <c r="H553" s="121"/>
      <c r="I553" s="333"/>
      <c r="J553" s="177"/>
      <c r="K553" s="333"/>
      <c r="L553" s="177"/>
      <c r="M553" s="333"/>
      <c r="N553" s="177"/>
      <c r="O553" s="327"/>
      <c r="P553" s="121"/>
      <c r="Q553" s="143"/>
      <c r="R553" s="143"/>
      <c r="S553" s="17"/>
      <c r="T553" s="17"/>
      <c r="U553" s="17"/>
      <c r="V553" s="17"/>
      <c r="W553" s="17"/>
      <c r="X553" s="17"/>
      <c r="Y553" s="17"/>
      <c r="Z553" s="17"/>
    </row>
    <row r="554">
      <c r="A554" s="327"/>
      <c r="B554" s="121"/>
      <c r="C554" s="340"/>
      <c r="D554" s="339"/>
      <c r="E554" s="327"/>
      <c r="F554" s="121"/>
      <c r="G554" s="327"/>
      <c r="H554" s="121"/>
      <c r="I554" s="333"/>
      <c r="J554" s="177"/>
      <c r="K554" s="333"/>
      <c r="L554" s="177"/>
      <c r="M554" s="333"/>
      <c r="N554" s="177"/>
      <c r="O554" s="327"/>
      <c r="P554" s="121"/>
      <c r="Q554" s="143"/>
      <c r="R554" s="143"/>
      <c r="S554" s="17"/>
      <c r="T554" s="17"/>
      <c r="U554" s="17"/>
      <c r="V554" s="17"/>
      <c r="W554" s="17"/>
      <c r="X554" s="17"/>
      <c r="Y554" s="17"/>
      <c r="Z554" s="17"/>
    </row>
    <row r="555">
      <c r="A555" s="327"/>
      <c r="B555" s="121"/>
      <c r="C555" s="340"/>
      <c r="D555" s="339"/>
      <c r="E555" s="327"/>
      <c r="F555" s="121"/>
      <c r="G555" s="327"/>
      <c r="H555" s="121"/>
      <c r="I555" s="333"/>
      <c r="J555" s="177"/>
      <c r="K555" s="333"/>
      <c r="L555" s="177"/>
      <c r="M555" s="333"/>
      <c r="N555" s="177"/>
      <c r="O555" s="327"/>
      <c r="P555" s="121"/>
      <c r="Q555" s="143"/>
      <c r="R555" s="143"/>
      <c r="S555" s="17"/>
      <c r="T555" s="17"/>
      <c r="U555" s="17"/>
      <c r="V555" s="17"/>
      <c r="W555" s="17"/>
      <c r="X555" s="17"/>
      <c r="Y555" s="17"/>
      <c r="Z555" s="17"/>
    </row>
    <row r="556">
      <c r="A556" s="327"/>
      <c r="B556" s="121"/>
      <c r="C556" s="340"/>
      <c r="D556" s="339"/>
      <c r="E556" s="327"/>
      <c r="F556" s="121"/>
      <c r="G556" s="327"/>
      <c r="H556" s="121"/>
      <c r="I556" s="333"/>
      <c r="J556" s="177"/>
      <c r="K556" s="333"/>
      <c r="L556" s="177"/>
      <c r="M556" s="333"/>
      <c r="N556" s="177"/>
      <c r="O556" s="327"/>
      <c r="P556" s="121"/>
      <c r="Q556" s="143"/>
      <c r="R556" s="143"/>
      <c r="S556" s="17"/>
      <c r="T556" s="17"/>
      <c r="U556" s="17"/>
      <c r="V556" s="17"/>
      <c r="W556" s="17"/>
      <c r="X556" s="17"/>
      <c r="Y556" s="17"/>
      <c r="Z556" s="17"/>
    </row>
    <row r="557">
      <c r="A557" s="327"/>
      <c r="B557" s="121"/>
      <c r="C557" s="340"/>
      <c r="D557" s="339"/>
      <c r="E557" s="327"/>
      <c r="F557" s="121"/>
      <c r="G557" s="327"/>
      <c r="H557" s="121"/>
      <c r="I557" s="333"/>
      <c r="J557" s="177"/>
      <c r="K557" s="333"/>
      <c r="L557" s="177"/>
      <c r="M557" s="333"/>
      <c r="N557" s="177"/>
      <c r="O557" s="327"/>
      <c r="P557" s="121"/>
      <c r="Q557" s="143"/>
      <c r="R557" s="143"/>
      <c r="S557" s="17"/>
      <c r="T557" s="17"/>
      <c r="U557" s="17"/>
      <c r="V557" s="17"/>
      <c r="W557" s="17"/>
      <c r="X557" s="17"/>
      <c r="Y557" s="17"/>
      <c r="Z557" s="17"/>
    </row>
    <row r="558">
      <c r="A558" s="327"/>
      <c r="B558" s="121"/>
      <c r="C558" s="340"/>
      <c r="D558" s="339"/>
      <c r="E558" s="327"/>
      <c r="F558" s="121"/>
      <c r="G558" s="327"/>
      <c r="H558" s="121"/>
      <c r="I558" s="333"/>
      <c r="J558" s="177"/>
      <c r="K558" s="333"/>
      <c r="L558" s="177"/>
      <c r="M558" s="333"/>
      <c r="N558" s="177"/>
      <c r="O558" s="327"/>
      <c r="P558" s="121"/>
      <c r="Q558" s="143"/>
      <c r="R558" s="143"/>
      <c r="S558" s="17"/>
      <c r="T558" s="17"/>
      <c r="U558" s="17"/>
      <c r="V558" s="17"/>
      <c r="W558" s="17"/>
      <c r="X558" s="17"/>
      <c r="Y558" s="17"/>
      <c r="Z558" s="17"/>
    </row>
    <row r="559">
      <c r="A559" s="327"/>
      <c r="B559" s="121"/>
      <c r="C559" s="340"/>
      <c r="D559" s="339"/>
      <c r="E559" s="327"/>
      <c r="F559" s="121"/>
      <c r="G559" s="327"/>
      <c r="H559" s="121"/>
      <c r="I559" s="333"/>
      <c r="J559" s="177"/>
      <c r="K559" s="333"/>
      <c r="L559" s="177"/>
      <c r="M559" s="333"/>
      <c r="N559" s="177"/>
      <c r="O559" s="327"/>
      <c r="P559" s="121"/>
      <c r="Q559" s="143"/>
      <c r="R559" s="143"/>
      <c r="S559" s="17"/>
      <c r="T559" s="17"/>
      <c r="U559" s="17"/>
      <c r="V559" s="17"/>
      <c r="W559" s="17"/>
      <c r="X559" s="17"/>
      <c r="Y559" s="17"/>
      <c r="Z559" s="17"/>
    </row>
    <row r="560">
      <c r="A560" s="327"/>
      <c r="B560" s="121"/>
      <c r="C560" s="340"/>
      <c r="D560" s="339"/>
      <c r="E560" s="327"/>
      <c r="F560" s="121"/>
      <c r="G560" s="327"/>
      <c r="H560" s="121"/>
      <c r="I560" s="333"/>
      <c r="J560" s="177"/>
      <c r="K560" s="333"/>
      <c r="L560" s="177"/>
      <c r="M560" s="333"/>
      <c r="N560" s="177"/>
      <c r="O560" s="327"/>
      <c r="P560" s="121"/>
      <c r="Q560" s="143"/>
      <c r="R560" s="143"/>
      <c r="S560" s="17"/>
      <c r="T560" s="17"/>
      <c r="U560" s="17"/>
      <c r="V560" s="17"/>
      <c r="W560" s="17"/>
      <c r="X560" s="17"/>
      <c r="Y560" s="17"/>
      <c r="Z560" s="17"/>
    </row>
    <row r="561">
      <c r="A561" s="327"/>
      <c r="B561" s="121"/>
      <c r="C561" s="340"/>
      <c r="D561" s="339"/>
      <c r="E561" s="327"/>
      <c r="F561" s="121"/>
      <c r="G561" s="327"/>
      <c r="H561" s="121"/>
      <c r="I561" s="333"/>
      <c r="J561" s="177"/>
      <c r="K561" s="333"/>
      <c r="L561" s="177"/>
      <c r="M561" s="333"/>
      <c r="N561" s="177"/>
      <c r="O561" s="327"/>
      <c r="P561" s="121"/>
      <c r="Q561" s="143"/>
      <c r="R561" s="143"/>
      <c r="S561" s="17"/>
      <c r="T561" s="17"/>
      <c r="U561" s="17"/>
      <c r="V561" s="17"/>
      <c r="W561" s="17"/>
      <c r="X561" s="17"/>
      <c r="Y561" s="17"/>
      <c r="Z561" s="17"/>
    </row>
    <row r="562">
      <c r="A562" s="327"/>
      <c r="B562" s="121"/>
      <c r="C562" s="340"/>
      <c r="D562" s="339"/>
      <c r="E562" s="327"/>
      <c r="F562" s="121"/>
      <c r="G562" s="327"/>
      <c r="H562" s="121"/>
      <c r="I562" s="333"/>
      <c r="J562" s="177"/>
      <c r="K562" s="333"/>
      <c r="L562" s="177"/>
      <c r="M562" s="333"/>
      <c r="N562" s="177"/>
      <c r="O562" s="327"/>
      <c r="P562" s="121"/>
      <c r="Q562" s="143"/>
      <c r="R562" s="143"/>
      <c r="S562" s="17"/>
      <c r="T562" s="17"/>
      <c r="U562" s="17"/>
      <c r="V562" s="17"/>
      <c r="W562" s="17"/>
      <c r="X562" s="17"/>
      <c r="Y562" s="17"/>
      <c r="Z562" s="17"/>
    </row>
    <row r="563">
      <c r="A563" s="327"/>
      <c r="B563" s="121"/>
      <c r="C563" s="340"/>
      <c r="D563" s="339"/>
      <c r="E563" s="327"/>
      <c r="F563" s="121"/>
      <c r="G563" s="327"/>
      <c r="H563" s="121"/>
      <c r="I563" s="333"/>
      <c r="J563" s="177"/>
      <c r="K563" s="333"/>
      <c r="L563" s="177"/>
      <c r="M563" s="333"/>
      <c r="N563" s="177"/>
      <c r="O563" s="327"/>
      <c r="P563" s="121"/>
      <c r="Q563" s="143"/>
      <c r="R563" s="143"/>
      <c r="S563" s="17"/>
      <c r="T563" s="17"/>
      <c r="U563" s="17"/>
      <c r="V563" s="17"/>
      <c r="W563" s="17"/>
      <c r="X563" s="17"/>
      <c r="Y563" s="17"/>
      <c r="Z563" s="17"/>
    </row>
    <row r="564">
      <c r="A564" s="327"/>
      <c r="B564" s="121"/>
      <c r="C564" s="340"/>
      <c r="D564" s="339"/>
      <c r="E564" s="327"/>
      <c r="F564" s="121"/>
      <c r="G564" s="327"/>
      <c r="H564" s="121"/>
      <c r="I564" s="333"/>
      <c r="J564" s="177"/>
      <c r="K564" s="333"/>
      <c r="L564" s="177"/>
      <c r="M564" s="333"/>
      <c r="N564" s="177"/>
      <c r="O564" s="327"/>
      <c r="P564" s="121"/>
      <c r="Q564" s="143"/>
      <c r="R564" s="143"/>
      <c r="S564" s="17"/>
      <c r="T564" s="17"/>
      <c r="U564" s="17"/>
      <c r="V564" s="17"/>
      <c r="W564" s="17"/>
      <c r="X564" s="17"/>
      <c r="Y564" s="17"/>
      <c r="Z564" s="17"/>
    </row>
    <row r="565">
      <c r="A565" s="327"/>
      <c r="B565" s="121"/>
      <c r="C565" s="340"/>
      <c r="D565" s="339"/>
      <c r="E565" s="327"/>
      <c r="F565" s="121"/>
      <c r="G565" s="327"/>
      <c r="H565" s="121"/>
      <c r="I565" s="333"/>
      <c r="J565" s="177"/>
      <c r="K565" s="333"/>
      <c r="L565" s="177"/>
      <c r="M565" s="333"/>
      <c r="N565" s="177"/>
      <c r="O565" s="327"/>
      <c r="P565" s="121"/>
      <c r="Q565" s="143"/>
      <c r="R565" s="143"/>
      <c r="S565" s="17"/>
      <c r="T565" s="17"/>
      <c r="U565" s="17"/>
      <c r="V565" s="17"/>
      <c r="W565" s="17"/>
      <c r="X565" s="17"/>
      <c r="Y565" s="17"/>
      <c r="Z565" s="17"/>
    </row>
    <row r="566">
      <c r="A566" s="327"/>
      <c r="B566" s="121"/>
      <c r="C566" s="340"/>
      <c r="D566" s="339"/>
      <c r="E566" s="327"/>
      <c r="F566" s="121"/>
      <c r="G566" s="327"/>
      <c r="H566" s="121"/>
      <c r="I566" s="333"/>
      <c r="J566" s="177"/>
      <c r="K566" s="333"/>
      <c r="L566" s="177"/>
      <c r="M566" s="333"/>
      <c r="N566" s="177"/>
      <c r="O566" s="327"/>
      <c r="P566" s="121"/>
      <c r="Q566" s="143"/>
      <c r="R566" s="143"/>
      <c r="S566" s="17"/>
      <c r="T566" s="17"/>
      <c r="U566" s="17"/>
      <c r="V566" s="17"/>
      <c r="W566" s="17"/>
      <c r="X566" s="17"/>
      <c r="Y566" s="17"/>
      <c r="Z566" s="17"/>
    </row>
    <row r="567">
      <c r="A567" s="327"/>
      <c r="B567" s="121"/>
      <c r="C567" s="340"/>
      <c r="D567" s="339"/>
      <c r="E567" s="327"/>
      <c r="F567" s="121"/>
      <c r="G567" s="327"/>
      <c r="H567" s="121"/>
      <c r="I567" s="333"/>
      <c r="J567" s="177"/>
      <c r="K567" s="333"/>
      <c r="L567" s="177"/>
      <c r="M567" s="333"/>
      <c r="N567" s="177"/>
      <c r="O567" s="327"/>
      <c r="P567" s="121"/>
      <c r="Q567" s="143"/>
      <c r="R567" s="143"/>
      <c r="S567" s="17"/>
      <c r="T567" s="17"/>
      <c r="U567" s="17"/>
      <c r="V567" s="17"/>
      <c r="W567" s="17"/>
      <c r="X567" s="17"/>
      <c r="Y567" s="17"/>
      <c r="Z567" s="17"/>
    </row>
    <row r="568">
      <c r="A568" s="327"/>
      <c r="B568" s="121"/>
      <c r="C568" s="340"/>
      <c r="D568" s="339"/>
      <c r="E568" s="327"/>
      <c r="F568" s="121"/>
      <c r="G568" s="327"/>
      <c r="H568" s="121"/>
      <c r="I568" s="333"/>
      <c r="J568" s="177"/>
      <c r="K568" s="333"/>
      <c r="L568" s="177"/>
      <c r="M568" s="333"/>
      <c r="N568" s="177"/>
      <c r="O568" s="327"/>
      <c r="P568" s="121"/>
      <c r="Q568" s="143"/>
      <c r="R568" s="143"/>
      <c r="S568" s="17"/>
      <c r="T568" s="17"/>
      <c r="U568" s="17"/>
      <c r="V568" s="17"/>
      <c r="W568" s="17"/>
      <c r="X568" s="17"/>
      <c r="Y568" s="17"/>
      <c r="Z568" s="17"/>
    </row>
    <row r="569">
      <c r="A569" s="327"/>
      <c r="B569" s="121"/>
      <c r="C569" s="340"/>
      <c r="D569" s="339"/>
      <c r="E569" s="327"/>
      <c r="F569" s="121"/>
      <c r="G569" s="327"/>
      <c r="H569" s="121"/>
      <c r="I569" s="333"/>
      <c r="J569" s="177"/>
      <c r="K569" s="333"/>
      <c r="L569" s="177"/>
      <c r="M569" s="333"/>
      <c r="N569" s="177"/>
      <c r="O569" s="327"/>
      <c r="P569" s="121"/>
      <c r="Q569" s="143"/>
      <c r="R569" s="143"/>
      <c r="S569" s="17"/>
      <c r="T569" s="17"/>
      <c r="U569" s="17"/>
      <c r="V569" s="17"/>
      <c r="W569" s="17"/>
      <c r="X569" s="17"/>
      <c r="Y569" s="17"/>
      <c r="Z569" s="17"/>
    </row>
    <row r="570">
      <c r="A570" s="327"/>
      <c r="B570" s="121"/>
      <c r="C570" s="340"/>
      <c r="D570" s="339"/>
      <c r="E570" s="327"/>
      <c r="F570" s="121"/>
      <c r="G570" s="327"/>
      <c r="H570" s="121"/>
      <c r="I570" s="333"/>
      <c r="J570" s="177"/>
      <c r="K570" s="333"/>
      <c r="L570" s="177"/>
      <c r="M570" s="333"/>
      <c r="N570" s="177"/>
      <c r="O570" s="327"/>
      <c r="P570" s="121"/>
      <c r="Q570" s="143"/>
      <c r="R570" s="143"/>
      <c r="S570" s="17"/>
      <c r="T570" s="17"/>
      <c r="U570" s="17"/>
      <c r="V570" s="17"/>
      <c r="W570" s="17"/>
      <c r="X570" s="17"/>
      <c r="Y570" s="17"/>
      <c r="Z570" s="17"/>
    </row>
    <row r="571">
      <c r="A571" s="327"/>
      <c r="B571" s="121"/>
      <c r="C571" s="340"/>
      <c r="D571" s="339"/>
      <c r="E571" s="327"/>
      <c r="F571" s="121"/>
      <c r="G571" s="327"/>
      <c r="H571" s="121"/>
      <c r="I571" s="333"/>
      <c r="J571" s="177"/>
      <c r="K571" s="333"/>
      <c r="L571" s="177"/>
      <c r="M571" s="333"/>
      <c r="N571" s="177"/>
      <c r="O571" s="327"/>
      <c r="P571" s="121"/>
      <c r="Q571" s="143"/>
      <c r="R571" s="143"/>
      <c r="S571" s="17"/>
      <c r="T571" s="17"/>
      <c r="U571" s="17"/>
      <c r="V571" s="17"/>
      <c r="W571" s="17"/>
      <c r="X571" s="17"/>
      <c r="Y571" s="17"/>
      <c r="Z571" s="17"/>
    </row>
    <row r="572">
      <c r="A572" s="327"/>
      <c r="B572" s="121"/>
      <c r="C572" s="340"/>
      <c r="D572" s="339"/>
      <c r="E572" s="327"/>
      <c r="F572" s="121"/>
      <c r="G572" s="327"/>
      <c r="H572" s="121"/>
      <c r="I572" s="333"/>
      <c r="J572" s="177"/>
      <c r="K572" s="333"/>
      <c r="L572" s="177"/>
      <c r="M572" s="333"/>
      <c r="N572" s="177"/>
      <c r="O572" s="327"/>
      <c r="P572" s="121"/>
      <c r="Q572" s="143"/>
      <c r="R572" s="143"/>
      <c r="S572" s="17"/>
      <c r="T572" s="17"/>
      <c r="U572" s="17"/>
      <c r="V572" s="17"/>
      <c r="W572" s="17"/>
      <c r="X572" s="17"/>
      <c r="Y572" s="17"/>
      <c r="Z572" s="17"/>
    </row>
    <row r="573">
      <c r="A573" s="327"/>
      <c r="B573" s="121"/>
      <c r="C573" s="340"/>
      <c r="D573" s="339"/>
      <c r="E573" s="327"/>
      <c r="F573" s="121"/>
      <c r="G573" s="327"/>
      <c r="H573" s="121"/>
      <c r="I573" s="333"/>
      <c r="J573" s="177"/>
      <c r="K573" s="333"/>
      <c r="L573" s="177"/>
      <c r="M573" s="333"/>
      <c r="N573" s="177"/>
      <c r="O573" s="327"/>
      <c r="P573" s="121"/>
      <c r="Q573" s="143"/>
      <c r="R573" s="143"/>
      <c r="S573" s="17"/>
      <c r="T573" s="17"/>
      <c r="U573" s="17"/>
      <c r="V573" s="17"/>
      <c r="W573" s="17"/>
      <c r="X573" s="17"/>
      <c r="Y573" s="17"/>
      <c r="Z573" s="17"/>
    </row>
    <row r="574">
      <c r="A574" s="327"/>
      <c r="B574" s="121"/>
      <c r="C574" s="340"/>
      <c r="D574" s="339"/>
      <c r="E574" s="327"/>
      <c r="F574" s="121"/>
      <c r="G574" s="327"/>
      <c r="H574" s="121"/>
      <c r="I574" s="333"/>
      <c r="J574" s="177"/>
      <c r="K574" s="333"/>
      <c r="L574" s="177"/>
      <c r="M574" s="333"/>
      <c r="N574" s="177"/>
      <c r="O574" s="327"/>
      <c r="P574" s="121"/>
      <c r="Q574" s="143"/>
      <c r="R574" s="143"/>
      <c r="S574" s="17"/>
      <c r="T574" s="17"/>
      <c r="U574" s="17"/>
      <c r="V574" s="17"/>
      <c r="W574" s="17"/>
      <c r="X574" s="17"/>
      <c r="Y574" s="17"/>
      <c r="Z574" s="17"/>
    </row>
    <row r="575">
      <c r="A575" s="327"/>
      <c r="B575" s="121"/>
      <c r="C575" s="340"/>
      <c r="D575" s="339"/>
      <c r="E575" s="327"/>
      <c r="F575" s="121"/>
      <c r="G575" s="327"/>
      <c r="H575" s="121"/>
      <c r="I575" s="333"/>
      <c r="J575" s="177"/>
      <c r="K575" s="333"/>
      <c r="L575" s="177"/>
      <c r="M575" s="333"/>
      <c r="N575" s="177"/>
      <c r="O575" s="327"/>
      <c r="P575" s="121"/>
      <c r="Q575" s="143"/>
      <c r="R575" s="143"/>
      <c r="S575" s="17"/>
      <c r="T575" s="17"/>
      <c r="U575" s="17"/>
      <c r="V575" s="17"/>
      <c r="W575" s="17"/>
      <c r="X575" s="17"/>
      <c r="Y575" s="17"/>
      <c r="Z575" s="17"/>
    </row>
    <row r="576">
      <c r="A576" s="327"/>
      <c r="B576" s="121"/>
      <c r="C576" s="340"/>
      <c r="D576" s="339"/>
      <c r="E576" s="327"/>
      <c r="F576" s="121"/>
      <c r="G576" s="327"/>
      <c r="H576" s="121"/>
      <c r="I576" s="333"/>
      <c r="J576" s="177"/>
      <c r="K576" s="333"/>
      <c r="L576" s="177"/>
      <c r="M576" s="333"/>
      <c r="N576" s="177"/>
      <c r="O576" s="327"/>
      <c r="P576" s="121"/>
      <c r="Q576" s="143"/>
      <c r="R576" s="143"/>
      <c r="S576" s="17"/>
      <c r="T576" s="17"/>
      <c r="U576" s="17"/>
      <c r="V576" s="17"/>
      <c r="W576" s="17"/>
      <c r="X576" s="17"/>
      <c r="Y576" s="17"/>
      <c r="Z576" s="17"/>
    </row>
    <row r="577">
      <c r="A577" s="327"/>
      <c r="B577" s="121"/>
      <c r="C577" s="340"/>
      <c r="D577" s="339"/>
      <c r="E577" s="327"/>
      <c r="F577" s="121"/>
      <c r="G577" s="327"/>
      <c r="H577" s="121"/>
      <c r="I577" s="333"/>
      <c r="J577" s="177"/>
      <c r="K577" s="333"/>
      <c r="L577" s="177"/>
      <c r="M577" s="333"/>
      <c r="N577" s="177"/>
      <c r="O577" s="327"/>
      <c r="P577" s="121"/>
      <c r="Q577" s="143"/>
      <c r="R577" s="143"/>
      <c r="S577" s="17"/>
      <c r="T577" s="17"/>
      <c r="U577" s="17"/>
      <c r="V577" s="17"/>
      <c r="W577" s="17"/>
      <c r="X577" s="17"/>
      <c r="Y577" s="17"/>
      <c r="Z577" s="17"/>
    </row>
    <row r="578">
      <c r="A578" s="327"/>
      <c r="B578" s="121"/>
      <c r="C578" s="340"/>
      <c r="D578" s="339"/>
      <c r="E578" s="327"/>
      <c r="F578" s="121"/>
      <c r="G578" s="327"/>
      <c r="H578" s="121"/>
      <c r="I578" s="333"/>
      <c r="J578" s="177"/>
      <c r="K578" s="333"/>
      <c r="L578" s="177"/>
      <c r="M578" s="333"/>
      <c r="N578" s="177"/>
      <c r="O578" s="327"/>
      <c r="P578" s="121"/>
      <c r="Q578" s="143"/>
      <c r="R578" s="143"/>
      <c r="S578" s="17"/>
      <c r="T578" s="17"/>
      <c r="U578" s="17"/>
      <c r="V578" s="17"/>
      <c r="W578" s="17"/>
      <c r="X578" s="17"/>
      <c r="Y578" s="17"/>
      <c r="Z578" s="17"/>
    </row>
    <row r="579">
      <c r="A579" s="327"/>
      <c r="B579" s="121"/>
      <c r="C579" s="340"/>
      <c r="D579" s="339"/>
      <c r="E579" s="327"/>
      <c r="F579" s="121"/>
      <c r="G579" s="327"/>
      <c r="H579" s="121"/>
      <c r="I579" s="333"/>
      <c r="J579" s="177"/>
      <c r="K579" s="333"/>
      <c r="L579" s="177"/>
      <c r="M579" s="333"/>
      <c r="N579" s="177"/>
      <c r="O579" s="327"/>
      <c r="P579" s="121"/>
      <c r="Q579" s="143"/>
      <c r="R579" s="143"/>
      <c r="S579" s="17"/>
      <c r="T579" s="17"/>
      <c r="U579" s="17"/>
      <c r="V579" s="17"/>
      <c r="W579" s="17"/>
      <c r="X579" s="17"/>
      <c r="Y579" s="17"/>
      <c r="Z579" s="17"/>
    </row>
    <row r="580">
      <c r="A580" s="327"/>
      <c r="B580" s="121"/>
      <c r="C580" s="340"/>
      <c r="D580" s="339"/>
      <c r="E580" s="327"/>
      <c r="F580" s="121"/>
      <c r="G580" s="327"/>
      <c r="H580" s="121"/>
      <c r="I580" s="333"/>
      <c r="J580" s="177"/>
      <c r="K580" s="333"/>
      <c r="L580" s="177"/>
      <c r="M580" s="333"/>
      <c r="N580" s="177"/>
      <c r="O580" s="327"/>
      <c r="P580" s="121"/>
      <c r="Q580" s="143"/>
      <c r="R580" s="143"/>
      <c r="S580" s="17"/>
      <c r="T580" s="17"/>
      <c r="U580" s="17"/>
      <c r="V580" s="17"/>
      <c r="W580" s="17"/>
      <c r="X580" s="17"/>
      <c r="Y580" s="17"/>
      <c r="Z580" s="17"/>
    </row>
    <row r="581">
      <c r="A581" s="327"/>
      <c r="B581" s="121"/>
      <c r="C581" s="340"/>
      <c r="D581" s="339"/>
      <c r="E581" s="327"/>
      <c r="F581" s="121"/>
      <c r="G581" s="327"/>
      <c r="H581" s="121"/>
      <c r="I581" s="333"/>
      <c r="J581" s="177"/>
      <c r="K581" s="333"/>
      <c r="L581" s="177"/>
      <c r="M581" s="333"/>
      <c r="N581" s="177"/>
      <c r="O581" s="327"/>
      <c r="P581" s="121"/>
      <c r="Q581" s="143"/>
      <c r="R581" s="143"/>
      <c r="S581" s="17"/>
      <c r="T581" s="17"/>
      <c r="U581" s="17"/>
      <c r="V581" s="17"/>
      <c r="W581" s="17"/>
      <c r="X581" s="17"/>
      <c r="Y581" s="17"/>
      <c r="Z581" s="17"/>
    </row>
    <row r="582">
      <c r="A582" s="327"/>
      <c r="B582" s="121"/>
      <c r="C582" s="340"/>
      <c r="D582" s="339"/>
      <c r="E582" s="327"/>
      <c r="F582" s="121"/>
      <c r="G582" s="327"/>
      <c r="H582" s="121"/>
      <c r="I582" s="333"/>
      <c r="J582" s="177"/>
      <c r="K582" s="333"/>
      <c r="L582" s="177"/>
      <c r="M582" s="333"/>
      <c r="N582" s="177"/>
      <c r="O582" s="327"/>
      <c r="P582" s="121"/>
      <c r="Q582" s="143"/>
      <c r="R582" s="143"/>
      <c r="S582" s="17"/>
      <c r="T582" s="17"/>
      <c r="U582" s="17"/>
      <c r="V582" s="17"/>
      <c r="W582" s="17"/>
      <c r="X582" s="17"/>
      <c r="Y582" s="17"/>
      <c r="Z582" s="17"/>
    </row>
    <row r="583">
      <c r="A583" s="327"/>
      <c r="B583" s="121"/>
      <c r="C583" s="340"/>
      <c r="D583" s="339"/>
      <c r="E583" s="327"/>
      <c r="F583" s="121"/>
      <c r="G583" s="327"/>
      <c r="H583" s="121"/>
      <c r="I583" s="333"/>
      <c r="J583" s="177"/>
      <c r="K583" s="333"/>
      <c r="L583" s="177"/>
      <c r="M583" s="333"/>
      <c r="N583" s="177"/>
      <c r="O583" s="327"/>
      <c r="P583" s="121"/>
      <c r="Q583" s="143"/>
      <c r="R583" s="143"/>
      <c r="S583" s="17"/>
      <c r="T583" s="17"/>
      <c r="U583" s="17"/>
      <c r="V583" s="17"/>
      <c r="W583" s="17"/>
      <c r="X583" s="17"/>
      <c r="Y583" s="17"/>
      <c r="Z583" s="17"/>
    </row>
    <row r="584">
      <c r="A584" s="327"/>
      <c r="B584" s="121"/>
      <c r="C584" s="340"/>
      <c r="D584" s="339"/>
      <c r="E584" s="327"/>
      <c r="F584" s="121"/>
      <c r="G584" s="327"/>
      <c r="H584" s="121"/>
      <c r="I584" s="333"/>
      <c r="J584" s="177"/>
      <c r="K584" s="333"/>
      <c r="L584" s="177"/>
      <c r="M584" s="333"/>
      <c r="N584" s="177"/>
      <c r="O584" s="327"/>
      <c r="P584" s="121"/>
      <c r="Q584" s="143"/>
      <c r="R584" s="143"/>
      <c r="S584" s="17"/>
      <c r="T584" s="17"/>
      <c r="U584" s="17"/>
      <c r="V584" s="17"/>
      <c r="W584" s="17"/>
      <c r="X584" s="17"/>
      <c r="Y584" s="17"/>
      <c r="Z584" s="17"/>
    </row>
    <row r="585">
      <c r="A585" s="327"/>
      <c r="B585" s="121"/>
      <c r="C585" s="340"/>
      <c r="D585" s="339"/>
      <c r="E585" s="327"/>
      <c r="F585" s="121"/>
      <c r="G585" s="327"/>
      <c r="H585" s="121"/>
      <c r="I585" s="333"/>
      <c r="J585" s="177"/>
      <c r="K585" s="333"/>
      <c r="L585" s="177"/>
      <c r="M585" s="333"/>
      <c r="N585" s="177"/>
      <c r="O585" s="327"/>
      <c r="P585" s="121"/>
      <c r="Q585" s="143"/>
      <c r="R585" s="143"/>
      <c r="S585" s="17"/>
      <c r="T585" s="17"/>
      <c r="U585" s="17"/>
      <c r="V585" s="17"/>
      <c r="W585" s="17"/>
      <c r="X585" s="17"/>
      <c r="Y585" s="17"/>
      <c r="Z585" s="17"/>
    </row>
    <row r="586">
      <c r="A586" s="327"/>
      <c r="B586" s="121"/>
      <c r="C586" s="340"/>
      <c r="D586" s="339"/>
      <c r="E586" s="327"/>
      <c r="F586" s="121"/>
      <c r="G586" s="327"/>
      <c r="H586" s="121"/>
      <c r="I586" s="333"/>
      <c r="J586" s="177"/>
      <c r="K586" s="333"/>
      <c r="L586" s="177"/>
      <c r="M586" s="333"/>
      <c r="N586" s="177"/>
      <c r="O586" s="327"/>
      <c r="P586" s="121"/>
      <c r="Q586" s="143"/>
      <c r="R586" s="143"/>
      <c r="S586" s="17"/>
      <c r="T586" s="17"/>
      <c r="U586" s="17"/>
      <c r="V586" s="17"/>
      <c r="W586" s="17"/>
      <c r="X586" s="17"/>
      <c r="Y586" s="17"/>
      <c r="Z586" s="17"/>
    </row>
    <row r="587">
      <c r="A587" s="327"/>
      <c r="B587" s="121"/>
      <c r="C587" s="340"/>
      <c r="D587" s="339"/>
      <c r="E587" s="327"/>
      <c r="F587" s="121"/>
      <c r="G587" s="327"/>
      <c r="H587" s="121"/>
      <c r="I587" s="333"/>
      <c r="J587" s="177"/>
      <c r="K587" s="333"/>
      <c r="L587" s="177"/>
      <c r="M587" s="333"/>
      <c r="N587" s="177"/>
      <c r="O587" s="327"/>
      <c r="P587" s="121"/>
      <c r="Q587" s="143"/>
      <c r="R587" s="143"/>
      <c r="S587" s="17"/>
      <c r="T587" s="17"/>
      <c r="U587" s="17"/>
      <c r="V587" s="17"/>
      <c r="W587" s="17"/>
      <c r="X587" s="17"/>
      <c r="Y587" s="17"/>
      <c r="Z587" s="17"/>
    </row>
    <row r="588">
      <c r="A588" s="327"/>
      <c r="B588" s="121"/>
      <c r="C588" s="340"/>
      <c r="D588" s="339"/>
      <c r="E588" s="327"/>
      <c r="F588" s="121"/>
      <c r="G588" s="327"/>
      <c r="H588" s="121"/>
      <c r="I588" s="333"/>
      <c r="J588" s="177"/>
      <c r="K588" s="333"/>
      <c r="L588" s="177"/>
      <c r="M588" s="333"/>
      <c r="N588" s="177"/>
      <c r="O588" s="327"/>
      <c r="P588" s="121"/>
      <c r="Q588" s="143"/>
      <c r="R588" s="143"/>
      <c r="S588" s="17"/>
      <c r="T588" s="17"/>
      <c r="U588" s="17"/>
      <c r="V588" s="17"/>
      <c r="W588" s="17"/>
      <c r="X588" s="17"/>
      <c r="Y588" s="17"/>
      <c r="Z588" s="17"/>
    </row>
    <row r="589">
      <c r="A589" s="327"/>
      <c r="B589" s="121"/>
      <c r="C589" s="340"/>
      <c r="D589" s="339"/>
      <c r="E589" s="327"/>
      <c r="F589" s="121"/>
      <c r="G589" s="327"/>
      <c r="H589" s="121"/>
      <c r="I589" s="333"/>
      <c r="J589" s="177"/>
      <c r="K589" s="333"/>
      <c r="L589" s="177"/>
      <c r="M589" s="333"/>
      <c r="N589" s="177"/>
      <c r="O589" s="327"/>
      <c r="P589" s="121"/>
      <c r="Q589" s="143"/>
      <c r="R589" s="143"/>
      <c r="S589" s="17"/>
      <c r="T589" s="17"/>
      <c r="U589" s="17"/>
      <c r="V589" s="17"/>
      <c r="W589" s="17"/>
      <c r="X589" s="17"/>
      <c r="Y589" s="17"/>
      <c r="Z589" s="17"/>
    </row>
    <row r="590">
      <c r="A590" s="327"/>
      <c r="B590" s="121"/>
      <c r="C590" s="340"/>
      <c r="D590" s="339"/>
      <c r="E590" s="327"/>
      <c r="F590" s="121"/>
      <c r="G590" s="327"/>
      <c r="H590" s="121"/>
      <c r="I590" s="333"/>
      <c r="J590" s="177"/>
      <c r="K590" s="333"/>
      <c r="L590" s="177"/>
      <c r="M590" s="333"/>
      <c r="N590" s="177"/>
      <c r="O590" s="327"/>
      <c r="P590" s="121"/>
      <c r="Q590" s="143"/>
      <c r="R590" s="143"/>
      <c r="S590" s="17"/>
      <c r="T590" s="17"/>
      <c r="U590" s="17"/>
      <c r="V590" s="17"/>
      <c r="W590" s="17"/>
      <c r="X590" s="17"/>
      <c r="Y590" s="17"/>
      <c r="Z590" s="17"/>
    </row>
    <row r="591">
      <c r="A591" s="327"/>
      <c r="B591" s="121"/>
      <c r="C591" s="340"/>
      <c r="D591" s="339"/>
      <c r="E591" s="327"/>
      <c r="F591" s="121"/>
      <c r="G591" s="327"/>
      <c r="H591" s="121"/>
      <c r="I591" s="333"/>
      <c r="J591" s="177"/>
      <c r="K591" s="333"/>
      <c r="L591" s="177"/>
      <c r="M591" s="333"/>
      <c r="N591" s="177"/>
      <c r="O591" s="327"/>
      <c r="P591" s="121"/>
      <c r="Q591" s="143"/>
      <c r="R591" s="143"/>
      <c r="S591" s="17"/>
      <c r="T591" s="17"/>
      <c r="U591" s="17"/>
      <c r="V591" s="17"/>
      <c r="W591" s="17"/>
      <c r="X591" s="17"/>
      <c r="Y591" s="17"/>
      <c r="Z591" s="17"/>
    </row>
    <row r="592">
      <c r="A592" s="327"/>
      <c r="B592" s="121"/>
      <c r="C592" s="340"/>
      <c r="D592" s="339"/>
      <c r="E592" s="327"/>
      <c r="F592" s="121"/>
      <c r="G592" s="327"/>
      <c r="H592" s="121"/>
      <c r="I592" s="333"/>
      <c r="J592" s="177"/>
      <c r="K592" s="333"/>
      <c r="L592" s="177"/>
      <c r="M592" s="333"/>
      <c r="N592" s="177"/>
      <c r="O592" s="327"/>
      <c r="P592" s="121"/>
      <c r="Q592" s="143"/>
      <c r="R592" s="143"/>
      <c r="S592" s="17"/>
      <c r="T592" s="17"/>
      <c r="U592" s="17"/>
      <c r="V592" s="17"/>
      <c r="W592" s="17"/>
      <c r="X592" s="17"/>
      <c r="Y592" s="17"/>
      <c r="Z592" s="17"/>
    </row>
    <row r="593">
      <c r="A593" s="327"/>
      <c r="B593" s="121"/>
      <c r="C593" s="340"/>
      <c r="D593" s="339"/>
      <c r="E593" s="327"/>
      <c r="F593" s="121"/>
      <c r="G593" s="327"/>
      <c r="H593" s="121"/>
      <c r="I593" s="333"/>
      <c r="J593" s="177"/>
      <c r="K593" s="333"/>
      <c r="L593" s="177"/>
      <c r="M593" s="333"/>
      <c r="N593" s="177"/>
      <c r="O593" s="327"/>
      <c r="P593" s="121"/>
      <c r="Q593" s="143"/>
      <c r="R593" s="143"/>
      <c r="S593" s="17"/>
      <c r="T593" s="17"/>
      <c r="U593" s="17"/>
      <c r="V593" s="17"/>
      <c r="W593" s="17"/>
      <c r="X593" s="17"/>
      <c r="Y593" s="17"/>
      <c r="Z593" s="17"/>
    </row>
    <row r="594">
      <c r="A594" s="327"/>
      <c r="B594" s="121"/>
      <c r="C594" s="340"/>
      <c r="D594" s="339"/>
      <c r="E594" s="327"/>
      <c r="F594" s="121"/>
      <c r="G594" s="327"/>
      <c r="H594" s="121"/>
      <c r="I594" s="333"/>
      <c r="J594" s="177"/>
      <c r="K594" s="333"/>
      <c r="L594" s="177"/>
      <c r="M594" s="333"/>
      <c r="N594" s="177"/>
      <c r="O594" s="327"/>
      <c r="P594" s="121"/>
      <c r="Q594" s="143"/>
      <c r="R594" s="143"/>
      <c r="S594" s="17"/>
      <c r="T594" s="17"/>
      <c r="U594" s="17"/>
      <c r="V594" s="17"/>
      <c r="W594" s="17"/>
      <c r="X594" s="17"/>
      <c r="Y594" s="17"/>
      <c r="Z594" s="17"/>
    </row>
    <row r="595">
      <c r="A595" s="327"/>
      <c r="B595" s="121"/>
      <c r="C595" s="340"/>
      <c r="D595" s="339"/>
      <c r="E595" s="327"/>
      <c r="F595" s="121"/>
      <c r="G595" s="327"/>
      <c r="H595" s="121"/>
      <c r="I595" s="333"/>
      <c r="J595" s="177"/>
      <c r="K595" s="333"/>
      <c r="L595" s="177"/>
      <c r="M595" s="333"/>
      <c r="N595" s="177"/>
      <c r="O595" s="327"/>
      <c r="P595" s="121"/>
      <c r="Q595" s="143"/>
      <c r="R595" s="143"/>
      <c r="S595" s="17"/>
      <c r="T595" s="17"/>
      <c r="U595" s="17"/>
      <c r="V595" s="17"/>
      <c r="W595" s="17"/>
      <c r="X595" s="17"/>
      <c r="Y595" s="17"/>
      <c r="Z595" s="17"/>
    </row>
    <row r="596">
      <c r="A596" s="327"/>
      <c r="B596" s="121"/>
      <c r="C596" s="340"/>
      <c r="D596" s="339"/>
      <c r="E596" s="327"/>
      <c r="F596" s="121"/>
      <c r="G596" s="327"/>
      <c r="H596" s="121"/>
      <c r="I596" s="333"/>
      <c r="J596" s="177"/>
      <c r="K596" s="333"/>
      <c r="L596" s="177"/>
      <c r="M596" s="333"/>
      <c r="N596" s="177"/>
      <c r="O596" s="327"/>
      <c r="P596" s="121"/>
      <c r="Q596" s="143"/>
      <c r="R596" s="143"/>
      <c r="S596" s="17"/>
      <c r="T596" s="17"/>
      <c r="U596" s="17"/>
      <c r="V596" s="17"/>
      <c r="W596" s="17"/>
      <c r="X596" s="17"/>
      <c r="Y596" s="17"/>
      <c r="Z596" s="17"/>
    </row>
    <row r="597">
      <c r="A597" s="327"/>
      <c r="B597" s="121"/>
      <c r="C597" s="340"/>
      <c r="D597" s="339"/>
      <c r="E597" s="327"/>
      <c r="F597" s="121"/>
      <c r="G597" s="327"/>
      <c r="H597" s="121"/>
      <c r="I597" s="333"/>
      <c r="J597" s="177"/>
      <c r="K597" s="333"/>
      <c r="L597" s="177"/>
      <c r="M597" s="333"/>
      <c r="N597" s="177"/>
      <c r="O597" s="327"/>
      <c r="P597" s="121"/>
      <c r="Q597" s="143"/>
      <c r="R597" s="143"/>
      <c r="S597" s="17"/>
      <c r="T597" s="17"/>
      <c r="U597" s="17"/>
      <c r="V597" s="17"/>
      <c r="W597" s="17"/>
      <c r="X597" s="17"/>
      <c r="Y597" s="17"/>
      <c r="Z597" s="17"/>
    </row>
    <row r="598">
      <c r="A598" s="327"/>
      <c r="B598" s="121"/>
      <c r="C598" s="340"/>
      <c r="D598" s="339"/>
      <c r="E598" s="327"/>
      <c r="F598" s="121"/>
      <c r="G598" s="327"/>
      <c r="H598" s="121"/>
      <c r="I598" s="333"/>
      <c r="J598" s="177"/>
      <c r="K598" s="333"/>
      <c r="L598" s="177"/>
      <c r="M598" s="333"/>
      <c r="N598" s="177"/>
      <c r="O598" s="327"/>
      <c r="P598" s="121"/>
      <c r="Q598" s="143"/>
      <c r="R598" s="143"/>
      <c r="S598" s="17"/>
      <c r="T598" s="17"/>
      <c r="U598" s="17"/>
      <c r="V598" s="17"/>
      <c r="W598" s="17"/>
      <c r="X598" s="17"/>
      <c r="Y598" s="17"/>
      <c r="Z598" s="17"/>
    </row>
    <row r="599">
      <c r="A599" s="327"/>
      <c r="B599" s="121"/>
      <c r="C599" s="340"/>
      <c r="D599" s="339"/>
      <c r="E599" s="327"/>
      <c r="F599" s="121"/>
      <c r="G599" s="327"/>
      <c r="H599" s="121"/>
      <c r="I599" s="333"/>
      <c r="J599" s="177"/>
      <c r="K599" s="333"/>
      <c r="L599" s="177"/>
      <c r="M599" s="333"/>
      <c r="N599" s="177"/>
      <c r="O599" s="327"/>
      <c r="P599" s="121"/>
      <c r="Q599" s="143"/>
      <c r="R599" s="143"/>
      <c r="S599" s="17"/>
      <c r="T599" s="17"/>
      <c r="U599" s="17"/>
      <c r="V599" s="17"/>
      <c r="W599" s="17"/>
      <c r="X599" s="17"/>
      <c r="Y599" s="17"/>
      <c r="Z599" s="17"/>
    </row>
    <row r="600">
      <c r="A600" s="327"/>
      <c r="B600" s="121"/>
      <c r="C600" s="340"/>
      <c r="D600" s="339"/>
      <c r="E600" s="327"/>
      <c r="F600" s="121"/>
      <c r="G600" s="327"/>
      <c r="H600" s="121"/>
      <c r="I600" s="333"/>
      <c r="J600" s="177"/>
      <c r="K600" s="333"/>
      <c r="L600" s="177"/>
      <c r="M600" s="333"/>
      <c r="N600" s="177"/>
      <c r="O600" s="327"/>
      <c r="P600" s="121"/>
      <c r="Q600" s="143"/>
      <c r="R600" s="143"/>
      <c r="S600" s="17"/>
      <c r="T600" s="17"/>
      <c r="U600" s="17"/>
      <c r="V600" s="17"/>
      <c r="W600" s="17"/>
      <c r="X600" s="17"/>
      <c r="Y600" s="17"/>
      <c r="Z600" s="17"/>
    </row>
    <row r="601">
      <c r="A601" s="327"/>
      <c r="B601" s="121"/>
      <c r="C601" s="340"/>
      <c r="D601" s="339"/>
      <c r="E601" s="327"/>
      <c r="F601" s="121"/>
      <c r="G601" s="327"/>
      <c r="H601" s="121"/>
      <c r="I601" s="333"/>
      <c r="J601" s="177"/>
      <c r="K601" s="333"/>
      <c r="L601" s="177"/>
      <c r="M601" s="333"/>
      <c r="N601" s="177"/>
      <c r="O601" s="327"/>
      <c r="P601" s="121"/>
      <c r="Q601" s="143"/>
      <c r="R601" s="143"/>
      <c r="S601" s="17"/>
      <c r="T601" s="17"/>
      <c r="U601" s="17"/>
      <c r="V601" s="17"/>
      <c r="W601" s="17"/>
      <c r="X601" s="17"/>
      <c r="Y601" s="17"/>
      <c r="Z601" s="17"/>
    </row>
    <row r="602">
      <c r="A602" s="327"/>
      <c r="B602" s="121"/>
      <c r="C602" s="340"/>
      <c r="D602" s="339"/>
      <c r="E602" s="327"/>
      <c r="F602" s="121"/>
      <c r="G602" s="327"/>
      <c r="H602" s="121"/>
      <c r="I602" s="333"/>
      <c r="J602" s="177"/>
      <c r="K602" s="333"/>
      <c r="L602" s="177"/>
      <c r="M602" s="333"/>
      <c r="N602" s="177"/>
      <c r="O602" s="327"/>
      <c r="P602" s="121"/>
      <c r="Q602" s="143"/>
      <c r="R602" s="143"/>
      <c r="S602" s="17"/>
      <c r="T602" s="17"/>
      <c r="U602" s="17"/>
      <c r="V602" s="17"/>
      <c r="W602" s="17"/>
      <c r="X602" s="17"/>
      <c r="Y602" s="17"/>
      <c r="Z602" s="17"/>
    </row>
    <row r="603">
      <c r="A603" s="327"/>
      <c r="B603" s="121"/>
      <c r="C603" s="340"/>
      <c r="D603" s="339"/>
      <c r="E603" s="327"/>
      <c r="F603" s="121"/>
      <c r="G603" s="327"/>
      <c r="H603" s="121"/>
      <c r="I603" s="333"/>
      <c r="J603" s="177"/>
      <c r="K603" s="333"/>
      <c r="L603" s="177"/>
      <c r="M603" s="333"/>
      <c r="N603" s="177"/>
      <c r="O603" s="327"/>
      <c r="P603" s="121"/>
      <c r="Q603" s="143"/>
      <c r="R603" s="143"/>
      <c r="S603" s="17"/>
      <c r="T603" s="17"/>
      <c r="U603" s="17"/>
      <c r="V603" s="17"/>
      <c r="W603" s="17"/>
      <c r="X603" s="17"/>
      <c r="Y603" s="17"/>
      <c r="Z603" s="17"/>
    </row>
    <row r="604">
      <c r="A604" s="327"/>
      <c r="B604" s="121"/>
      <c r="C604" s="340"/>
      <c r="D604" s="339"/>
      <c r="E604" s="327"/>
      <c r="F604" s="121"/>
      <c r="G604" s="327"/>
      <c r="H604" s="121"/>
      <c r="I604" s="333"/>
      <c r="J604" s="177"/>
      <c r="K604" s="333"/>
      <c r="L604" s="177"/>
      <c r="M604" s="333"/>
      <c r="N604" s="177"/>
      <c r="O604" s="327"/>
      <c r="P604" s="121"/>
      <c r="Q604" s="143"/>
      <c r="R604" s="143"/>
      <c r="S604" s="17"/>
      <c r="T604" s="17"/>
      <c r="U604" s="17"/>
      <c r="V604" s="17"/>
      <c r="W604" s="17"/>
      <c r="X604" s="17"/>
      <c r="Y604" s="17"/>
      <c r="Z604" s="17"/>
    </row>
    <row r="605">
      <c r="A605" s="327"/>
      <c r="B605" s="121"/>
      <c r="C605" s="340"/>
      <c r="D605" s="339"/>
      <c r="E605" s="327"/>
      <c r="F605" s="121"/>
      <c r="G605" s="327"/>
      <c r="H605" s="121"/>
      <c r="I605" s="333"/>
      <c r="J605" s="177"/>
      <c r="K605" s="333"/>
      <c r="L605" s="177"/>
      <c r="M605" s="333"/>
      <c r="N605" s="177"/>
      <c r="O605" s="327"/>
      <c r="P605" s="121"/>
      <c r="Q605" s="143"/>
      <c r="R605" s="143"/>
      <c r="S605" s="17"/>
      <c r="T605" s="17"/>
      <c r="U605" s="17"/>
      <c r="V605" s="17"/>
      <c r="W605" s="17"/>
      <c r="X605" s="17"/>
      <c r="Y605" s="17"/>
      <c r="Z605" s="17"/>
    </row>
    <row r="606">
      <c r="A606" s="327"/>
      <c r="B606" s="121"/>
      <c r="C606" s="340"/>
      <c r="D606" s="339"/>
      <c r="E606" s="327"/>
      <c r="F606" s="121"/>
      <c r="G606" s="327"/>
      <c r="H606" s="121"/>
      <c r="I606" s="333"/>
      <c r="J606" s="177"/>
      <c r="K606" s="333"/>
      <c r="L606" s="177"/>
      <c r="M606" s="333"/>
      <c r="N606" s="177"/>
      <c r="O606" s="327"/>
      <c r="P606" s="121"/>
      <c r="Q606" s="143"/>
      <c r="R606" s="143"/>
      <c r="S606" s="17"/>
      <c r="T606" s="17"/>
      <c r="U606" s="17"/>
      <c r="V606" s="17"/>
      <c r="W606" s="17"/>
      <c r="X606" s="17"/>
      <c r="Y606" s="17"/>
      <c r="Z606" s="17"/>
    </row>
    <row r="607">
      <c r="A607" s="327"/>
      <c r="B607" s="121"/>
      <c r="C607" s="340"/>
      <c r="D607" s="339"/>
      <c r="E607" s="327"/>
      <c r="F607" s="121"/>
      <c r="G607" s="327"/>
      <c r="H607" s="121"/>
      <c r="I607" s="333"/>
      <c r="J607" s="177"/>
      <c r="K607" s="333"/>
      <c r="L607" s="177"/>
      <c r="M607" s="333"/>
      <c r="N607" s="177"/>
      <c r="O607" s="327"/>
      <c r="P607" s="121"/>
      <c r="Q607" s="143"/>
      <c r="R607" s="143"/>
      <c r="S607" s="17"/>
      <c r="T607" s="17"/>
      <c r="U607" s="17"/>
      <c r="V607" s="17"/>
      <c r="W607" s="17"/>
      <c r="X607" s="17"/>
      <c r="Y607" s="17"/>
      <c r="Z607" s="17"/>
    </row>
    <row r="608">
      <c r="A608" s="327"/>
      <c r="B608" s="121"/>
      <c r="C608" s="340"/>
      <c r="D608" s="339"/>
      <c r="E608" s="327"/>
      <c r="F608" s="121"/>
      <c r="G608" s="327"/>
      <c r="H608" s="121"/>
      <c r="I608" s="333"/>
      <c r="J608" s="177"/>
      <c r="K608" s="333"/>
      <c r="L608" s="177"/>
      <c r="M608" s="333"/>
      <c r="N608" s="177"/>
      <c r="O608" s="327"/>
      <c r="P608" s="121"/>
      <c r="Q608" s="143"/>
      <c r="R608" s="143"/>
      <c r="S608" s="17"/>
      <c r="T608" s="17"/>
      <c r="U608" s="17"/>
      <c r="V608" s="17"/>
      <c r="W608" s="17"/>
      <c r="X608" s="17"/>
      <c r="Y608" s="17"/>
      <c r="Z608" s="17"/>
    </row>
    <row r="609">
      <c r="A609" s="327"/>
      <c r="B609" s="121"/>
      <c r="C609" s="340"/>
      <c r="D609" s="339"/>
      <c r="E609" s="327"/>
      <c r="F609" s="121"/>
      <c r="G609" s="327"/>
      <c r="H609" s="121"/>
      <c r="I609" s="333"/>
      <c r="J609" s="177"/>
      <c r="K609" s="333"/>
      <c r="L609" s="177"/>
      <c r="M609" s="333"/>
      <c r="N609" s="177"/>
      <c r="O609" s="327"/>
      <c r="P609" s="121"/>
      <c r="Q609" s="143"/>
      <c r="R609" s="143"/>
      <c r="S609" s="17"/>
      <c r="T609" s="17"/>
      <c r="U609" s="17"/>
      <c r="V609" s="17"/>
      <c r="W609" s="17"/>
      <c r="X609" s="17"/>
      <c r="Y609" s="17"/>
      <c r="Z609" s="17"/>
    </row>
    <row r="610">
      <c r="A610" s="327"/>
      <c r="B610" s="121"/>
      <c r="C610" s="340"/>
      <c r="D610" s="339"/>
      <c r="E610" s="327"/>
      <c r="F610" s="121"/>
      <c r="G610" s="327"/>
      <c r="H610" s="121"/>
      <c r="I610" s="333"/>
      <c r="J610" s="177"/>
      <c r="K610" s="333"/>
      <c r="L610" s="177"/>
      <c r="M610" s="333"/>
      <c r="N610" s="177"/>
      <c r="O610" s="327"/>
      <c r="P610" s="121"/>
      <c r="Q610" s="143"/>
      <c r="R610" s="143"/>
      <c r="S610" s="17"/>
      <c r="T610" s="17"/>
      <c r="U610" s="17"/>
      <c r="V610" s="17"/>
      <c r="W610" s="17"/>
      <c r="X610" s="17"/>
      <c r="Y610" s="17"/>
      <c r="Z610" s="17"/>
    </row>
    <row r="611">
      <c r="A611" s="327"/>
      <c r="B611" s="121"/>
      <c r="C611" s="340"/>
      <c r="D611" s="339"/>
      <c r="E611" s="327"/>
      <c r="F611" s="121"/>
      <c r="G611" s="327"/>
      <c r="H611" s="121"/>
      <c r="I611" s="333"/>
      <c r="J611" s="177"/>
      <c r="K611" s="333"/>
      <c r="L611" s="177"/>
      <c r="M611" s="333"/>
      <c r="N611" s="177"/>
      <c r="O611" s="327"/>
      <c r="P611" s="121"/>
      <c r="Q611" s="143"/>
      <c r="R611" s="143"/>
      <c r="S611" s="17"/>
      <c r="T611" s="17"/>
      <c r="U611" s="17"/>
      <c r="V611" s="17"/>
      <c r="W611" s="17"/>
      <c r="X611" s="17"/>
      <c r="Y611" s="17"/>
      <c r="Z611" s="17"/>
    </row>
    <row r="612">
      <c r="A612" s="327"/>
      <c r="B612" s="121"/>
      <c r="C612" s="340"/>
      <c r="D612" s="339"/>
      <c r="E612" s="327"/>
      <c r="F612" s="121"/>
      <c r="G612" s="327"/>
      <c r="H612" s="121"/>
      <c r="I612" s="333"/>
      <c r="J612" s="177"/>
      <c r="K612" s="333"/>
      <c r="L612" s="177"/>
      <c r="M612" s="333"/>
      <c r="N612" s="177"/>
      <c r="O612" s="327"/>
      <c r="P612" s="121"/>
      <c r="Q612" s="143"/>
      <c r="R612" s="143"/>
      <c r="S612" s="17"/>
      <c r="T612" s="17"/>
      <c r="U612" s="17"/>
      <c r="V612" s="17"/>
      <c r="W612" s="17"/>
      <c r="X612" s="17"/>
      <c r="Y612" s="17"/>
      <c r="Z612" s="17"/>
    </row>
    <row r="613">
      <c r="A613" s="327"/>
      <c r="B613" s="121"/>
      <c r="C613" s="340"/>
      <c r="D613" s="339"/>
      <c r="E613" s="327"/>
      <c r="F613" s="121"/>
      <c r="G613" s="327"/>
      <c r="H613" s="121"/>
      <c r="I613" s="333"/>
      <c r="J613" s="177"/>
      <c r="K613" s="333"/>
      <c r="L613" s="177"/>
      <c r="M613" s="333"/>
      <c r="N613" s="177"/>
      <c r="O613" s="327"/>
      <c r="P613" s="121"/>
      <c r="Q613" s="143"/>
      <c r="R613" s="143"/>
      <c r="S613" s="17"/>
      <c r="T613" s="17"/>
      <c r="U613" s="17"/>
      <c r="V613" s="17"/>
      <c r="W613" s="17"/>
      <c r="X613" s="17"/>
      <c r="Y613" s="17"/>
      <c r="Z613" s="17"/>
    </row>
    <row r="614">
      <c r="A614" s="327"/>
      <c r="B614" s="121"/>
      <c r="C614" s="340"/>
      <c r="D614" s="339"/>
      <c r="E614" s="327"/>
      <c r="F614" s="121"/>
      <c r="G614" s="327"/>
      <c r="H614" s="121"/>
      <c r="I614" s="333"/>
      <c r="J614" s="177"/>
      <c r="K614" s="333"/>
      <c r="L614" s="177"/>
      <c r="M614" s="333"/>
      <c r="N614" s="177"/>
      <c r="O614" s="327"/>
      <c r="P614" s="121"/>
      <c r="Q614" s="143"/>
      <c r="R614" s="143"/>
      <c r="S614" s="17"/>
      <c r="T614" s="17"/>
      <c r="U614" s="17"/>
      <c r="V614" s="17"/>
      <c r="W614" s="17"/>
      <c r="X614" s="17"/>
      <c r="Y614" s="17"/>
      <c r="Z614" s="17"/>
    </row>
    <row r="615">
      <c r="A615" s="327"/>
      <c r="B615" s="121"/>
      <c r="C615" s="340"/>
      <c r="D615" s="339"/>
      <c r="E615" s="327"/>
      <c r="F615" s="121"/>
      <c r="G615" s="327"/>
      <c r="H615" s="121"/>
      <c r="I615" s="333"/>
      <c r="J615" s="177"/>
      <c r="K615" s="333"/>
      <c r="L615" s="177"/>
      <c r="M615" s="333"/>
      <c r="N615" s="177"/>
      <c r="O615" s="327"/>
      <c r="P615" s="121"/>
      <c r="Q615" s="143"/>
      <c r="R615" s="143"/>
      <c r="S615" s="17"/>
      <c r="T615" s="17"/>
      <c r="U615" s="17"/>
      <c r="V615" s="17"/>
      <c r="W615" s="17"/>
      <c r="X615" s="17"/>
      <c r="Y615" s="17"/>
      <c r="Z615" s="17"/>
    </row>
    <row r="616">
      <c r="A616" s="327"/>
      <c r="B616" s="121"/>
      <c r="C616" s="340"/>
      <c r="D616" s="339"/>
      <c r="E616" s="327"/>
      <c r="F616" s="121"/>
      <c r="G616" s="327"/>
      <c r="H616" s="121"/>
      <c r="I616" s="333"/>
      <c r="J616" s="177"/>
      <c r="K616" s="333"/>
      <c r="L616" s="177"/>
      <c r="M616" s="333"/>
      <c r="N616" s="177"/>
      <c r="O616" s="327"/>
      <c r="P616" s="121"/>
      <c r="Q616" s="143"/>
      <c r="R616" s="143"/>
      <c r="S616" s="17"/>
      <c r="T616" s="17"/>
      <c r="U616" s="17"/>
      <c r="V616" s="17"/>
      <c r="W616" s="17"/>
      <c r="X616" s="17"/>
      <c r="Y616" s="17"/>
      <c r="Z616" s="17"/>
    </row>
    <row r="617">
      <c r="A617" s="327"/>
      <c r="B617" s="121"/>
      <c r="C617" s="340"/>
      <c r="D617" s="339"/>
      <c r="E617" s="327"/>
      <c r="F617" s="121"/>
      <c r="G617" s="327"/>
      <c r="H617" s="121"/>
      <c r="I617" s="333"/>
      <c r="J617" s="177"/>
      <c r="K617" s="333"/>
      <c r="L617" s="177"/>
      <c r="M617" s="333"/>
      <c r="N617" s="177"/>
      <c r="O617" s="327"/>
      <c r="P617" s="121"/>
      <c r="Q617" s="143"/>
      <c r="R617" s="143"/>
      <c r="S617" s="17"/>
      <c r="T617" s="17"/>
      <c r="U617" s="17"/>
      <c r="V617" s="17"/>
      <c r="W617" s="17"/>
      <c r="X617" s="17"/>
      <c r="Y617" s="17"/>
      <c r="Z617" s="17"/>
    </row>
    <row r="618">
      <c r="A618" s="327"/>
      <c r="B618" s="121"/>
      <c r="C618" s="340"/>
      <c r="D618" s="339"/>
      <c r="E618" s="327"/>
      <c r="F618" s="121"/>
      <c r="G618" s="327"/>
      <c r="H618" s="121"/>
      <c r="I618" s="333"/>
      <c r="J618" s="177"/>
      <c r="K618" s="333"/>
      <c r="L618" s="177"/>
      <c r="M618" s="333"/>
      <c r="N618" s="177"/>
      <c r="O618" s="327"/>
      <c r="P618" s="121"/>
      <c r="Q618" s="143"/>
      <c r="R618" s="143"/>
      <c r="S618" s="17"/>
      <c r="T618" s="17"/>
      <c r="U618" s="17"/>
      <c r="V618" s="17"/>
      <c r="W618" s="17"/>
      <c r="X618" s="17"/>
      <c r="Y618" s="17"/>
      <c r="Z618" s="17"/>
    </row>
    <row r="619">
      <c r="A619" s="327"/>
      <c r="B619" s="121"/>
      <c r="C619" s="340"/>
      <c r="D619" s="339"/>
      <c r="E619" s="327"/>
      <c r="F619" s="121"/>
      <c r="G619" s="327"/>
      <c r="H619" s="121"/>
      <c r="I619" s="333"/>
      <c r="J619" s="177"/>
      <c r="K619" s="333"/>
      <c r="L619" s="177"/>
      <c r="M619" s="333"/>
      <c r="N619" s="177"/>
      <c r="O619" s="327"/>
      <c r="P619" s="121"/>
      <c r="Q619" s="143"/>
      <c r="R619" s="143"/>
      <c r="S619" s="17"/>
      <c r="T619" s="17"/>
      <c r="U619" s="17"/>
      <c r="V619" s="17"/>
      <c r="W619" s="17"/>
      <c r="X619" s="17"/>
      <c r="Y619" s="17"/>
      <c r="Z619" s="17"/>
    </row>
    <row r="620">
      <c r="A620" s="327"/>
      <c r="B620" s="121"/>
      <c r="C620" s="340"/>
      <c r="D620" s="339"/>
      <c r="E620" s="327"/>
      <c r="F620" s="121"/>
      <c r="G620" s="327"/>
      <c r="H620" s="121"/>
      <c r="I620" s="333"/>
      <c r="J620" s="177"/>
      <c r="K620" s="333"/>
      <c r="L620" s="177"/>
      <c r="M620" s="333"/>
      <c r="N620" s="177"/>
      <c r="O620" s="327"/>
      <c r="P620" s="121"/>
      <c r="Q620" s="143"/>
      <c r="R620" s="143"/>
      <c r="S620" s="17"/>
      <c r="T620" s="17"/>
      <c r="U620" s="17"/>
      <c r="V620" s="17"/>
      <c r="W620" s="17"/>
      <c r="X620" s="17"/>
      <c r="Y620" s="17"/>
      <c r="Z620" s="17"/>
    </row>
    <row r="621">
      <c r="A621" s="327"/>
      <c r="B621" s="121"/>
      <c r="C621" s="340"/>
      <c r="D621" s="339"/>
      <c r="E621" s="327"/>
      <c r="F621" s="121"/>
      <c r="G621" s="327"/>
      <c r="H621" s="121"/>
      <c r="I621" s="333"/>
      <c r="J621" s="177"/>
      <c r="K621" s="333"/>
      <c r="L621" s="177"/>
      <c r="M621" s="333"/>
      <c r="N621" s="177"/>
      <c r="O621" s="327"/>
      <c r="P621" s="121"/>
      <c r="Q621" s="143"/>
      <c r="R621" s="143"/>
      <c r="S621" s="17"/>
      <c r="T621" s="17"/>
      <c r="U621" s="17"/>
      <c r="V621" s="17"/>
      <c r="W621" s="17"/>
      <c r="X621" s="17"/>
      <c r="Y621" s="17"/>
      <c r="Z621" s="17"/>
    </row>
    <row r="622">
      <c r="A622" s="327"/>
      <c r="B622" s="121"/>
      <c r="C622" s="340"/>
      <c r="D622" s="339"/>
      <c r="E622" s="327"/>
      <c r="F622" s="121"/>
      <c r="G622" s="327"/>
      <c r="H622" s="121"/>
      <c r="I622" s="333"/>
      <c r="J622" s="177"/>
      <c r="K622" s="333"/>
      <c r="L622" s="177"/>
      <c r="M622" s="333"/>
      <c r="N622" s="177"/>
      <c r="O622" s="327"/>
      <c r="P622" s="121"/>
      <c r="Q622" s="143"/>
      <c r="R622" s="143"/>
      <c r="S622" s="17"/>
      <c r="T622" s="17"/>
      <c r="U622" s="17"/>
      <c r="V622" s="17"/>
      <c r="W622" s="17"/>
      <c r="X622" s="17"/>
      <c r="Y622" s="17"/>
      <c r="Z622" s="17"/>
    </row>
    <row r="623">
      <c r="A623" s="327"/>
      <c r="B623" s="121"/>
      <c r="C623" s="340"/>
      <c r="D623" s="339"/>
      <c r="E623" s="327"/>
      <c r="F623" s="121"/>
      <c r="G623" s="327"/>
      <c r="H623" s="121"/>
      <c r="I623" s="333"/>
      <c r="J623" s="177"/>
      <c r="K623" s="333"/>
      <c r="L623" s="177"/>
      <c r="M623" s="333"/>
      <c r="N623" s="177"/>
      <c r="O623" s="327"/>
      <c r="P623" s="121"/>
      <c r="Q623" s="143"/>
      <c r="R623" s="143"/>
      <c r="S623" s="17"/>
      <c r="T623" s="17"/>
      <c r="U623" s="17"/>
      <c r="V623" s="17"/>
      <c r="W623" s="17"/>
      <c r="X623" s="17"/>
      <c r="Y623" s="17"/>
      <c r="Z623" s="17"/>
    </row>
    <row r="624">
      <c r="A624" s="327"/>
      <c r="B624" s="121"/>
      <c r="C624" s="340"/>
      <c r="D624" s="339"/>
      <c r="E624" s="327"/>
      <c r="F624" s="121"/>
      <c r="G624" s="327"/>
      <c r="H624" s="121"/>
      <c r="I624" s="333"/>
      <c r="J624" s="177"/>
      <c r="K624" s="333"/>
      <c r="L624" s="177"/>
      <c r="M624" s="333"/>
      <c r="N624" s="177"/>
      <c r="O624" s="327"/>
      <c r="P624" s="121"/>
      <c r="Q624" s="143"/>
      <c r="R624" s="143"/>
      <c r="S624" s="17"/>
      <c r="T624" s="17"/>
      <c r="U624" s="17"/>
      <c r="V624" s="17"/>
      <c r="W624" s="17"/>
      <c r="X624" s="17"/>
      <c r="Y624" s="17"/>
      <c r="Z624" s="17"/>
    </row>
    <row r="625">
      <c r="A625" s="327"/>
      <c r="B625" s="121"/>
      <c r="C625" s="340"/>
      <c r="D625" s="339"/>
      <c r="E625" s="327"/>
      <c r="F625" s="121"/>
      <c r="G625" s="327"/>
      <c r="H625" s="121"/>
      <c r="I625" s="333"/>
      <c r="J625" s="177"/>
      <c r="K625" s="333"/>
      <c r="L625" s="177"/>
      <c r="M625" s="333"/>
      <c r="N625" s="177"/>
      <c r="O625" s="327"/>
      <c r="P625" s="121"/>
      <c r="Q625" s="143"/>
      <c r="R625" s="143"/>
      <c r="S625" s="17"/>
      <c r="T625" s="17"/>
      <c r="U625" s="17"/>
      <c r="V625" s="17"/>
      <c r="W625" s="17"/>
      <c r="X625" s="17"/>
      <c r="Y625" s="17"/>
      <c r="Z625" s="17"/>
    </row>
    <row r="626">
      <c r="A626" s="327"/>
      <c r="B626" s="121"/>
      <c r="C626" s="340"/>
      <c r="D626" s="339"/>
      <c r="E626" s="327"/>
      <c r="F626" s="121"/>
      <c r="G626" s="327"/>
      <c r="H626" s="121"/>
      <c r="I626" s="333"/>
      <c r="J626" s="177"/>
      <c r="K626" s="333"/>
      <c r="L626" s="177"/>
      <c r="M626" s="333"/>
      <c r="N626" s="177"/>
      <c r="O626" s="327"/>
      <c r="P626" s="121"/>
      <c r="Q626" s="143"/>
      <c r="R626" s="143"/>
      <c r="S626" s="17"/>
      <c r="T626" s="17"/>
      <c r="U626" s="17"/>
      <c r="V626" s="17"/>
      <c r="W626" s="17"/>
      <c r="X626" s="17"/>
      <c r="Y626" s="17"/>
      <c r="Z626" s="17"/>
    </row>
    <row r="627">
      <c r="A627" s="327"/>
      <c r="B627" s="121"/>
      <c r="C627" s="340"/>
      <c r="D627" s="339"/>
      <c r="E627" s="327"/>
      <c r="F627" s="121"/>
      <c r="G627" s="327"/>
      <c r="H627" s="121"/>
      <c r="I627" s="333"/>
      <c r="J627" s="177"/>
      <c r="K627" s="333"/>
      <c r="L627" s="177"/>
      <c r="M627" s="333"/>
      <c r="N627" s="177"/>
      <c r="O627" s="327"/>
      <c r="P627" s="121"/>
      <c r="Q627" s="143"/>
      <c r="R627" s="143"/>
      <c r="S627" s="17"/>
      <c r="T627" s="17"/>
      <c r="U627" s="17"/>
      <c r="V627" s="17"/>
      <c r="W627" s="17"/>
      <c r="X627" s="17"/>
      <c r="Y627" s="17"/>
      <c r="Z627" s="17"/>
    </row>
    <row r="628">
      <c r="A628" s="327"/>
      <c r="B628" s="121"/>
      <c r="C628" s="340"/>
      <c r="D628" s="339"/>
      <c r="E628" s="327"/>
      <c r="F628" s="121"/>
      <c r="G628" s="327"/>
      <c r="H628" s="121"/>
      <c r="I628" s="333"/>
      <c r="J628" s="177"/>
      <c r="K628" s="333"/>
      <c r="L628" s="177"/>
      <c r="M628" s="333"/>
      <c r="N628" s="177"/>
      <c r="O628" s="327"/>
      <c r="P628" s="121"/>
      <c r="Q628" s="143"/>
      <c r="R628" s="143"/>
      <c r="S628" s="17"/>
      <c r="T628" s="17"/>
      <c r="U628" s="17"/>
      <c r="V628" s="17"/>
      <c r="W628" s="17"/>
      <c r="X628" s="17"/>
      <c r="Y628" s="17"/>
      <c r="Z628" s="17"/>
    </row>
    <row r="629">
      <c r="A629" s="327"/>
      <c r="B629" s="121"/>
      <c r="C629" s="340"/>
      <c r="D629" s="339"/>
      <c r="E629" s="327"/>
      <c r="F629" s="121"/>
      <c r="G629" s="327"/>
      <c r="H629" s="121"/>
      <c r="I629" s="333"/>
      <c r="J629" s="177"/>
      <c r="K629" s="333"/>
      <c r="L629" s="177"/>
      <c r="M629" s="333"/>
      <c r="N629" s="177"/>
      <c r="O629" s="327"/>
      <c r="P629" s="121"/>
      <c r="Q629" s="143"/>
      <c r="R629" s="143"/>
      <c r="S629" s="17"/>
      <c r="T629" s="17"/>
      <c r="U629" s="17"/>
      <c r="V629" s="17"/>
      <c r="W629" s="17"/>
      <c r="X629" s="17"/>
      <c r="Y629" s="17"/>
      <c r="Z629" s="17"/>
    </row>
    <row r="630">
      <c r="A630" s="327"/>
      <c r="B630" s="121"/>
      <c r="C630" s="340"/>
      <c r="D630" s="339"/>
      <c r="E630" s="327"/>
      <c r="F630" s="121"/>
      <c r="G630" s="327"/>
      <c r="H630" s="121"/>
      <c r="I630" s="333"/>
      <c r="J630" s="177"/>
      <c r="K630" s="333"/>
      <c r="L630" s="177"/>
      <c r="M630" s="333"/>
      <c r="N630" s="177"/>
      <c r="O630" s="327"/>
      <c r="P630" s="121"/>
      <c r="Q630" s="143"/>
      <c r="R630" s="143"/>
      <c r="S630" s="17"/>
      <c r="T630" s="17"/>
      <c r="U630" s="17"/>
      <c r="V630" s="17"/>
      <c r="W630" s="17"/>
      <c r="X630" s="17"/>
      <c r="Y630" s="17"/>
      <c r="Z630" s="17"/>
    </row>
    <row r="631">
      <c r="A631" s="327"/>
      <c r="B631" s="121"/>
      <c r="C631" s="340"/>
      <c r="D631" s="339"/>
      <c r="E631" s="327"/>
      <c r="F631" s="121"/>
      <c r="G631" s="327"/>
      <c r="H631" s="121"/>
      <c r="I631" s="333"/>
      <c r="J631" s="177"/>
      <c r="K631" s="333"/>
      <c r="L631" s="177"/>
      <c r="M631" s="333"/>
      <c r="N631" s="177"/>
      <c r="O631" s="327"/>
      <c r="P631" s="121"/>
      <c r="Q631" s="143"/>
      <c r="R631" s="143"/>
      <c r="S631" s="17"/>
      <c r="T631" s="17"/>
      <c r="U631" s="17"/>
      <c r="V631" s="17"/>
      <c r="W631" s="17"/>
      <c r="X631" s="17"/>
      <c r="Y631" s="17"/>
      <c r="Z631" s="17"/>
    </row>
    <row r="632">
      <c r="A632" s="327"/>
      <c r="B632" s="121"/>
      <c r="C632" s="340"/>
      <c r="D632" s="339"/>
      <c r="E632" s="327"/>
      <c r="F632" s="121"/>
      <c r="G632" s="327"/>
      <c r="H632" s="121"/>
      <c r="I632" s="333"/>
      <c r="J632" s="177"/>
      <c r="K632" s="333"/>
      <c r="L632" s="177"/>
      <c r="M632" s="333"/>
      <c r="N632" s="177"/>
      <c r="O632" s="327"/>
      <c r="P632" s="121"/>
      <c r="Q632" s="143"/>
      <c r="R632" s="143"/>
      <c r="S632" s="17"/>
      <c r="T632" s="17"/>
      <c r="U632" s="17"/>
      <c r="V632" s="17"/>
      <c r="W632" s="17"/>
      <c r="X632" s="17"/>
      <c r="Y632" s="17"/>
      <c r="Z632" s="17"/>
    </row>
    <row r="633">
      <c r="A633" s="327"/>
      <c r="B633" s="121"/>
      <c r="C633" s="340"/>
      <c r="D633" s="339"/>
      <c r="E633" s="327"/>
      <c r="F633" s="121"/>
      <c r="G633" s="327"/>
      <c r="H633" s="121"/>
      <c r="I633" s="333"/>
      <c r="J633" s="177"/>
      <c r="K633" s="333"/>
      <c r="L633" s="177"/>
      <c r="M633" s="333"/>
      <c r="N633" s="177"/>
      <c r="O633" s="327"/>
      <c r="P633" s="121"/>
      <c r="Q633" s="143"/>
      <c r="R633" s="143"/>
      <c r="S633" s="17"/>
      <c r="T633" s="17"/>
      <c r="U633" s="17"/>
      <c r="V633" s="17"/>
      <c r="W633" s="17"/>
      <c r="X633" s="17"/>
      <c r="Y633" s="17"/>
      <c r="Z633" s="17"/>
    </row>
    <row r="634">
      <c r="A634" s="327"/>
      <c r="B634" s="121"/>
      <c r="C634" s="340"/>
      <c r="D634" s="339"/>
      <c r="E634" s="327"/>
      <c r="F634" s="121"/>
      <c r="G634" s="327"/>
      <c r="H634" s="121"/>
      <c r="I634" s="333"/>
      <c r="J634" s="177"/>
      <c r="K634" s="333"/>
      <c r="L634" s="177"/>
      <c r="M634" s="333"/>
      <c r="N634" s="177"/>
      <c r="O634" s="327"/>
      <c r="P634" s="121"/>
      <c r="Q634" s="143"/>
      <c r="R634" s="143"/>
      <c r="S634" s="17"/>
      <c r="T634" s="17"/>
      <c r="U634" s="17"/>
      <c r="V634" s="17"/>
      <c r="W634" s="17"/>
      <c r="X634" s="17"/>
      <c r="Y634" s="17"/>
      <c r="Z634" s="17"/>
    </row>
    <row r="635">
      <c r="A635" s="327"/>
      <c r="B635" s="121"/>
      <c r="C635" s="340"/>
      <c r="D635" s="339"/>
      <c r="E635" s="327"/>
      <c r="F635" s="121"/>
      <c r="G635" s="327"/>
      <c r="H635" s="121"/>
      <c r="I635" s="333"/>
      <c r="J635" s="177"/>
      <c r="K635" s="333"/>
      <c r="L635" s="177"/>
      <c r="M635" s="333"/>
      <c r="N635" s="177"/>
      <c r="O635" s="327"/>
      <c r="P635" s="121"/>
      <c r="Q635" s="143"/>
      <c r="R635" s="143"/>
      <c r="S635" s="17"/>
      <c r="T635" s="17"/>
      <c r="U635" s="17"/>
      <c r="V635" s="17"/>
      <c r="W635" s="17"/>
      <c r="X635" s="17"/>
      <c r="Y635" s="17"/>
      <c r="Z635" s="17"/>
    </row>
    <row r="636">
      <c r="A636" s="327"/>
      <c r="B636" s="121"/>
      <c r="C636" s="340"/>
      <c r="D636" s="339"/>
      <c r="E636" s="327"/>
      <c r="F636" s="121"/>
      <c r="G636" s="327"/>
      <c r="H636" s="121"/>
      <c r="I636" s="333"/>
      <c r="J636" s="177"/>
      <c r="K636" s="333"/>
      <c r="L636" s="177"/>
      <c r="M636" s="333"/>
      <c r="N636" s="177"/>
      <c r="O636" s="327"/>
      <c r="P636" s="121"/>
      <c r="Q636" s="143"/>
      <c r="R636" s="143"/>
      <c r="S636" s="17"/>
      <c r="T636" s="17"/>
      <c r="U636" s="17"/>
      <c r="V636" s="17"/>
      <c r="W636" s="17"/>
      <c r="X636" s="17"/>
      <c r="Y636" s="17"/>
      <c r="Z636" s="17"/>
    </row>
    <row r="637">
      <c r="A637" s="327"/>
      <c r="B637" s="121"/>
      <c r="C637" s="340"/>
      <c r="D637" s="339"/>
      <c r="E637" s="327"/>
      <c r="F637" s="121"/>
      <c r="G637" s="327"/>
      <c r="H637" s="121"/>
      <c r="I637" s="333"/>
      <c r="J637" s="177"/>
      <c r="K637" s="333"/>
      <c r="L637" s="177"/>
      <c r="M637" s="333"/>
      <c r="N637" s="177"/>
      <c r="O637" s="327"/>
      <c r="P637" s="121"/>
      <c r="Q637" s="143"/>
      <c r="R637" s="143"/>
      <c r="S637" s="17"/>
      <c r="T637" s="17"/>
      <c r="U637" s="17"/>
      <c r="V637" s="17"/>
      <c r="W637" s="17"/>
      <c r="X637" s="17"/>
      <c r="Y637" s="17"/>
      <c r="Z637" s="17"/>
    </row>
    <row r="638">
      <c r="A638" s="327"/>
      <c r="B638" s="121"/>
      <c r="C638" s="340"/>
      <c r="D638" s="339"/>
      <c r="E638" s="327"/>
      <c r="F638" s="121"/>
      <c r="G638" s="327"/>
      <c r="H638" s="121"/>
      <c r="I638" s="333"/>
      <c r="J638" s="177"/>
      <c r="K638" s="333"/>
      <c r="L638" s="177"/>
      <c r="M638" s="333"/>
      <c r="N638" s="177"/>
      <c r="O638" s="327"/>
      <c r="P638" s="121"/>
      <c r="Q638" s="143"/>
      <c r="R638" s="143"/>
      <c r="S638" s="17"/>
      <c r="T638" s="17"/>
      <c r="U638" s="17"/>
      <c r="V638" s="17"/>
      <c r="W638" s="17"/>
      <c r="X638" s="17"/>
      <c r="Y638" s="17"/>
      <c r="Z638" s="17"/>
    </row>
    <row r="639">
      <c r="A639" s="327"/>
      <c r="B639" s="121"/>
      <c r="C639" s="340"/>
      <c r="D639" s="339"/>
      <c r="E639" s="327"/>
      <c r="F639" s="121"/>
      <c r="G639" s="327"/>
      <c r="H639" s="121"/>
      <c r="I639" s="333"/>
      <c r="J639" s="177"/>
      <c r="K639" s="333"/>
      <c r="L639" s="177"/>
      <c r="M639" s="333"/>
      <c r="N639" s="177"/>
      <c r="O639" s="327"/>
      <c r="P639" s="121"/>
      <c r="Q639" s="143"/>
      <c r="R639" s="143"/>
      <c r="S639" s="17"/>
      <c r="T639" s="17"/>
      <c r="U639" s="17"/>
      <c r="V639" s="17"/>
      <c r="W639" s="17"/>
      <c r="X639" s="17"/>
      <c r="Y639" s="17"/>
      <c r="Z639" s="17"/>
    </row>
    <row r="640">
      <c r="A640" s="327"/>
      <c r="B640" s="121"/>
      <c r="C640" s="340"/>
      <c r="D640" s="339"/>
      <c r="E640" s="327"/>
      <c r="F640" s="121"/>
      <c r="G640" s="327"/>
      <c r="H640" s="121"/>
      <c r="I640" s="333"/>
      <c r="J640" s="177"/>
      <c r="K640" s="333"/>
      <c r="L640" s="177"/>
      <c r="M640" s="333"/>
      <c r="N640" s="177"/>
      <c r="O640" s="327"/>
      <c r="P640" s="121"/>
      <c r="Q640" s="143"/>
      <c r="R640" s="143"/>
      <c r="S640" s="17"/>
      <c r="T640" s="17"/>
      <c r="U640" s="17"/>
      <c r="V640" s="17"/>
      <c r="W640" s="17"/>
      <c r="X640" s="17"/>
      <c r="Y640" s="17"/>
      <c r="Z640" s="17"/>
    </row>
    <row r="641">
      <c r="A641" s="327"/>
      <c r="B641" s="121"/>
      <c r="C641" s="340"/>
      <c r="D641" s="339"/>
      <c r="E641" s="327"/>
      <c r="F641" s="121"/>
      <c r="G641" s="327"/>
      <c r="H641" s="121"/>
      <c r="I641" s="333"/>
      <c r="J641" s="177"/>
      <c r="K641" s="333"/>
      <c r="L641" s="177"/>
      <c r="M641" s="333"/>
      <c r="N641" s="177"/>
      <c r="O641" s="327"/>
      <c r="P641" s="121"/>
      <c r="Q641" s="143"/>
      <c r="R641" s="143"/>
      <c r="S641" s="17"/>
      <c r="T641" s="17"/>
      <c r="U641" s="17"/>
      <c r="V641" s="17"/>
      <c r="W641" s="17"/>
      <c r="X641" s="17"/>
      <c r="Y641" s="17"/>
      <c r="Z641" s="17"/>
    </row>
    <row r="642">
      <c r="A642" s="327"/>
      <c r="B642" s="121"/>
      <c r="C642" s="340"/>
      <c r="D642" s="339"/>
      <c r="E642" s="327"/>
      <c r="F642" s="121"/>
      <c r="G642" s="327"/>
      <c r="H642" s="121"/>
      <c r="I642" s="333"/>
      <c r="J642" s="177"/>
      <c r="K642" s="333"/>
      <c r="L642" s="177"/>
      <c r="M642" s="333"/>
      <c r="N642" s="177"/>
      <c r="O642" s="327"/>
      <c r="P642" s="121"/>
      <c r="Q642" s="143"/>
      <c r="R642" s="143"/>
      <c r="S642" s="17"/>
      <c r="T642" s="17"/>
      <c r="U642" s="17"/>
      <c r="V642" s="17"/>
      <c r="W642" s="17"/>
      <c r="X642" s="17"/>
      <c r="Y642" s="17"/>
      <c r="Z642" s="17"/>
    </row>
    <row r="643">
      <c r="A643" s="327"/>
      <c r="B643" s="121"/>
      <c r="C643" s="340"/>
      <c r="D643" s="339"/>
      <c r="E643" s="327"/>
      <c r="F643" s="121"/>
      <c r="G643" s="327"/>
      <c r="H643" s="121"/>
      <c r="I643" s="333"/>
      <c r="J643" s="177"/>
      <c r="K643" s="333"/>
      <c r="L643" s="177"/>
      <c r="M643" s="333"/>
      <c r="N643" s="177"/>
      <c r="O643" s="327"/>
      <c r="P643" s="121"/>
      <c r="Q643" s="143"/>
      <c r="R643" s="143"/>
      <c r="S643" s="17"/>
      <c r="T643" s="17"/>
      <c r="U643" s="17"/>
      <c r="V643" s="17"/>
      <c r="W643" s="17"/>
      <c r="X643" s="17"/>
      <c r="Y643" s="17"/>
      <c r="Z643" s="17"/>
    </row>
    <row r="644">
      <c r="A644" s="327"/>
      <c r="B644" s="121"/>
      <c r="C644" s="340"/>
      <c r="D644" s="339"/>
      <c r="E644" s="327"/>
      <c r="F644" s="121"/>
      <c r="G644" s="327"/>
      <c r="H644" s="121"/>
      <c r="I644" s="333"/>
      <c r="J644" s="177"/>
      <c r="K644" s="333"/>
      <c r="L644" s="177"/>
      <c r="M644" s="333"/>
      <c r="N644" s="177"/>
      <c r="O644" s="327"/>
      <c r="P644" s="121"/>
      <c r="Q644" s="143"/>
      <c r="R644" s="143"/>
      <c r="S644" s="17"/>
      <c r="T644" s="17"/>
      <c r="U644" s="17"/>
      <c r="V644" s="17"/>
      <c r="W644" s="17"/>
      <c r="X644" s="17"/>
      <c r="Y644" s="17"/>
      <c r="Z644" s="17"/>
    </row>
    <row r="645">
      <c r="A645" s="327"/>
      <c r="B645" s="121"/>
      <c r="C645" s="340"/>
      <c r="D645" s="339"/>
      <c r="E645" s="327"/>
      <c r="F645" s="121"/>
      <c r="G645" s="327"/>
      <c r="H645" s="121"/>
      <c r="I645" s="333"/>
      <c r="J645" s="177"/>
      <c r="K645" s="333"/>
      <c r="L645" s="177"/>
      <c r="M645" s="333"/>
      <c r="N645" s="177"/>
      <c r="O645" s="327"/>
      <c r="P645" s="121"/>
      <c r="Q645" s="143"/>
      <c r="R645" s="143"/>
      <c r="S645" s="17"/>
      <c r="T645" s="17"/>
      <c r="U645" s="17"/>
      <c r="V645" s="17"/>
      <c r="W645" s="17"/>
      <c r="X645" s="17"/>
      <c r="Y645" s="17"/>
      <c r="Z645" s="17"/>
    </row>
    <row r="646">
      <c r="A646" s="327"/>
      <c r="B646" s="121"/>
      <c r="C646" s="340"/>
      <c r="D646" s="339"/>
      <c r="E646" s="327"/>
      <c r="F646" s="121"/>
      <c r="G646" s="327"/>
      <c r="H646" s="121"/>
      <c r="I646" s="333"/>
      <c r="J646" s="177"/>
      <c r="K646" s="333"/>
      <c r="L646" s="177"/>
      <c r="M646" s="333"/>
      <c r="N646" s="177"/>
      <c r="O646" s="327"/>
      <c r="P646" s="121"/>
      <c r="Q646" s="143"/>
      <c r="R646" s="143"/>
      <c r="S646" s="17"/>
      <c r="T646" s="17"/>
      <c r="U646" s="17"/>
      <c r="V646" s="17"/>
      <c r="W646" s="17"/>
      <c r="X646" s="17"/>
      <c r="Y646" s="17"/>
      <c r="Z646" s="17"/>
    </row>
    <row r="647">
      <c r="A647" s="327"/>
      <c r="B647" s="121"/>
      <c r="C647" s="340"/>
      <c r="D647" s="339"/>
      <c r="E647" s="327"/>
      <c r="F647" s="121"/>
      <c r="G647" s="327"/>
      <c r="H647" s="121"/>
      <c r="I647" s="333"/>
      <c r="J647" s="177"/>
      <c r="K647" s="333"/>
      <c r="L647" s="177"/>
      <c r="M647" s="333"/>
      <c r="N647" s="177"/>
      <c r="O647" s="327"/>
      <c r="P647" s="121"/>
      <c r="Q647" s="143"/>
      <c r="R647" s="143"/>
      <c r="S647" s="17"/>
      <c r="T647" s="17"/>
      <c r="U647" s="17"/>
      <c r="V647" s="17"/>
      <c r="W647" s="17"/>
      <c r="X647" s="17"/>
      <c r="Y647" s="17"/>
      <c r="Z647" s="17"/>
    </row>
    <row r="648">
      <c r="A648" s="327"/>
      <c r="B648" s="121"/>
      <c r="C648" s="340"/>
      <c r="D648" s="339"/>
      <c r="E648" s="327"/>
      <c r="F648" s="121"/>
      <c r="G648" s="327"/>
      <c r="H648" s="121"/>
      <c r="I648" s="333"/>
      <c r="J648" s="177"/>
      <c r="K648" s="333"/>
      <c r="L648" s="177"/>
      <c r="M648" s="333"/>
      <c r="N648" s="177"/>
      <c r="O648" s="327"/>
      <c r="P648" s="121"/>
      <c r="Q648" s="143"/>
      <c r="R648" s="143"/>
      <c r="S648" s="17"/>
      <c r="T648" s="17"/>
      <c r="U648" s="17"/>
      <c r="V648" s="17"/>
      <c r="W648" s="17"/>
      <c r="X648" s="17"/>
      <c r="Y648" s="17"/>
      <c r="Z648" s="17"/>
    </row>
    <row r="649">
      <c r="A649" s="327"/>
      <c r="B649" s="121"/>
      <c r="C649" s="340"/>
      <c r="D649" s="339"/>
      <c r="E649" s="327"/>
      <c r="F649" s="121"/>
      <c r="G649" s="327"/>
      <c r="H649" s="121"/>
      <c r="I649" s="333"/>
      <c r="J649" s="177"/>
      <c r="K649" s="333"/>
      <c r="L649" s="177"/>
      <c r="M649" s="333"/>
      <c r="N649" s="177"/>
      <c r="O649" s="327"/>
      <c r="P649" s="121"/>
      <c r="Q649" s="143"/>
      <c r="R649" s="143"/>
      <c r="S649" s="17"/>
      <c r="T649" s="17"/>
      <c r="U649" s="17"/>
      <c r="V649" s="17"/>
      <c r="W649" s="17"/>
      <c r="X649" s="17"/>
      <c r="Y649" s="17"/>
      <c r="Z649" s="17"/>
    </row>
    <row r="650">
      <c r="A650" s="327"/>
      <c r="B650" s="121"/>
      <c r="C650" s="340"/>
      <c r="D650" s="339"/>
      <c r="E650" s="327"/>
      <c r="F650" s="121"/>
      <c r="G650" s="327"/>
      <c r="H650" s="121"/>
      <c r="I650" s="333"/>
      <c r="J650" s="177"/>
      <c r="K650" s="333"/>
      <c r="L650" s="177"/>
      <c r="M650" s="333"/>
      <c r="N650" s="177"/>
      <c r="O650" s="327"/>
      <c r="P650" s="121"/>
      <c r="Q650" s="143"/>
      <c r="R650" s="143"/>
      <c r="S650" s="17"/>
      <c r="T650" s="17"/>
      <c r="U650" s="17"/>
      <c r="V650" s="17"/>
      <c r="W650" s="17"/>
      <c r="X650" s="17"/>
      <c r="Y650" s="17"/>
      <c r="Z650" s="17"/>
    </row>
    <row r="651">
      <c r="A651" s="327"/>
      <c r="B651" s="121"/>
      <c r="C651" s="340"/>
      <c r="D651" s="339"/>
      <c r="E651" s="327"/>
      <c r="F651" s="121"/>
      <c r="G651" s="327"/>
      <c r="H651" s="121"/>
      <c r="I651" s="333"/>
      <c r="J651" s="177"/>
      <c r="K651" s="333"/>
      <c r="L651" s="177"/>
      <c r="M651" s="333"/>
      <c r="N651" s="177"/>
      <c r="O651" s="327"/>
      <c r="P651" s="121"/>
      <c r="Q651" s="143"/>
      <c r="R651" s="143"/>
      <c r="S651" s="17"/>
      <c r="T651" s="17"/>
      <c r="U651" s="17"/>
      <c r="V651" s="17"/>
      <c r="W651" s="17"/>
      <c r="X651" s="17"/>
      <c r="Y651" s="17"/>
      <c r="Z651" s="17"/>
    </row>
    <row r="652">
      <c r="A652" s="327"/>
      <c r="B652" s="121"/>
      <c r="C652" s="340"/>
      <c r="D652" s="339"/>
      <c r="E652" s="327"/>
      <c r="F652" s="121"/>
      <c r="G652" s="327"/>
      <c r="H652" s="121"/>
      <c r="I652" s="333"/>
      <c r="J652" s="177"/>
      <c r="K652" s="333"/>
      <c r="L652" s="177"/>
      <c r="M652" s="333"/>
      <c r="N652" s="177"/>
      <c r="O652" s="327"/>
      <c r="P652" s="121"/>
      <c r="Q652" s="143"/>
      <c r="R652" s="143"/>
      <c r="S652" s="17"/>
      <c r="T652" s="17"/>
      <c r="U652" s="17"/>
      <c r="V652" s="17"/>
      <c r="W652" s="17"/>
      <c r="X652" s="17"/>
      <c r="Y652" s="17"/>
      <c r="Z652" s="17"/>
    </row>
    <row r="653">
      <c r="A653" s="327"/>
      <c r="B653" s="121"/>
      <c r="C653" s="340"/>
      <c r="D653" s="339"/>
      <c r="E653" s="327"/>
      <c r="F653" s="121"/>
      <c r="G653" s="327"/>
      <c r="H653" s="121"/>
      <c r="I653" s="333"/>
      <c r="J653" s="177"/>
      <c r="K653" s="333"/>
      <c r="L653" s="177"/>
      <c r="M653" s="333"/>
      <c r="N653" s="177"/>
      <c r="O653" s="327"/>
      <c r="P653" s="121"/>
      <c r="Q653" s="143"/>
      <c r="R653" s="143"/>
      <c r="S653" s="17"/>
      <c r="T653" s="17"/>
      <c r="U653" s="17"/>
      <c r="V653" s="17"/>
      <c r="W653" s="17"/>
      <c r="X653" s="17"/>
      <c r="Y653" s="17"/>
      <c r="Z653" s="17"/>
    </row>
    <row r="654">
      <c r="A654" s="327"/>
      <c r="B654" s="121"/>
      <c r="C654" s="340"/>
      <c r="D654" s="339"/>
      <c r="E654" s="327"/>
      <c r="F654" s="121"/>
      <c r="G654" s="327"/>
      <c r="H654" s="121"/>
      <c r="I654" s="333"/>
      <c r="J654" s="177"/>
      <c r="K654" s="333"/>
      <c r="L654" s="177"/>
      <c r="M654" s="333"/>
      <c r="N654" s="177"/>
      <c r="O654" s="327"/>
      <c r="P654" s="121"/>
      <c r="Q654" s="143"/>
      <c r="R654" s="143"/>
      <c r="S654" s="17"/>
      <c r="T654" s="17"/>
      <c r="U654" s="17"/>
      <c r="V654" s="17"/>
      <c r="W654" s="17"/>
      <c r="X654" s="17"/>
      <c r="Y654" s="17"/>
      <c r="Z654" s="17"/>
    </row>
    <row r="655">
      <c r="A655" s="327"/>
      <c r="B655" s="121"/>
      <c r="C655" s="340"/>
      <c r="D655" s="339"/>
      <c r="E655" s="327"/>
      <c r="F655" s="121"/>
      <c r="G655" s="327"/>
      <c r="H655" s="121"/>
      <c r="I655" s="333"/>
      <c r="J655" s="177"/>
      <c r="K655" s="333"/>
      <c r="L655" s="177"/>
      <c r="M655" s="333"/>
      <c r="N655" s="177"/>
      <c r="O655" s="327"/>
      <c r="P655" s="121"/>
      <c r="Q655" s="143"/>
      <c r="R655" s="143"/>
      <c r="S655" s="17"/>
      <c r="T655" s="17"/>
      <c r="U655" s="17"/>
      <c r="V655" s="17"/>
      <c r="W655" s="17"/>
      <c r="X655" s="17"/>
      <c r="Y655" s="17"/>
      <c r="Z655" s="17"/>
    </row>
    <row r="656">
      <c r="A656" s="327"/>
      <c r="B656" s="121"/>
      <c r="C656" s="340"/>
      <c r="D656" s="339"/>
      <c r="E656" s="327"/>
      <c r="F656" s="121"/>
      <c r="G656" s="327"/>
      <c r="H656" s="121"/>
      <c r="I656" s="333"/>
      <c r="J656" s="177"/>
      <c r="K656" s="333"/>
      <c r="L656" s="177"/>
      <c r="M656" s="333"/>
      <c r="N656" s="177"/>
      <c r="O656" s="327"/>
      <c r="P656" s="121"/>
      <c r="Q656" s="143"/>
      <c r="R656" s="143"/>
      <c r="S656" s="17"/>
      <c r="T656" s="17"/>
      <c r="U656" s="17"/>
      <c r="V656" s="17"/>
      <c r="W656" s="17"/>
      <c r="X656" s="17"/>
      <c r="Y656" s="17"/>
      <c r="Z656" s="17"/>
    </row>
    <row r="657">
      <c r="A657" s="327"/>
      <c r="B657" s="121"/>
      <c r="C657" s="340"/>
      <c r="D657" s="339"/>
      <c r="E657" s="327"/>
      <c r="F657" s="121"/>
      <c r="G657" s="327"/>
      <c r="H657" s="121"/>
      <c r="I657" s="333"/>
      <c r="J657" s="177"/>
      <c r="K657" s="333"/>
      <c r="L657" s="177"/>
      <c r="M657" s="333"/>
      <c r="N657" s="177"/>
      <c r="O657" s="327"/>
      <c r="P657" s="121"/>
      <c r="Q657" s="143"/>
      <c r="R657" s="143"/>
      <c r="S657" s="17"/>
      <c r="T657" s="17"/>
      <c r="U657" s="17"/>
      <c r="V657" s="17"/>
      <c r="W657" s="17"/>
      <c r="X657" s="17"/>
      <c r="Y657" s="17"/>
      <c r="Z657" s="17"/>
    </row>
    <row r="658">
      <c r="A658" s="327"/>
      <c r="B658" s="121"/>
      <c r="C658" s="340"/>
      <c r="D658" s="339"/>
      <c r="E658" s="327"/>
      <c r="F658" s="121"/>
      <c r="G658" s="327"/>
      <c r="H658" s="121"/>
      <c r="I658" s="333"/>
      <c r="J658" s="177"/>
      <c r="K658" s="333"/>
      <c r="L658" s="177"/>
      <c r="M658" s="333"/>
      <c r="N658" s="177"/>
      <c r="O658" s="327"/>
      <c r="P658" s="121"/>
      <c r="Q658" s="143"/>
      <c r="R658" s="143"/>
      <c r="S658" s="17"/>
      <c r="T658" s="17"/>
      <c r="U658" s="17"/>
      <c r="V658" s="17"/>
      <c r="W658" s="17"/>
      <c r="X658" s="17"/>
      <c r="Y658" s="17"/>
      <c r="Z658" s="17"/>
    </row>
    <row r="659">
      <c r="A659" s="327"/>
      <c r="B659" s="121"/>
      <c r="C659" s="340"/>
      <c r="D659" s="339"/>
      <c r="E659" s="327"/>
      <c r="F659" s="121"/>
      <c r="G659" s="327"/>
      <c r="H659" s="121"/>
      <c r="I659" s="333"/>
      <c r="J659" s="177"/>
      <c r="K659" s="333"/>
      <c r="L659" s="177"/>
      <c r="M659" s="333"/>
      <c r="N659" s="177"/>
      <c r="O659" s="327"/>
      <c r="P659" s="121"/>
      <c r="Q659" s="143"/>
      <c r="R659" s="143"/>
      <c r="S659" s="17"/>
      <c r="T659" s="17"/>
      <c r="U659" s="17"/>
      <c r="V659" s="17"/>
      <c r="W659" s="17"/>
      <c r="X659" s="17"/>
      <c r="Y659" s="17"/>
      <c r="Z659" s="17"/>
    </row>
    <row r="660">
      <c r="A660" s="327"/>
      <c r="B660" s="121"/>
      <c r="C660" s="340"/>
      <c r="D660" s="339"/>
      <c r="E660" s="327"/>
      <c r="F660" s="121"/>
      <c r="G660" s="327"/>
      <c r="H660" s="121"/>
      <c r="I660" s="333"/>
      <c r="J660" s="177"/>
      <c r="K660" s="333"/>
      <c r="L660" s="177"/>
      <c r="M660" s="333"/>
      <c r="N660" s="177"/>
      <c r="O660" s="327"/>
      <c r="P660" s="121"/>
      <c r="Q660" s="143"/>
      <c r="R660" s="143"/>
      <c r="S660" s="17"/>
      <c r="T660" s="17"/>
      <c r="U660" s="17"/>
      <c r="V660" s="17"/>
      <c r="W660" s="17"/>
      <c r="X660" s="17"/>
      <c r="Y660" s="17"/>
      <c r="Z660" s="17"/>
    </row>
    <row r="661">
      <c r="A661" s="327"/>
      <c r="B661" s="121"/>
      <c r="C661" s="340"/>
      <c r="D661" s="339"/>
      <c r="E661" s="327"/>
      <c r="F661" s="121"/>
      <c r="G661" s="327"/>
      <c r="H661" s="121"/>
      <c r="I661" s="333"/>
      <c r="J661" s="177"/>
      <c r="K661" s="333"/>
      <c r="L661" s="177"/>
      <c r="M661" s="333"/>
      <c r="N661" s="177"/>
      <c r="O661" s="327"/>
      <c r="P661" s="121"/>
      <c r="Q661" s="143"/>
      <c r="R661" s="143"/>
      <c r="S661" s="17"/>
      <c r="T661" s="17"/>
      <c r="U661" s="17"/>
      <c r="V661" s="17"/>
      <c r="W661" s="17"/>
      <c r="X661" s="17"/>
      <c r="Y661" s="17"/>
      <c r="Z661" s="17"/>
    </row>
    <row r="662">
      <c r="A662" s="327"/>
      <c r="B662" s="121"/>
      <c r="C662" s="340"/>
      <c r="D662" s="339"/>
      <c r="E662" s="327"/>
      <c r="F662" s="121"/>
      <c r="G662" s="327"/>
      <c r="H662" s="121"/>
      <c r="I662" s="333"/>
      <c r="J662" s="177"/>
      <c r="K662" s="333"/>
      <c r="L662" s="177"/>
      <c r="M662" s="333"/>
      <c r="N662" s="177"/>
      <c r="O662" s="327"/>
      <c r="P662" s="121"/>
      <c r="Q662" s="143"/>
      <c r="R662" s="143"/>
      <c r="S662" s="17"/>
      <c r="T662" s="17"/>
      <c r="U662" s="17"/>
      <c r="V662" s="17"/>
      <c r="W662" s="17"/>
      <c r="X662" s="17"/>
      <c r="Y662" s="17"/>
      <c r="Z662" s="17"/>
    </row>
    <row r="663">
      <c r="A663" s="327"/>
      <c r="B663" s="121"/>
      <c r="C663" s="340"/>
      <c r="D663" s="339"/>
      <c r="E663" s="327"/>
      <c r="F663" s="121"/>
      <c r="G663" s="327"/>
      <c r="H663" s="121"/>
      <c r="I663" s="333"/>
      <c r="J663" s="177"/>
      <c r="K663" s="333"/>
      <c r="L663" s="177"/>
      <c r="M663" s="333"/>
      <c r="N663" s="177"/>
      <c r="O663" s="327"/>
      <c r="P663" s="121"/>
      <c r="Q663" s="143"/>
      <c r="R663" s="143"/>
      <c r="S663" s="17"/>
      <c r="T663" s="17"/>
      <c r="U663" s="17"/>
      <c r="V663" s="17"/>
      <c r="W663" s="17"/>
      <c r="X663" s="17"/>
      <c r="Y663" s="17"/>
      <c r="Z663" s="17"/>
    </row>
    <row r="664">
      <c r="A664" s="327"/>
      <c r="B664" s="121"/>
      <c r="C664" s="340"/>
      <c r="D664" s="339"/>
      <c r="E664" s="327"/>
      <c r="F664" s="121"/>
      <c r="G664" s="327"/>
      <c r="H664" s="121"/>
      <c r="I664" s="333"/>
      <c r="J664" s="177"/>
      <c r="K664" s="333"/>
      <c r="L664" s="177"/>
      <c r="M664" s="333"/>
      <c r="N664" s="177"/>
      <c r="O664" s="327"/>
      <c r="P664" s="121"/>
      <c r="Q664" s="143"/>
      <c r="R664" s="143"/>
      <c r="S664" s="17"/>
      <c r="T664" s="17"/>
      <c r="U664" s="17"/>
      <c r="V664" s="17"/>
      <c r="W664" s="17"/>
      <c r="X664" s="17"/>
      <c r="Y664" s="17"/>
      <c r="Z664" s="17"/>
    </row>
    <row r="665">
      <c r="A665" s="327"/>
      <c r="B665" s="121"/>
      <c r="C665" s="340"/>
      <c r="D665" s="339"/>
      <c r="E665" s="327"/>
      <c r="F665" s="121"/>
      <c r="G665" s="327"/>
      <c r="H665" s="121"/>
      <c r="I665" s="333"/>
      <c r="J665" s="177"/>
      <c r="K665" s="333"/>
      <c r="L665" s="177"/>
      <c r="M665" s="333"/>
      <c r="N665" s="177"/>
      <c r="O665" s="327"/>
      <c r="P665" s="121"/>
      <c r="Q665" s="143"/>
      <c r="R665" s="143"/>
      <c r="S665" s="17"/>
      <c r="T665" s="17"/>
      <c r="U665" s="17"/>
      <c r="V665" s="17"/>
      <c r="W665" s="17"/>
      <c r="X665" s="17"/>
      <c r="Y665" s="17"/>
      <c r="Z665" s="17"/>
    </row>
    <row r="666">
      <c r="A666" s="327"/>
      <c r="B666" s="121"/>
      <c r="C666" s="340"/>
      <c r="D666" s="339"/>
      <c r="E666" s="327"/>
      <c r="F666" s="121"/>
      <c r="G666" s="327"/>
      <c r="H666" s="121"/>
      <c r="I666" s="333"/>
      <c r="J666" s="177"/>
      <c r="K666" s="333"/>
      <c r="L666" s="177"/>
      <c r="M666" s="333"/>
      <c r="N666" s="177"/>
      <c r="O666" s="327"/>
      <c r="P666" s="121"/>
      <c r="Q666" s="143"/>
      <c r="R666" s="143"/>
      <c r="S666" s="17"/>
      <c r="T666" s="17"/>
      <c r="U666" s="17"/>
      <c r="V666" s="17"/>
      <c r="W666" s="17"/>
      <c r="X666" s="17"/>
      <c r="Y666" s="17"/>
      <c r="Z666" s="17"/>
    </row>
    <row r="667">
      <c r="A667" s="327"/>
      <c r="B667" s="121"/>
      <c r="C667" s="340"/>
      <c r="D667" s="339"/>
      <c r="E667" s="327"/>
      <c r="F667" s="121"/>
      <c r="G667" s="327"/>
      <c r="H667" s="121"/>
      <c r="I667" s="333"/>
      <c r="J667" s="177"/>
      <c r="K667" s="333"/>
      <c r="L667" s="177"/>
      <c r="M667" s="333"/>
      <c r="N667" s="177"/>
      <c r="O667" s="327"/>
      <c r="P667" s="121"/>
      <c r="Q667" s="143"/>
      <c r="R667" s="143"/>
      <c r="S667" s="17"/>
      <c r="T667" s="17"/>
      <c r="U667" s="17"/>
      <c r="V667" s="17"/>
      <c r="W667" s="17"/>
      <c r="X667" s="17"/>
      <c r="Y667" s="17"/>
      <c r="Z667" s="17"/>
    </row>
    <row r="668">
      <c r="A668" s="327"/>
      <c r="B668" s="121"/>
      <c r="C668" s="340"/>
      <c r="D668" s="339"/>
      <c r="E668" s="327"/>
      <c r="F668" s="121"/>
      <c r="G668" s="327"/>
      <c r="H668" s="121"/>
      <c r="I668" s="333"/>
      <c r="J668" s="177"/>
      <c r="K668" s="333"/>
      <c r="L668" s="177"/>
      <c r="M668" s="333"/>
      <c r="N668" s="177"/>
      <c r="O668" s="327"/>
      <c r="P668" s="121"/>
      <c r="Q668" s="143"/>
      <c r="R668" s="143"/>
      <c r="S668" s="17"/>
      <c r="T668" s="17"/>
      <c r="U668" s="17"/>
      <c r="V668" s="17"/>
      <c r="W668" s="17"/>
      <c r="X668" s="17"/>
      <c r="Y668" s="17"/>
      <c r="Z668" s="17"/>
    </row>
    <row r="669">
      <c r="A669" s="327"/>
      <c r="B669" s="121"/>
      <c r="C669" s="340"/>
      <c r="D669" s="339"/>
      <c r="E669" s="327"/>
      <c r="F669" s="121"/>
      <c r="G669" s="327"/>
      <c r="H669" s="121"/>
      <c r="I669" s="333"/>
      <c r="J669" s="177"/>
      <c r="K669" s="333"/>
      <c r="L669" s="177"/>
      <c r="M669" s="333"/>
      <c r="N669" s="177"/>
      <c r="O669" s="327"/>
      <c r="P669" s="121"/>
      <c r="Q669" s="143"/>
      <c r="R669" s="143"/>
      <c r="S669" s="17"/>
      <c r="T669" s="17"/>
      <c r="U669" s="17"/>
      <c r="V669" s="17"/>
      <c r="W669" s="17"/>
      <c r="X669" s="17"/>
      <c r="Y669" s="17"/>
      <c r="Z669" s="17"/>
    </row>
    <row r="670">
      <c r="A670" s="327"/>
      <c r="B670" s="121"/>
      <c r="C670" s="340"/>
      <c r="D670" s="339"/>
      <c r="E670" s="327"/>
      <c r="F670" s="121"/>
      <c r="G670" s="327"/>
      <c r="H670" s="121"/>
      <c r="I670" s="333"/>
      <c r="J670" s="177"/>
      <c r="K670" s="333"/>
      <c r="L670" s="177"/>
      <c r="M670" s="333"/>
      <c r="N670" s="177"/>
      <c r="O670" s="327"/>
      <c r="P670" s="121"/>
      <c r="Q670" s="143"/>
      <c r="R670" s="143"/>
      <c r="S670" s="17"/>
      <c r="T670" s="17"/>
      <c r="U670" s="17"/>
      <c r="V670" s="17"/>
      <c r="W670" s="17"/>
      <c r="X670" s="17"/>
      <c r="Y670" s="17"/>
      <c r="Z670" s="17"/>
    </row>
    <row r="671">
      <c r="A671" s="327"/>
      <c r="B671" s="121"/>
      <c r="C671" s="340"/>
      <c r="D671" s="339"/>
      <c r="E671" s="327"/>
      <c r="F671" s="121"/>
      <c r="G671" s="327"/>
      <c r="H671" s="121"/>
      <c r="I671" s="333"/>
      <c r="J671" s="177"/>
      <c r="K671" s="333"/>
      <c r="L671" s="177"/>
      <c r="M671" s="333"/>
      <c r="N671" s="177"/>
      <c r="O671" s="327"/>
      <c r="P671" s="121"/>
      <c r="Q671" s="143"/>
      <c r="R671" s="143"/>
      <c r="S671" s="17"/>
      <c r="T671" s="17"/>
      <c r="U671" s="17"/>
      <c r="V671" s="17"/>
      <c r="W671" s="17"/>
      <c r="X671" s="17"/>
      <c r="Y671" s="17"/>
      <c r="Z671" s="17"/>
    </row>
    <row r="672">
      <c r="A672" s="327"/>
      <c r="B672" s="121"/>
      <c r="C672" s="340"/>
      <c r="D672" s="339"/>
      <c r="E672" s="327"/>
      <c r="F672" s="121"/>
      <c r="G672" s="327"/>
      <c r="H672" s="121"/>
      <c r="I672" s="333"/>
      <c r="J672" s="177"/>
      <c r="K672" s="333"/>
      <c r="L672" s="177"/>
      <c r="M672" s="333"/>
      <c r="N672" s="177"/>
      <c r="O672" s="327"/>
      <c r="P672" s="121"/>
      <c r="Q672" s="143"/>
      <c r="R672" s="143"/>
      <c r="S672" s="17"/>
      <c r="T672" s="17"/>
      <c r="U672" s="17"/>
      <c r="V672" s="17"/>
      <c r="W672" s="17"/>
      <c r="X672" s="17"/>
      <c r="Y672" s="17"/>
      <c r="Z672" s="17"/>
    </row>
    <row r="673">
      <c r="A673" s="327"/>
      <c r="B673" s="121"/>
      <c r="C673" s="340"/>
      <c r="D673" s="339"/>
      <c r="E673" s="327"/>
      <c r="F673" s="121"/>
      <c r="G673" s="327"/>
      <c r="H673" s="121"/>
      <c r="I673" s="333"/>
      <c r="J673" s="177"/>
      <c r="K673" s="333"/>
      <c r="L673" s="177"/>
      <c r="M673" s="333"/>
      <c r="N673" s="177"/>
      <c r="O673" s="327"/>
      <c r="P673" s="121"/>
      <c r="Q673" s="143"/>
      <c r="R673" s="143"/>
      <c r="S673" s="17"/>
      <c r="T673" s="17"/>
      <c r="U673" s="17"/>
      <c r="V673" s="17"/>
      <c r="W673" s="17"/>
      <c r="X673" s="17"/>
      <c r="Y673" s="17"/>
      <c r="Z673" s="17"/>
    </row>
    <row r="674">
      <c r="A674" s="327"/>
      <c r="B674" s="121"/>
      <c r="C674" s="340"/>
      <c r="D674" s="339"/>
      <c r="E674" s="327"/>
      <c r="F674" s="121"/>
      <c r="G674" s="327"/>
      <c r="H674" s="121"/>
      <c r="I674" s="333"/>
      <c r="J674" s="177"/>
      <c r="K674" s="333"/>
      <c r="L674" s="177"/>
      <c r="M674" s="333"/>
      <c r="N674" s="177"/>
      <c r="O674" s="327"/>
      <c r="P674" s="121"/>
      <c r="Q674" s="143"/>
      <c r="R674" s="143"/>
      <c r="S674" s="17"/>
      <c r="T674" s="17"/>
      <c r="U674" s="17"/>
      <c r="V674" s="17"/>
      <c r="W674" s="17"/>
      <c r="X674" s="17"/>
      <c r="Y674" s="17"/>
      <c r="Z674" s="17"/>
    </row>
    <row r="675">
      <c r="A675" s="327"/>
      <c r="B675" s="121"/>
      <c r="C675" s="340"/>
      <c r="D675" s="339"/>
      <c r="E675" s="327"/>
      <c r="F675" s="121"/>
      <c r="G675" s="327"/>
      <c r="H675" s="121"/>
      <c r="I675" s="333"/>
      <c r="J675" s="177"/>
      <c r="K675" s="333"/>
      <c r="L675" s="177"/>
      <c r="M675" s="333"/>
      <c r="N675" s="177"/>
      <c r="O675" s="327"/>
      <c r="P675" s="121"/>
      <c r="Q675" s="143"/>
      <c r="R675" s="143"/>
      <c r="S675" s="17"/>
      <c r="T675" s="17"/>
      <c r="U675" s="17"/>
      <c r="V675" s="17"/>
      <c r="W675" s="17"/>
      <c r="X675" s="17"/>
      <c r="Y675" s="17"/>
      <c r="Z675" s="17"/>
    </row>
    <row r="676">
      <c r="A676" s="327"/>
      <c r="B676" s="121"/>
      <c r="C676" s="340"/>
      <c r="D676" s="339"/>
      <c r="E676" s="327"/>
      <c r="F676" s="121"/>
      <c r="G676" s="327"/>
      <c r="H676" s="121"/>
      <c r="I676" s="333"/>
      <c r="J676" s="177"/>
      <c r="K676" s="333"/>
      <c r="L676" s="177"/>
      <c r="M676" s="333"/>
      <c r="N676" s="177"/>
      <c r="O676" s="327"/>
      <c r="P676" s="121"/>
      <c r="Q676" s="143"/>
      <c r="R676" s="143"/>
      <c r="S676" s="17"/>
      <c r="T676" s="17"/>
      <c r="U676" s="17"/>
      <c r="V676" s="17"/>
      <c r="W676" s="17"/>
      <c r="X676" s="17"/>
      <c r="Y676" s="17"/>
      <c r="Z676" s="17"/>
    </row>
    <row r="677">
      <c r="A677" s="327"/>
      <c r="B677" s="121"/>
      <c r="C677" s="340"/>
      <c r="D677" s="339"/>
      <c r="E677" s="327"/>
      <c r="F677" s="121"/>
      <c r="G677" s="327"/>
      <c r="H677" s="121"/>
      <c r="I677" s="333"/>
      <c r="J677" s="177"/>
      <c r="K677" s="333"/>
      <c r="L677" s="177"/>
      <c r="M677" s="333"/>
      <c r="N677" s="177"/>
      <c r="O677" s="327"/>
      <c r="P677" s="121"/>
      <c r="Q677" s="143"/>
      <c r="R677" s="143"/>
      <c r="S677" s="17"/>
      <c r="T677" s="17"/>
      <c r="U677" s="17"/>
      <c r="V677" s="17"/>
      <c r="W677" s="17"/>
      <c r="X677" s="17"/>
      <c r="Y677" s="17"/>
      <c r="Z677" s="17"/>
    </row>
    <row r="678">
      <c r="A678" s="327"/>
      <c r="B678" s="121"/>
      <c r="C678" s="340"/>
      <c r="D678" s="339"/>
      <c r="E678" s="327"/>
      <c r="F678" s="121"/>
      <c r="G678" s="327"/>
      <c r="H678" s="121"/>
      <c r="I678" s="333"/>
      <c r="J678" s="177"/>
      <c r="K678" s="333"/>
      <c r="L678" s="177"/>
      <c r="M678" s="333"/>
      <c r="N678" s="177"/>
      <c r="O678" s="327"/>
      <c r="P678" s="121"/>
      <c r="Q678" s="143"/>
      <c r="R678" s="143"/>
      <c r="S678" s="17"/>
      <c r="T678" s="17"/>
      <c r="U678" s="17"/>
      <c r="V678" s="17"/>
      <c r="W678" s="17"/>
      <c r="X678" s="17"/>
      <c r="Y678" s="17"/>
      <c r="Z678" s="17"/>
    </row>
    <row r="679">
      <c r="A679" s="327"/>
      <c r="B679" s="121"/>
      <c r="C679" s="340"/>
      <c r="D679" s="339"/>
      <c r="E679" s="327"/>
      <c r="F679" s="121"/>
      <c r="G679" s="327"/>
      <c r="H679" s="121"/>
      <c r="I679" s="333"/>
      <c r="J679" s="177"/>
      <c r="K679" s="333"/>
      <c r="L679" s="177"/>
      <c r="M679" s="333"/>
      <c r="N679" s="177"/>
      <c r="O679" s="327"/>
      <c r="P679" s="121"/>
      <c r="Q679" s="143"/>
      <c r="R679" s="143"/>
      <c r="S679" s="17"/>
      <c r="T679" s="17"/>
      <c r="U679" s="17"/>
      <c r="V679" s="17"/>
      <c r="W679" s="17"/>
      <c r="X679" s="17"/>
      <c r="Y679" s="17"/>
      <c r="Z679" s="17"/>
    </row>
    <row r="680">
      <c r="A680" s="327"/>
      <c r="B680" s="121"/>
      <c r="C680" s="340"/>
      <c r="D680" s="339"/>
      <c r="E680" s="327"/>
      <c r="F680" s="121"/>
      <c r="G680" s="327"/>
      <c r="H680" s="121"/>
      <c r="I680" s="333"/>
      <c r="J680" s="177"/>
      <c r="K680" s="333"/>
      <c r="L680" s="177"/>
      <c r="M680" s="333"/>
      <c r="N680" s="177"/>
      <c r="O680" s="327"/>
      <c r="P680" s="121"/>
      <c r="Q680" s="143"/>
      <c r="R680" s="143"/>
      <c r="S680" s="17"/>
      <c r="T680" s="17"/>
      <c r="U680" s="17"/>
      <c r="V680" s="17"/>
      <c r="W680" s="17"/>
      <c r="X680" s="17"/>
      <c r="Y680" s="17"/>
      <c r="Z680" s="17"/>
    </row>
    <row r="681">
      <c r="A681" s="327"/>
      <c r="B681" s="121"/>
      <c r="C681" s="340"/>
      <c r="D681" s="339"/>
      <c r="E681" s="327"/>
      <c r="F681" s="121"/>
      <c r="G681" s="327"/>
      <c r="H681" s="121"/>
      <c r="I681" s="333"/>
      <c r="J681" s="177"/>
      <c r="K681" s="333"/>
      <c r="L681" s="177"/>
      <c r="M681" s="333"/>
      <c r="N681" s="177"/>
      <c r="O681" s="327"/>
      <c r="P681" s="121"/>
      <c r="Q681" s="143"/>
      <c r="R681" s="143"/>
      <c r="S681" s="17"/>
      <c r="T681" s="17"/>
      <c r="U681" s="17"/>
      <c r="V681" s="17"/>
      <c r="W681" s="17"/>
      <c r="X681" s="17"/>
      <c r="Y681" s="17"/>
      <c r="Z681" s="17"/>
    </row>
    <row r="682">
      <c r="A682" s="327"/>
      <c r="B682" s="121"/>
      <c r="C682" s="340"/>
      <c r="D682" s="339"/>
      <c r="E682" s="327"/>
      <c r="F682" s="121"/>
      <c r="G682" s="327"/>
      <c r="H682" s="121"/>
      <c r="I682" s="333"/>
      <c r="J682" s="177"/>
      <c r="K682" s="333"/>
      <c r="L682" s="177"/>
      <c r="M682" s="333"/>
      <c r="N682" s="177"/>
      <c r="O682" s="327"/>
      <c r="P682" s="121"/>
      <c r="Q682" s="143"/>
      <c r="R682" s="143"/>
      <c r="S682" s="17"/>
      <c r="T682" s="17"/>
      <c r="U682" s="17"/>
      <c r="V682" s="17"/>
      <c r="W682" s="17"/>
      <c r="X682" s="17"/>
      <c r="Y682" s="17"/>
      <c r="Z682" s="17"/>
    </row>
    <row r="683">
      <c r="A683" s="327"/>
      <c r="B683" s="121"/>
      <c r="C683" s="340"/>
      <c r="D683" s="339"/>
      <c r="E683" s="327"/>
      <c r="F683" s="121"/>
      <c r="G683" s="327"/>
      <c r="H683" s="121"/>
      <c r="I683" s="333"/>
      <c r="J683" s="177"/>
      <c r="K683" s="333"/>
      <c r="L683" s="177"/>
      <c r="M683" s="333"/>
      <c r="N683" s="177"/>
      <c r="O683" s="327"/>
      <c r="P683" s="121"/>
      <c r="Q683" s="143"/>
      <c r="R683" s="143"/>
      <c r="S683" s="17"/>
      <c r="T683" s="17"/>
      <c r="U683" s="17"/>
      <c r="V683" s="17"/>
      <c r="W683" s="17"/>
      <c r="X683" s="17"/>
      <c r="Y683" s="17"/>
      <c r="Z683" s="17"/>
    </row>
    <row r="684">
      <c r="A684" s="327"/>
      <c r="B684" s="121"/>
      <c r="C684" s="340"/>
      <c r="D684" s="339"/>
      <c r="E684" s="327"/>
      <c r="F684" s="121"/>
      <c r="G684" s="327"/>
      <c r="H684" s="121"/>
      <c r="I684" s="333"/>
      <c r="J684" s="177"/>
      <c r="K684" s="333"/>
      <c r="L684" s="177"/>
      <c r="M684" s="333"/>
      <c r="N684" s="177"/>
      <c r="O684" s="327"/>
      <c r="P684" s="121"/>
      <c r="Q684" s="143"/>
      <c r="R684" s="143"/>
      <c r="S684" s="17"/>
      <c r="T684" s="17"/>
      <c r="U684" s="17"/>
      <c r="V684" s="17"/>
      <c r="W684" s="17"/>
      <c r="X684" s="17"/>
      <c r="Y684" s="17"/>
      <c r="Z684" s="17"/>
    </row>
    <row r="685">
      <c r="A685" s="327"/>
      <c r="B685" s="121"/>
      <c r="C685" s="340"/>
      <c r="D685" s="339"/>
      <c r="E685" s="327"/>
      <c r="F685" s="121"/>
      <c r="G685" s="327"/>
      <c r="H685" s="121"/>
      <c r="I685" s="333"/>
      <c r="J685" s="177"/>
      <c r="K685" s="333"/>
      <c r="L685" s="177"/>
      <c r="M685" s="333"/>
      <c r="N685" s="177"/>
      <c r="O685" s="327"/>
      <c r="P685" s="121"/>
      <c r="Q685" s="143"/>
      <c r="R685" s="143"/>
      <c r="S685" s="17"/>
      <c r="T685" s="17"/>
      <c r="U685" s="17"/>
      <c r="V685" s="17"/>
      <c r="W685" s="17"/>
      <c r="X685" s="17"/>
      <c r="Y685" s="17"/>
      <c r="Z685" s="17"/>
    </row>
    <row r="686">
      <c r="A686" s="327"/>
      <c r="B686" s="121"/>
      <c r="C686" s="340"/>
      <c r="D686" s="339"/>
      <c r="E686" s="327"/>
      <c r="F686" s="121"/>
      <c r="G686" s="327"/>
      <c r="H686" s="121"/>
      <c r="I686" s="333"/>
      <c r="J686" s="177"/>
      <c r="K686" s="333"/>
      <c r="L686" s="177"/>
      <c r="M686" s="333"/>
      <c r="N686" s="177"/>
      <c r="O686" s="327"/>
      <c r="P686" s="121"/>
      <c r="Q686" s="143"/>
      <c r="R686" s="143"/>
      <c r="S686" s="17"/>
      <c r="T686" s="17"/>
      <c r="U686" s="17"/>
      <c r="V686" s="17"/>
      <c r="W686" s="17"/>
      <c r="X686" s="17"/>
      <c r="Y686" s="17"/>
      <c r="Z686" s="17"/>
    </row>
    <row r="687">
      <c r="A687" s="327"/>
      <c r="B687" s="121"/>
      <c r="C687" s="340"/>
      <c r="D687" s="339"/>
      <c r="E687" s="327"/>
      <c r="F687" s="121"/>
      <c r="G687" s="327"/>
      <c r="H687" s="121"/>
      <c r="I687" s="333"/>
      <c r="J687" s="177"/>
      <c r="K687" s="333"/>
      <c r="L687" s="177"/>
      <c r="M687" s="333"/>
      <c r="N687" s="177"/>
      <c r="O687" s="327"/>
      <c r="P687" s="121"/>
      <c r="Q687" s="143"/>
      <c r="R687" s="143"/>
      <c r="S687" s="17"/>
      <c r="T687" s="17"/>
      <c r="U687" s="17"/>
      <c r="V687" s="17"/>
      <c r="W687" s="17"/>
      <c r="X687" s="17"/>
      <c r="Y687" s="17"/>
      <c r="Z687" s="17"/>
    </row>
    <row r="688">
      <c r="A688" s="327"/>
      <c r="B688" s="121"/>
      <c r="C688" s="340"/>
      <c r="D688" s="339"/>
      <c r="E688" s="327"/>
      <c r="F688" s="121"/>
      <c r="G688" s="327"/>
      <c r="H688" s="121"/>
      <c r="I688" s="333"/>
      <c r="J688" s="177"/>
      <c r="K688" s="333"/>
      <c r="L688" s="177"/>
      <c r="M688" s="333"/>
      <c r="N688" s="177"/>
      <c r="O688" s="327"/>
      <c r="P688" s="121"/>
      <c r="Q688" s="143"/>
      <c r="R688" s="143"/>
      <c r="S688" s="17"/>
      <c r="T688" s="17"/>
      <c r="U688" s="17"/>
      <c r="V688" s="17"/>
      <c r="W688" s="17"/>
      <c r="X688" s="17"/>
      <c r="Y688" s="17"/>
      <c r="Z688" s="17"/>
    </row>
    <row r="689">
      <c r="A689" s="327"/>
      <c r="B689" s="121"/>
      <c r="C689" s="340"/>
      <c r="D689" s="339"/>
      <c r="E689" s="327"/>
      <c r="F689" s="121"/>
      <c r="G689" s="327"/>
      <c r="H689" s="121"/>
      <c r="I689" s="333"/>
      <c r="J689" s="177"/>
      <c r="K689" s="333"/>
      <c r="L689" s="177"/>
      <c r="M689" s="333"/>
      <c r="N689" s="177"/>
      <c r="O689" s="327"/>
      <c r="P689" s="121"/>
      <c r="Q689" s="143"/>
      <c r="R689" s="143"/>
      <c r="S689" s="17"/>
      <c r="T689" s="17"/>
      <c r="U689" s="17"/>
      <c r="V689" s="17"/>
      <c r="W689" s="17"/>
      <c r="X689" s="17"/>
      <c r="Y689" s="17"/>
      <c r="Z689" s="17"/>
    </row>
    <row r="690">
      <c r="A690" s="327"/>
      <c r="B690" s="121"/>
      <c r="C690" s="340"/>
      <c r="D690" s="339"/>
      <c r="E690" s="327"/>
      <c r="F690" s="121"/>
      <c r="G690" s="327"/>
      <c r="H690" s="121"/>
      <c r="I690" s="333"/>
      <c r="J690" s="177"/>
      <c r="K690" s="333"/>
      <c r="L690" s="177"/>
      <c r="M690" s="333"/>
      <c r="N690" s="177"/>
      <c r="O690" s="327"/>
      <c r="P690" s="121"/>
      <c r="Q690" s="143"/>
      <c r="R690" s="143"/>
      <c r="S690" s="17"/>
      <c r="T690" s="17"/>
      <c r="U690" s="17"/>
      <c r="V690" s="17"/>
      <c r="W690" s="17"/>
      <c r="X690" s="17"/>
      <c r="Y690" s="17"/>
      <c r="Z690" s="17"/>
    </row>
    <row r="691">
      <c r="A691" s="327"/>
      <c r="B691" s="121"/>
      <c r="C691" s="340"/>
      <c r="D691" s="339"/>
      <c r="E691" s="327"/>
      <c r="F691" s="121"/>
      <c r="G691" s="327"/>
      <c r="H691" s="121"/>
      <c r="I691" s="333"/>
      <c r="J691" s="177"/>
      <c r="K691" s="333"/>
      <c r="L691" s="177"/>
      <c r="M691" s="333"/>
      <c r="N691" s="177"/>
      <c r="O691" s="327"/>
      <c r="P691" s="121"/>
      <c r="Q691" s="143"/>
      <c r="R691" s="143"/>
      <c r="S691" s="17"/>
      <c r="T691" s="17"/>
      <c r="U691" s="17"/>
      <c r="V691" s="17"/>
      <c r="W691" s="17"/>
      <c r="X691" s="17"/>
      <c r="Y691" s="17"/>
      <c r="Z691" s="17"/>
    </row>
    <row r="692">
      <c r="A692" s="327"/>
      <c r="B692" s="121"/>
      <c r="C692" s="340"/>
      <c r="D692" s="339"/>
      <c r="E692" s="327"/>
      <c r="F692" s="121"/>
      <c r="G692" s="327"/>
      <c r="H692" s="121"/>
      <c r="I692" s="333"/>
      <c r="J692" s="177"/>
      <c r="K692" s="333"/>
      <c r="L692" s="177"/>
      <c r="M692" s="333"/>
      <c r="N692" s="177"/>
      <c r="O692" s="327"/>
      <c r="P692" s="121"/>
      <c r="Q692" s="143"/>
      <c r="R692" s="143"/>
      <c r="S692" s="17"/>
      <c r="T692" s="17"/>
      <c r="U692" s="17"/>
      <c r="V692" s="17"/>
      <c r="W692" s="17"/>
      <c r="X692" s="17"/>
      <c r="Y692" s="17"/>
      <c r="Z692" s="17"/>
    </row>
    <row r="693">
      <c r="A693" s="327"/>
      <c r="B693" s="121"/>
      <c r="C693" s="340"/>
      <c r="D693" s="339"/>
      <c r="E693" s="327"/>
      <c r="F693" s="121"/>
      <c r="G693" s="327"/>
      <c r="H693" s="121"/>
      <c r="I693" s="333"/>
      <c r="J693" s="177"/>
      <c r="K693" s="333"/>
      <c r="L693" s="177"/>
      <c r="M693" s="333"/>
      <c r="N693" s="177"/>
      <c r="O693" s="327"/>
      <c r="P693" s="121"/>
      <c r="Q693" s="143"/>
      <c r="R693" s="143"/>
      <c r="S693" s="17"/>
      <c r="T693" s="17"/>
      <c r="U693" s="17"/>
      <c r="V693" s="17"/>
      <c r="W693" s="17"/>
      <c r="X693" s="17"/>
      <c r="Y693" s="17"/>
      <c r="Z693" s="17"/>
    </row>
    <row r="694">
      <c r="A694" s="327"/>
      <c r="B694" s="121"/>
      <c r="C694" s="340"/>
      <c r="D694" s="339"/>
      <c r="E694" s="327"/>
      <c r="F694" s="121"/>
      <c r="G694" s="327"/>
      <c r="H694" s="121"/>
      <c r="I694" s="333"/>
      <c r="J694" s="177"/>
      <c r="K694" s="333"/>
      <c r="L694" s="177"/>
      <c r="M694" s="333"/>
      <c r="N694" s="177"/>
      <c r="O694" s="327"/>
      <c r="P694" s="121"/>
      <c r="Q694" s="143"/>
      <c r="R694" s="143"/>
      <c r="S694" s="17"/>
      <c r="T694" s="17"/>
      <c r="U694" s="17"/>
      <c r="V694" s="17"/>
      <c r="W694" s="17"/>
      <c r="X694" s="17"/>
      <c r="Y694" s="17"/>
      <c r="Z694" s="17"/>
    </row>
    <row r="695">
      <c r="A695" s="327"/>
      <c r="B695" s="121"/>
      <c r="C695" s="340"/>
      <c r="D695" s="339"/>
      <c r="E695" s="327"/>
      <c r="F695" s="121"/>
      <c r="G695" s="327"/>
      <c r="H695" s="121"/>
      <c r="I695" s="333"/>
      <c r="J695" s="177"/>
      <c r="K695" s="333"/>
      <c r="L695" s="177"/>
      <c r="M695" s="333"/>
      <c r="N695" s="177"/>
      <c r="O695" s="327"/>
      <c r="P695" s="121"/>
      <c r="Q695" s="143"/>
      <c r="R695" s="143"/>
      <c r="S695" s="17"/>
      <c r="T695" s="17"/>
      <c r="U695" s="17"/>
      <c r="V695" s="17"/>
      <c r="W695" s="17"/>
      <c r="X695" s="17"/>
      <c r="Y695" s="17"/>
      <c r="Z695" s="17"/>
    </row>
    <row r="696">
      <c r="A696" s="327"/>
      <c r="B696" s="121"/>
      <c r="C696" s="340"/>
      <c r="D696" s="339"/>
      <c r="E696" s="327"/>
      <c r="F696" s="121"/>
      <c r="G696" s="327"/>
      <c r="H696" s="121"/>
      <c r="I696" s="333"/>
      <c r="J696" s="177"/>
      <c r="K696" s="333"/>
      <c r="L696" s="177"/>
      <c r="M696" s="333"/>
      <c r="N696" s="177"/>
      <c r="O696" s="327"/>
      <c r="P696" s="121"/>
      <c r="Q696" s="143"/>
      <c r="R696" s="143"/>
      <c r="S696" s="17"/>
      <c r="T696" s="17"/>
      <c r="U696" s="17"/>
      <c r="V696" s="17"/>
      <c r="W696" s="17"/>
      <c r="X696" s="17"/>
      <c r="Y696" s="17"/>
      <c r="Z696" s="17"/>
    </row>
    <row r="697">
      <c r="A697" s="327"/>
      <c r="B697" s="121"/>
      <c r="C697" s="340"/>
      <c r="D697" s="339"/>
      <c r="E697" s="327"/>
      <c r="F697" s="121"/>
      <c r="G697" s="327"/>
      <c r="H697" s="121"/>
      <c r="I697" s="333"/>
      <c r="J697" s="177"/>
      <c r="K697" s="333"/>
      <c r="L697" s="177"/>
      <c r="M697" s="333"/>
      <c r="N697" s="177"/>
      <c r="O697" s="327"/>
      <c r="P697" s="121"/>
      <c r="Q697" s="143"/>
      <c r="R697" s="143"/>
      <c r="S697" s="17"/>
      <c r="T697" s="17"/>
      <c r="U697" s="17"/>
      <c r="V697" s="17"/>
      <c r="W697" s="17"/>
      <c r="X697" s="17"/>
      <c r="Y697" s="17"/>
      <c r="Z697" s="17"/>
    </row>
    <row r="698">
      <c r="A698" s="327"/>
      <c r="B698" s="121"/>
      <c r="C698" s="340"/>
      <c r="D698" s="339"/>
      <c r="E698" s="327"/>
      <c r="F698" s="121"/>
      <c r="G698" s="327"/>
      <c r="H698" s="121"/>
      <c r="I698" s="333"/>
      <c r="J698" s="177"/>
      <c r="K698" s="333"/>
      <c r="L698" s="177"/>
      <c r="M698" s="333"/>
      <c r="N698" s="177"/>
      <c r="O698" s="327"/>
      <c r="P698" s="121"/>
      <c r="Q698" s="143"/>
      <c r="R698" s="143"/>
      <c r="S698" s="17"/>
      <c r="T698" s="17"/>
      <c r="U698" s="17"/>
      <c r="V698" s="17"/>
      <c r="W698" s="17"/>
      <c r="X698" s="17"/>
      <c r="Y698" s="17"/>
      <c r="Z698" s="17"/>
    </row>
    <row r="699">
      <c r="A699" s="327"/>
      <c r="B699" s="121"/>
      <c r="C699" s="340"/>
      <c r="D699" s="339"/>
      <c r="E699" s="327"/>
      <c r="F699" s="121"/>
      <c r="G699" s="327"/>
      <c r="H699" s="121"/>
      <c r="I699" s="333"/>
      <c r="J699" s="177"/>
      <c r="K699" s="333"/>
      <c r="L699" s="177"/>
      <c r="M699" s="333"/>
      <c r="N699" s="177"/>
      <c r="O699" s="327"/>
      <c r="P699" s="121"/>
      <c r="Q699" s="143"/>
      <c r="R699" s="143"/>
      <c r="S699" s="17"/>
      <c r="T699" s="17"/>
      <c r="U699" s="17"/>
      <c r="V699" s="17"/>
      <c r="W699" s="17"/>
      <c r="X699" s="17"/>
      <c r="Y699" s="17"/>
      <c r="Z699" s="17"/>
    </row>
    <row r="700">
      <c r="A700" s="327"/>
      <c r="B700" s="121"/>
      <c r="C700" s="340"/>
      <c r="D700" s="339"/>
      <c r="E700" s="327"/>
      <c r="F700" s="121"/>
      <c r="G700" s="327"/>
      <c r="H700" s="121"/>
      <c r="I700" s="333"/>
      <c r="J700" s="177"/>
      <c r="K700" s="333"/>
      <c r="L700" s="177"/>
      <c r="M700" s="333"/>
      <c r="N700" s="177"/>
      <c r="O700" s="327"/>
      <c r="P700" s="121"/>
      <c r="Q700" s="143"/>
      <c r="R700" s="143"/>
      <c r="S700" s="17"/>
      <c r="T700" s="17"/>
      <c r="U700" s="17"/>
      <c r="V700" s="17"/>
      <c r="W700" s="17"/>
      <c r="X700" s="17"/>
      <c r="Y700" s="17"/>
      <c r="Z700" s="17"/>
    </row>
    <row r="701">
      <c r="A701" s="327"/>
      <c r="B701" s="121"/>
      <c r="C701" s="340"/>
      <c r="D701" s="339"/>
      <c r="E701" s="327"/>
      <c r="F701" s="121"/>
      <c r="G701" s="327"/>
      <c r="H701" s="121"/>
      <c r="I701" s="333"/>
      <c r="J701" s="177"/>
      <c r="K701" s="333"/>
      <c r="L701" s="177"/>
      <c r="M701" s="333"/>
      <c r="N701" s="177"/>
      <c r="O701" s="327"/>
      <c r="P701" s="121"/>
      <c r="Q701" s="143"/>
      <c r="R701" s="143"/>
      <c r="S701" s="17"/>
      <c r="T701" s="17"/>
      <c r="U701" s="17"/>
      <c r="V701" s="17"/>
      <c r="W701" s="17"/>
      <c r="X701" s="17"/>
      <c r="Y701" s="17"/>
      <c r="Z701" s="17"/>
    </row>
    <row r="702">
      <c r="A702" s="327"/>
      <c r="B702" s="121"/>
      <c r="C702" s="340"/>
      <c r="D702" s="339"/>
      <c r="E702" s="327"/>
      <c r="F702" s="121"/>
      <c r="G702" s="327"/>
      <c r="H702" s="121"/>
      <c r="I702" s="333"/>
      <c r="J702" s="177"/>
      <c r="K702" s="333"/>
      <c r="L702" s="177"/>
      <c r="M702" s="333"/>
      <c r="N702" s="177"/>
      <c r="O702" s="327"/>
      <c r="P702" s="121"/>
      <c r="Q702" s="143"/>
      <c r="R702" s="143"/>
      <c r="S702" s="17"/>
      <c r="T702" s="17"/>
      <c r="U702" s="17"/>
      <c r="V702" s="17"/>
      <c r="W702" s="17"/>
      <c r="X702" s="17"/>
      <c r="Y702" s="17"/>
      <c r="Z702" s="17"/>
    </row>
    <row r="703">
      <c r="A703" s="327"/>
      <c r="B703" s="121"/>
      <c r="C703" s="340"/>
      <c r="D703" s="339"/>
      <c r="E703" s="327"/>
      <c r="F703" s="121"/>
      <c r="G703" s="327"/>
      <c r="H703" s="121"/>
      <c r="I703" s="333"/>
      <c r="J703" s="177"/>
      <c r="K703" s="333"/>
      <c r="L703" s="177"/>
      <c r="M703" s="333"/>
      <c r="N703" s="177"/>
      <c r="O703" s="327"/>
      <c r="P703" s="121"/>
      <c r="Q703" s="143"/>
      <c r="R703" s="143"/>
      <c r="S703" s="17"/>
      <c r="T703" s="17"/>
      <c r="U703" s="17"/>
      <c r="V703" s="17"/>
      <c r="W703" s="17"/>
      <c r="X703" s="17"/>
      <c r="Y703" s="17"/>
      <c r="Z703" s="17"/>
    </row>
    <row r="704">
      <c r="A704" s="327"/>
      <c r="B704" s="121"/>
      <c r="C704" s="340"/>
      <c r="D704" s="339"/>
      <c r="E704" s="327"/>
      <c r="F704" s="121"/>
      <c r="G704" s="327"/>
      <c r="H704" s="121"/>
      <c r="I704" s="333"/>
      <c r="J704" s="177"/>
      <c r="K704" s="333"/>
      <c r="L704" s="177"/>
      <c r="M704" s="333"/>
      <c r="N704" s="177"/>
      <c r="O704" s="327"/>
      <c r="P704" s="121"/>
      <c r="Q704" s="143"/>
      <c r="R704" s="143"/>
      <c r="S704" s="17"/>
      <c r="T704" s="17"/>
      <c r="U704" s="17"/>
      <c r="V704" s="17"/>
      <c r="W704" s="17"/>
      <c r="X704" s="17"/>
      <c r="Y704" s="17"/>
      <c r="Z704" s="17"/>
    </row>
    <row r="705">
      <c r="A705" s="327"/>
      <c r="B705" s="121"/>
      <c r="C705" s="340"/>
      <c r="D705" s="339"/>
      <c r="E705" s="327"/>
      <c r="F705" s="121"/>
      <c r="G705" s="327"/>
      <c r="H705" s="121"/>
      <c r="I705" s="333"/>
      <c r="J705" s="177"/>
      <c r="K705" s="333"/>
      <c r="L705" s="177"/>
      <c r="M705" s="333"/>
      <c r="N705" s="177"/>
      <c r="O705" s="327"/>
      <c r="P705" s="121"/>
      <c r="Q705" s="143"/>
      <c r="R705" s="143"/>
      <c r="S705" s="17"/>
      <c r="T705" s="17"/>
      <c r="U705" s="17"/>
      <c r="V705" s="17"/>
      <c r="W705" s="17"/>
      <c r="X705" s="17"/>
      <c r="Y705" s="17"/>
      <c r="Z705" s="17"/>
    </row>
    <row r="706">
      <c r="A706" s="327"/>
      <c r="B706" s="121"/>
      <c r="C706" s="340"/>
      <c r="D706" s="339"/>
      <c r="E706" s="327"/>
      <c r="F706" s="121"/>
      <c r="G706" s="327"/>
      <c r="H706" s="121"/>
      <c r="I706" s="333"/>
      <c r="J706" s="177"/>
      <c r="K706" s="333"/>
      <c r="L706" s="177"/>
      <c r="M706" s="333"/>
      <c r="N706" s="177"/>
      <c r="O706" s="327"/>
      <c r="P706" s="121"/>
      <c r="Q706" s="143"/>
      <c r="R706" s="143"/>
      <c r="S706" s="17"/>
      <c r="T706" s="17"/>
      <c r="U706" s="17"/>
      <c r="V706" s="17"/>
      <c r="W706" s="17"/>
      <c r="X706" s="17"/>
      <c r="Y706" s="17"/>
      <c r="Z706" s="17"/>
    </row>
    <row r="707">
      <c r="A707" s="327"/>
      <c r="B707" s="121"/>
      <c r="C707" s="340"/>
      <c r="D707" s="339"/>
      <c r="E707" s="327"/>
      <c r="F707" s="121"/>
      <c r="G707" s="327"/>
      <c r="H707" s="121"/>
      <c r="I707" s="333"/>
      <c r="J707" s="177"/>
      <c r="K707" s="333"/>
      <c r="L707" s="177"/>
      <c r="M707" s="333"/>
      <c r="N707" s="177"/>
      <c r="O707" s="327"/>
      <c r="P707" s="121"/>
      <c r="Q707" s="143"/>
      <c r="R707" s="143"/>
      <c r="S707" s="17"/>
      <c r="T707" s="17"/>
      <c r="U707" s="17"/>
      <c r="V707" s="17"/>
      <c r="W707" s="17"/>
      <c r="X707" s="17"/>
      <c r="Y707" s="17"/>
      <c r="Z707" s="17"/>
    </row>
    <row r="708">
      <c r="A708" s="327"/>
      <c r="B708" s="121"/>
      <c r="C708" s="340"/>
      <c r="D708" s="339"/>
      <c r="E708" s="327"/>
      <c r="F708" s="121"/>
      <c r="G708" s="327"/>
      <c r="H708" s="121"/>
      <c r="I708" s="333"/>
      <c r="J708" s="177"/>
      <c r="K708" s="333"/>
      <c r="L708" s="177"/>
      <c r="M708" s="333"/>
      <c r="N708" s="177"/>
      <c r="O708" s="327"/>
      <c r="P708" s="121"/>
      <c r="Q708" s="143"/>
      <c r="R708" s="143"/>
      <c r="S708" s="17"/>
      <c r="T708" s="17"/>
      <c r="U708" s="17"/>
      <c r="V708" s="17"/>
      <c r="W708" s="17"/>
      <c r="X708" s="17"/>
      <c r="Y708" s="17"/>
      <c r="Z708" s="17"/>
    </row>
    <row r="709">
      <c r="A709" s="327"/>
      <c r="B709" s="121"/>
      <c r="C709" s="340"/>
      <c r="D709" s="339"/>
      <c r="E709" s="327"/>
      <c r="F709" s="121"/>
      <c r="G709" s="327"/>
      <c r="H709" s="121"/>
      <c r="I709" s="333"/>
      <c r="J709" s="177"/>
      <c r="K709" s="333"/>
      <c r="L709" s="177"/>
      <c r="M709" s="333"/>
      <c r="N709" s="177"/>
      <c r="O709" s="327"/>
      <c r="P709" s="121"/>
      <c r="Q709" s="143"/>
      <c r="R709" s="143"/>
      <c r="S709" s="17"/>
      <c r="T709" s="17"/>
      <c r="U709" s="17"/>
      <c r="V709" s="17"/>
      <c r="W709" s="17"/>
      <c r="X709" s="17"/>
      <c r="Y709" s="17"/>
      <c r="Z709" s="17"/>
    </row>
    <row r="710">
      <c r="A710" s="327"/>
      <c r="B710" s="121"/>
      <c r="C710" s="340"/>
      <c r="D710" s="339"/>
      <c r="E710" s="327"/>
      <c r="F710" s="121"/>
      <c r="G710" s="327"/>
      <c r="H710" s="121"/>
      <c r="I710" s="333"/>
      <c r="J710" s="177"/>
      <c r="K710" s="333"/>
      <c r="L710" s="177"/>
      <c r="M710" s="333"/>
      <c r="N710" s="177"/>
      <c r="O710" s="327"/>
      <c r="P710" s="121"/>
      <c r="Q710" s="143"/>
      <c r="R710" s="143"/>
      <c r="S710" s="17"/>
      <c r="T710" s="17"/>
      <c r="U710" s="17"/>
      <c r="V710" s="17"/>
      <c r="W710" s="17"/>
      <c r="X710" s="17"/>
      <c r="Y710" s="17"/>
      <c r="Z710" s="17"/>
    </row>
    <row r="711">
      <c r="A711" s="327"/>
      <c r="B711" s="121"/>
      <c r="C711" s="340"/>
      <c r="D711" s="339"/>
      <c r="E711" s="327"/>
      <c r="F711" s="121"/>
      <c r="G711" s="327"/>
      <c r="H711" s="121"/>
      <c r="I711" s="333"/>
      <c r="J711" s="177"/>
      <c r="K711" s="333"/>
      <c r="L711" s="177"/>
      <c r="M711" s="333"/>
      <c r="N711" s="177"/>
      <c r="O711" s="327"/>
      <c r="P711" s="121"/>
      <c r="Q711" s="143"/>
      <c r="R711" s="143"/>
      <c r="S711" s="17"/>
      <c r="T711" s="17"/>
      <c r="U711" s="17"/>
      <c r="V711" s="17"/>
      <c r="W711" s="17"/>
      <c r="X711" s="17"/>
      <c r="Y711" s="17"/>
      <c r="Z711" s="17"/>
    </row>
    <row r="712">
      <c r="A712" s="327"/>
      <c r="B712" s="121"/>
      <c r="C712" s="340"/>
      <c r="D712" s="339"/>
      <c r="E712" s="327"/>
      <c r="F712" s="121"/>
      <c r="G712" s="327"/>
      <c r="H712" s="121"/>
      <c r="I712" s="333"/>
      <c r="J712" s="177"/>
      <c r="K712" s="333"/>
      <c r="L712" s="177"/>
      <c r="M712" s="333"/>
      <c r="N712" s="177"/>
      <c r="O712" s="327"/>
      <c r="P712" s="121"/>
      <c r="Q712" s="143"/>
      <c r="R712" s="143"/>
      <c r="S712" s="17"/>
      <c r="T712" s="17"/>
      <c r="U712" s="17"/>
      <c r="V712" s="17"/>
      <c r="W712" s="17"/>
      <c r="X712" s="17"/>
      <c r="Y712" s="17"/>
      <c r="Z712" s="17"/>
    </row>
    <row r="713">
      <c r="A713" s="327"/>
      <c r="B713" s="121"/>
      <c r="C713" s="340"/>
      <c r="D713" s="339"/>
      <c r="E713" s="327"/>
      <c r="F713" s="121"/>
      <c r="G713" s="327"/>
      <c r="H713" s="121"/>
      <c r="I713" s="333"/>
      <c r="J713" s="177"/>
      <c r="K713" s="333"/>
      <c r="L713" s="177"/>
      <c r="M713" s="333"/>
      <c r="N713" s="177"/>
      <c r="O713" s="327"/>
      <c r="P713" s="121"/>
      <c r="Q713" s="143"/>
      <c r="R713" s="143"/>
      <c r="S713" s="17"/>
      <c r="T713" s="17"/>
      <c r="U713" s="17"/>
      <c r="V713" s="17"/>
      <c r="W713" s="17"/>
      <c r="X713" s="17"/>
      <c r="Y713" s="17"/>
      <c r="Z713" s="17"/>
    </row>
    <row r="714">
      <c r="A714" s="327"/>
      <c r="B714" s="121"/>
      <c r="C714" s="340"/>
      <c r="D714" s="339"/>
      <c r="E714" s="327"/>
      <c r="F714" s="121"/>
      <c r="G714" s="327"/>
      <c r="H714" s="121"/>
      <c r="I714" s="333"/>
      <c r="J714" s="177"/>
      <c r="K714" s="333"/>
      <c r="L714" s="177"/>
      <c r="M714" s="333"/>
      <c r="N714" s="177"/>
      <c r="O714" s="327"/>
      <c r="P714" s="121"/>
      <c r="Q714" s="143"/>
      <c r="R714" s="143"/>
      <c r="S714" s="17"/>
      <c r="T714" s="17"/>
      <c r="U714" s="17"/>
      <c r="V714" s="17"/>
      <c r="W714" s="17"/>
      <c r="X714" s="17"/>
      <c r="Y714" s="17"/>
      <c r="Z714" s="17"/>
    </row>
    <row r="715">
      <c r="A715" s="327"/>
      <c r="B715" s="121"/>
      <c r="C715" s="340"/>
      <c r="D715" s="339"/>
      <c r="E715" s="327"/>
      <c r="F715" s="121"/>
      <c r="G715" s="327"/>
      <c r="H715" s="121"/>
      <c r="I715" s="333"/>
      <c r="J715" s="177"/>
      <c r="K715" s="333"/>
      <c r="L715" s="177"/>
      <c r="M715" s="333"/>
      <c r="N715" s="177"/>
      <c r="O715" s="327"/>
      <c r="P715" s="121"/>
      <c r="Q715" s="143"/>
      <c r="R715" s="143"/>
      <c r="S715" s="17"/>
      <c r="T715" s="17"/>
      <c r="U715" s="17"/>
      <c r="V715" s="17"/>
      <c r="W715" s="17"/>
      <c r="X715" s="17"/>
      <c r="Y715" s="17"/>
      <c r="Z715" s="17"/>
    </row>
    <row r="716">
      <c r="A716" s="327"/>
      <c r="B716" s="121"/>
      <c r="C716" s="340"/>
      <c r="D716" s="339"/>
      <c r="E716" s="327"/>
      <c r="F716" s="121"/>
      <c r="G716" s="327"/>
      <c r="H716" s="121"/>
      <c r="I716" s="333"/>
      <c r="J716" s="177"/>
      <c r="K716" s="333"/>
      <c r="L716" s="177"/>
      <c r="M716" s="333"/>
      <c r="N716" s="177"/>
      <c r="O716" s="327"/>
      <c r="P716" s="121"/>
      <c r="Q716" s="143"/>
      <c r="R716" s="143"/>
      <c r="S716" s="17"/>
      <c r="T716" s="17"/>
      <c r="U716" s="17"/>
      <c r="V716" s="17"/>
      <c r="W716" s="17"/>
      <c r="X716" s="17"/>
      <c r="Y716" s="17"/>
      <c r="Z716" s="17"/>
    </row>
    <row r="717">
      <c r="A717" s="327"/>
      <c r="B717" s="121"/>
      <c r="C717" s="340"/>
      <c r="D717" s="339"/>
      <c r="E717" s="327"/>
      <c r="F717" s="121"/>
      <c r="G717" s="327"/>
      <c r="H717" s="121"/>
      <c r="I717" s="333"/>
      <c r="J717" s="177"/>
      <c r="K717" s="333"/>
      <c r="L717" s="177"/>
      <c r="M717" s="333"/>
      <c r="N717" s="177"/>
      <c r="O717" s="327"/>
      <c r="P717" s="121"/>
      <c r="Q717" s="143"/>
      <c r="R717" s="143"/>
      <c r="S717" s="17"/>
      <c r="T717" s="17"/>
      <c r="U717" s="17"/>
      <c r="V717" s="17"/>
      <c r="W717" s="17"/>
      <c r="X717" s="17"/>
      <c r="Y717" s="17"/>
      <c r="Z717" s="17"/>
    </row>
    <row r="718">
      <c r="A718" s="327"/>
      <c r="B718" s="121"/>
      <c r="C718" s="340"/>
      <c r="D718" s="339"/>
      <c r="E718" s="327"/>
      <c r="F718" s="121"/>
      <c r="G718" s="327"/>
      <c r="H718" s="121"/>
      <c r="I718" s="333"/>
      <c r="J718" s="177"/>
      <c r="K718" s="333"/>
      <c r="L718" s="177"/>
      <c r="M718" s="333"/>
      <c r="N718" s="177"/>
      <c r="O718" s="327"/>
      <c r="P718" s="121"/>
      <c r="Q718" s="143"/>
      <c r="R718" s="143"/>
      <c r="S718" s="17"/>
      <c r="T718" s="17"/>
      <c r="U718" s="17"/>
      <c r="V718" s="17"/>
      <c r="W718" s="17"/>
      <c r="X718" s="17"/>
      <c r="Y718" s="17"/>
      <c r="Z718" s="17"/>
    </row>
    <row r="719">
      <c r="A719" s="327"/>
      <c r="B719" s="121"/>
      <c r="C719" s="340"/>
      <c r="D719" s="339"/>
      <c r="E719" s="327"/>
      <c r="F719" s="121"/>
      <c r="G719" s="327"/>
      <c r="H719" s="121"/>
      <c r="I719" s="333"/>
      <c r="J719" s="177"/>
      <c r="K719" s="333"/>
      <c r="L719" s="177"/>
      <c r="M719" s="333"/>
      <c r="N719" s="177"/>
      <c r="O719" s="327"/>
      <c r="P719" s="121"/>
      <c r="Q719" s="143"/>
      <c r="R719" s="143"/>
      <c r="S719" s="17"/>
      <c r="T719" s="17"/>
      <c r="U719" s="17"/>
      <c r="V719" s="17"/>
      <c r="W719" s="17"/>
      <c r="X719" s="17"/>
      <c r="Y719" s="17"/>
      <c r="Z719" s="17"/>
    </row>
    <row r="720">
      <c r="A720" s="327"/>
      <c r="B720" s="121"/>
      <c r="C720" s="340"/>
      <c r="D720" s="339"/>
      <c r="E720" s="327"/>
      <c r="F720" s="121"/>
      <c r="G720" s="327"/>
      <c r="H720" s="121"/>
      <c r="I720" s="333"/>
      <c r="J720" s="177"/>
      <c r="K720" s="333"/>
      <c r="L720" s="177"/>
      <c r="M720" s="333"/>
      <c r="N720" s="177"/>
      <c r="O720" s="327"/>
      <c r="P720" s="121"/>
      <c r="Q720" s="143"/>
      <c r="R720" s="143"/>
      <c r="S720" s="17"/>
      <c r="T720" s="17"/>
      <c r="U720" s="17"/>
      <c r="V720" s="17"/>
      <c r="W720" s="17"/>
      <c r="X720" s="17"/>
      <c r="Y720" s="17"/>
      <c r="Z720" s="17"/>
    </row>
    <row r="721">
      <c r="A721" s="327"/>
      <c r="B721" s="121"/>
      <c r="C721" s="340"/>
      <c r="D721" s="339"/>
      <c r="E721" s="327"/>
      <c r="F721" s="121"/>
      <c r="G721" s="327"/>
      <c r="H721" s="121"/>
      <c r="I721" s="333"/>
      <c r="J721" s="177"/>
      <c r="K721" s="333"/>
      <c r="L721" s="177"/>
      <c r="M721" s="333"/>
      <c r="N721" s="177"/>
      <c r="O721" s="327"/>
      <c r="P721" s="121"/>
      <c r="Q721" s="143"/>
      <c r="R721" s="143"/>
      <c r="S721" s="17"/>
      <c r="T721" s="17"/>
      <c r="U721" s="17"/>
      <c r="V721" s="17"/>
      <c r="W721" s="17"/>
      <c r="X721" s="17"/>
      <c r="Y721" s="17"/>
      <c r="Z721" s="17"/>
    </row>
    <row r="722">
      <c r="A722" s="327"/>
      <c r="B722" s="121"/>
      <c r="C722" s="340"/>
      <c r="D722" s="339"/>
      <c r="E722" s="327"/>
      <c r="F722" s="121"/>
      <c r="G722" s="327"/>
      <c r="H722" s="121"/>
      <c r="I722" s="333"/>
      <c r="J722" s="177"/>
      <c r="K722" s="333"/>
      <c r="L722" s="177"/>
      <c r="M722" s="333"/>
      <c r="N722" s="177"/>
      <c r="O722" s="327"/>
      <c r="P722" s="121"/>
      <c r="Q722" s="143"/>
      <c r="R722" s="143"/>
      <c r="S722" s="17"/>
      <c r="T722" s="17"/>
      <c r="U722" s="17"/>
      <c r="V722" s="17"/>
      <c r="W722" s="17"/>
      <c r="X722" s="17"/>
      <c r="Y722" s="17"/>
      <c r="Z722" s="17"/>
    </row>
    <row r="723">
      <c r="A723" s="327"/>
      <c r="B723" s="121"/>
      <c r="C723" s="340"/>
      <c r="D723" s="339"/>
      <c r="E723" s="327"/>
      <c r="F723" s="121"/>
      <c r="G723" s="327"/>
      <c r="H723" s="121"/>
      <c r="I723" s="333"/>
      <c r="J723" s="177"/>
      <c r="K723" s="333"/>
      <c r="L723" s="177"/>
      <c r="M723" s="333"/>
      <c r="N723" s="177"/>
      <c r="O723" s="327"/>
      <c r="P723" s="121"/>
      <c r="Q723" s="143"/>
      <c r="R723" s="143"/>
      <c r="S723" s="17"/>
      <c r="T723" s="17"/>
      <c r="U723" s="17"/>
      <c r="V723" s="17"/>
      <c r="W723" s="17"/>
      <c r="X723" s="17"/>
      <c r="Y723" s="17"/>
      <c r="Z723" s="17"/>
    </row>
    <row r="724">
      <c r="A724" s="327"/>
      <c r="B724" s="121"/>
      <c r="C724" s="340"/>
      <c r="D724" s="339"/>
      <c r="E724" s="327"/>
      <c r="F724" s="121"/>
      <c r="G724" s="327"/>
      <c r="H724" s="121"/>
      <c r="I724" s="333"/>
      <c r="J724" s="177"/>
      <c r="K724" s="333"/>
      <c r="L724" s="177"/>
      <c r="M724" s="333"/>
      <c r="N724" s="177"/>
      <c r="O724" s="327"/>
      <c r="P724" s="121"/>
      <c r="Q724" s="143"/>
      <c r="R724" s="143"/>
      <c r="S724" s="17"/>
      <c r="T724" s="17"/>
      <c r="U724" s="17"/>
      <c r="V724" s="17"/>
      <c r="W724" s="17"/>
      <c r="X724" s="17"/>
      <c r="Y724" s="17"/>
      <c r="Z724" s="17"/>
    </row>
    <row r="725">
      <c r="A725" s="327"/>
      <c r="B725" s="121"/>
      <c r="C725" s="340"/>
      <c r="D725" s="339"/>
      <c r="E725" s="327"/>
      <c r="F725" s="121"/>
      <c r="G725" s="327"/>
      <c r="H725" s="121"/>
      <c r="I725" s="333"/>
      <c r="J725" s="177"/>
      <c r="K725" s="333"/>
      <c r="L725" s="177"/>
      <c r="M725" s="333"/>
      <c r="N725" s="177"/>
      <c r="O725" s="327"/>
      <c r="P725" s="121"/>
      <c r="Q725" s="143"/>
      <c r="R725" s="143"/>
      <c r="S725" s="17"/>
      <c r="T725" s="17"/>
      <c r="U725" s="17"/>
      <c r="V725" s="17"/>
      <c r="W725" s="17"/>
      <c r="X725" s="17"/>
      <c r="Y725" s="17"/>
      <c r="Z725" s="17"/>
    </row>
    <row r="726">
      <c r="A726" s="327"/>
      <c r="B726" s="121"/>
      <c r="C726" s="340"/>
      <c r="D726" s="339"/>
      <c r="E726" s="327"/>
      <c r="F726" s="121"/>
      <c r="G726" s="327"/>
      <c r="H726" s="121"/>
      <c r="I726" s="333"/>
      <c r="J726" s="177"/>
      <c r="K726" s="333"/>
      <c r="L726" s="177"/>
      <c r="M726" s="333"/>
      <c r="N726" s="177"/>
      <c r="O726" s="327"/>
      <c r="P726" s="121"/>
      <c r="Q726" s="143"/>
      <c r="R726" s="143"/>
      <c r="S726" s="17"/>
      <c r="T726" s="17"/>
      <c r="U726" s="17"/>
      <c r="V726" s="17"/>
      <c r="W726" s="17"/>
      <c r="X726" s="17"/>
      <c r="Y726" s="17"/>
      <c r="Z726" s="17"/>
    </row>
    <row r="727">
      <c r="A727" s="327"/>
      <c r="B727" s="121"/>
      <c r="C727" s="340"/>
      <c r="D727" s="339"/>
      <c r="E727" s="327"/>
      <c r="F727" s="121"/>
      <c r="G727" s="327"/>
      <c r="H727" s="121"/>
      <c r="I727" s="333"/>
      <c r="J727" s="177"/>
      <c r="K727" s="333"/>
      <c r="L727" s="177"/>
      <c r="M727" s="333"/>
      <c r="N727" s="177"/>
      <c r="O727" s="327"/>
      <c r="P727" s="121"/>
      <c r="Q727" s="143"/>
      <c r="R727" s="143"/>
      <c r="S727" s="17"/>
      <c r="T727" s="17"/>
      <c r="U727" s="17"/>
      <c r="V727" s="17"/>
      <c r="W727" s="17"/>
      <c r="X727" s="17"/>
      <c r="Y727" s="17"/>
      <c r="Z727" s="17"/>
    </row>
    <row r="728">
      <c r="A728" s="327"/>
      <c r="B728" s="121"/>
      <c r="C728" s="340"/>
      <c r="D728" s="339"/>
      <c r="E728" s="327"/>
      <c r="F728" s="121"/>
      <c r="G728" s="327"/>
      <c r="H728" s="121"/>
      <c r="I728" s="333"/>
      <c r="J728" s="177"/>
      <c r="K728" s="333"/>
      <c r="L728" s="177"/>
      <c r="M728" s="333"/>
      <c r="N728" s="177"/>
      <c r="O728" s="327"/>
      <c r="P728" s="121"/>
      <c r="Q728" s="143"/>
      <c r="R728" s="143"/>
      <c r="S728" s="17"/>
      <c r="T728" s="17"/>
      <c r="U728" s="17"/>
      <c r="V728" s="17"/>
      <c r="W728" s="17"/>
      <c r="X728" s="17"/>
      <c r="Y728" s="17"/>
      <c r="Z728" s="17"/>
    </row>
    <row r="729">
      <c r="A729" s="327"/>
      <c r="B729" s="121"/>
      <c r="C729" s="340"/>
      <c r="D729" s="339"/>
      <c r="E729" s="327"/>
      <c r="F729" s="121"/>
      <c r="G729" s="327"/>
      <c r="H729" s="121"/>
      <c r="I729" s="333"/>
      <c r="J729" s="177"/>
      <c r="K729" s="333"/>
      <c r="L729" s="177"/>
      <c r="M729" s="333"/>
      <c r="N729" s="177"/>
      <c r="O729" s="327"/>
      <c r="P729" s="121"/>
      <c r="Q729" s="143"/>
      <c r="R729" s="143"/>
      <c r="S729" s="17"/>
      <c r="T729" s="17"/>
      <c r="U729" s="17"/>
      <c r="V729" s="17"/>
      <c r="W729" s="17"/>
      <c r="X729" s="17"/>
      <c r="Y729" s="17"/>
      <c r="Z729" s="17"/>
    </row>
    <row r="730">
      <c r="A730" s="327"/>
      <c r="B730" s="121"/>
      <c r="C730" s="340"/>
      <c r="D730" s="339"/>
      <c r="E730" s="327"/>
      <c r="F730" s="121"/>
      <c r="G730" s="327"/>
      <c r="H730" s="121"/>
      <c r="I730" s="333"/>
      <c r="J730" s="177"/>
      <c r="K730" s="333"/>
      <c r="L730" s="177"/>
      <c r="M730" s="333"/>
      <c r="N730" s="177"/>
      <c r="O730" s="327"/>
      <c r="P730" s="121"/>
      <c r="Q730" s="143"/>
      <c r="R730" s="143"/>
      <c r="S730" s="17"/>
      <c r="T730" s="17"/>
      <c r="U730" s="17"/>
      <c r="V730" s="17"/>
      <c r="W730" s="17"/>
      <c r="X730" s="17"/>
      <c r="Y730" s="17"/>
      <c r="Z730" s="17"/>
    </row>
    <row r="731">
      <c r="A731" s="327"/>
      <c r="B731" s="121"/>
      <c r="C731" s="340"/>
      <c r="D731" s="339"/>
      <c r="E731" s="327"/>
      <c r="F731" s="121"/>
      <c r="G731" s="327"/>
      <c r="H731" s="121"/>
      <c r="I731" s="333"/>
      <c r="J731" s="177"/>
      <c r="K731" s="333"/>
      <c r="L731" s="177"/>
      <c r="M731" s="333"/>
      <c r="N731" s="177"/>
      <c r="O731" s="327"/>
      <c r="P731" s="121"/>
      <c r="Q731" s="143"/>
      <c r="R731" s="143"/>
      <c r="S731" s="17"/>
      <c r="T731" s="17"/>
      <c r="U731" s="17"/>
      <c r="V731" s="17"/>
      <c r="W731" s="17"/>
      <c r="X731" s="17"/>
      <c r="Y731" s="17"/>
      <c r="Z731" s="17"/>
    </row>
    <row r="732">
      <c r="A732" s="327"/>
      <c r="B732" s="121"/>
      <c r="C732" s="340"/>
      <c r="D732" s="339"/>
      <c r="E732" s="327"/>
      <c r="F732" s="121"/>
      <c r="G732" s="327"/>
      <c r="H732" s="121"/>
      <c r="I732" s="333"/>
      <c r="J732" s="177"/>
      <c r="K732" s="333"/>
      <c r="L732" s="177"/>
      <c r="M732" s="333"/>
      <c r="N732" s="177"/>
      <c r="O732" s="327"/>
      <c r="P732" s="121"/>
      <c r="Q732" s="143"/>
      <c r="R732" s="143"/>
      <c r="S732" s="17"/>
      <c r="T732" s="17"/>
      <c r="U732" s="17"/>
      <c r="V732" s="17"/>
      <c r="W732" s="17"/>
      <c r="X732" s="17"/>
      <c r="Y732" s="17"/>
      <c r="Z732" s="17"/>
    </row>
    <row r="733">
      <c r="A733" s="327"/>
      <c r="B733" s="121"/>
      <c r="C733" s="340"/>
      <c r="D733" s="339"/>
      <c r="E733" s="327"/>
      <c r="F733" s="121"/>
      <c r="G733" s="327"/>
      <c r="H733" s="121"/>
      <c r="I733" s="333"/>
      <c r="J733" s="177"/>
      <c r="K733" s="333"/>
      <c r="L733" s="177"/>
      <c r="M733" s="333"/>
      <c r="N733" s="177"/>
      <c r="O733" s="327"/>
      <c r="P733" s="121"/>
      <c r="Q733" s="143"/>
      <c r="R733" s="143"/>
      <c r="S733" s="17"/>
      <c r="T733" s="17"/>
      <c r="U733" s="17"/>
      <c r="V733" s="17"/>
      <c r="W733" s="17"/>
      <c r="X733" s="17"/>
      <c r="Y733" s="17"/>
      <c r="Z733" s="17"/>
    </row>
    <row r="734">
      <c r="A734" s="327"/>
      <c r="B734" s="121"/>
      <c r="C734" s="340"/>
      <c r="D734" s="339"/>
      <c r="E734" s="327"/>
      <c r="F734" s="121"/>
      <c r="G734" s="327"/>
      <c r="H734" s="121"/>
      <c r="I734" s="333"/>
      <c r="J734" s="177"/>
      <c r="K734" s="333"/>
      <c r="L734" s="177"/>
      <c r="M734" s="333"/>
      <c r="N734" s="177"/>
      <c r="O734" s="327"/>
      <c r="P734" s="121"/>
      <c r="Q734" s="143"/>
      <c r="R734" s="143"/>
      <c r="S734" s="17"/>
      <c r="T734" s="17"/>
      <c r="U734" s="17"/>
      <c r="V734" s="17"/>
      <c r="W734" s="17"/>
      <c r="X734" s="17"/>
      <c r="Y734" s="17"/>
      <c r="Z734" s="17"/>
    </row>
    <row r="735">
      <c r="A735" s="327"/>
      <c r="B735" s="121"/>
      <c r="C735" s="340"/>
      <c r="D735" s="339"/>
      <c r="E735" s="327"/>
      <c r="F735" s="121"/>
      <c r="G735" s="327"/>
      <c r="H735" s="121"/>
      <c r="I735" s="333"/>
      <c r="J735" s="177"/>
      <c r="K735" s="333"/>
      <c r="L735" s="177"/>
      <c r="M735" s="333"/>
      <c r="N735" s="177"/>
      <c r="O735" s="327"/>
      <c r="P735" s="121"/>
      <c r="Q735" s="143"/>
      <c r="R735" s="143"/>
      <c r="S735" s="17"/>
      <c r="T735" s="17"/>
      <c r="U735" s="17"/>
      <c r="V735" s="17"/>
      <c r="W735" s="17"/>
      <c r="X735" s="17"/>
      <c r="Y735" s="17"/>
      <c r="Z735" s="17"/>
    </row>
    <row r="736">
      <c r="A736" s="327"/>
      <c r="B736" s="121"/>
      <c r="C736" s="340"/>
      <c r="D736" s="339"/>
      <c r="E736" s="327"/>
      <c r="F736" s="121"/>
      <c r="G736" s="327"/>
      <c r="H736" s="121"/>
      <c r="I736" s="333"/>
      <c r="J736" s="177"/>
      <c r="K736" s="333"/>
      <c r="L736" s="177"/>
      <c r="M736" s="333"/>
      <c r="N736" s="177"/>
      <c r="O736" s="327"/>
      <c r="P736" s="121"/>
      <c r="Q736" s="143"/>
      <c r="R736" s="143"/>
      <c r="S736" s="17"/>
      <c r="T736" s="17"/>
      <c r="U736" s="17"/>
      <c r="V736" s="17"/>
      <c r="W736" s="17"/>
      <c r="X736" s="17"/>
      <c r="Y736" s="17"/>
      <c r="Z736" s="17"/>
    </row>
    <row r="737">
      <c r="A737" s="327"/>
      <c r="B737" s="121"/>
      <c r="C737" s="340"/>
      <c r="D737" s="339"/>
      <c r="E737" s="327"/>
      <c r="F737" s="121"/>
      <c r="G737" s="327"/>
      <c r="H737" s="121"/>
      <c r="I737" s="333"/>
      <c r="J737" s="177"/>
      <c r="K737" s="333"/>
      <c r="L737" s="177"/>
      <c r="M737" s="333"/>
      <c r="N737" s="177"/>
      <c r="O737" s="327"/>
      <c r="P737" s="121"/>
      <c r="Q737" s="143"/>
      <c r="R737" s="143"/>
      <c r="S737" s="17"/>
      <c r="T737" s="17"/>
      <c r="U737" s="17"/>
      <c r="V737" s="17"/>
      <c r="W737" s="17"/>
      <c r="X737" s="17"/>
      <c r="Y737" s="17"/>
      <c r="Z737" s="17"/>
    </row>
    <row r="738">
      <c r="A738" s="327"/>
      <c r="B738" s="121"/>
      <c r="C738" s="340"/>
      <c r="D738" s="339"/>
      <c r="E738" s="327"/>
      <c r="F738" s="121"/>
      <c r="G738" s="327"/>
      <c r="H738" s="121"/>
      <c r="I738" s="333"/>
      <c r="J738" s="177"/>
      <c r="K738" s="333"/>
      <c r="L738" s="177"/>
      <c r="M738" s="333"/>
      <c r="N738" s="177"/>
      <c r="O738" s="327"/>
      <c r="P738" s="121"/>
      <c r="Q738" s="143"/>
      <c r="R738" s="143"/>
      <c r="S738" s="17"/>
      <c r="T738" s="17"/>
      <c r="U738" s="17"/>
      <c r="V738" s="17"/>
      <c r="W738" s="17"/>
      <c r="X738" s="17"/>
      <c r="Y738" s="17"/>
      <c r="Z738" s="17"/>
    </row>
    <row r="739">
      <c r="A739" s="327"/>
      <c r="B739" s="121"/>
      <c r="C739" s="340"/>
      <c r="D739" s="339"/>
      <c r="E739" s="327"/>
      <c r="F739" s="121"/>
      <c r="G739" s="327"/>
      <c r="H739" s="121"/>
      <c r="I739" s="333"/>
      <c r="J739" s="177"/>
      <c r="K739" s="333"/>
      <c r="L739" s="177"/>
      <c r="M739" s="333"/>
      <c r="N739" s="177"/>
      <c r="O739" s="327"/>
      <c r="P739" s="121"/>
      <c r="Q739" s="143"/>
      <c r="R739" s="143"/>
      <c r="S739" s="17"/>
      <c r="T739" s="17"/>
      <c r="U739" s="17"/>
      <c r="V739" s="17"/>
      <c r="W739" s="17"/>
      <c r="X739" s="17"/>
      <c r="Y739" s="17"/>
      <c r="Z739" s="17"/>
    </row>
    <row r="740">
      <c r="A740" s="327"/>
      <c r="B740" s="121"/>
      <c r="C740" s="340"/>
      <c r="D740" s="339"/>
      <c r="E740" s="327"/>
      <c r="F740" s="121"/>
      <c r="G740" s="327"/>
      <c r="H740" s="121"/>
      <c r="I740" s="333"/>
      <c r="J740" s="177"/>
      <c r="K740" s="333"/>
      <c r="L740" s="177"/>
      <c r="M740" s="333"/>
      <c r="N740" s="177"/>
      <c r="O740" s="327"/>
      <c r="P740" s="121"/>
      <c r="Q740" s="143"/>
      <c r="R740" s="143"/>
      <c r="S740" s="17"/>
      <c r="T740" s="17"/>
      <c r="U740" s="17"/>
      <c r="V740" s="17"/>
      <c r="W740" s="17"/>
      <c r="X740" s="17"/>
      <c r="Y740" s="17"/>
      <c r="Z740" s="17"/>
    </row>
    <row r="741">
      <c r="A741" s="327"/>
      <c r="B741" s="121"/>
      <c r="C741" s="340"/>
      <c r="D741" s="339"/>
      <c r="E741" s="327"/>
      <c r="F741" s="121"/>
      <c r="G741" s="327"/>
      <c r="H741" s="121"/>
      <c r="I741" s="333"/>
      <c r="J741" s="177"/>
      <c r="K741" s="333"/>
      <c r="L741" s="177"/>
      <c r="M741" s="333"/>
      <c r="N741" s="177"/>
      <c r="O741" s="327"/>
      <c r="P741" s="121"/>
      <c r="Q741" s="143"/>
      <c r="R741" s="143"/>
      <c r="S741" s="17"/>
      <c r="T741" s="17"/>
      <c r="U741" s="17"/>
      <c r="V741" s="17"/>
      <c r="W741" s="17"/>
      <c r="X741" s="17"/>
      <c r="Y741" s="17"/>
      <c r="Z741" s="17"/>
    </row>
    <row r="742">
      <c r="A742" s="327"/>
      <c r="B742" s="121"/>
      <c r="C742" s="340"/>
      <c r="D742" s="339"/>
      <c r="E742" s="327"/>
      <c r="F742" s="121"/>
      <c r="G742" s="327"/>
      <c r="H742" s="121"/>
      <c r="I742" s="333"/>
      <c r="J742" s="177"/>
      <c r="K742" s="333"/>
      <c r="L742" s="177"/>
      <c r="M742" s="333"/>
      <c r="N742" s="177"/>
      <c r="O742" s="327"/>
      <c r="P742" s="121"/>
      <c r="Q742" s="143"/>
      <c r="R742" s="143"/>
      <c r="S742" s="17"/>
      <c r="T742" s="17"/>
      <c r="U742" s="17"/>
      <c r="V742" s="17"/>
      <c r="W742" s="17"/>
      <c r="X742" s="17"/>
      <c r="Y742" s="17"/>
      <c r="Z742" s="17"/>
    </row>
    <row r="743">
      <c r="A743" s="327"/>
      <c r="B743" s="121"/>
      <c r="C743" s="340"/>
      <c r="D743" s="339"/>
      <c r="E743" s="327"/>
      <c r="F743" s="121"/>
      <c r="G743" s="327"/>
      <c r="H743" s="121"/>
      <c r="I743" s="333"/>
      <c r="J743" s="177"/>
      <c r="K743" s="333"/>
      <c r="L743" s="177"/>
      <c r="M743" s="333"/>
      <c r="N743" s="177"/>
      <c r="O743" s="327"/>
      <c r="P743" s="121"/>
      <c r="Q743" s="143"/>
      <c r="R743" s="143"/>
      <c r="S743" s="17"/>
      <c r="T743" s="17"/>
      <c r="U743" s="17"/>
      <c r="V743" s="17"/>
      <c r="W743" s="17"/>
      <c r="X743" s="17"/>
      <c r="Y743" s="17"/>
      <c r="Z743" s="17"/>
    </row>
    <row r="744">
      <c r="A744" s="327"/>
      <c r="B744" s="121"/>
      <c r="C744" s="340"/>
      <c r="D744" s="339"/>
      <c r="E744" s="327"/>
      <c r="F744" s="121"/>
      <c r="G744" s="327"/>
      <c r="H744" s="121"/>
      <c r="I744" s="333"/>
      <c r="J744" s="177"/>
      <c r="K744" s="333"/>
      <c r="L744" s="177"/>
      <c r="M744" s="333"/>
      <c r="N744" s="177"/>
      <c r="O744" s="327"/>
      <c r="P744" s="121"/>
      <c r="Q744" s="143"/>
      <c r="R744" s="143"/>
      <c r="S744" s="17"/>
      <c r="T744" s="17"/>
      <c r="U744" s="17"/>
      <c r="V744" s="17"/>
      <c r="W744" s="17"/>
      <c r="X744" s="17"/>
      <c r="Y744" s="17"/>
      <c r="Z744" s="17"/>
    </row>
    <row r="745">
      <c r="A745" s="327"/>
      <c r="B745" s="121"/>
      <c r="C745" s="340"/>
      <c r="D745" s="339"/>
      <c r="E745" s="327"/>
      <c r="F745" s="121"/>
      <c r="G745" s="327"/>
      <c r="H745" s="121"/>
      <c r="I745" s="333"/>
      <c r="J745" s="177"/>
      <c r="K745" s="333"/>
      <c r="L745" s="177"/>
      <c r="M745" s="333"/>
      <c r="N745" s="177"/>
      <c r="O745" s="327"/>
      <c r="P745" s="121"/>
      <c r="Q745" s="143"/>
      <c r="R745" s="143"/>
      <c r="S745" s="17"/>
      <c r="T745" s="17"/>
      <c r="U745" s="17"/>
      <c r="V745" s="17"/>
      <c r="W745" s="17"/>
      <c r="X745" s="17"/>
      <c r="Y745" s="17"/>
      <c r="Z745" s="17"/>
    </row>
    <row r="746">
      <c r="A746" s="327"/>
      <c r="B746" s="121"/>
      <c r="C746" s="340"/>
      <c r="D746" s="339"/>
      <c r="E746" s="327"/>
      <c r="F746" s="121"/>
      <c r="G746" s="327"/>
      <c r="H746" s="121"/>
      <c r="I746" s="333"/>
      <c r="J746" s="177"/>
      <c r="K746" s="333"/>
      <c r="L746" s="177"/>
      <c r="M746" s="333"/>
      <c r="N746" s="177"/>
      <c r="O746" s="327"/>
      <c r="P746" s="121"/>
      <c r="Q746" s="143"/>
      <c r="R746" s="143"/>
      <c r="S746" s="17"/>
      <c r="T746" s="17"/>
      <c r="U746" s="17"/>
      <c r="V746" s="17"/>
      <c r="W746" s="17"/>
      <c r="X746" s="17"/>
      <c r="Y746" s="17"/>
      <c r="Z746" s="17"/>
    </row>
    <row r="747">
      <c r="A747" s="327"/>
      <c r="B747" s="121"/>
      <c r="C747" s="340"/>
      <c r="D747" s="339"/>
      <c r="E747" s="327"/>
      <c r="F747" s="121"/>
      <c r="G747" s="327"/>
      <c r="H747" s="121"/>
      <c r="I747" s="333"/>
      <c r="J747" s="177"/>
      <c r="K747" s="333"/>
      <c r="L747" s="177"/>
      <c r="M747" s="333"/>
      <c r="N747" s="177"/>
      <c r="O747" s="327"/>
      <c r="P747" s="121"/>
      <c r="Q747" s="143"/>
      <c r="R747" s="143"/>
      <c r="S747" s="17"/>
      <c r="T747" s="17"/>
      <c r="U747" s="17"/>
      <c r="V747" s="17"/>
      <c r="W747" s="17"/>
      <c r="X747" s="17"/>
      <c r="Y747" s="17"/>
      <c r="Z747" s="17"/>
    </row>
    <row r="748">
      <c r="A748" s="327"/>
      <c r="B748" s="121"/>
      <c r="C748" s="340"/>
      <c r="D748" s="339"/>
      <c r="E748" s="327"/>
      <c r="F748" s="121"/>
      <c r="G748" s="327"/>
      <c r="H748" s="121"/>
      <c r="I748" s="333"/>
      <c r="J748" s="177"/>
      <c r="K748" s="333"/>
      <c r="L748" s="177"/>
      <c r="M748" s="333"/>
      <c r="N748" s="177"/>
      <c r="O748" s="327"/>
      <c r="P748" s="121"/>
      <c r="Q748" s="143"/>
      <c r="R748" s="143"/>
      <c r="S748" s="17"/>
      <c r="T748" s="17"/>
      <c r="U748" s="17"/>
      <c r="V748" s="17"/>
      <c r="W748" s="17"/>
      <c r="X748" s="17"/>
      <c r="Y748" s="17"/>
      <c r="Z748" s="17"/>
    </row>
    <row r="749">
      <c r="A749" s="327"/>
      <c r="B749" s="121"/>
      <c r="C749" s="340"/>
      <c r="D749" s="339"/>
      <c r="E749" s="327"/>
      <c r="F749" s="121"/>
      <c r="G749" s="327"/>
      <c r="H749" s="121"/>
      <c r="I749" s="333"/>
      <c r="J749" s="177"/>
      <c r="K749" s="333"/>
      <c r="L749" s="177"/>
      <c r="M749" s="333"/>
      <c r="N749" s="177"/>
      <c r="O749" s="327"/>
      <c r="P749" s="121"/>
      <c r="Q749" s="143"/>
      <c r="R749" s="143"/>
      <c r="S749" s="17"/>
      <c r="T749" s="17"/>
      <c r="U749" s="17"/>
      <c r="V749" s="17"/>
      <c r="W749" s="17"/>
      <c r="X749" s="17"/>
      <c r="Y749" s="17"/>
      <c r="Z749" s="17"/>
    </row>
    <row r="750">
      <c r="A750" s="327"/>
      <c r="B750" s="121"/>
      <c r="C750" s="340"/>
      <c r="D750" s="339"/>
      <c r="E750" s="327"/>
      <c r="F750" s="121"/>
      <c r="G750" s="327"/>
      <c r="H750" s="121"/>
      <c r="I750" s="333"/>
      <c r="J750" s="177"/>
      <c r="K750" s="333"/>
      <c r="L750" s="177"/>
      <c r="M750" s="333"/>
      <c r="N750" s="177"/>
      <c r="O750" s="327"/>
      <c r="P750" s="121"/>
      <c r="Q750" s="143"/>
      <c r="R750" s="143"/>
      <c r="S750" s="17"/>
      <c r="T750" s="17"/>
      <c r="U750" s="17"/>
      <c r="V750" s="17"/>
      <c r="W750" s="17"/>
      <c r="X750" s="17"/>
      <c r="Y750" s="17"/>
      <c r="Z750" s="17"/>
    </row>
    <row r="751">
      <c r="A751" s="327"/>
      <c r="B751" s="121"/>
      <c r="C751" s="340"/>
      <c r="D751" s="339"/>
      <c r="E751" s="327"/>
      <c r="F751" s="121"/>
      <c r="G751" s="327"/>
      <c r="H751" s="121"/>
      <c r="I751" s="333"/>
      <c r="J751" s="177"/>
      <c r="K751" s="333"/>
      <c r="L751" s="177"/>
      <c r="M751" s="333"/>
      <c r="N751" s="177"/>
      <c r="O751" s="327"/>
      <c r="P751" s="121"/>
      <c r="Q751" s="143"/>
      <c r="R751" s="143"/>
      <c r="S751" s="17"/>
      <c r="T751" s="17"/>
      <c r="U751" s="17"/>
      <c r="V751" s="17"/>
      <c r="W751" s="17"/>
      <c r="X751" s="17"/>
      <c r="Y751" s="17"/>
      <c r="Z751" s="17"/>
    </row>
    <row r="752">
      <c r="A752" s="327"/>
      <c r="B752" s="121"/>
      <c r="C752" s="340"/>
      <c r="D752" s="339"/>
      <c r="E752" s="327"/>
      <c r="F752" s="121"/>
      <c r="G752" s="327"/>
      <c r="H752" s="121"/>
      <c r="I752" s="333"/>
      <c r="J752" s="177"/>
      <c r="K752" s="333"/>
      <c r="L752" s="177"/>
      <c r="M752" s="333"/>
      <c r="N752" s="177"/>
      <c r="O752" s="327"/>
      <c r="P752" s="121"/>
      <c r="Q752" s="143"/>
      <c r="R752" s="143"/>
      <c r="S752" s="17"/>
      <c r="T752" s="17"/>
      <c r="U752" s="17"/>
      <c r="V752" s="17"/>
      <c r="W752" s="17"/>
      <c r="X752" s="17"/>
      <c r="Y752" s="17"/>
      <c r="Z752" s="17"/>
    </row>
    <row r="753">
      <c r="A753" s="327"/>
      <c r="B753" s="121"/>
      <c r="C753" s="340"/>
      <c r="D753" s="339"/>
      <c r="E753" s="327"/>
      <c r="F753" s="121"/>
      <c r="G753" s="327"/>
      <c r="H753" s="121"/>
      <c r="I753" s="333"/>
      <c r="J753" s="177"/>
      <c r="K753" s="333"/>
      <c r="L753" s="177"/>
      <c r="M753" s="333"/>
      <c r="N753" s="177"/>
      <c r="O753" s="327"/>
      <c r="P753" s="121"/>
      <c r="Q753" s="143"/>
      <c r="R753" s="143"/>
      <c r="S753" s="17"/>
      <c r="T753" s="17"/>
      <c r="U753" s="17"/>
      <c r="V753" s="17"/>
      <c r="W753" s="17"/>
      <c r="X753" s="17"/>
      <c r="Y753" s="17"/>
      <c r="Z753" s="17"/>
    </row>
    <row r="754">
      <c r="A754" s="327"/>
      <c r="B754" s="121"/>
      <c r="C754" s="340"/>
      <c r="D754" s="339"/>
      <c r="E754" s="327"/>
      <c r="F754" s="121"/>
      <c r="G754" s="327"/>
      <c r="H754" s="121"/>
      <c r="I754" s="333"/>
      <c r="J754" s="177"/>
      <c r="K754" s="333"/>
      <c r="L754" s="177"/>
      <c r="M754" s="333"/>
      <c r="N754" s="177"/>
      <c r="O754" s="327"/>
      <c r="P754" s="121"/>
      <c r="Q754" s="143"/>
      <c r="R754" s="143"/>
      <c r="S754" s="17"/>
      <c r="T754" s="17"/>
      <c r="U754" s="17"/>
      <c r="V754" s="17"/>
      <c r="W754" s="17"/>
      <c r="X754" s="17"/>
      <c r="Y754" s="17"/>
      <c r="Z754" s="17"/>
    </row>
    <row r="755">
      <c r="A755" s="327"/>
      <c r="B755" s="121"/>
      <c r="C755" s="340"/>
      <c r="D755" s="339"/>
      <c r="E755" s="327"/>
      <c r="F755" s="121"/>
      <c r="G755" s="327"/>
      <c r="H755" s="121"/>
      <c r="I755" s="333"/>
      <c r="J755" s="177"/>
      <c r="K755" s="333"/>
      <c r="L755" s="177"/>
      <c r="M755" s="333"/>
      <c r="N755" s="177"/>
      <c r="O755" s="327"/>
      <c r="P755" s="121"/>
      <c r="Q755" s="143"/>
      <c r="R755" s="143"/>
      <c r="S755" s="17"/>
      <c r="T755" s="17"/>
      <c r="U755" s="17"/>
      <c r="V755" s="17"/>
      <c r="W755" s="17"/>
      <c r="X755" s="17"/>
      <c r="Y755" s="17"/>
      <c r="Z755" s="17"/>
    </row>
    <row r="756">
      <c r="A756" s="327"/>
      <c r="B756" s="121"/>
      <c r="C756" s="340"/>
      <c r="D756" s="339"/>
      <c r="E756" s="327"/>
      <c r="F756" s="121"/>
      <c r="G756" s="327"/>
      <c r="H756" s="121"/>
      <c r="I756" s="333"/>
      <c r="J756" s="177"/>
      <c r="K756" s="333"/>
      <c r="L756" s="177"/>
      <c r="M756" s="333"/>
      <c r="N756" s="177"/>
      <c r="O756" s="327"/>
      <c r="P756" s="121"/>
      <c r="Q756" s="143"/>
      <c r="R756" s="143"/>
      <c r="S756" s="17"/>
      <c r="T756" s="17"/>
      <c r="U756" s="17"/>
      <c r="V756" s="17"/>
      <c r="W756" s="17"/>
      <c r="X756" s="17"/>
      <c r="Y756" s="17"/>
      <c r="Z756" s="17"/>
    </row>
    <row r="757">
      <c r="A757" s="327"/>
      <c r="B757" s="121"/>
      <c r="C757" s="340"/>
      <c r="D757" s="339"/>
      <c r="E757" s="327"/>
      <c r="F757" s="121"/>
      <c r="G757" s="327"/>
      <c r="H757" s="121"/>
      <c r="I757" s="333"/>
      <c r="J757" s="177"/>
      <c r="K757" s="333"/>
      <c r="L757" s="177"/>
      <c r="M757" s="333"/>
      <c r="N757" s="177"/>
      <c r="O757" s="327"/>
      <c r="P757" s="121"/>
      <c r="Q757" s="143"/>
      <c r="R757" s="143"/>
      <c r="S757" s="17"/>
      <c r="T757" s="17"/>
      <c r="U757" s="17"/>
      <c r="V757" s="17"/>
      <c r="W757" s="17"/>
      <c r="X757" s="17"/>
      <c r="Y757" s="17"/>
      <c r="Z757" s="17"/>
    </row>
    <row r="758">
      <c r="A758" s="327"/>
      <c r="B758" s="121"/>
      <c r="C758" s="340"/>
      <c r="D758" s="339"/>
      <c r="E758" s="327"/>
      <c r="F758" s="121"/>
      <c r="G758" s="327"/>
      <c r="H758" s="121"/>
      <c r="I758" s="333"/>
      <c r="J758" s="177"/>
      <c r="K758" s="333"/>
      <c r="L758" s="177"/>
      <c r="M758" s="333"/>
      <c r="N758" s="177"/>
      <c r="O758" s="327"/>
      <c r="P758" s="121"/>
      <c r="Q758" s="143"/>
      <c r="R758" s="143"/>
      <c r="S758" s="17"/>
      <c r="T758" s="17"/>
      <c r="U758" s="17"/>
      <c r="V758" s="17"/>
      <c r="W758" s="17"/>
      <c r="X758" s="17"/>
      <c r="Y758" s="17"/>
      <c r="Z758" s="17"/>
    </row>
    <row r="759">
      <c r="A759" s="327"/>
      <c r="B759" s="121"/>
      <c r="C759" s="340"/>
      <c r="D759" s="339"/>
      <c r="E759" s="327"/>
      <c r="F759" s="121"/>
      <c r="G759" s="327"/>
      <c r="H759" s="121"/>
      <c r="I759" s="333"/>
      <c r="J759" s="177"/>
      <c r="K759" s="333"/>
      <c r="L759" s="177"/>
      <c r="M759" s="333"/>
      <c r="N759" s="177"/>
      <c r="O759" s="327"/>
      <c r="P759" s="121"/>
      <c r="Q759" s="143"/>
      <c r="R759" s="143"/>
      <c r="S759" s="17"/>
      <c r="T759" s="17"/>
      <c r="U759" s="17"/>
      <c r="V759" s="17"/>
      <c r="W759" s="17"/>
      <c r="X759" s="17"/>
      <c r="Y759" s="17"/>
      <c r="Z759" s="17"/>
    </row>
    <row r="760">
      <c r="A760" s="327"/>
      <c r="B760" s="121"/>
      <c r="C760" s="340"/>
      <c r="D760" s="339"/>
      <c r="E760" s="327"/>
      <c r="F760" s="121"/>
      <c r="G760" s="327"/>
      <c r="H760" s="121"/>
      <c r="I760" s="333"/>
      <c r="J760" s="177"/>
      <c r="K760" s="333"/>
      <c r="L760" s="177"/>
      <c r="M760" s="333"/>
      <c r="N760" s="177"/>
      <c r="O760" s="327"/>
      <c r="P760" s="121"/>
      <c r="Q760" s="143"/>
      <c r="R760" s="143"/>
      <c r="S760" s="17"/>
      <c r="T760" s="17"/>
      <c r="U760" s="17"/>
      <c r="V760" s="17"/>
      <c r="W760" s="17"/>
      <c r="X760" s="17"/>
      <c r="Y760" s="17"/>
      <c r="Z760" s="17"/>
    </row>
    <row r="761">
      <c r="A761" s="327"/>
      <c r="B761" s="121"/>
      <c r="C761" s="340"/>
      <c r="D761" s="339"/>
      <c r="E761" s="327"/>
      <c r="F761" s="121"/>
      <c r="G761" s="327"/>
      <c r="H761" s="121"/>
      <c r="I761" s="333"/>
      <c r="J761" s="177"/>
      <c r="K761" s="333"/>
      <c r="L761" s="177"/>
      <c r="M761" s="333"/>
      <c r="N761" s="177"/>
      <c r="O761" s="327"/>
      <c r="P761" s="121"/>
      <c r="Q761" s="143"/>
      <c r="R761" s="143"/>
      <c r="S761" s="17"/>
      <c r="T761" s="17"/>
      <c r="U761" s="17"/>
      <c r="V761" s="17"/>
      <c r="W761" s="17"/>
      <c r="X761" s="17"/>
      <c r="Y761" s="17"/>
      <c r="Z761" s="17"/>
    </row>
    <row r="762">
      <c r="A762" s="327"/>
      <c r="B762" s="121"/>
      <c r="C762" s="340"/>
      <c r="D762" s="339"/>
      <c r="E762" s="327"/>
      <c r="F762" s="121"/>
      <c r="G762" s="327"/>
      <c r="H762" s="121"/>
      <c r="I762" s="333"/>
      <c r="J762" s="177"/>
      <c r="K762" s="333"/>
      <c r="L762" s="177"/>
      <c r="M762" s="333"/>
      <c r="N762" s="177"/>
      <c r="O762" s="327"/>
      <c r="P762" s="121"/>
      <c r="Q762" s="143"/>
      <c r="R762" s="143"/>
      <c r="S762" s="17"/>
      <c r="T762" s="17"/>
      <c r="U762" s="17"/>
      <c r="V762" s="17"/>
      <c r="W762" s="17"/>
      <c r="X762" s="17"/>
      <c r="Y762" s="17"/>
      <c r="Z762" s="17"/>
    </row>
    <row r="763">
      <c r="A763" s="327"/>
      <c r="B763" s="121"/>
      <c r="C763" s="340"/>
      <c r="D763" s="339"/>
      <c r="E763" s="327"/>
      <c r="F763" s="121"/>
      <c r="G763" s="327"/>
      <c r="H763" s="121"/>
      <c r="I763" s="333"/>
      <c r="J763" s="177"/>
      <c r="K763" s="333"/>
      <c r="L763" s="177"/>
      <c r="M763" s="333"/>
      <c r="N763" s="177"/>
      <c r="O763" s="327"/>
      <c r="P763" s="121"/>
      <c r="Q763" s="143"/>
      <c r="R763" s="143"/>
      <c r="S763" s="17"/>
      <c r="T763" s="17"/>
      <c r="U763" s="17"/>
      <c r="V763" s="17"/>
      <c r="W763" s="17"/>
      <c r="X763" s="17"/>
      <c r="Y763" s="17"/>
      <c r="Z763" s="17"/>
    </row>
    <row r="764">
      <c r="A764" s="327"/>
      <c r="B764" s="121"/>
      <c r="C764" s="340"/>
      <c r="D764" s="339"/>
      <c r="E764" s="327"/>
      <c r="F764" s="121"/>
      <c r="G764" s="327"/>
      <c r="H764" s="121"/>
      <c r="I764" s="333"/>
      <c r="J764" s="177"/>
      <c r="K764" s="333"/>
      <c r="L764" s="177"/>
      <c r="M764" s="333"/>
      <c r="N764" s="177"/>
      <c r="O764" s="327"/>
      <c r="P764" s="121"/>
      <c r="Q764" s="143"/>
      <c r="R764" s="143"/>
      <c r="S764" s="17"/>
      <c r="T764" s="17"/>
      <c r="U764" s="17"/>
      <c r="V764" s="17"/>
      <c r="W764" s="17"/>
      <c r="X764" s="17"/>
      <c r="Y764" s="17"/>
      <c r="Z764" s="17"/>
    </row>
    <row r="765">
      <c r="A765" s="327"/>
      <c r="B765" s="121"/>
      <c r="C765" s="340"/>
      <c r="D765" s="339"/>
      <c r="E765" s="327"/>
      <c r="F765" s="121"/>
      <c r="G765" s="327"/>
      <c r="H765" s="121"/>
      <c r="I765" s="333"/>
      <c r="J765" s="177"/>
      <c r="K765" s="333"/>
      <c r="L765" s="177"/>
      <c r="M765" s="333"/>
      <c r="N765" s="177"/>
      <c r="O765" s="327"/>
      <c r="P765" s="121"/>
      <c r="Q765" s="143"/>
      <c r="R765" s="143"/>
      <c r="S765" s="17"/>
      <c r="T765" s="17"/>
      <c r="U765" s="17"/>
      <c r="V765" s="17"/>
      <c r="W765" s="17"/>
      <c r="X765" s="17"/>
      <c r="Y765" s="17"/>
      <c r="Z765" s="17"/>
    </row>
    <row r="766">
      <c r="A766" s="327"/>
      <c r="B766" s="121"/>
      <c r="C766" s="340"/>
      <c r="D766" s="339"/>
      <c r="E766" s="327"/>
      <c r="F766" s="121"/>
      <c r="G766" s="327"/>
      <c r="H766" s="121"/>
      <c r="I766" s="333"/>
      <c r="J766" s="177"/>
      <c r="K766" s="333"/>
      <c r="L766" s="177"/>
      <c r="M766" s="333"/>
      <c r="N766" s="177"/>
      <c r="O766" s="327"/>
      <c r="P766" s="121"/>
      <c r="Q766" s="143"/>
      <c r="R766" s="143"/>
      <c r="S766" s="17"/>
      <c r="T766" s="17"/>
      <c r="U766" s="17"/>
      <c r="V766" s="17"/>
      <c r="W766" s="17"/>
      <c r="X766" s="17"/>
      <c r="Y766" s="17"/>
      <c r="Z766" s="17"/>
    </row>
    <row r="767">
      <c r="A767" s="327"/>
      <c r="B767" s="121"/>
      <c r="C767" s="340"/>
      <c r="D767" s="339"/>
      <c r="E767" s="327"/>
      <c r="F767" s="121"/>
      <c r="G767" s="327"/>
      <c r="H767" s="121"/>
      <c r="I767" s="333"/>
      <c r="J767" s="177"/>
      <c r="K767" s="333"/>
      <c r="L767" s="177"/>
      <c r="M767" s="333"/>
      <c r="N767" s="177"/>
      <c r="O767" s="327"/>
      <c r="P767" s="121"/>
      <c r="Q767" s="143"/>
      <c r="R767" s="143"/>
      <c r="S767" s="17"/>
      <c r="T767" s="17"/>
      <c r="U767" s="17"/>
      <c r="V767" s="17"/>
      <c r="W767" s="17"/>
      <c r="X767" s="17"/>
      <c r="Y767" s="17"/>
      <c r="Z767" s="17"/>
    </row>
    <row r="768">
      <c r="A768" s="327"/>
      <c r="B768" s="121"/>
      <c r="C768" s="340"/>
      <c r="D768" s="339"/>
      <c r="E768" s="327"/>
      <c r="F768" s="121"/>
      <c r="G768" s="327"/>
      <c r="H768" s="121"/>
      <c r="I768" s="333"/>
      <c r="J768" s="177"/>
      <c r="K768" s="333"/>
      <c r="L768" s="177"/>
      <c r="M768" s="333"/>
      <c r="N768" s="177"/>
      <c r="O768" s="327"/>
      <c r="P768" s="121"/>
      <c r="Q768" s="143"/>
      <c r="R768" s="143"/>
      <c r="S768" s="17"/>
      <c r="T768" s="17"/>
      <c r="U768" s="17"/>
      <c r="V768" s="17"/>
      <c r="W768" s="17"/>
      <c r="X768" s="17"/>
      <c r="Y768" s="17"/>
      <c r="Z768" s="17"/>
    </row>
    <row r="769">
      <c r="A769" s="327"/>
      <c r="B769" s="121"/>
      <c r="C769" s="340"/>
      <c r="D769" s="339"/>
      <c r="E769" s="327"/>
      <c r="F769" s="121"/>
      <c r="G769" s="327"/>
      <c r="H769" s="121"/>
      <c r="I769" s="333"/>
      <c r="J769" s="177"/>
      <c r="K769" s="333"/>
      <c r="L769" s="177"/>
      <c r="M769" s="333"/>
      <c r="N769" s="177"/>
      <c r="O769" s="327"/>
      <c r="P769" s="121"/>
      <c r="Q769" s="143"/>
      <c r="R769" s="143"/>
      <c r="S769" s="17"/>
      <c r="T769" s="17"/>
      <c r="U769" s="17"/>
      <c r="V769" s="17"/>
      <c r="W769" s="17"/>
      <c r="X769" s="17"/>
      <c r="Y769" s="17"/>
      <c r="Z769" s="17"/>
    </row>
    <row r="770">
      <c r="A770" s="327"/>
      <c r="B770" s="121"/>
      <c r="C770" s="340"/>
      <c r="D770" s="339"/>
      <c r="E770" s="327"/>
      <c r="F770" s="121"/>
      <c r="G770" s="327"/>
      <c r="H770" s="121"/>
      <c r="I770" s="333"/>
      <c r="J770" s="177"/>
      <c r="K770" s="333"/>
      <c r="L770" s="177"/>
      <c r="M770" s="333"/>
      <c r="N770" s="177"/>
      <c r="O770" s="327"/>
      <c r="P770" s="121"/>
      <c r="Q770" s="143"/>
      <c r="R770" s="143"/>
      <c r="S770" s="17"/>
      <c r="T770" s="17"/>
      <c r="U770" s="17"/>
      <c r="V770" s="17"/>
      <c r="W770" s="17"/>
      <c r="X770" s="17"/>
      <c r="Y770" s="17"/>
      <c r="Z770" s="17"/>
    </row>
    <row r="771">
      <c r="A771" s="327"/>
      <c r="B771" s="121"/>
      <c r="C771" s="340"/>
      <c r="D771" s="339"/>
      <c r="E771" s="327"/>
      <c r="F771" s="121"/>
      <c r="G771" s="327"/>
      <c r="H771" s="121"/>
      <c r="I771" s="333"/>
      <c r="J771" s="177"/>
      <c r="K771" s="333"/>
      <c r="L771" s="177"/>
      <c r="M771" s="333"/>
      <c r="N771" s="177"/>
      <c r="O771" s="327"/>
      <c r="P771" s="121"/>
      <c r="Q771" s="143"/>
      <c r="R771" s="143"/>
      <c r="S771" s="17"/>
      <c r="T771" s="17"/>
      <c r="U771" s="17"/>
      <c r="V771" s="17"/>
      <c r="W771" s="17"/>
      <c r="X771" s="17"/>
      <c r="Y771" s="17"/>
      <c r="Z771" s="17"/>
    </row>
    <row r="772">
      <c r="A772" s="327"/>
      <c r="B772" s="121"/>
      <c r="C772" s="340"/>
      <c r="D772" s="339"/>
      <c r="E772" s="327"/>
      <c r="F772" s="121"/>
      <c r="G772" s="327"/>
      <c r="H772" s="121"/>
      <c r="I772" s="333"/>
      <c r="J772" s="177"/>
      <c r="K772" s="333"/>
      <c r="L772" s="177"/>
      <c r="M772" s="333"/>
      <c r="N772" s="177"/>
      <c r="O772" s="327"/>
      <c r="P772" s="121"/>
      <c r="Q772" s="143"/>
      <c r="R772" s="143"/>
      <c r="S772" s="17"/>
      <c r="T772" s="17"/>
      <c r="U772" s="17"/>
      <c r="V772" s="17"/>
      <c r="W772" s="17"/>
      <c r="X772" s="17"/>
      <c r="Y772" s="17"/>
      <c r="Z772" s="17"/>
    </row>
    <row r="773">
      <c r="A773" s="327"/>
      <c r="B773" s="121"/>
      <c r="C773" s="340"/>
      <c r="D773" s="339"/>
      <c r="E773" s="327"/>
      <c r="F773" s="121"/>
      <c r="G773" s="327"/>
      <c r="H773" s="121"/>
      <c r="I773" s="333"/>
      <c r="J773" s="177"/>
      <c r="K773" s="333"/>
      <c r="L773" s="177"/>
      <c r="M773" s="333"/>
      <c r="N773" s="177"/>
      <c r="O773" s="327"/>
      <c r="P773" s="121"/>
      <c r="Q773" s="143"/>
      <c r="R773" s="143"/>
      <c r="S773" s="17"/>
      <c r="T773" s="17"/>
      <c r="U773" s="17"/>
      <c r="V773" s="17"/>
      <c r="W773" s="17"/>
      <c r="X773" s="17"/>
      <c r="Y773" s="17"/>
      <c r="Z773" s="17"/>
    </row>
    <row r="774">
      <c r="A774" s="327"/>
      <c r="B774" s="121"/>
      <c r="C774" s="340"/>
      <c r="D774" s="339"/>
      <c r="E774" s="327"/>
      <c r="F774" s="121"/>
      <c r="G774" s="327"/>
      <c r="H774" s="121"/>
      <c r="I774" s="333"/>
      <c r="J774" s="177"/>
      <c r="K774" s="333"/>
      <c r="L774" s="177"/>
      <c r="M774" s="333"/>
      <c r="N774" s="177"/>
      <c r="O774" s="327"/>
      <c r="P774" s="121"/>
      <c r="Q774" s="143"/>
      <c r="R774" s="143"/>
      <c r="S774" s="17"/>
      <c r="T774" s="17"/>
      <c r="U774" s="17"/>
      <c r="V774" s="17"/>
      <c r="W774" s="17"/>
      <c r="X774" s="17"/>
      <c r="Y774" s="17"/>
      <c r="Z774" s="17"/>
    </row>
    <row r="775">
      <c r="A775" s="327"/>
      <c r="B775" s="121"/>
      <c r="C775" s="340"/>
      <c r="D775" s="339"/>
      <c r="E775" s="327"/>
      <c r="F775" s="121"/>
      <c r="G775" s="327"/>
      <c r="H775" s="121"/>
      <c r="I775" s="333"/>
      <c r="J775" s="177"/>
      <c r="K775" s="333"/>
      <c r="L775" s="177"/>
      <c r="M775" s="333"/>
      <c r="N775" s="177"/>
      <c r="O775" s="327"/>
      <c r="P775" s="121"/>
      <c r="Q775" s="143"/>
      <c r="R775" s="143"/>
      <c r="S775" s="17"/>
      <c r="T775" s="17"/>
      <c r="U775" s="17"/>
      <c r="V775" s="17"/>
      <c r="W775" s="17"/>
      <c r="X775" s="17"/>
      <c r="Y775" s="17"/>
      <c r="Z775" s="17"/>
    </row>
    <row r="776">
      <c r="A776" s="327"/>
      <c r="B776" s="121"/>
      <c r="C776" s="340"/>
      <c r="D776" s="339"/>
      <c r="E776" s="327"/>
      <c r="F776" s="121"/>
      <c r="G776" s="327"/>
      <c r="H776" s="121"/>
      <c r="I776" s="333"/>
      <c r="J776" s="177"/>
      <c r="K776" s="333"/>
      <c r="L776" s="177"/>
      <c r="M776" s="333"/>
      <c r="N776" s="177"/>
      <c r="O776" s="327"/>
      <c r="P776" s="121"/>
      <c r="Q776" s="143"/>
      <c r="R776" s="143"/>
      <c r="S776" s="17"/>
      <c r="T776" s="17"/>
      <c r="U776" s="17"/>
      <c r="V776" s="17"/>
      <c r="W776" s="17"/>
      <c r="X776" s="17"/>
      <c r="Y776" s="17"/>
      <c r="Z776" s="17"/>
    </row>
    <row r="777">
      <c r="A777" s="327"/>
      <c r="B777" s="121"/>
      <c r="C777" s="340"/>
      <c r="D777" s="339"/>
      <c r="E777" s="327"/>
      <c r="F777" s="121"/>
      <c r="G777" s="327"/>
      <c r="H777" s="121"/>
      <c r="I777" s="333"/>
      <c r="J777" s="177"/>
      <c r="K777" s="333"/>
      <c r="L777" s="177"/>
      <c r="M777" s="333"/>
      <c r="N777" s="177"/>
      <c r="O777" s="327"/>
      <c r="P777" s="121"/>
      <c r="Q777" s="143"/>
      <c r="R777" s="143"/>
      <c r="S777" s="17"/>
      <c r="T777" s="17"/>
      <c r="U777" s="17"/>
      <c r="V777" s="17"/>
      <c r="W777" s="17"/>
      <c r="X777" s="17"/>
      <c r="Y777" s="17"/>
      <c r="Z777" s="17"/>
    </row>
    <row r="778">
      <c r="A778" s="327"/>
      <c r="B778" s="121"/>
      <c r="C778" s="340"/>
      <c r="D778" s="339"/>
      <c r="E778" s="327"/>
      <c r="F778" s="121"/>
      <c r="G778" s="327"/>
      <c r="H778" s="121"/>
      <c r="I778" s="333"/>
      <c r="J778" s="177"/>
      <c r="K778" s="333"/>
      <c r="L778" s="177"/>
      <c r="M778" s="333"/>
      <c r="N778" s="177"/>
      <c r="O778" s="327"/>
      <c r="P778" s="121"/>
      <c r="Q778" s="143"/>
      <c r="R778" s="143"/>
      <c r="S778" s="17"/>
      <c r="T778" s="17"/>
      <c r="U778" s="17"/>
      <c r="V778" s="17"/>
      <c r="W778" s="17"/>
      <c r="X778" s="17"/>
      <c r="Y778" s="17"/>
      <c r="Z778" s="17"/>
    </row>
    <row r="779">
      <c r="A779" s="327"/>
      <c r="B779" s="121"/>
      <c r="C779" s="340"/>
      <c r="D779" s="339"/>
      <c r="E779" s="327"/>
      <c r="F779" s="121"/>
      <c r="G779" s="327"/>
      <c r="H779" s="121"/>
      <c r="I779" s="333"/>
      <c r="J779" s="177"/>
      <c r="K779" s="333"/>
      <c r="L779" s="177"/>
      <c r="M779" s="333"/>
      <c r="N779" s="177"/>
      <c r="O779" s="327"/>
      <c r="P779" s="121"/>
      <c r="Q779" s="143"/>
      <c r="R779" s="143"/>
      <c r="S779" s="17"/>
      <c r="T779" s="17"/>
      <c r="U779" s="17"/>
      <c r="V779" s="17"/>
      <c r="W779" s="17"/>
      <c r="X779" s="17"/>
      <c r="Y779" s="17"/>
      <c r="Z779" s="17"/>
    </row>
    <row r="780">
      <c r="A780" s="327"/>
      <c r="B780" s="121"/>
      <c r="C780" s="340"/>
      <c r="D780" s="339"/>
      <c r="E780" s="327"/>
      <c r="F780" s="121"/>
      <c r="G780" s="327"/>
      <c r="H780" s="121"/>
      <c r="I780" s="333"/>
      <c r="J780" s="177"/>
      <c r="K780" s="333"/>
      <c r="L780" s="177"/>
      <c r="M780" s="333"/>
      <c r="N780" s="177"/>
      <c r="O780" s="327"/>
      <c r="P780" s="121"/>
      <c r="Q780" s="143"/>
      <c r="R780" s="143"/>
      <c r="S780" s="17"/>
      <c r="T780" s="17"/>
      <c r="U780" s="17"/>
      <c r="V780" s="17"/>
      <c r="W780" s="17"/>
      <c r="X780" s="17"/>
      <c r="Y780" s="17"/>
      <c r="Z780" s="17"/>
    </row>
    <row r="781">
      <c r="A781" s="327"/>
      <c r="B781" s="121"/>
      <c r="C781" s="340"/>
      <c r="D781" s="339"/>
      <c r="E781" s="327"/>
      <c r="F781" s="121"/>
      <c r="G781" s="327"/>
      <c r="H781" s="121"/>
      <c r="I781" s="333"/>
      <c r="J781" s="177"/>
      <c r="K781" s="333"/>
      <c r="L781" s="177"/>
      <c r="M781" s="333"/>
      <c r="N781" s="177"/>
      <c r="O781" s="327"/>
      <c r="P781" s="121"/>
      <c r="Q781" s="143"/>
      <c r="R781" s="143"/>
      <c r="S781" s="17"/>
      <c r="T781" s="17"/>
      <c r="U781" s="17"/>
      <c r="V781" s="17"/>
      <c r="W781" s="17"/>
      <c r="X781" s="17"/>
      <c r="Y781" s="17"/>
      <c r="Z781" s="17"/>
    </row>
    <row r="782">
      <c r="A782" s="327"/>
      <c r="B782" s="121"/>
      <c r="C782" s="340"/>
      <c r="D782" s="339"/>
      <c r="E782" s="327"/>
      <c r="F782" s="121"/>
      <c r="G782" s="327"/>
      <c r="H782" s="121"/>
      <c r="I782" s="333"/>
      <c r="J782" s="177"/>
      <c r="K782" s="333"/>
      <c r="L782" s="177"/>
      <c r="M782" s="333"/>
      <c r="N782" s="177"/>
      <c r="O782" s="327"/>
      <c r="P782" s="121"/>
      <c r="Q782" s="143"/>
      <c r="R782" s="143"/>
      <c r="S782" s="17"/>
      <c r="T782" s="17"/>
      <c r="U782" s="17"/>
      <c r="V782" s="17"/>
      <c r="W782" s="17"/>
      <c r="X782" s="17"/>
      <c r="Y782" s="17"/>
      <c r="Z782" s="17"/>
    </row>
    <row r="783">
      <c r="A783" s="327"/>
      <c r="B783" s="121"/>
      <c r="C783" s="340"/>
      <c r="D783" s="339"/>
      <c r="E783" s="327"/>
      <c r="F783" s="121"/>
      <c r="G783" s="327"/>
      <c r="H783" s="121"/>
      <c r="I783" s="333"/>
      <c r="J783" s="177"/>
      <c r="K783" s="333"/>
      <c r="L783" s="177"/>
      <c r="M783" s="333"/>
      <c r="N783" s="177"/>
      <c r="O783" s="327"/>
      <c r="P783" s="121"/>
      <c r="Q783" s="143"/>
      <c r="R783" s="143"/>
      <c r="S783" s="17"/>
      <c r="T783" s="17"/>
      <c r="U783" s="17"/>
      <c r="V783" s="17"/>
      <c r="W783" s="17"/>
      <c r="X783" s="17"/>
      <c r="Y783" s="17"/>
      <c r="Z783" s="17"/>
    </row>
    <row r="784">
      <c r="A784" s="327"/>
      <c r="B784" s="121"/>
      <c r="C784" s="340"/>
      <c r="D784" s="339"/>
      <c r="E784" s="327"/>
      <c r="F784" s="121"/>
      <c r="G784" s="327"/>
      <c r="H784" s="121"/>
      <c r="I784" s="333"/>
      <c r="J784" s="177"/>
      <c r="K784" s="333"/>
      <c r="L784" s="177"/>
      <c r="M784" s="333"/>
      <c r="N784" s="177"/>
      <c r="O784" s="327"/>
      <c r="P784" s="121"/>
      <c r="Q784" s="143"/>
      <c r="R784" s="143"/>
      <c r="S784" s="17"/>
      <c r="T784" s="17"/>
      <c r="U784" s="17"/>
      <c r="V784" s="17"/>
      <c r="W784" s="17"/>
      <c r="X784" s="17"/>
      <c r="Y784" s="17"/>
      <c r="Z784" s="17"/>
    </row>
    <row r="785">
      <c r="A785" s="327"/>
      <c r="B785" s="121"/>
      <c r="C785" s="340"/>
      <c r="D785" s="339"/>
      <c r="E785" s="327"/>
      <c r="F785" s="121"/>
      <c r="G785" s="327"/>
      <c r="H785" s="121"/>
      <c r="I785" s="333"/>
      <c r="J785" s="177"/>
      <c r="K785" s="333"/>
      <c r="L785" s="177"/>
      <c r="M785" s="333"/>
      <c r="N785" s="177"/>
      <c r="O785" s="327"/>
      <c r="P785" s="121"/>
      <c r="Q785" s="143"/>
      <c r="R785" s="143"/>
      <c r="S785" s="17"/>
      <c r="T785" s="17"/>
      <c r="U785" s="17"/>
      <c r="V785" s="17"/>
      <c r="W785" s="17"/>
      <c r="X785" s="17"/>
      <c r="Y785" s="17"/>
      <c r="Z785" s="17"/>
    </row>
    <row r="786">
      <c r="A786" s="327"/>
      <c r="B786" s="121"/>
      <c r="C786" s="340"/>
      <c r="D786" s="339"/>
      <c r="E786" s="327"/>
      <c r="F786" s="121"/>
      <c r="G786" s="327"/>
      <c r="H786" s="121"/>
      <c r="I786" s="333"/>
      <c r="J786" s="177"/>
      <c r="K786" s="333"/>
      <c r="L786" s="177"/>
      <c r="M786" s="333"/>
      <c r="N786" s="177"/>
      <c r="O786" s="327"/>
      <c r="P786" s="121"/>
      <c r="Q786" s="143"/>
      <c r="R786" s="143"/>
      <c r="S786" s="17"/>
      <c r="T786" s="17"/>
      <c r="U786" s="17"/>
      <c r="V786" s="17"/>
      <c r="W786" s="17"/>
      <c r="X786" s="17"/>
      <c r="Y786" s="17"/>
      <c r="Z786" s="17"/>
    </row>
    <row r="787">
      <c r="A787" s="327"/>
      <c r="B787" s="121"/>
      <c r="C787" s="340"/>
      <c r="D787" s="339"/>
      <c r="E787" s="327"/>
      <c r="F787" s="121"/>
      <c r="G787" s="327"/>
      <c r="H787" s="121"/>
      <c r="I787" s="333"/>
      <c r="J787" s="177"/>
      <c r="K787" s="333"/>
      <c r="L787" s="177"/>
      <c r="M787" s="333"/>
      <c r="N787" s="177"/>
      <c r="O787" s="327"/>
      <c r="P787" s="121"/>
      <c r="Q787" s="143"/>
      <c r="R787" s="143"/>
      <c r="S787" s="17"/>
      <c r="T787" s="17"/>
      <c r="U787" s="17"/>
      <c r="V787" s="17"/>
      <c r="W787" s="17"/>
      <c r="X787" s="17"/>
      <c r="Y787" s="17"/>
      <c r="Z787" s="17"/>
    </row>
    <row r="788">
      <c r="A788" s="327"/>
      <c r="B788" s="121"/>
      <c r="C788" s="340"/>
      <c r="D788" s="339"/>
      <c r="E788" s="327"/>
      <c r="F788" s="121"/>
      <c r="G788" s="327"/>
      <c r="H788" s="121"/>
      <c r="I788" s="333"/>
      <c r="J788" s="177"/>
      <c r="K788" s="333"/>
      <c r="L788" s="177"/>
      <c r="M788" s="333"/>
      <c r="N788" s="177"/>
      <c r="O788" s="327"/>
      <c r="P788" s="121"/>
      <c r="Q788" s="143"/>
      <c r="R788" s="143"/>
      <c r="S788" s="17"/>
      <c r="T788" s="17"/>
      <c r="U788" s="17"/>
      <c r="V788" s="17"/>
      <c r="W788" s="17"/>
      <c r="X788" s="17"/>
      <c r="Y788" s="17"/>
      <c r="Z788" s="17"/>
    </row>
    <row r="789">
      <c r="A789" s="327"/>
      <c r="B789" s="121"/>
      <c r="C789" s="340"/>
      <c r="D789" s="339"/>
      <c r="E789" s="327"/>
      <c r="F789" s="121"/>
      <c r="G789" s="327"/>
      <c r="H789" s="121"/>
      <c r="I789" s="333"/>
      <c r="J789" s="177"/>
      <c r="K789" s="333"/>
      <c r="L789" s="177"/>
      <c r="M789" s="333"/>
      <c r="N789" s="177"/>
      <c r="O789" s="327"/>
      <c r="P789" s="121"/>
      <c r="Q789" s="143"/>
      <c r="R789" s="143"/>
      <c r="S789" s="17"/>
      <c r="T789" s="17"/>
      <c r="U789" s="17"/>
      <c r="V789" s="17"/>
      <c r="W789" s="17"/>
      <c r="X789" s="17"/>
      <c r="Y789" s="17"/>
      <c r="Z789" s="17"/>
    </row>
    <row r="790">
      <c r="A790" s="327"/>
      <c r="B790" s="121"/>
      <c r="C790" s="340"/>
      <c r="D790" s="339"/>
      <c r="E790" s="327"/>
      <c r="F790" s="121"/>
      <c r="G790" s="327"/>
      <c r="H790" s="121"/>
      <c r="I790" s="333"/>
      <c r="J790" s="177"/>
      <c r="K790" s="333"/>
      <c r="L790" s="177"/>
      <c r="M790" s="333"/>
      <c r="N790" s="177"/>
      <c r="O790" s="327"/>
      <c r="P790" s="121"/>
      <c r="Q790" s="143"/>
      <c r="R790" s="143"/>
      <c r="S790" s="17"/>
      <c r="T790" s="17"/>
      <c r="U790" s="17"/>
      <c r="V790" s="17"/>
      <c r="W790" s="17"/>
      <c r="X790" s="17"/>
      <c r="Y790" s="17"/>
      <c r="Z790" s="17"/>
    </row>
    <row r="791">
      <c r="A791" s="327"/>
      <c r="B791" s="121"/>
      <c r="C791" s="340"/>
      <c r="D791" s="339"/>
      <c r="E791" s="327"/>
      <c r="F791" s="121"/>
      <c r="G791" s="327"/>
      <c r="H791" s="121"/>
      <c r="I791" s="333"/>
      <c r="J791" s="177"/>
      <c r="K791" s="333"/>
      <c r="L791" s="177"/>
      <c r="M791" s="333"/>
      <c r="N791" s="177"/>
      <c r="O791" s="327"/>
      <c r="P791" s="121"/>
      <c r="Q791" s="143"/>
      <c r="R791" s="143"/>
      <c r="S791" s="17"/>
      <c r="T791" s="17"/>
      <c r="U791" s="17"/>
      <c r="V791" s="17"/>
      <c r="W791" s="17"/>
      <c r="X791" s="17"/>
      <c r="Y791" s="17"/>
      <c r="Z791" s="17"/>
    </row>
    <row r="792">
      <c r="A792" s="327"/>
      <c r="B792" s="121"/>
      <c r="C792" s="340"/>
      <c r="D792" s="339"/>
      <c r="E792" s="327"/>
      <c r="F792" s="121"/>
      <c r="G792" s="327"/>
      <c r="H792" s="121"/>
      <c r="I792" s="333"/>
      <c r="J792" s="177"/>
      <c r="K792" s="333"/>
      <c r="L792" s="177"/>
      <c r="M792" s="333"/>
      <c r="N792" s="177"/>
      <c r="O792" s="327"/>
      <c r="P792" s="121"/>
      <c r="Q792" s="143"/>
      <c r="R792" s="143"/>
      <c r="S792" s="17"/>
      <c r="T792" s="17"/>
      <c r="U792" s="17"/>
      <c r="V792" s="17"/>
      <c r="W792" s="17"/>
      <c r="X792" s="17"/>
      <c r="Y792" s="17"/>
      <c r="Z792" s="17"/>
    </row>
    <row r="793">
      <c r="A793" s="327"/>
      <c r="B793" s="121"/>
      <c r="C793" s="340"/>
      <c r="D793" s="339"/>
      <c r="E793" s="327"/>
      <c r="F793" s="121"/>
      <c r="G793" s="327"/>
      <c r="H793" s="121"/>
      <c r="I793" s="333"/>
      <c r="J793" s="177"/>
      <c r="K793" s="333"/>
      <c r="L793" s="177"/>
      <c r="M793" s="333"/>
      <c r="N793" s="177"/>
      <c r="O793" s="327"/>
      <c r="P793" s="121"/>
      <c r="Q793" s="143"/>
      <c r="R793" s="143"/>
      <c r="S793" s="17"/>
      <c r="T793" s="17"/>
      <c r="U793" s="17"/>
      <c r="V793" s="17"/>
      <c r="W793" s="17"/>
      <c r="X793" s="17"/>
      <c r="Y793" s="17"/>
      <c r="Z793" s="17"/>
    </row>
    <row r="794">
      <c r="A794" s="327"/>
      <c r="B794" s="121"/>
      <c r="C794" s="340"/>
      <c r="D794" s="339"/>
      <c r="E794" s="327"/>
      <c r="F794" s="121"/>
      <c r="G794" s="327"/>
      <c r="H794" s="121"/>
      <c r="I794" s="333"/>
      <c r="J794" s="177"/>
      <c r="K794" s="333"/>
      <c r="L794" s="177"/>
      <c r="M794" s="333"/>
      <c r="N794" s="177"/>
      <c r="O794" s="327"/>
      <c r="P794" s="121"/>
      <c r="Q794" s="143"/>
      <c r="R794" s="143"/>
      <c r="S794" s="17"/>
      <c r="T794" s="17"/>
      <c r="U794" s="17"/>
      <c r="V794" s="17"/>
      <c r="W794" s="17"/>
      <c r="X794" s="17"/>
      <c r="Y794" s="17"/>
      <c r="Z794" s="17"/>
    </row>
    <row r="795">
      <c r="A795" s="327"/>
      <c r="B795" s="121"/>
      <c r="C795" s="340"/>
      <c r="D795" s="339"/>
      <c r="E795" s="327"/>
      <c r="F795" s="121"/>
      <c r="G795" s="327"/>
      <c r="H795" s="121"/>
      <c r="I795" s="333"/>
      <c r="J795" s="177"/>
      <c r="K795" s="333"/>
      <c r="L795" s="177"/>
      <c r="M795" s="333"/>
      <c r="N795" s="177"/>
      <c r="O795" s="327"/>
      <c r="P795" s="121"/>
      <c r="Q795" s="143"/>
      <c r="R795" s="143"/>
      <c r="S795" s="17"/>
      <c r="T795" s="17"/>
      <c r="U795" s="17"/>
      <c r="V795" s="17"/>
      <c r="W795" s="17"/>
      <c r="X795" s="17"/>
      <c r="Y795" s="17"/>
      <c r="Z795" s="17"/>
    </row>
    <row r="796">
      <c r="A796" s="327"/>
      <c r="B796" s="121"/>
      <c r="C796" s="340"/>
      <c r="D796" s="339"/>
      <c r="E796" s="327"/>
      <c r="F796" s="121"/>
      <c r="G796" s="327"/>
      <c r="H796" s="121"/>
      <c r="I796" s="333"/>
      <c r="J796" s="177"/>
      <c r="K796" s="333"/>
      <c r="L796" s="177"/>
      <c r="M796" s="333"/>
      <c r="N796" s="177"/>
      <c r="O796" s="327"/>
      <c r="P796" s="121"/>
      <c r="Q796" s="143"/>
      <c r="R796" s="143"/>
      <c r="S796" s="17"/>
      <c r="T796" s="17"/>
      <c r="U796" s="17"/>
      <c r="V796" s="17"/>
      <c r="W796" s="17"/>
      <c r="X796" s="17"/>
      <c r="Y796" s="17"/>
      <c r="Z796" s="17"/>
    </row>
    <row r="797">
      <c r="A797" s="327"/>
      <c r="B797" s="121"/>
      <c r="C797" s="340"/>
      <c r="D797" s="339"/>
      <c r="E797" s="327"/>
      <c r="F797" s="121"/>
      <c r="G797" s="327"/>
      <c r="H797" s="121"/>
      <c r="I797" s="333"/>
      <c r="J797" s="177"/>
      <c r="K797" s="333"/>
      <c r="L797" s="177"/>
      <c r="M797" s="333"/>
      <c r="N797" s="177"/>
      <c r="O797" s="327"/>
      <c r="P797" s="121"/>
      <c r="Q797" s="143"/>
      <c r="R797" s="143"/>
      <c r="S797" s="17"/>
      <c r="T797" s="17"/>
      <c r="U797" s="17"/>
      <c r="V797" s="17"/>
      <c r="W797" s="17"/>
      <c r="X797" s="17"/>
      <c r="Y797" s="17"/>
      <c r="Z797" s="17"/>
    </row>
    <row r="798">
      <c r="A798" s="327"/>
      <c r="B798" s="121"/>
      <c r="C798" s="340"/>
      <c r="D798" s="339"/>
      <c r="E798" s="327"/>
      <c r="F798" s="121"/>
      <c r="G798" s="327"/>
      <c r="H798" s="121"/>
      <c r="I798" s="333"/>
      <c r="J798" s="177"/>
      <c r="K798" s="333"/>
      <c r="L798" s="177"/>
      <c r="M798" s="333"/>
      <c r="N798" s="177"/>
      <c r="O798" s="327"/>
      <c r="P798" s="121"/>
      <c r="Q798" s="143"/>
      <c r="R798" s="143"/>
      <c r="S798" s="17"/>
      <c r="T798" s="17"/>
      <c r="U798" s="17"/>
      <c r="V798" s="17"/>
      <c r="W798" s="17"/>
      <c r="X798" s="17"/>
      <c r="Y798" s="17"/>
      <c r="Z798" s="17"/>
    </row>
    <row r="799">
      <c r="A799" s="327"/>
      <c r="B799" s="121"/>
      <c r="C799" s="340"/>
      <c r="D799" s="339"/>
      <c r="E799" s="327"/>
      <c r="F799" s="121"/>
      <c r="G799" s="327"/>
      <c r="H799" s="121"/>
      <c r="I799" s="333"/>
      <c r="J799" s="177"/>
      <c r="K799" s="333"/>
      <c r="L799" s="177"/>
      <c r="M799" s="333"/>
      <c r="N799" s="177"/>
      <c r="O799" s="327"/>
      <c r="P799" s="121"/>
      <c r="Q799" s="143"/>
      <c r="R799" s="143"/>
      <c r="S799" s="17"/>
      <c r="T799" s="17"/>
      <c r="U799" s="17"/>
      <c r="V799" s="17"/>
      <c r="W799" s="17"/>
      <c r="X799" s="17"/>
      <c r="Y799" s="17"/>
      <c r="Z799" s="17"/>
    </row>
    <row r="800">
      <c r="A800" s="327"/>
      <c r="B800" s="121"/>
      <c r="C800" s="340"/>
      <c r="D800" s="339"/>
      <c r="E800" s="327"/>
      <c r="F800" s="121"/>
      <c r="G800" s="327"/>
      <c r="H800" s="121"/>
      <c r="I800" s="333"/>
      <c r="J800" s="177"/>
      <c r="K800" s="333"/>
      <c r="L800" s="177"/>
      <c r="M800" s="333"/>
      <c r="N800" s="177"/>
      <c r="O800" s="327"/>
      <c r="P800" s="121"/>
      <c r="Q800" s="143"/>
      <c r="R800" s="143"/>
      <c r="S800" s="17"/>
      <c r="T800" s="17"/>
      <c r="U800" s="17"/>
      <c r="V800" s="17"/>
      <c r="W800" s="17"/>
      <c r="X800" s="17"/>
      <c r="Y800" s="17"/>
      <c r="Z800" s="17"/>
    </row>
    <row r="801">
      <c r="A801" s="327"/>
      <c r="B801" s="121"/>
      <c r="C801" s="340"/>
      <c r="D801" s="339"/>
      <c r="E801" s="327"/>
      <c r="F801" s="121"/>
      <c r="G801" s="327"/>
      <c r="H801" s="121"/>
      <c r="I801" s="333"/>
      <c r="J801" s="177"/>
      <c r="K801" s="333"/>
      <c r="L801" s="177"/>
      <c r="M801" s="333"/>
      <c r="N801" s="177"/>
      <c r="O801" s="327"/>
      <c r="P801" s="121"/>
      <c r="Q801" s="143"/>
      <c r="R801" s="143"/>
      <c r="S801" s="17"/>
      <c r="T801" s="17"/>
      <c r="U801" s="17"/>
      <c r="V801" s="17"/>
      <c r="W801" s="17"/>
      <c r="X801" s="17"/>
      <c r="Y801" s="17"/>
      <c r="Z801" s="17"/>
    </row>
    <row r="802">
      <c r="A802" s="327"/>
      <c r="B802" s="121"/>
      <c r="C802" s="340"/>
      <c r="D802" s="339"/>
      <c r="E802" s="327"/>
      <c r="F802" s="121"/>
      <c r="G802" s="327"/>
      <c r="H802" s="121"/>
      <c r="I802" s="333"/>
      <c r="J802" s="177"/>
      <c r="K802" s="333"/>
      <c r="L802" s="177"/>
      <c r="M802" s="333"/>
      <c r="N802" s="177"/>
      <c r="O802" s="327"/>
      <c r="P802" s="121"/>
      <c r="Q802" s="143"/>
      <c r="R802" s="143"/>
      <c r="S802" s="17"/>
      <c r="T802" s="17"/>
      <c r="U802" s="17"/>
      <c r="V802" s="17"/>
      <c r="W802" s="17"/>
      <c r="X802" s="17"/>
      <c r="Y802" s="17"/>
      <c r="Z802" s="17"/>
    </row>
    <row r="803">
      <c r="A803" s="327"/>
      <c r="B803" s="121"/>
      <c r="C803" s="340"/>
      <c r="D803" s="339"/>
      <c r="E803" s="327"/>
      <c r="F803" s="121"/>
      <c r="G803" s="327"/>
      <c r="H803" s="121"/>
      <c r="I803" s="333"/>
      <c r="J803" s="177"/>
      <c r="K803" s="333"/>
      <c r="L803" s="177"/>
      <c r="M803" s="333"/>
      <c r="N803" s="177"/>
      <c r="O803" s="327"/>
      <c r="P803" s="121"/>
      <c r="Q803" s="143"/>
      <c r="R803" s="143"/>
      <c r="S803" s="17"/>
      <c r="T803" s="17"/>
      <c r="U803" s="17"/>
      <c r="V803" s="17"/>
      <c r="W803" s="17"/>
      <c r="X803" s="17"/>
      <c r="Y803" s="17"/>
      <c r="Z803" s="17"/>
    </row>
    <row r="804">
      <c r="A804" s="327"/>
      <c r="B804" s="121"/>
      <c r="C804" s="340"/>
      <c r="D804" s="339"/>
      <c r="E804" s="327"/>
      <c r="F804" s="121"/>
      <c r="G804" s="327"/>
      <c r="H804" s="121"/>
      <c r="I804" s="333"/>
      <c r="J804" s="177"/>
      <c r="K804" s="333"/>
      <c r="L804" s="177"/>
      <c r="M804" s="333"/>
      <c r="N804" s="177"/>
      <c r="O804" s="327"/>
      <c r="P804" s="121"/>
      <c r="Q804" s="143"/>
      <c r="R804" s="143"/>
      <c r="S804" s="17"/>
      <c r="T804" s="17"/>
      <c r="U804" s="17"/>
      <c r="V804" s="17"/>
      <c r="W804" s="17"/>
      <c r="X804" s="17"/>
      <c r="Y804" s="17"/>
      <c r="Z804" s="17"/>
    </row>
    <row r="805">
      <c r="A805" s="327"/>
      <c r="B805" s="121"/>
      <c r="C805" s="340"/>
      <c r="D805" s="339"/>
      <c r="E805" s="327"/>
      <c r="F805" s="121"/>
      <c r="G805" s="327"/>
      <c r="H805" s="121"/>
      <c r="I805" s="333"/>
      <c r="J805" s="177"/>
      <c r="K805" s="333"/>
      <c r="L805" s="177"/>
      <c r="M805" s="333"/>
      <c r="N805" s="177"/>
      <c r="O805" s="327"/>
      <c r="P805" s="121"/>
      <c r="Q805" s="143"/>
      <c r="R805" s="143"/>
      <c r="S805" s="17"/>
      <c r="T805" s="17"/>
      <c r="U805" s="17"/>
      <c r="V805" s="17"/>
      <c r="W805" s="17"/>
      <c r="X805" s="17"/>
      <c r="Y805" s="17"/>
      <c r="Z805" s="17"/>
    </row>
    <row r="806">
      <c r="A806" s="327"/>
      <c r="B806" s="121"/>
      <c r="C806" s="340"/>
      <c r="D806" s="339"/>
      <c r="E806" s="327"/>
      <c r="F806" s="121"/>
      <c r="G806" s="327"/>
      <c r="H806" s="121"/>
      <c r="I806" s="333"/>
      <c r="J806" s="177"/>
      <c r="K806" s="333"/>
      <c r="L806" s="177"/>
      <c r="M806" s="333"/>
      <c r="N806" s="177"/>
      <c r="O806" s="327"/>
      <c r="P806" s="121"/>
      <c r="Q806" s="143"/>
      <c r="R806" s="143"/>
      <c r="S806" s="17"/>
      <c r="T806" s="17"/>
      <c r="U806" s="17"/>
      <c r="V806" s="17"/>
      <c r="W806" s="17"/>
      <c r="X806" s="17"/>
      <c r="Y806" s="17"/>
      <c r="Z806" s="17"/>
    </row>
    <row r="807">
      <c r="A807" s="327"/>
      <c r="B807" s="121"/>
      <c r="C807" s="340"/>
      <c r="D807" s="339"/>
      <c r="E807" s="327"/>
      <c r="F807" s="121"/>
      <c r="G807" s="327"/>
      <c r="H807" s="121"/>
      <c r="I807" s="333"/>
      <c r="J807" s="177"/>
      <c r="K807" s="333"/>
      <c r="L807" s="177"/>
      <c r="M807" s="333"/>
      <c r="N807" s="177"/>
      <c r="O807" s="327"/>
      <c r="P807" s="121"/>
      <c r="Q807" s="143"/>
      <c r="R807" s="143"/>
      <c r="S807" s="17"/>
      <c r="T807" s="17"/>
      <c r="U807" s="17"/>
      <c r="V807" s="17"/>
      <c r="W807" s="17"/>
      <c r="X807" s="17"/>
      <c r="Y807" s="17"/>
      <c r="Z807" s="17"/>
    </row>
    <row r="808">
      <c r="A808" s="327"/>
      <c r="B808" s="121"/>
      <c r="C808" s="340"/>
      <c r="D808" s="339"/>
      <c r="E808" s="327"/>
      <c r="F808" s="121"/>
      <c r="G808" s="327"/>
      <c r="H808" s="121"/>
      <c r="I808" s="333"/>
      <c r="J808" s="177"/>
      <c r="K808" s="333"/>
      <c r="L808" s="177"/>
      <c r="M808" s="333"/>
      <c r="N808" s="177"/>
      <c r="O808" s="327"/>
      <c r="P808" s="121"/>
      <c r="Q808" s="143"/>
      <c r="R808" s="143"/>
      <c r="S808" s="17"/>
      <c r="T808" s="17"/>
      <c r="U808" s="17"/>
      <c r="V808" s="17"/>
      <c r="W808" s="17"/>
      <c r="X808" s="17"/>
      <c r="Y808" s="17"/>
      <c r="Z808" s="17"/>
    </row>
    <row r="809">
      <c r="A809" s="327"/>
      <c r="B809" s="121"/>
      <c r="C809" s="340"/>
      <c r="D809" s="339"/>
      <c r="E809" s="327"/>
      <c r="F809" s="121"/>
      <c r="G809" s="327"/>
      <c r="H809" s="121"/>
      <c r="I809" s="333"/>
      <c r="J809" s="177"/>
      <c r="K809" s="333"/>
      <c r="L809" s="177"/>
      <c r="M809" s="333"/>
      <c r="N809" s="177"/>
      <c r="O809" s="327"/>
      <c r="P809" s="121"/>
      <c r="Q809" s="143"/>
      <c r="R809" s="143"/>
      <c r="S809" s="17"/>
      <c r="T809" s="17"/>
      <c r="U809" s="17"/>
      <c r="V809" s="17"/>
      <c r="W809" s="17"/>
      <c r="X809" s="17"/>
      <c r="Y809" s="17"/>
      <c r="Z809" s="17"/>
    </row>
    <row r="810">
      <c r="A810" s="327"/>
      <c r="B810" s="121"/>
      <c r="C810" s="340"/>
      <c r="D810" s="339"/>
      <c r="E810" s="327"/>
      <c r="F810" s="121"/>
      <c r="G810" s="327"/>
      <c r="H810" s="121"/>
      <c r="I810" s="333"/>
      <c r="J810" s="177"/>
      <c r="K810" s="333"/>
      <c r="L810" s="177"/>
      <c r="M810" s="333"/>
      <c r="N810" s="177"/>
      <c r="O810" s="327"/>
      <c r="P810" s="121"/>
      <c r="Q810" s="143"/>
      <c r="R810" s="143"/>
      <c r="S810" s="17"/>
      <c r="T810" s="17"/>
      <c r="U810" s="17"/>
      <c r="V810" s="17"/>
      <c r="W810" s="17"/>
      <c r="X810" s="17"/>
      <c r="Y810" s="17"/>
      <c r="Z810" s="17"/>
    </row>
    <row r="811">
      <c r="A811" s="327"/>
      <c r="B811" s="121"/>
      <c r="C811" s="340"/>
      <c r="D811" s="339"/>
      <c r="E811" s="327"/>
      <c r="F811" s="121"/>
      <c r="G811" s="327"/>
      <c r="H811" s="121"/>
      <c r="I811" s="333"/>
      <c r="J811" s="177"/>
      <c r="K811" s="333"/>
      <c r="L811" s="177"/>
      <c r="M811" s="333"/>
      <c r="N811" s="177"/>
      <c r="O811" s="327"/>
      <c r="P811" s="121"/>
      <c r="Q811" s="143"/>
      <c r="R811" s="143"/>
      <c r="S811" s="17"/>
      <c r="T811" s="17"/>
      <c r="U811" s="17"/>
      <c r="V811" s="17"/>
      <c r="W811" s="17"/>
      <c r="X811" s="17"/>
      <c r="Y811" s="17"/>
      <c r="Z811" s="17"/>
    </row>
    <row r="812">
      <c r="A812" s="327"/>
      <c r="B812" s="121"/>
      <c r="C812" s="340"/>
      <c r="D812" s="339"/>
      <c r="E812" s="327"/>
      <c r="F812" s="121"/>
      <c r="G812" s="327"/>
      <c r="H812" s="121"/>
      <c r="I812" s="333"/>
      <c r="J812" s="177"/>
      <c r="K812" s="333"/>
      <c r="L812" s="177"/>
      <c r="M812" s="333"/>
      <c r="N812" s="177"/>
      <c r="O812" s="327"/>
      <c r="P812" s="121"/>
      <c r="Q812" s="143"/>
      <c r="R812" s="143"/>
      <c r="S812" s="17"/>
      <c r="T812" s="17"/>
      <c r="U812" s="17"/>
      <c r="V812" s="17"/>
      <c r="W812" s="17"/>
      <c r="X812" s="17"/>
      <c r="Y812" s="17"/>
      <c r="Z812" s="17"/>
    </row>
    <row r="813">
      <c r="A813" s="327"/>
      <c r="B813" s="121"/>
      <c r="C813" s="340"/>
      <c r="D813" s="339"/>
      <c r="E813" s="327"/>
      <c r="F813" s="121"/>
      <c r="G813" s="327"/>
      <c r="H813" s="121"/>
      <c r="I813" s="333"/>
      <c r="J813" s="177"/>
      <c r="K813" s="333"/>
      <c r="L813" s="177"/>
      <c r="M813" s="333"/>
      <c r="N813" s="177"/>
      <c r="O813" s="327"/>
      <c r="P813" s="121"/>
      <c r="Q813" s="143"/>
      <c r="R813" s="143"/>
      <c r="S813" s="17"/>
      <c r="T813" s="17"/>
      <c r="U813" s="17"/>
      <c r="V813" s="17"/>
      <c r="W813" s="17"/>
      <c r="X813" s="17"/>
      <c r="Y813" s="17"/>
      <c r="Z813" s="17"/>
    </row>
    <row r="814">
      <c r="A814" s="327"/>
      <c r="B814" s="121"/>
      <c r="C814" s="340"/>
      <c r="D814" s="339"/>
      <c r="E814" s="327"/>
      <c r="F814" s="121"/>
      <c r="G814" s="327"/>
      <c r="H814" s="121"/>
      <c r="I814" s="333"/>
      <c r="J814" s="177"/>
      <c r="K814" s="333"/>
      <c r="L814" s="177"/>
      <c r="M814" s="333"/>
      <c r="N814" s="177"/>
      <c r="O814" s="327"/>
      <c r="P814" s="121"/>
      <c r="Q814" s="143"/>
      <c r="R814" s="143"/>
      <c r="S814" s="17"/>
      <c r="T814" s="17"/>
      <c r="U814" s="17"/>
      <c r="V814" s="17"/>
      <c r="W814" s="17"/>
      <c r="X814" s="17"/>
      <c r="Y814" s="17"/>
      <c r="Z814" s="17"/>
    </row>
    <row r="815">
      <c r="A815" s="327"/>
      <c r="B815" s="121"/>
      <c r="C815" s="340"/>
      <c r="D815" s="339"/>
      <c r="E815" s="327"/>
      <c r="F815" s="121"/>
      <c r="G815" s="327"/>
      <c r="H815" s="121"/>
      <c r="I815" s="333"/>
      <c r="J815" s="177"/>
      <c r="K815" s="333"/>
      <c r="L815" s="177"/>
      <c r="M815" s="333"/>
      <c r="N815" s="177"/>
      <c r="O815" s="327"/>
      <c r="P815" s="121"/>
      <c r="Q815" s="143"/>
      <c r="R815" s="143"/>
      <c r="S815" s="17"/>
      <c r="T815" s="17"/>
      <c r="U815" s="17"/>
      <c r="V815" s="17"/>
      <c r="W815" s="17"/>
      <c r="X815" s="17"/>
      <c r="Y815" s="17"/>
      <c r="Z815" s="17"/>
    </row>
    <row r="816">
      <c r="A816" s="327"/>
      <c r="B816" s="121"/>
      <c r="C816" s="340"/>
      <c r="D816" s="339"/>
      <c r="E816" s="327"/>
      <c r="F816" s="121"/>
      <c r="G816" s="327"/>
      <c r="H816" s="121"/>
      <c r="I816" s="333"/>
      <c r="J816" s="177"/>
      <c r="K816" s="333"/>
      <c r="L816" s="177"/>
      <c r="M816" s="333"/>
      <c r="N816" s="177"/>
      <c r="O816" s="327"/>
      <c r="P816" s="121"/>
      <c r="Q816" s="143"/>
      <c r="R816" s="143"/>
      <c r="S816" s="17"/>
      <c r="T816" s="17"/>
      <c r="U816" s="17"/>
      <c r="V816" s="17"/>
      <c r="W816" s="17"/>
      <c r="X816" s="17"/>
      <c r="Y816" s="17"/>
      <c r="Z816" s="17"/>
    </row>
    <row r="817">
      <c r="A817" s="327"/>
      <c r="B817" s="121"/>
      <c r="C817" s="340"/>
      <c r="D817" s="339"/>
      <c r="E817" s="327"/>
      <c r="F817" s="121"/>
      <c r="G817" s="327"/>
      <c r="H817" s="121"/>
      <c r="I817" s="333"/>
      <c r="J817" s="177"/>
      <c r="K817" s="333"/>
      <c r="L817" s="177"/>
      <c r="M817" s="333"/>
      <c r="N817" s="177"/>
      <c r="O817" s="327"/>
      <c r="P817" s="121"/>
      <c r="Q817" s="143"/>
      <c r="R817" s="143"/>
      <c r="S817" s="17"/>
      <c r="T817" s="17"/>
      <c r="U817" s="17"/>
      <c r="V817" s="17"/>
      <c r="W817" s="17"/>
      <c r="X817" s="17"/>
      <c r="Y817" s="17"/>
      <c r="Z817" s="17"/>
    </row>
    <row r="818">
      <c r="A818" s="327"/>
      <c r="B818" s="121"/>
      <c r="C818" s="340"/>
      <c r="D818" s="339"/>
      <c r="E818" s="327"/>
      <c r="F818" s="121"/>
      <c r="G818" s="327"/>
      <c r="H818" s="121"/>
      <c r="I818" s="333"/>
      <c r="J818" s="177"/>
      <c r="K818" s="333"/>
      <c r="L818" s="177"/>
      <c r="M818" s="333"/>
      <c r="N818" s="177"/>
      <c r="O818" s="327"/>
      <c r="P818" s="121"/>
      <c r="Q818" s="143"/>
      <c r="R818" s="143"/>
      <c r="S818" s="17"/>
      <c r="T818" s="17"/>
      <c r="U818" s="17"/>
      <c r="V818" s="17"/>
      <c r="W818" s="17"/>
      <c r="X818" s="17"/>
      <c r="Y818" s="17"/>
      <c r="Z818" s="17"/>
    </row>
    <row r="819">
      <c r="A819" s="327"/>
      <c r="B819" s="121"/>
      <c r="C819" s="340"/>
      <c r="D819" s="339"/>
      <c r="E819" s="327"/>
      <c r="F819" s="121"/>
      <c r="G819" s="327"/>
      <c r="H819" s="121"/>
      <c r="I819" s="333"/>
      <c r="J819" s="177"/>
      <c r="K819" s="333"/>
      <c r="L819" s="177"/>
      <c r="M819" s="333"/>
      <c r="N819" s="177"/>
      <c r="O819" s="327"/>
      <c r="P819" s="121"/>
      <c r="Q819" s="143"/>
      <c r="R819" s="143"/>
      <c r="S819" s="17"/>
      <c r="T819" s="17"/>
      <c r="U819" s="17"/>
      <c r="V819" s="17"/>
      <c r="W819" s="17"/>
      <c r="X819" s="17"/>
      <c r="Y819" s="17"/>
      <c r="Z819" s="17"/>
    </row>
    <row r="820">
      <c r="A820" s="327"/>
      <c r="B820" s="121"/>
      <c r="C820" s="340"/>
      <c r="D820" s="339"/>
      <c r="E820" s="327"/>
      <c r="F820" s="121"/>
      <c r="G820" s="327"/>
      <c r="H820" s="121"/>
      <c r="I820" s="333"/>
      <c r="J820" s="177"/>
      <c r="K820" s="333"/>
      <c r="L820" s="177"/>
      <c r="M820" s="333"/>
      <c r="N820" s="177"/>
      <c r="O820" s="327"/>
      <c r="P820" s="121"/>
      <c r="Q820" s="143"/>
      <c r="R820" s="143"/>
      <c r="S820" s="17"/>
      <c r="T820" s="17"/>
      <c r="U820" s="17"/>
      <c r="V820" s="17"/>
      <c r="W820" s="17"/>
      <c r="X820" s="17"/>
      <c r="Y820" s="17"/>
      <c r="Z820" s="17"/>
    </row>
    <row r="821">
      <c r="A821" s="327"/>
      <c r="B821" s="121"/>
      <c r="C821" s="340"/>
      <c r="D821" s="339"/>
      <c r="E821" s="327"/>
      <c r="F821" s="121"/>
      <c r="G821" s="327"/>
      <c r="H821" s="121"/>
      <c r="I821" s="333"/>
      <c r="J821" s="177"/>
      <c r="K821" s="333"/>
      <c r="L821" s="177"/>
      <c r="M821" s="333"/>
      <c r="N821" s="177"/>
      <c r="O821" s="327"/>
      <c r="P821" s="121"/>
      <c r="Q821" s="143"/>
      <c r="R821" s="143"/>
      <c r="S821" s="17"/>
      <c r="T821" s="17"/>
      <c r="U821" s="17"/>
      <c r="V821" s="17"/>
      <c r="W821" s="17"/>
      <c r="X821" s="17"/>
      <c r="Y821" s="17"/>
      <c r="Z821" s="17"/>
    </row>
    <row r="822">
      <c r="A822" s="327"/>
      <c r="B822" s="121"/>
      <c r="C822" s="340"/>
      <c r="D822" s="339"/>
      <c r="E822" s="327"/>
      <c r="F822" s="121"/>
      <c r="G822" s="327"/>
      <c r="H822" s="121"/>
      <c r="I822" s="333"/>
      <c r="J822" s="177"/>
      <c r="K822" s="333"/>
      <c r="L822" s="177"/>
      <c r="M822" s="333"/>
      <c r="N822" s="177"/>
      <c r="O822" s="327"/>
      <c r="P822" s="121"/>
      <c r="Q822" s="143"/>
      <c r="R822" s="143"/>
      <c r="S822" s="17"/>
      <c r="T822" s="17"/>
      <c r="U822" s="17"/>
      <c r="V822" s="17"/>
      <c r="W822" s="17"/>
      <c r="X822" s="17"/>
      <c r="Y822" s="17"/>
      <c r="Z822" s="17"/>
    </row>
    <row r="823">
      <c r="A823" s="327"/>
      <c r="B823" s="121"/>
      <c r="C823" s="340"/>
      <c r="D823" s="339"/>
      <c r="E823" s="327"/>
      <c r="F823" s="121"/>
      <c r="G823" s="327"/>
      <c r="H823" s="121"/>
      <c r="I823" s="333"/>
      <c r="J823" s="177"/>
      <c r="K823" s="333"/>
      <c r="L823" s="177"/>
      <c r="M823" s="333"/>
      <c r="N823" s="177"/>
      <c r="O823" s="327"/>
      <c r="P823" s="121"/>
      <c r="Q823" s="143"/>
      <c r="R823" s="143"/>
      <c r="S823" s="17"/>
      <c r="T823" s="17"/>
      <c r="U823" s="17"/>
      <c r="V823" s="17"/>
      <c r="W823" s="17"/>
      <c r="X823" s="17"/>
      <c r="Y823" s="17"/>
      <c r="Z823" s="17"/>
    </row>
    <row r="824">
      <c r="A824" s="327"/>
      <c r="B824" s="121"/>
      <c r="C824" s="340"/>
      <c r="D824" s="339"/>
      <c r="E824" s="327"/>
      <c r="F824" s="121"/>
      <c r="G824" s="327"/>
      <c r="H824" s="121"/>
      <c r="I824" s="333"/>
      <c r="J824" s="177"/>
      <c r="K824" s="333"/>
      <c r="L824" s="177"/>
      <c r="M824" s="333"/>
      <c r="N824" s="177"/>
      <c r="O824" s="327"/>
      <c r="P824" s="121"/>
      <c r="Q824" s="143"/>
      <c r="R824" s="143"/>
      <c r="S824" s="17"/>
      <c r="T824" s="17"/>
      <c r="U824" s="17"/>
      <c r="V824" s="17"/>
      <c r="W824" s="17"/>
      <c r="X824" s="17"/>
      <c r="Y824" s="17"/>
      <c r="Z824" s="17"/>
    </row>
    <row r="825">
      <c r="A825" s="327"/>
      <c r="B825" s="121"/>
      <c r="C825" s="340"/>
      <c r="D825" s="339"/>
      <c r="E825" s="327"/>
      <c r="F825" s="121"/>
      <c r="G825" s="327"/>
      <c r="H825" s="121"/>
      <c r="I825" s="333"/>
      <c r="J825" s="177"/>
      <c r="K825" s="333"/>
      <c r="L825" s="177"/>
      <c r="M825" s="333"/>
      <c r="N825" s="177"/>
      <c r="O825" s="327"/>
      <c r="P825" s="121"/>
      <c r="Q825" s="143"/>
      <c r="R825" s="143"/>
      <c r="S825" s="17"/>
      <c r="T825" s="17"/>
      <c r="U825" s="17"/>
      <c r="V825" s="17"/>
      <c r="W825" s="17"/>
      <c r="X825" s="17"/>
      <c r="Y825" s="17"/>
      <c r="Z825" s="17"/>
    </row>
    <row r="826">
      <c r="A826" s="327"/>
      <c r="B826" s="121"/>
      <c r="C826" s="340"/>
      <c r="D826" s="339"/>
      <c r="E826" s="327"/>
      <c r="F826" s="121"/>
      <c r="G826" s="327"/>
      <c r="H826" s="121"/>
      <c r="I826" s="333"/>
      <c r="J826" s="177"/>
      <c r="K826" s="333"/>
      <c r="L826" s="177"/>
      <c r="M826" s="333"/>
      <c r="N826" s="177"/>
      <c r="O826" s="327"/>
      <c r="P826" s="121"/>
      <c r="Q826" s="143"/>
      <c r="R826" s="143"/>
      <c r="S826" s="17"/>
      <c r="T826" s="17"/>
      <c r="U826" s="17"/>
      <c r="V826" s="17"/>
      <c r="W826" s="17"/>
      <c r="X826" s="17"/>
      <c r="Y826" s="17"/>
      <c r="Z826" s="17"/>
    </row>
    <row r="827">
      <c r="A827" s="327"/>
      <c r="B827" s="121"/>
      <c r="C827" s="340"/>
      <c r="D827" s="339"/>
      <c r="E827" s="327"/>
      <c r="F827" s="121"/>
      <c r="G827" s="327"/>
      <c r="H827" s="121"/>
      <c r="I827" s="333"/>
      <c r="J827" s="177"/>
      <c r="K827" s="333"/>
      <c r="L827" s="177"/>
      <c r="M827" s="333"/>
      <c r="N827" s="177"/>
      <c r="O827" s="327"/>
      <c r="P827" s="121"/>
      <c r="Q827" s="143"/>
      <c r="R827" s="143"/>
      <c r="S827" s="17"/>
      <c r="T827" s="17"/>
      <c r="U827" s="17"/>
      <c r="V827" s="17"/>
      <c r="W827" s="17"/>
      <c r="X827" s="17"/>
      <c r="Y827" s="17"/>
      <c r="Z827" s="17"/>
    </row>
    <row r="828">
      <c r="A828" s="327"/>
      <c r="B828" s="121"/>
      <c r="C828" s="340"/>
      <c r="D828" s="339"/>
      <c r="E828" s="327"/>
      <c r="F828" s="121"/>
      <c r="G828" s="327"/>
      <c r="H828" s="121"/>
      <c r="I828" s="333"/>
      <c r="J828" s="177"/>
      <c r="K828" s="333"/>
      <c r="L828" s="177"/>
      <c r="M828" s="333"/>
      <c r="N828" s="177"/>
      <c r="O828" s="327"/>
      <c r="P828" s="121"/>
      <c r="Q828" s="143"/>
      <c r="R828" s="143"/>
      <c r="S828" s="17"/>
      <c r="T828" s="17"/>
      <c r="U828" s="17"/>
      <c r="V828" s="17"/>
      <c r="W828" s="17"/>
      <c r="X828" s="17"/>
      <c r="Y828" s="17"/>
      <c r="Z828" s="17"/>
    </row>
    <row r="829">
      <c r="A829" s="327"/>
      <c r="B829" s="121"/>
      <c r="C829" s="340"/>
      <c r="D829" s="339"/>
      <c r="E829" s="327"/>
      <c r="F829" s="121"/>
      <c r="G829" s="327"/>
      <c r="H829" s="121"/>
      <c r="I829" s="333"/>
      <c r="J829" s="177"/>
      <c r="K829" s="333"/>
      <c r="L829" s="177"/>
      <c r="M829" s="333"/>
      <c r="N829" s="177"/>
      <c r="O829" s="327"/>
      <c r="P829" s="121"/>
      <c r="Q829" s="143"/>
      <c r="R829" s="143"/>
      <c r="S829" s="17"/>
      <c r="T829" s="17"/>
      <c r="U829" s="17"/>
      <c r="V829" s="17"/>
      <c r="W829" s="17"/>
      <c r="X829" s="17"/>
      <c r="Y829" s="17"/>
      <c r="Z829" s="17"/>
    </row>
    <row r="830">
      <c r="A830" s="327"/>
      <c r="B830" s="121"/>
      <c r="C830" s="340"/>
      <c r="D830" s="339"/>
      <c r="E830" s="327"/>
      <c r="F830" s="121"/>
      <c r="G830" s="327"/>
      <c r="H830" s="121"/>
      <c r="I830" s="333"/>
      <c r="J830" s="177"/>
      <c r="K830" s="333"/>
      <c r="L830" s="177"/>
      <c r="M830" s="333"/>
      <c r="N830" s="177"/>
      <c r="O830" s="327"/>
      <c r="P830" s="121"/>
      <c r="Q830" s="143"/>
      <c r="R830" s="143"/>
      <c r="S830" s="17"/>
      <c r="T830" s="17"/>
      <c r="U830" s="17"/>
      <c r="V830" s="17"/>
      <c r="W830" s="17"/>
      <c r="X830" s="17"/>
      <c r="Y830" s="17"/>
      <c r="Z830" s="17"/>
    </row>
    <row r="831">
      <c r="A831" s="327"/>
      <c r="B831" s="121"/>
      <c r="C831" s="340"/>
      <c r="D831" s="339"/>
      <c r="E831" s="327"/>
      <c r="F831" s="121"/>
      <c r="G831" s="327"/>
      <c r="H831" s="121"/>
      <c r="I831" s="333"/>
      <c r="J831" s="177"/>
      <c r="K831" s="333"/>
      <c r="L831" s="177"/>
      <c r="M831" s="333"/>
      <c r="N831" s="177"/>
      <c r="O831" s="327"/>
      <c r="P831" s="121"/>
      <c r="Q831" s="143"/>
      <c r="R831" s="143"/>
      <c r="S831" s="17"/>
      <c r="T831" s="17"/>
      <c r="U831" s="17"/>
      <c r="V831" s="17"/>
      <c r="W831" s="17"/>
      <c r="X831" s="17"/>
      <c r="Y831" s="17"/>
      <c r="Z831" s="17"/>
    </row>
    <row r="832">
      <c r="A832" s="327"/>
      <c r="B832" s="121"/>
      <c r="C832" s="340"/>
      <c r="D832" s="339"/>
      <c r="E832" s="327"/>
      <c r="F832" s="121"/>
      <c r="G832" s="327"/>
      <c r="H832" s="121"/>
      <c r="I832" s="333"/>
      <c r="J832" s="177"/>
      <c r="K832" s="333"/>
      <c r="L832" s="177"/>
      <c r="M832" s="333"/>
      <c r="N832" s="177"/>
      <c r="O832" s="327"/>
      <c r="P832" s="121"/>
      <c r="Q832" s="143"/>
      <c r="R832" s="143"/>
      <c r="S832" s="17"/>
      <c r="T832" s="17"/>
      <c r="U832" s="17"/>
      <c r="V832" s="17"/>
      <c r="W832" s="17"/>
      <c r="X832" s="17"/>
      <c r="Y832" s="17"/>
      <c r="Z832" s="17"/>
    </row>
    <row r="833">
      <c r="A833" s="327"/>
      <c r="B833" s="121"/>
      <c r="C833" s="340"/>
      <c r="D833" s="339"/>
      <c r="E833" s="327"/>
      <c r="F833" s="121"/>
      <c r="G833" s="327"/>
      <c r="H833" s="121"/>
      <c r="I833" s="333"/>
      <c r="J833" s="177"/>
      <c r="K833" s="333"/>
      <c r="L833" s="177"/>
      <c r="M833" s="333"/>
      <c r="N833" s="177"/>
      <c r="O833" s="327"/>
      <c r="P833" s="121"/>
      <c r="Q833" s="143"/>
      <c r="R833" s="143"/>
      <c r="S833" s="17"/>
      <c r="T833" s="17"/>
      <c r="U833" s="17"/>
      <c r="V833" s="17"/>
      <c r="W833" s="17"/>
      <c r="X833" s="17"/>
      <c r="Y833" s="17"/>
      <c r="Z833" s="17"/>
    </row>
    <row r="834">
      <c r="A834" s="327"/>
      <c r="B834" s="121"/>
      <c r="C834" s="340"/>
      <c r="D834" s="339"/>
      <c r="E834" s="327"/>
      <c r="F834" s="121"/>
      <c r="G834" s="327"/>
      <c r="H834" s="121"/>
      <c r="I834" s="333"/>
      <c r="J834" s="177"/>
      <c r="K834" s="333"/>
      <c r="L834" s="177"/>
      <c r="M834" s="333"/>
      <c r="N834" s="177"/>
      <c r="O834" s="327"/>
      <c r="P834" s="121"/>
      <c r="Q834" s="143"/>
      <c r="R834" s="143"/>
      <c r="S834" s="17"/>
      <c r="T834" s="17"/>
      <c r="U834" s="17"/>
      <c r="V834" s="17"/>
      <c r="W834" s="17"/>
      <c r="X834" s="17"/>
      <c r="Y834" s="17"/>
      <c r="Z834" s="17"/>
    </row>
    <row r="835">
      <c r="A835" s="327"/>
      <c r="B835" s="121"/>
      <c r="C835" s="340"/>
      <c r="D835" s="339"/>
      <c r="E835" s="327"/>
      <c r="F835" s="121"/>
      <c r="G835" s="327"/>
      <c r="H835" s="121"/>
      <c r="I835" s="333"/>
      <c r="J835" s="177"/>
      <c r="K835" s="333"/>
      <c r="L835" s="177"/>
      <c r="M835" s="333"/>
      <c r="N835" s="177"/>
      <c r="O835" s="327"/>
      <c r="P835" s="121"/>
      <c r="Q835" s="143"/>
      <c r="R835" s="143"/>
      <c r="S835" s="17"/>
      <c r="T835" s="17"/>
      <c r="U835" s="17"/>
      <c r="V835" s="17"/>
      <c r="W835" s="17"/>
      <c r="X835" s="17"/>
      <c r="Y835" s="17"/>
      <c r="Z835" s="17"/>
    </row>
    <row r="836">
      <c r="A836" s="327"/>
      <c r="B836" s="121"/>
      <c r="C836" s="340"/>
      <c r="D836" s="339"/>
      <c r="E836" s="327"/>
      <c r="F836" s="121"/>
      <c r="G836" s="327"/>
      <c r="H836" s="121"/>
      <c r="I836" s="333"/>
      <c r="J836" s="177"/>
      <c r="K836" s="333"/>
      <c r="L836" s="177"/>
      <c r="M836" s="333"/>
      <c r="N836" s="177"/>
      <c r="O836" s="327"/>
      <c r="P836" s="121"/>
      <c r="Q836" s="143"/>
      <c r="R836" s="143"/>
      <c r="S836" s="17"/>
      <c r="T836" s="17"/>
      <c r="U836" s="17"/>
      <c r="V836" s="17"/>
      <c r="W836" s="17"/>
      <c r="X836" s="17"/>
      <c r="Y836" s="17"/>
      <c r="Z836" s="17"/>
    </row>
    <row r="837">
      <c r="A837" s="327"/>
      <c r="B837" s="121"/>
      <c r="C837" s="340"/>
      <c r="D837" s="339"/>
      <c r="E837" s="327"/>
      <c r="F837" s="121"/>
      <c r="G837" s="327"/>
      <c r="H837" s="121"/>
      <c r="I837" s="333"/>
      <c r="J837" s="177"/>
      <c r="K837" s="333"/>
      <c r="L837" s="177"/>
      <c r="M837" s="333"/>
      <c r="N837" s="177"/>
      <c r="O837" s="327"/>
      <c r="P837" s="121"/>
      <c r="Q837" s="143"/>
      <c r="R837" s="143"/>
      <c r="S837" s="17"/>
      <c r="T837" s="17"/>
      <c r="U837" s="17"/>
      <c r="V837" s="17"/>
      <c r="W837" s="17"/>
      <c r="X837" s="17"/>
      <c r="Y837" s="17"/>
      <c r="Z837" s="17"/>
    </row>
    <row r="838">
      <c r="A838" s="327"/>
      <c r="B838" s="121"/>
      <c r="C838" s="340"/>
      <c r="D838" s="339"/>
      <c r="E838" s="327"/>
      <c r="F838" s="121"/>
      <c r="G838" s="327"/>
      <c r="H838" s="121"/>
      <c r="I838" s="333"/>
      <c r="J838" s="177"/>
      <c r="K838" s="333"/>
      <c r="L838" s="177"/>
      <c r="M838" s="333"/>
      <c r="N838" s="177"/>
      <c r="O838" s="327"/>
      <c r="P838" s="121"/>
      <c r="Q838" s="143"/>
      <c r="R838" s="143"/>
      <c r="S838" s="17"/>
      <c r="T838" s="17"/>
      <c r="U838" s="17"/>
      <c r="V838" s="17"/>
      <c r="W838" s="17"/>
      <c r="X838" s="17"/>
      <c r="Y838" s="17"/>
      <c r="Z838" s="17"/>
    </row>
    <row r="839">
      <c r="A839" s="327"/>
      <c r="B839" s="121"/>
      <c r="C839" s="340"/>
      <c r="D839" s="339"/>
      <c r="E839" s="327"/>
      <c r="F839" s="121"/>
      <c r="G839" s="327"/>
      <c r="H839" s="121"/>
      <c r="I839" s="333"/>
      <c r="J839" s="177"/>
      <c r="K839" s="333"/>
      <c r="L839" s="177"/>
      <c r="M839" s="333"/>
      <c r="N839" s="177"/>
      <c r="O839" s="327"/>
      <c r="P839" s="121"/>
      <c r="Q839" s="143"/>
      <c r="R839" s="143"/>
      <c r="S839" s="17"/>
      <c r="T839" s="17"/>
      <c r="U839" s="17"/>
      <c r="V839" s="17"/>
      <c r="W839" s="17"/>
      <c r="X839" s="17"/>
      <c r="Y839" s="17"/>
      <c r="Z839" s="17"/>
    </row>
    <row r="840">
      <c r="A840" s="327"/>
      <c r="B840" s="121"/>
      <c r="C840" s="340"/>
      <c r="D840" s="339"/>
      <c r="E840" s="327"/>
      <c r="F840" s="121"/>
      <c r="G840" s="327"/>
      <c r="H840" s="121"/>
      <c r="I840" s="333"/>
      <c r="J840" s="177"/>
      <c r="K840" s="333"/>
      <c r="L840" s="177"/>
      <c r="M840" s="333"/>
      <c r="N840" s="177"/>
      <c r="O840" s="327"/>
      <c r="P840" s="121"/>
      <c r="Q840" s="143"/>
      <c r="R840" s="143"/>
      <c r="S840" s="17"/>
      <c r="T840" s="17"/>
      <c r="U840" s="17"/>
      <c r="V840" s="17"/>
      <c r="W840" s="17"/>
      <c r="X840" s="17"/>
      <c r="Y840" s="17"/>
      <c r="Z840" s="17"/>
    </row>
    <row r="841">
      <c r="A841" s="327"/>
      <c r="B841" s="121"/>
      <c r="C841" s="340"/>
      <c r="D841" s="339"/>
      <c r="E841" s="327"/>
      <c r="F841" s="121"/>
      <c r="G841" s="327"/>
      <c r="H841" s="121"/>
      <c r="I841" s="333"/>
      <c r="J841" s="177"/>
      <c r="K841" s="333"/>
      <c r="L841" s="177"/>
      <c r="M841" s="333"/>
      <c r="N841" s="177"/>
      <c r="O841" s="327"/>
      <c r="P841" s="121"/>
      <c r="Q841" s="143"/>
      <c r="R841" s="143"/>
      <c r="S841" s="17"/>
      <c r="T841" s="17"/>
      <c r="U841" s="17"/>
      <c r="V841" s="17"/>
      <c r="W841" s="17"/>
      <c r="X841" s="17"/>
      <c r="Y841" s="17"/>
      <c r="Z841" s="17"/>
    </row>
    <row r="842">
      <c r="A842" s="327"/>
      <c r="B842" s="121"/>
      <c r="C842" s="340"/>
      <c r="D842" s="339"/>
      <c r="E842" s="327"/>
      <c r="F842" s="121"/>
      <c r="G842" s="327"/>
      <c r="H842" s="121"/>
      <c r="I842" s="333"/>
      <c r="J842" s="177"/>
      <c r="K842" s="333"/>
      <c r="L842" s="177"/>
      <c r="M842" s="333"/>
      <c r="N842" s="177"/>
      <c r="O842" s="327"/>
      <c r="P842" s="121"/>
      <c r="Q842" s="143"/>
      <c r="R842" s="143"/>
      <c r="S842" s="17"/>
      <c r="T842" s="17"/>
      <c r="U842" s="17"/>
      <c r="V842" s="17"/>
      <c r="W842" s="17"/>
      <c r="X842" s="17"/>
      <c r="Y842" s="17"/>
      <c r="Z842" s="17"/>
    </row>
    <row r="843">
      <c r="A843" s="327"/>
      <c r="B843" s="121"/>
      <c r="C843" s="340"/>
      <c r="D843" s="339"/>
      <c r="E843" s="327"/>
      <c r="F843" s="121"/>
      <c r="G843" s="327"/>
      <c r="H843" s="121"/>
      <c r="I843" s="333"/>
      <c r="J843" s="177"/>
      <c r="K843" s="333"/>
      <c r="L843" s="177"/>
      <c r="M843" s="333"/>
      <c r="N843" s="177"/>
      <c r="O843" s="327"/>
      <c r="P843" s="121"/>
      <c r="Q843" s="143"/>
      <c r="R843" s="143"/>
      <c r="S843" s="17"/>
      <c r="T843" s="17"/>
      <c r="U843" s="17"/>
      <c r="V843" s="17"/>
      <c r="W843" s="17"/>
      <c r="X843" s="17"/>
      <c r="Y843" s="17"/>
      <c r="Z843" s="17"/>
    </row>
    <row r="844">
      <c r="A844" s="327"/>
      <c r="B844" s="121"/>
      <c r="C844" s="340"/>
      <c r="D844" s="339"/>
      <c r="E844" s="327"/>
      <c r="F844" s="121"/>
      <c r="G844" s="327"/>
      <c r="H844" s="121"/>
      <c r="I844" s="333"/>
      <c r="J844" s="177"/>
      <c r="K844" s="333"/>
      <c r="L844" s="177"/>
      <c r="M844" s="333"/>
      <c r="N844" s="177"/>
      <c r="O844" s="327"/>
      <c r="P844" s="121"/>
      <c r="Q844" s="143"/>
      <c r="R844" s="143"/>
      <c r="S844" s="17"/>
      <c r="T844" s="17"/>
      <c r="U844" s="17"/>
      <c r="V844" s="17"/>
      <c r="W844" s="17"/>
      <c r="X844" s="17"/>
      <c r="Y844" s="17"/>
      <c r="Z844" s="17"/>
    </row>
    <row r="845">
      <c r="A845" s="327"/>
      <c r="B845" s="121"/>
      <c r="C845" s="340"/>
      <c r="D845" s="339"/>
      <c r="E845" s="327"/>
      <c r="F845" s="121"/>
      <c r="G845" s="327"/>
      <c r="H845" s="121"/>
      <c r="I845" s="333"/>
      <c r="J845" s="177"/>
      <c r="K845" s="333"/>
      <c r="L845" s="177"/>
      <c r="M845" s="333"/>
      <c r="N845" s="177"/>
      <c r="O845" s="327"/>
      <c r="P845" s="121"/>
      <c r="Q845" s="143"/>
      <c r="R845" s="143"/>
      <c r="S845" s="17"/>
      <c r="T845" s="17"/>
      <c r="U845" s="17"/>
      <c r="V845" s="17"/>
      <c r="W845" s="17"/>
      <c r="X845" s="17"/>
      <c r="Y845" s="17"/>
      <c r="Z845" s="17"/>
    </row>
    <row r="846">
      <c r="A846" s="327"/>
      <c r="B846" s="121"/>
      <c r="C846" s="340"/>
      <c r="D846" s="339"/>
      <c r="E846" s="327"/>
      <c r="F846" s="121"/>
      <c r="G846" s="327"/>
      <c r="H846" s="121"/>
      <c r="I846" s="333"/>
      <c r="J846" s="177"/>
      <c r="K846" s="333"/>
      <c r="L846" s="177"/>
      <c r="M846" s="333"/>
      <c r="N846" s="177"/>
      <c r="O846" s="327"/>
      <c r="P846" s="121"/>
      <c r="Q846" s="143"/>
      <c r="R846" s="143"/>
      <c r="S846" s="17"/>
      <c r="T846" s="17"/>
      <c r="U846" s="17"/>
      <c r="V846" s="17"/>
      <c r="W846" s="17"/>
      <c r="X846" s="17"/>
      <c r="Y846" s="17"/>
      <c r="Z846" s="17"/>
    </row>
    <row r="847">
      <c r="A847" s="327"/>
      <c r="B847" s="121"/>
      <c r="C847" s="340"/>
      <c r="D847" s="339"/>
      <c r="E847" s="327"/>
      <c r="F847" s="121"/>
      <c r="G847" s="327"/>
      <c r="H847" s="121"/>
      <c r="I847" s="333"/>
      <c r="J847" s="177"/>
      <c r="K847" s="333"/>
      <c r="L847" s="177"/>
      <c r="M847" s="333"/>
      <c r="N847" s="177"/>
      <c r="O847" s="327"/>
      <c r="P847" s="121"/>
      <c r="Q847" s="143"/>
      <c r="R847" s="143"/>
      <c r="S847" s="17"/>
      <c r="T847" s="17"/>
      <c r="U847" s="17"/>
      <c r="V847" s="17"/>
      <c r="W847" s="17"/>
      <c r="X847" s="17"/>
      <c r="Y847" s="17"/>
      <c r="Z847" s="17"/>
    </row>
    <row r="848">
      <c r="A848" s="327"/>
      <c r="B848" s="121"/>
      <c r="C848" s="340"/>
      <c r="D848" s="339"/>
      <c r="E848" s="327"/>
      <c r="F848" s="121"/>
      <c r="G848" s="327"/>
      <c r="H848" s="121"/>
      <c r="I848" s="333"/>
      <c r="J848" s="177"/>
      <c r="K848" s="333"/>
      <c r="L848" s="177"/>
      <c r="M848" s="333"/>
      <c r="N848" s="177"/>
      <c r="O848" s="327"/>
      <c r="P848" s="121"/>
      <c r="Q848" s="143"/>
      <c r="R848" s="143"/>
      <c r="S848" s="17"/>
      <c r="T848" s="17"/>
      <c r="U848" s="17"/>
      <c r="V848" s="17"/>
      <c r="W848" s="17"/>
      <c r="X848" s="17"/>
      <c r="Y848" s="17"/>
      <c r="Z848" s="17"/>
    </row>
    <row r="849">
      <c r="A849" s="327"/>
      <c r="B849" s="121"/>
      <c r="C849" s="340"/>
      <c r="D849" s="339"/>
      <c r="E849" s="327"/>
      <c r="F849" s="121"/>
      <c r="G849" s="327"/>
      <c r="H849" s="121"/>
      <c r="I849" s="333"/>
      <c r="J849" s="177"/>
      <c r="K849" s="333"/>
      <c r="L849" s="177"/>
      <c r="M849" s="333"/>
      <c r="N849" s="177"/>
      <c r="O849" s="327"/>
      <c r="P849" s="121"/>
      <c r="Q849" s="143"/>
      <c r="R849" s="143"/>
      <c r="S849" s="17"/>
      <c r="T849" s="17"/>
      <c r="U849" s="17"/>
      <c r="V849" s="17"/>
      <c r="W849" s="17"/>
      <c r="X849" s="17"/>
      <c r="Y849" s="17"/>
      <c r="Z849" s="17"/>
    </row>
    <row r="850">
      <c r="A850" s="327"/>
      <c r="B850" s="121"/>
      <c r="C850" s="340"/>
      <c r="D850" s="339"/>
      <c r="E850" s="327"/>
      <c r="F850" s="121"/>
      <c r="G850" s="327"/>
      <c r="H850" s="121"/>
      <c r="I850" s="333"/>
      <c r="J850" s="177"/>
      <c r="K850" s="333"/>
      <c r="L850" s="177"/>
      <c r="M850" s="333"/>
      <c r="N850" s="177"/>
      <c r="O850" s="327"/>
      <c r="P850" s="121"/>
      <c r="Q850" s="143"/>
      <c r="R850" s="143"/>
      <c r="S850" s="17"/>
      <c r="T850" s="17"/>
      <c r="U850" s="17"/>
      <c r="V850" s="17"/>
      <c r="W850" s="17"/>
      <c r="X850" s="17"/>
      <c r="Y850" s="17"/>
      <c r="Z850" s="17"/>
    </row>
    <row r="851">
      <c r="A851" s="327"/>
      <c r="B851" s="121"/>
      <c r="C851" s="340"/>
      <c r="D851" s="339"/>
      <c r="E851" s="327"/>
      <c r="F851" s="121"/>
      <c r="G851" s="327"/>
      <c r="H851" s="121"/>
      <c r="I851" s="333"/>
      <c r="J851" s="177"/>
      <c r="K851" s="333"/>
      <c r="L851" s="177"/>
      <c r="M851" s="333"/>
      <c r="N851" s="177"/>
      <c r="O851" s="327"/>
      <c r="P851" s="121"/>
      <c r="Q851" s="143"/>
      <c r="R851" s="143"/>
      <c r="S851" s="17"/>
      <c r="T851" s="17"/>
      <c r="U851" s="17"/>
      <c r="V851" s="17"/>
      <c r="W851" s="17"/>
      <c r="X851" s="17"/>
      <c r="Y851" s="17"/>
      <c r="Z851" s="17"/>
    </row>
    <row r="852">
      <c r="A852" s="327"/>
      <c r="B852" s="121"/>
      <c r="C852" s="340"/>
      <c r="D852" s="339"/>
      <c r="E852" s="327"/>
      <c r="F852" s="121"/>
      <c r="G852" s="327"/>
      <c r="H852" s="121"/>
      <c r="I852" s="333"/>
      <c r="J852" s="177"/>
      <c r="K852" s="333"/>
      <c r="L852" s="177"/>
      <c r="M852" s="333"/>
      <c r="N852" s="177"/>
      <c r="O852" s="327"/>
      <c r="P852" s="121"/>
      <c r="Q852" s="143"/>
      <c r="R852" s="143"/>
      <c r="S852" s="17"/>
      <c r="T852" s="17"/>
      <c r="U852" s="17"/>
      <c r="V852" s="17"/>
      <c r="W852" s="17"/>
      <c r="X852" s="17"/>
      <c r="Y852" s="17"/>
      <c r="Z852" s="17"/>
    </row>
    <row r="853">
      <c r="A853" s="327"/>
      <c r="B853" s="121"/>
      <c r="C853" s="340"/>
      <c r="D853" s="339"/>
      <c r="E853" s="327"/>
      <c r="F853" s="121"/>
      <c r="G853" s="327"/>
      <c r="H853" s="121"/>
      <c r="I853" s="333"/>
      <c r="J853" s="177"/>
      <c r="K853" s="333"/>
      <c r="L853" s="177"/>
      <c r="M853" s="333"/>
      <c r="N853" s="177"/>
      <c r="O853" s="327"/>
      <c r="P853" s="121"/>
      <c r="Q853" s="143"/>
      <c r="R853" s="143"/>
      <c r="S853" s="17"/>
      <c r="T853" s="17"/>
      <c r="U853" s="17"/>
      <c r="V853" s="17"/>
      <c r="W853" s="17"/>
      <c r="X853" s="17"/>
      <c r="Y853" s="17"/>
      <c r="Z853" s="17"/>
    </row>
    <row r="854">
      <c r="A854" s="327"/>
      <c r="B854" s="121"/>
      <c r="C854" s="340"/>
      <c r="D854" s="339"/>
      <c r="E854" s="327"/>
      <c r="F854" s="121"/>
      <c r="G854" s="327"/>
      <c r="H854" s="121"/>
      <c r="I854" s="333"/>
      <c r="J854" s="177"/>
      <c r="K854" s="333"/>
      <c r="L854" s="177"/>
      <c r="M854" s="333"/>
      <c r="N854" s="177"/>
      <c r="O854" s="327"/>
      <c r="P854" s="121"/>
      <c r="Q854" s="143"/>
      <c r="R854" s="143"/>
      <c r="S854" s="17"/>
      <c r="T854" s="17"/>
      <c r="U854" s="17"/>
      <c r="V854" s="17"/>
      <c r="W854" s="17"/>
      <c r="X854" s="17"/>
      <c r="Y854" s="17"/>
      <c r="Z854" s="17"/>
    </row>
    <row r="855">
      <c r="A855" s="327"/>
      <c r="B855" s="121"/>
      <c r="C855" s="340"/>
      <c r="D855" s="339"/>
      <c r="E855" s="327"/>
      <c r="F855" s="121"/>
      <c r="G855" s="327"/>
      <c r="H855" s="121"/>
      <c r="I855" s="333"/>
      <c r="J855" s="177"/>
      <c r="K855" s="333"/>
      <c r="L855" s="177"/>
      <c r="M855" s="333"/>
      <c r="N855" s="177"/>
      <c r="O855" s="327"/>
      <c r="P855" s="121"/>
      <c r="Q855" s="143"/>
      <c r="R855" s="143"/>
      <c r="S855" s="17"/>
      <c r="T855" s="17"/>
      <c r="U855" s="17"/>
      <c r="V855" s="17"/>
      <c r="W855" s="17"/>
      <c r="X855" s="17"/>
      <c r="Y855" s="17"/>
      <c r="Z855" s="17"/>
    </row>
    <row r="856">
      <c r="A856" s="327"/>
      <c r="B856" s="121"/>
      <c r="C856" s="340"/>
      <c r="D856" s="339"/>
      <c r="E856" s="327"/>
      <c r="F856" s="121"/>
      <c r="G856" s="327"/>
      <c r="H856" s="121"/>
      <c r="I856" s="333"/>
      <c r="J856" s="177"/>
      <c r="K856" s="333"/>
      <c r="L856" s="177"/>
      <c r="M856" s="333"/>
      <c r="N856" s="177"/>
      <c r="O856" s="327"/>
      <c r="P856" s="121"/>
      <c r="Q856" s="143"/>
      <c r="R856" s="143"/>
      <c r="S856" s="17"/>
      <c r="T856" s="17"/>
      <c r="U856" s="17"/>
      <c r="V856" s="17"/>
      <c r="W856" s="17"/>
      <c r="X856" s="17"/>
      <c r="Y856" s="17"/>
      <c r="Z856" s="17"/>
    </row>
    <row r="857">
      <c r="A857" s="327"/>
      <c r="B857" s="121"/>
      <c r="C857" s="340"/>
      <c r="D857" s="339"/>
      <c r="E857" s="327"/>
      <c r="F857" s="121"/>
      <c r="G857" s="327"/>
      <c r="H857" s="121"/>
      <c r="I857" s="333"/>
      <c r="J857" s="177"/>
      <c r="K857" s="333"/>
      <c r="L857" s="177"/>
      <c r="M857" s="333"/>
      <c r="N857" s="177"/>
      <c r="O857" s="327"/>
      <c r="P857" s="121"/>
      <c r="Q857" s="143"/>
      <c r="R857" s="143"/>
      <c r="S857" s="17"/>
      <c r="T857" s="17"/>
      <c r="U857" s="17"/>
      <c r="V857" s="17"/>
      <c r="W857" s="17"/>
      <c r="X857" s="17"/>
      <c r="Y857" s="17"/>
      <c r="Z857" s="17"/>
    </row>
    <row r="858">
      <c r="A858" s="327"/>
      <c r="B858" s="121"/>
      <c r="C858" s="340"/>
      <c r="D858" s="339"/>
      <c r="E858" s="327"/>
      <c r="F858" s="121"/>
      <c r="G858" s="327"/>
      <c r="H858" s="121"/>
      <c r="I858" s="333"/>
      <c r="J858" s="177"/>
      <c r="K858" s="333"/>
      <c r="L858" s="177"/>
      <c r="M858" s="333"/>
      <c r="N858" s="177"/>
      <c r="O858" s="327"/>
      <c r="P858" s="121"/>
      <c r="Q858" s="143"/>
      <c r="R858" s="143"/>
      <c r="S858" s="17"/>
      <c r="T858" s="17"/>
      <c r="U858" s="17"/>
      <c r="V858" s="17"/>
      <c r="W858" s="17"/>
      <c r="X858" s="17"/>
      <c r="Y858" s="17"/>
      <c r="Z858" s="17"/>
    </row>
    <row r="859">
      <c r="A859" s="327"/>
      <c r="B859" s="121"/>
      <c r="C859" s="340"/>
      <c r="D859" s="339"/>
      <c r="E859" s="327"/>
      <c r="F859" s="121"/>
      <c r="G859" s="327"/>
      <c r="H859" s="121"/>
      <c r="I859" s="333"/>
      <c r="J859" s="177"/>
      <c r="K859" s="333"/>
      <c r="L859" s="177"/>
      <c r="M859" s="333"/>
      <c r="N859" s="177"/>
      <c r="O859" s="327"/>
      <c r="P859" s="121"/>
      <c r="Q859" s="143"/>
      <c r="R859" s="143"/>
      <c r="S859" s="17"/>
      <c r="T859" s="17"/>
      <c r="U859" s="17"/>
      <c r="V859" s="17"/>
      <c r="W859" s="17"/>
      <c r="X859" s="17"/>
      <c r="Y859" s="17"/>
      <c r="Z859" s="17"/>
    </row>
    <row r="860">
      <c r="A860" s="327"/>
      <c r="B860" s="121"/>
      <c r="C860" s="340"/>
      <c r="D860" s="339"/>
      <c r="E860" s="327"/>
      <c r="F860" s="121"/>
      <c r="G860" s="327"/>
      <c r="H860" s="121"/>
      <c r="I860" s="333"/>
      <c r="J860" s="177"/>
      <c r="K860" s="333"/>
      <c r="L860" s="177"/>
      <c r="M860" s="333"/>
      <c r="N860" s="177"/>
      <c r="O860" s="327"/>
      <c r="P860" s="121"/>
      <c r="Q860" s="143"/>
      <c r="R860" s="143"/>
      <c r="S860" s="17"/>
      <c r="T860" s="17"/>
      <c r="U860" s="17"/>
      <c r="V860" s="17"/>
      <c r="W860" s="17"/>
      <c r="X860" s="17"/>
      <c r="Y860" s="17"/>
      <c r="Z860" s="17"/>
    </row>
    <row r="861">
      <c r="A861" s="327"/>
      <c r="B861" s="121"/>
      <c r="C861" s="340"/>
      <c r="D861" s="339"/>
      <c r="E861" s="327"/>
      <c r="F861" s="121"/>
      <c r="G861" s="327"/>
      <c r="H861" s="121"/>
      <c r="I861" s="333"/>
      <c r="J861" s="177"/>
      <c r="K861" s="333"/>
      <c r="L861" s="177"/>
      <c r="M861" s="333"/>
      <c r="N861" s="177"/>
      <c r="O861" s="327"/>
      <c r="P861" s="121"/>
      <c r="Q861" s="143"/>
      <c r="R861" s="143"/>
      <c r="S861" s="17"/>
      <c r="T861" s="17"/>
      <c r="U861" s="17"/>
      <c r="V861" s="17"/>
      <c r="W861" s="17"/>
      <c r="X861" s="17"/>
      <c r="Y861" s="17"/>
      <c r="Z861" s="17"/>
    </row>
    <row r="862">
      <c r="A862" s="327"/>
      <c r="B862" s="121"/>
      <c r="C862" s="340"/>
      <c r="D862" s="339"/>
      <c r="E862" s="327"/>
      <c r="F862" s="121"/>
      <c r="G862" s="327"/>
      <c r="H862" s="121"/>
      <c r="I862" s="333"/>
      <c r="J862" s="177"/>
      <c r="K862" s="333"/>
      <c r="L862" s="177"/>
      <c r="M862" s="333"/>
      <c r="N862" s="177"/>
      <c r="O862" s="327"/>
      <c r="P862" s="121"/>
      <c r="Q862" s="143"/>
      <c r="R862" s="143"/>
      <c r="S862" s="17"/>
      <c r="T862" s="17"/>
      <c r="U862" s="17"/>
      <c r="V862" s="17"/>
      <c r="W862" s="17"/>
      <c r="X862" s="17"/>
      <c r="Y862" s="17"/>
      <c r="Z862" s="17"/>
    </row>
    <row r="863">
      <c r="A863" s="327"/>
      <c r="B863" s="121"/>
      <c r="C863" s="340"/>
      <c r="D863" s="339"/>
      <c r="E863" s="327"/>
      <c r="F863" s="121"/>
      <c r="G863" s="327"/>
      <c r="H863" s="121"/>
      <c r="I863" s="333"/>
      <c r="J863" s="177"/>
      <c r="K863" s="333"/>
      <c r="L863" s="177"/>
      <c r="M863" s="333"/>
      <c r="N863" s="177"/>
      <c r="O863" s="327"/>
      <c r="P863" s="121"/>
      <c r="Q863" s="143"/>
      <c r="R863" s="143"/>
      <c r="S863" s="17"/>
      <c r="T863" s="17"/>
      <c r="U863" s="17"/>
      <c r="V863" s="17"/>
      <c r="W863" s="17"/>
      <c r="X863" s="17"/>
      <c r="Y863" s="17"/>
      <c r="Z863" s="17"/>
    </row>
    <row r="864">
      <c r="A864" s="327"/>
      <c r="B864" s="121"/>
      <c r="C864" s="340"/>
      <c r="D864" s="339"/>
      <c r="E864" s="327"/>
      <c r="F864" s="121"/>
      <c r="G864" s="327"/>
      <c r="H864" s="121"/>
      <c r="I864" s="333"/>
      <c r="J864" s="177"/>
      <c r="K864" s="333"/>
      <c r="L864" s="177"/>
      <c r="M864" s="333"/>
      <c r="N864" s="177"/>
      <c r="O864" s="327"/>
      <c r="P864" s="121"/>
      <c r="Q864" s="143"/>
      <c r="R864" s="143"/>
      <c r="S864" s="17"/>
      <c r="T864" s="17"/>
      <c r="U864" s="17"/>
      <c r="V864" s="17"/>
      <c r="W864" s="17"/>
      <c r="X864" s="17"/>
      <c r="Y864" s="17"/>
      <c r="Z864" s="17"/>
    </row>
    <row r="865">
      <c r="A865" s="327"/>
      <c r="B865" s="121"/>
      <c r="C865" s="340"/>
      <c r="D865" s="339"/>
      <c r="E865" s="327"/>
      <c r="F865" s="121"/>
      <c r="G865" s="327"/>
      <c r="H865" s="121"/>
      <c r="I865" s="333"/>
      <c r="J865" s="177"/>
      <c r="K865" s="333"/>
      <c r="L865" s="177"/>
      <c r="M865" s="333"/>
      <c r="N865" s="177"/>
      <c r="O865" s="327"/>
      <c r="P865" s="121"/>
      <c r="Q865" s="143"/>
      <c r="R865" s="143"/>
      <c r="S865" s="17"/>
      <c r="T865" s="17"/>
      <c r="U865" s="17"/>
      <c r="V865" s="17"/>
      <c r="W865" s="17"/>
      <c r="X865" s="17"/>
      <c r="Y865" s="17"/>
      <c r="Z865" s="17"/>
    </row>
    <row r="866">
      <c r="A866" s="327"/>
      <c r="B866" s="121"/>
      <c r="C866" s="340"/>
      <c r="D866" s="339"/>
      <c r="E866" s="327"/>
      <c r="F866" s="121"/>
      <c r="G866" s="327"/>
      <c r="H866" s="121"/>
      <c r="I866" s="333"/>
      <c r="J866" s="177"/>
      <c r="K866" s="333"/>
      <c r="L866" s="177"/>
      <c r="M866" s="333"/>
      <c r="N866" s="177"/>
      <c r="O866" s="327"/>
      <c r="P866" s="121"/>
      <c r="Q866" s="143"/>
      <c r="R866" s="143"/>
      <c r="S866" s="17"/>
      <c r="T866" s="17"/>
      <c r="U866" s="17"/>
      <c r="V866" s="17"/>
      <c r="W866" s="17"/>
      <c r="X866" s="17"/>
      <c r="Y866" s="17"/>
      <c r="Z866" s="17"/>
    </row>
    <row r="867">
      <c r="A867" s="327"/>
      <c r="B867" s="121"/>
      <c r="C867" s="340"/>
      <c r="D867" s="339"/>
      <c r="E867" s="327"/>
      <c r="F867" s="121"/>
      <c r="G867" s="327"/>
      <c r="H867" s="121"/>
      <c r="I867" s="333"/>
      <c r="J867" s="177"/>
      <c r="K867" s="333"/>
      <c r="L867" s="177"/>
      <c r="M867" s="333"/>
      <c r="N867" s="177"/>
      <c r="O867" s="327"/>
      <c r="P867" s="121"/>
      <c r="Q867" s="143"/>
      <c r="R867" s="143"/>
      <c r="S867" s="17"/>
      <c r="T867" s="17"/>
      <c r="U867" s="17"/>
      <c r="V867" s="17"/>
      <c r="W867" s="17"/>
      <c r="X867" s="17"/>
      <c r="Y867" s="17"/>
      <c r="Z867" s="17"/>
    </row>
    <row r="868">
      <c r="A868" s="327"/>
      <c r="B868" s="121"/>
      <c r="C868" s="340"/>
      <c r="D868" s="339"/>
      <c r="E868" s="327"/>
      <c r="F868" s="121"/>
      <c r="G868" s="327"/>
      <c r="H868" s="121"/>
      <c r="I868" s="333"/>
      <c r="J868" s="177"/>
      <c r="K868" s="333"/>
      <c r="L868" s="177"/>
      <c r="M868" s="333"/>
      <c r="N868" s="177"/>
      <c r="O868" s="327"/>
      <c r="P868" s="121"/>
      <c r="Q868" s="143"/>
      <c r="R868" s="143"/>
      <c r="S868" s="17"/>
      <c r="T868" s="17"/>
      <c r="U868" s="17"/>
      <c r="V868" s="17"/>
      <c r="W868" s="17"/>
      <c r="X868" s="17"/>
      <c r="Y868" s="17"/>
      <c r="Z868" s="17"/>
    </row>
    <row r="869">
      <c r="A869" s="327"/>
      <c r="B869" s="121"/>
      <c r="C869" s="340"/>
      <c r="D869" s="339"/>
      <c r="E869" s="327"/>
      <c r="F869" s="121"/>
      <c r="G869" s="327"/>
      <c r="H869" s="121"/>
      <c r="I869" s="333"/>
      <c r="J869" s="177"/>
      <c r="K869" s="333"/>
      <c r="L869" s="177"/>
      <c r="M869" s="333"/>
      <c r="N869" s="177"/>
      <c r="O869" s="327"/>
      <c r="P869" s="121"/>
      <c r="Q869" s="143"/>
      <c r="R869" s="143"/>
      <c r="S869" s="17"/>
      <c r="T869" s="17"/>
      <c r="U869" s="17"/>
      <c r="V869" s="17"/>
      <c r="W869" s="17"/>
      <c r="X869" s="17"/>
      <c r="Y869" s="17"/>
      <c r="Z869" s="17"/>
    </row>
    <row r="870">
      <c r="A870" s="327"/>
      <c r="B870" s="121"/>
      <c r="C870" s="340"/>
      <c r="D870" s="339"/>
      <c r="E870" s="327"/>
      <c r="F870" s="121"/>
      <c r="G870" s="327"/>
      <c r="H870" s="121"/>
      <c r="I870" s="333"/>
      <c r="J870" s="177"/>
      <c r="K870" s="333"/>
      <c r="L870" s="177"/>
      <c r="M870" s="333"/>
      <c r="N870" s="177"/>
      <c r="O870" s="327"/>
      <c r="P870" s="121"/>
      <c r="Q870" s="143"/>
      <c r="R870" s="143"/>
      <c r="S870" s="17"/>
      <c r="T870" s="17"/>
      <c r="U870" s="17"/>
      <c r="V870" s="17"/>
      <c r="W870" s="17"/>
      <c r="X870" s="17"/>
      <c r="Y870" s="17"/>
      <c r="Z870" s="17"/>
    </row>
    <row r="871">
      <c r="A871" s="327"/>
      <c r="B871" s="121"/>
      <c r="C871" s="340"/>
      <c r="D871" s="339"/>
      <c r="E871" s="327"/>
      <c r="F871" s="121"/>
      <c r="G871" s="327"/>
      <c r="H871" s="121"/>
      <c r="I871" s="333"/>
      <c r="J871" s="177"/>
      <c r="K871" s="333"/>
      <c r="L871" s="177"/>
      <c r="M871" s="333"/>
      <c r="N871" s="177"/>
      <c r="O871" s="327"/>
      <c r="P871" s="121"/>
      <c r="Q871" s="143"/>
      <c r="R871" s="143"/>
      <c r="S871" s="17"/>
      <c r="T871" s="17"/>
      <c r="U871" s="17"/>
      <c r="V871" s="17"/>
      <c r="W871" s="17"/>
      <c r="X871" s="17"/>
      <c r="Y871" s="17"/>
      <c r="Z871" s="17"/>
    </row>
    <row r="872">
      <c r="A872" s="327"/>
      <c r="B872" s="121"/>
      <c r="C872" s="340"/>
      <c r="D872" s="339"/>
      <c r="E872" s="327"/>
      <c r="F872" s="121"/>
      <c r="G872" s="327"/>
      <c r="H872" s="121"/>
      <c r="I872" s="333"/>
      <c r="J872" s="177"/>
      <c r="K872" s="333"/>
      <c r="L872" s="177"/>
      <c r="M872" s="333"/>
      <c r="N872" s="177"/>
      <c r="O872" s="327"/>
      <c r="P872" s="121"/>
      <c r="Q872" s="143"/>
      <c r="R872" s="143"/>
      <c r="S872" s="17"/>
      <c r="T872" s="17"/>
      <c r="U872" s="17"/>
      <c r="V872" s="17"/>
      <c r="W872" s="17"/>
      <c r="X872" s="17"/>
      <c r="Y872" s="17"/>
      <c r="Z872" s="17"/>
    </row>
    <row r="873">
      <c r="A873" s="327"/>
      <c r="B873" s="121"/>
      <c r="C873" s="340"/>
      <c r="D873" s="339"/>
      <c r="E873" s="327"/>
      <c r="F873" s="121"/>
      <c r="G873" s="327"/>
      <c r="H873" s="121"/>
      <c r="I873" s="333"/>
      <c r="J873" s="177"/>
      <c r="K873" s="333"/>
      <c r="L873" s="177"/>
      <c r="M873" s="333"/>
      <c r="N873" s="177"/>
      <c r="O873" s="327"/>
      <c r="P873" s="121"/>
      <c r="Q873" s="143"/>
      <c r="R873" s="143"/>
      <c r="S873" s="17"/>
      <c r="T873" s="17"/>
      <c r="U873" s="17"/>
      <c r="V873" s="17"/>
      <c r="W873" s="17"/>
      <c r="X873" s="17"/>
      <c r="Y873" s="17"/>
      <c r="Z873" s="17"/>
    </row>
    <row r="874">
      <c r="A874" s="327"/>
      <c r="B874" s="121"/>
      <c r="C874" s="340"/>
      <c r="D874" s="339"/>
      <c r="E874" s="327"/>
      <c r="F874" s="121"/>
      <c r="G874" s="327"/>
      <c r="H874" s="121"/>
      <c r="I874" s="333"/>
      <c r="J874" s="177"/>
      <c r="K874" s="333"/>
      <c r="L874" s="177"/>
      <c r="M874" s="333"/>
      <c r="N874" s="177"/>
      <c r="O874" s="327"/>
      <c r="P874" s="121"/>
      <c r="Q874" s="143"/>
      <c r="R874" s="143"/>
      <c r="S874" s="17"/>
      <c r="T874" s="17"/>
      <c r="U874" s="17"/>
      <c r="V874" s="17"/>
      <c r="W874" s="17"/>
      <c r="X874" s="17"/>
      <c r="Y874" s="17"/>
      <c r="Z874" s="17"/>
    </row>
    <row r="875">
      <c r="A875" s="327"/>
      <c r="B875" s="121"/>
      <c r="C875" s="340"/>
      <c r="D875" s="339"/>
      <c r="E875" s="327"/>
      <c r="F875" s="121"/>
      <c r="G875" s="327"/>
      <c r="H875" s="121"/>
      <c r="I875" s="333"/>
      <c r="J875" s="177"/>
      <c r="K875" s="333"/>
      <c r="L875" s="177"/>
      <c r="M875" s="333"/>
      <c r="N875" s="177"/>
      <c r="O875" s="327"/>
      <c r="P875" s="121"/>
      <c r="Q875" s="143"/>
      <c r="R875" s="143"/>
      <c r="S875" s="17"/>
      <c r="T875" s="17"/>
      <c r="U875" s="17"/>
      <c r="V875" s="17"/>
      <c r="W875" s="17"/>
      <c r="X875" s="17"/>
      <c r="Y875" s="17"/>
      <c r="Z875" s="17"/>
    </row>
    <row r="876">
      <c r="A876" s="327"/>
      <c r="B876" s="121"/>
      <c r="C876" s="340"/>
      <c r="D876" s="339"/>
      <c r="E876" s="327"/>
      <c r="F876" s="121"/>
      <c r="G876" s="327"/>
      <c r="H876" s="121"/>
      <c r="I876" s="333"/>
      <c r="J876" s="177"/>
      <c r="K876" s="333"/>
      <c r="L876" s="177"/>
      <c r="M876" s="333"/>
      <c r="N876" s="177"/>
      <c r="O876" s="327"/>
      <c r="P876" s="121"/>
      <c r="Q876" s="143"/>
      <c r="R876" s="143"/>
      <c r="S876" s="17"/>
      <c r="T876" s="17"/>
      <c r="U876" s="17"/>
      <c r="V876" s="17"/>
      <c r="W876" s="17"/>
      <c r="X876" s="17"/>
      <c r="Y876" s="17"/>
      <c r="Z876" s="17"/>
    </row>
    <row r="877">
      <c r="A877" s="327"/>
      <c r="B877" s="121"/>
      <c r="C877" s="340"/>
      <c r="D877" s="339"/>
      <c r="E877" s="327"/>
      <c r="F877" s="121"/>
      <c r="G877" s="327"/>
      <c r="H877" s="121"/>
      <c r="I877" s="333"/>
      <c r="J877" s="177"/>
      <c r="K877" s="333"/>
      <c r="L877" s="177"/>
      <c r="M877" s="333"/>
      <c r="N877" s="177"/>
      <c r="O877" s="327"/>
      <c r="P877" s="121"/>
      <c r="Q877" s="143"/>
      <c r="R877" s="143"/>
      <c r="S877" s="17"/>
      <c r="T877" s="17"/>
      <c r="U877" s="17"/>
      <c r="V877" s="17"/>
      <c r="W877" s="17"/>
      <c r="X877" s="17"/>
      <c r="Y877" s="17"/>
      <c r="Z877" s="17"/>
    </row>
    <row r="878">
      <c r="A878" s="327"/>
      <c r="B878" s="121"/>
      <c r="C878" s="340"/>
      <c r="D878" s="339"/>
      <c r="E878" s="327"/>
      <c r="F878" s="121"/>
      <c r="G878" s="327"/>
      <c r="H878" s="121"/>
      <c r="I878" s="333"/>
      <c r="J878" s="177"/>
      <c r="K878" s="333"/>
      <c r="L878" s="177"/>
      <c r="M878" s="333"/>
      <c r="N878" s="177"/>
      <c r="O878" s="327"/>
      <c r="P878" s="121"/>
      <c r="Q878" s="143"/>
      <c r="R878" s="143"/>
      <c r="S878" s="17"/>
      <c r="T878" s="17"/>
      <c r="U878" s="17"/>
      <c r="V878" s="17"/>
      <c r="W878" s="17"/>
      <c r="X878" s="17"/>
      <c r="Y878" s="17"/>
      <c r="Z878" s="17"/>
    </row>
    <row r="879">
      <c r="A879" s="327"/>
      <c r="B879" s="121"/>
      <c r="C879" s="340"/>
      <c r="D879" s="339"/>
      <c r="E879" s="327"/>
      <c r="F879" s="121"/>
      <c r="G879" s="327"/>
      <c r="H879" s="121"/>
      <c r="I879" s="333"/>
      <c r="J879" s="177"/>
      <c r="K879" s="333"/>
      <c r="L879" s="177"/>
      <c r="M879" s="333"/>
      <c r="N879" s="177"/>
      <c r="O879" s="327"/>
      <c r="P879" s="121"/>
      <c r="Q879" s="143"/>
      <c r="R879" s="143"/>
      <c r="S879" s="17"/>
      <c r="T879" s="17"/>
      <c r="U879" s="17"/>
      <c r="V879" s="17"/>
      <c r="W879" s="17"/>
      <c r="X879" s="17"/>
      <c r="Y879" s="17"/>
      <c r="Z879" s="17"/>
    </row>
    <row r="880">
      <c r="A880" s="327"/>
      <c r="B880" s="121"/>
      <c r="C880" s="340"/>
      <c r="D880" s="339"/>
      <c r="E880" s="327"/>
      <c r="F880" s="121"/>
      <c r="G880" s="327"/>
      <c r="H880" s="121"/>
      <c r="I880" s="333"/>
      <c r="J880" s="177"/>
      <c r="K880" s="333"/>
      <c r="L880" s="177"/>
      <c r="M880" s="333"/>
      <c r="N880" s="177"/>
      <c r="O880" s="327"/>
      <c r="P880" s="121"/>
      <c r="Q880" s="143"/>
      <c r="R880" s="143"/>
      <c r="S880" s="17"/>
      <c r="T880" s="17"/>
      <c r="U880" s="17"/>
      <c r="V880" s="17"/>
      <c r="W880" s="17"/>
      <c r="X880" s="17"/>
      <c r="Y880" s="17"/>
      <c r="Z880" s="17"/>
    </row>
    <row r="881">
      <c r="A881" s="327"/>
      <c r="B881" s="121"/>
      <c r="C881" s="340"/>
      <c r="D881" s="339"/>
      <c r="E881" s="327"/>
      <c r="F881" s="121"/>
      <c r="G881" s="327"/>
      <c r="H881" s="121"/>
      <c r="I881" s="333"/>
      <c r="J881" s="177"/>
      <c r="K881" s="333"/>
      <c r="L881" s="177"/>
      <c r="M881" s="333"/>
      <c r="N881" s="177"/>
      <c r="O881" s="327"/>
      <c r="P881" s="121"/>
      <c r="Q881" s="143"/>
      <c r="R881" s="143"/>
      <c r="S881" s="17"/>
      <c r="T881" s="17"/>
      <c r="U881" s="17"/>
      <c r="V881" s="17"/>
      <c r="W881" s="17"/>
      <c r="X881" s="17"/>
      <c r="Y881" s="17"/>
      <c r="Z881" s="17"/>
    </row>
    <row r="882">
      <c r="A882" s="327"/>
      <c r="B882" s="121"/>
      <c r="C882" s="340"/>
      <c r="D882" s="339"/>
      <c r="E882" s="327"/>
      <c r="F882" s="121"/>
      <c r="G882" s="327"/>
      <c r="H882" s="121"/>
      <c r="I882" s="333"/>
      <c r="J882" s="177"/>
      <c r="K882" s="333"/>
      <c r="L882" s="177"/>
      <c r="M882" s="333"/>
      <c r="N882" s="177"/>
      <c r="O882" s="327"/>
      <c r="P882" s="121"/>
      <c r="Q882" s="143"/>
      <c r="R882" s="143"/>
      <c r="S882" s="17"/>
      <c r="T882" s="17"/>
      <c r="U882" s="17"/>
      <c r="V882" s="17"/>
      <c r="W882" s="17"/>
      <c r="X882" s="17"/>
      <c r="Y882" s="17"/>
      <c r="Z882" s="17"/>
    </row>
    <row r="883">
      <c r="A883" s="327"/>
      <c r="B883" s="121"/>
      <c r="C883" s="340"/>
      <c r="D883" s="339"/>
      <c r="E883" s="327"/>
      <c r="F883" s="121"/>
      <c r="G883" s="327"/>
      <c r="H883" s="121"/>
      <c r="I883" s="333"/>
      <c r="J883" s="177"/>
      <c r="K883" s="333"/>
      <c r="L883" s="177"/>
      <c r="M883" s="333"/>
      <c r="N883" s="177"/>
      <c r="O883" s="327"/>
      <c r="P883" s="121"/>
      <c r="Q883" s="143"/>
      <c r="R883" s="143"/>
      <c r="S883" s="17"/>
      <c r="T883" s="17"/>
      <c r="U883" s="17"/>
      <c r="V883" s="17"/>
      <c r="W883" s="17"/>
      <c r="X883" s="17"/>
      <c r="Y883" s="17"/>
      <c r="Z883" s="17"/>
    </row>
    <row r="884">
      <c r="A884" s="327"/>
      <c r="B884" s="121"/>
      <c r="C884" s="340"/>
      <c r="D884" s="339"/>
      <c r="E884" s="327"/>
      <c r="F884" s="121"/>
      <c r="G884" s="327"/>
      <c r="H884" s="121"/>
      <c r="I884" s="333"/>
      <c r="J884" s="177"/>
      <c r="K884" s="333"/>
      <c r="L884" s="177"/>
      <c r="M884" s="333"/>
      <c r="N884" s="177"/>
      <c r="O884" s="327"/>
      <c r="P884" s="121"/>
      <c r="Q884" s="143"/>
      <c r="R884" s="143"/>
      <c r="S884" s="17"/>
      <c r="T884" s="17"/>
      <c r="U884" s="17"/>
      <c r="V884" s="17"/>
      <c r="W884" s="17"/>
      <c r="X884" s="17"/>
      <c r="Y884" s="17"/>
      <c r="Z884" s="17"/>
    </row>
    <row r="885">
      <c r="A885" s="327"/>
      <c r="B885" s="121"/>
      <c r="C885" s="340"/>
      <c r="D885" s="339"/>
      <c r="E885" s="327"/>
      <c r="F885" s="121"/>
      <c r="G885" s="327"/>
      <c r="H885" s="121"/>
      <c r="I885" s="333"/>
      <c r="J885" s="177"/>
      <c r="K885" s="333"/>
      <c r="L885" s="177"/>
      <c r="M885" s="333"/>
      <c r="N885" s="177"/>
      <c r="O885" s="327"/>
      <c r="P885" s="121"/>
      <c r="Q885" s="143"/>
      <c r="R885" s="143"/>
      <c r="S885" s="17"/>
      <c r="T885" s="17"/>
      <c r="U885" s="17"/>
      <c r="V885" s="17"/>
      <c r="W885" s="17"/>
      <c r="X885" s="17"/>
      <c r="Y885" s="17"/>
      <c r="Z885" s="17"/>
    </row>
    <row r="886">
      <c r="A886" s="327"/>
      <c r="B886" s="121"/>
      <c r="C886" s="340"/>
      <c r="D886" s="339"/>
      <c r="E886" s="327"/>
      <c r="F886" s="121"/>
      <c r="G886" s="327"/>
      <c r="H886" s="121"/>
      <c r="I886" s="333"/>
      <c r="J886" s="177"/>
      <c r="K886" s="333"/>
      <c r="L886" s="177"/>
      <c r="M886" s="333"/>
      <c r="N886" s="177"/>
      <c r="O886" s="327"/>
      <c r="P886" s="121"/>
      <c r="Q886" s="143"/>
      <c r="R886" s="143"/>
      <c r="S886" s="17"/>
      <c r="T886" s="17"/>
      <c r="U886" s="17"/>
      <c r="V886" s="17"/>
      <c r="W886" s="17"/>
      <c r="X886" s="17"/>
      <c r="Y886" s="17"/>
      <c r="Z886" s="17"/>
    </row>
    <row r="887">
      <c r="A887" s="327"/>
      <c r="B887" s="121"/>
      <c r="C887" s="340"/>
      <c r="D887" s="339"/>
      <c r="E887" s="327"/>
      <c r="F887" s="121"/>
      <c r="G887" s="327"/>
      <c r="H887" s="121"/>
      <c r="I887" s="333"/>
      <c r="J887" s="177"/>
      <c r="K887" s="333"/>
      <c r="L887" s="177"/>
      <c r="M887" s="333"/>
      <c r="N887" s="177"/>
      <c r="O887" s="327"/>
      <c r="P887" s="121"/>
      <c r="Q887" s="143"/>
      <c r="R887" s="143"/>
      <c r="S887" s="17"/>
      <c r="T887" s="17"/>
      <c r="U887" s="17"/>
      <c r="V887" s="17"/>
      <c r="W887" s="17"/>
      <c r="X887" s="17"/>
      <c r="Y887" s="17"/>
      <c r="Z887" s="17"/>
    </row>
    <row r="888">
      <c r="A888" s="327"/>
      <c r="B888" s="121"/>
      <c r="C888" s="340"/>
      <c r="D888" s="339"/>
      <c r="E888" s="327"/>
      <c r="F888" s="121"/>
      <c r="G888" s="327"/>
      <c r="H888" s="121"/>
      <c r="I888" s="333"/>
      <c r="J888" s="177"/>
      <c r="K888" s="333"/>
      <c r="L888" s="177"/>
      <c r="M888" s="333"/>
      <c r="N888" s="177"/>
      <c r="O888" s="327"/>
      <c r="P888" s="121"/>
      <c r="Q888" s="143"/>
      <c r="R888" s="143"/>
      <c r="S888" s="17"/>
      <c r="T888" s="17"/>
      <c r="U888" s="17"/>
      <c r="V888" s="17"/>
      <c r="W888" s="17"/>
      <c r="X888" s="17"/>
      <c r="Y888" s="17"/>
      <c r="Z888" s="17"/>
    </row>
    <row r="889">
      <c r="A889" s="327"/>
      <c r="B889" s="121"/>
      <c r="C889" s="340"/>
      <c r="D889" s="339"/>
      <c r="E889" s="327"/>
      <c r="F889" s="121"/>
      <c r="G889" s="327"/>
      <c r="H889" s="121"/>
      <c r="I889" s="333"/>
      <c r="J889" s="177"/>
      <c r="K889" s="333"/>
      <c r="L889" s="177"/>
      <c r="M889" s="333"/>
      <c r="N889" s="177"/>
      <c r="O889" s="327"/>
      <c r="P889" s="121"/>
      <c r="Q889" s="143"/>
      <c r="R889" s="143"/>
      <c r="S889" s="17"/>
      <c r="T889" s="17"/>
      <c r="U889" s="17"/>
      <c r="V889" s="17"/>
      <c r="W889" s="17"/>
      <c r="X889" s="17"/>
      <c r="Y889" s="17"/>
      <c r="Z889" s="17"/>
    </row>
    <row r="890">
      <c r="A890" s="327"/>
      <c r="B890" s="121"/>
      <c r="C890" s="340"/>
      <c r="D890" s="339"/>
      <c r="E890" s="327"/>
      <c r="F890" s="121"/>
      <c r="G890" s="327"/>
      <c r="H890" s="121"/>
      <c r="I890" s="333"/>
      <c r="J890" s="177"/>
      <c r="K890" s="333"/>
      <c r="L890" s="177"/>
      <c r="M890" s="333"/>
      <c r="N890" s="177"/>
      <c r="O890" s="327"/>
      <c r="P890" s="121"/>
      <c r="Q890" s="143"/>
      <c r="R890" s="143"/>
      <c r="S890" s="17"/>
      <c r="T890" s="17"/>
      <c r="U890" s="17"/>
      <c r="V890" s="17"/>
      <c r="W890" s="17"/>
      <c r="X890" s="17"/>
      <c r="Y890" s="17"/>
      <c r="Z890" s="17"/>
    </row>
    <row r="891">
      <c r="A891" s="327"/>
      <c r="B891" s="121"/>
      <c r="C891" s="340"/>
      <c r="D891" s="339"/>
      <c r="E891" s="327"/>
      <c r="F891" s="121"/>
      <c r="G891" s="327"/>
      <c r="H891" s="121"/>
      <c r="I891" s="333"/>
      <c r="J891" s="177"/>
      <c r="K891" s="333"/>
      <c r="L891" s="177"/>
      <c r="M891" s="333"/>
      <c r="N891" s="177"/>
      <c r="O891" s="327"/>
      <c r="P891" s="121"/>
      <c r="Q891" s="143"/>
      <c r="R891" s="143"/>
      <c r="S891" s="17"/>
      <c r="T891" s="17"/>
      <c r="U891" s="17"/>
      <c r="V891" s="17"/>
      <c r="W891" s="17"/>
      <c r="X891" s="17"/>
      <c r="Y891" s="17"/>
      <c r="Z891" s="17"/>
    </row>
    <row r="892">
      <c r="A892" s="327"/>
      <c r="B892" s="121"/>
      <c r="C892" s="340"/>
      <c r="D892" s="339"/>
      <c r="E892" s="327"/>
      <c r="F892" s="121"/>
      <c r="G892" s="327"/>
      <c r="H892" s="121"/>
      <c r="I892" s="333"/>
      <c r="J892" s="177"/>
      <c r="K892" s="333"/>
      <c r="L892" s="177"/>
      <c r="M892" s="333"/>
      <c r="N892" s="177"/>
      <c r="O892" s="327"/>
      <c r="P892" s="121"/>
      <c r="Q892" s="143"/>
      <c r="R892" s="143"/>
      <c r="S892" s="17"/>
      <c r="T892" s="17"/>
      <c r="U892" s="17"/>
      <c r="V892" s="17"/>
      <c r="W892" s="17"/>
      <c r="X892" s="17"/>
      <c r="Y892" s="17"/>
      <c r="Z892" s="17"/>
    </row>
    <row r="893">
      <c r="A893" s="327"/>
      <c r="B893" s="121"/>
      <c r="C893" s="340"/>
      <c r="D893" s="339"/>
      <c r="E893" s="327"/>
      <c r="F893" s="121"/>
      <c r="G893" s="327"/>
      <c r="H893" s="121"/>
      <c r="I893" s="333"/>
      <c r="J893" s="177"/>
      <c r="K893" s="333"/>
      <c r="L893" s="177"/>
      <c r="M893" s="333"/>
      <c r="N893" s="177"/>
      <c r="O893" s="327"/>
      <c r="P893" s="121"/>
      <c r="Q893" s="143"/>
      <c r="R893" s="143"/>
      <c r="S893" s="17"/>
      <c r="T893" s="17"/>
      <c r="U893" s="17"/>
      <c r="V893" s="17"/>
      <c r="W893" s="17"/>
      <c r="X893" s="17"/>
      <c r="Y893" s="17"/>
      <c r="Z893" s="17"/>
    </row>
    <row r="894">
      <c r="A894" s="327"/>
      <c r="B894" s="121"/>
      <c r="C894" s="340"/>
      <c r="D894" s="339"/>
      <c r="E894" s="327"/>
      <c r="F894" s="121"/>
      <c r="G894" s="327"/>
      <c r="H894" s="121"/>
      <c r="I894" s="333"/>
      <c r="J894" s="177"/>
      <c r="K894" s="333"/>
      <c r="L894" s="177"/>
      <c r="M894" s="333"/>
      <c r="N894" s="177"/>
      <c r="O894" s="327"/>
      <c r="P894" s="121"/>
      <c r="Q894" s="143"/>
      <c r="R894" s="143"/>
      <c r="S894" s="17"/>
      <c r="T894" s="17"/>
      <c r="U894" s="17"/>
      <c r="V894" s="17"/>
      <c r="W894" s="17"/>
      <c r="X894" s="17"/>
      <c r="Y894" s="17"/>
      <c r="Z894" s="17"/>
    </row>
    <row r="895">
      <c r="A895" s="327"/>
      <c r="B895" s="121"/>
      <c r="C895" s="340"/>
      <c r="D895" s="339"/>
      <c r="E895" s="327"/>
      <c r="F895" s="121"/>
      <c r="G895" s="327"/>
      <c r="H895" s="121"/>
      <c r="I895" s="333"/>
      <c r="J895" s="177"/>
      <c r="K895" s="333"/>
      <c r="L895" s="177"/>
      <c r="M895" s="333"/>
      <c r="N895" s="177"/>
      <c r="O895" s="327"/>
      <c r="P895" s="121"/>
      <c r="Q895" s="143"/>
      <c r="R895" s="143"/>
      <c r="S895" s="17"/>
      <c r="T895" s="17"/>
      <c r="U895" s="17"/>
      <c r="V895" s="17"/>
      <c r="W895" s="17"/>
      <c r="X895" s="17"/>
      <c r="Y895" s="17"/>
      <c r="Z895" s="17"/>
    </row>
    <row r="896">
      <c r="A896" s="327"/>
      <c r="B896" s="121"/>
      <c r="C896" s="340"/>
      <c r="D896" s="339"/>
      <c r="E896" s="327"/>
      <c r="F896" s="121"/>
      <c r="G896" s="327"/>
      <c r="H896" s="121"/>
      <c r="I896" s="333"/>
      <c r="J896" s="177"/>
      <c r="K896" s="333"/>
      <c r="L896" s="177"/>
      <c r="M896" s="333"/>
      <c r="N896" s="177"/>
      <c r="O896" s="327"/>
      <c r="P896" s="121"/>
      <c r="Q896" s="143"/>
      <c r="R896" s="143"/>
      <c r="S896" s="17"/>
      <c r="T896" s="17"/>
      <c r="U896" s="17"/>
      <c r="V896" s="17"/>
      <c r="W896" s="17"/>
      <c r="X896" s="17"/>
      <c r="Y896" s="17"/>
      <c r="Z896" s="17"/>
    </row>
    <row r="897">
      <c r="A897" s="327"/>
      <c r="B897" s="121"/>
      <c r="C897" s="340"/>
      <c r="D897" s="339"/>
      <c r="E897" s="327"/>
      <c r="F897" s="121"/>
      <c r="G897" s="327"/>
      <c r="H897" s="121"/>
      <c r="I897" s="333"/>
      <c r="J897" s="177"/>
      <c r="K897" s="333"/>
      <c r="L897" s="177"/>
      <c r="M897" s="333"/>
      <c r="N897" s="177"/>
      <c r="O897" s="327"/>
      <c r="P897" s="121"/>
      <c r="Q897" s="143"/>
      <c r="R897" s="143"/>
      <c r="S897" s="17"/>
      <c r="T897" s="17"/>
      <c r="U897" s="17"/>
      <c r="V897" s="17"/>
      <c r="W897" s="17"/>
      <c r="X897" s="17"/>
      <c r="Y897" s="17"/>
      <c r="Z897" s="17"/>
    </row>
    <row r="898">
      <c r="A898" s="327"/>
      <c r="B898" s="121"/>
      <c r="C898" s="340"/>
      <c r="D898" s="339"/>
      <c r="E898" s="327"/>
      <c r="F898" s="121"/>
      <c r="G898" s="327"/>
      <c r="H898" s="121"/>
      <c r="I898" s="333"/>
      <c r="J898" s="177"/>
      <c r="K898" s="333"/>
      <c r="L898" s="177"/>
      <c r="M898" s="333"/>
      <c r="N898" s="177"/>
      <c r="O898" s="327"/>
      <c r="P898" s="121"/>
      <c r="Q898" s="143"/>
      <c r="R898" s="143"/>
      <c r="S898" s="17"/>
      <c r="T898" s="17"/>
      <c r="U898" s="17"/>
      <c r="V898" s="17"/>
      <c r="W898" s="17"/>
      <c r="X898" s="17"/>
      <c r="Y898" s="17"/>
      <c r="Z898" s="17"/>
    </row>
    <row r="899">
      <c r="A899" s="327"/>
      <c r="B899" s="121"/>
      <c r="C899" s="340"/>
      <c r="D899" s="339"/>
      <c r="E899" s="327"/>
      <c r="F899" s="121"/>
      <c r="G899" s="327"/>
      <c r="H899" s="121"/>
      <c r="I899" s="333"/>
      <c r="J899" s="177"/>
      <c r="K899" s="333"/>
      <c r="L899" s="177"/>
      <c r="M899" s="333"/>
      <c r="N899" s="177"/>
      <c r="O899" s="327"/>
      <c r="P899" s="121"/>
      <c r="Q899" s="143"/>
      <c r="R899" s="143"/>
      <c r="S899" s="17"/>
      <c r="T899" s="17"/>
      <c r="U899" s="17"/>
      <c r="V899" s="17"/>
      <c r="W899" s="17"/>
      <c r="X899" s="17"/>
      <c r="Y899" s="17"/>
      <c r="Z899" s="17"/>
    </row>
    <row r="900">
      <c r="A900" s="327"/>
      <c r="B900" s="121"/>
      <c r="C900" s="340"/>
      <c r="D900" s="339"/>
      <c r="E900" s="327"/>
      <c r="F900" s="121"/>
      <c r="G900" s="327"/>
      <c r="H900" s="121"/>
      <c r="I900" s="333"/>
      <c r="J900" s="177"/>
      <c r="K900" s="333"/>
      <c r="L900" s="177"/>
      <c r="M900" s="333"/>
      <c r="N900" s="177"/>
      <c r="O900" s="327"/>
      <c r="P900" s="121"/>
      <c r="Q900" s="143"/>
      <c r="R900" s="143"/>
      <c r="S900" s="17"/>
      <c r="T900" s="17"/>
      <c r="U900" s="17"/>
      <c r="V900" s="17"/>
      <c r="W900" s="17"/>
      <c r="X900" s="17"/>
      <c r="Y900" s="17"/>
      <c r="Z900" s="17"/>
    </row>
    <row r="901">
      <c r="A901" s="327"/>
      <c r="B901" s="121"/>
      <c r="C901" s="340"/>
      <c r="D901" s="339"/>
      <c r="E901" s="327"/>
      <c r="F901" s="121"/>
      <c r="G901" s="327"/>
      <c r="H901" s="121"/>
      <c r="I901" s="333"/>
      <c r="J901" s="177"/>
      <c r="K901" s="333"/>
      <c r="L901" s="177"/>
      <c r="M901" s="333"/>
      <c r="N901" s="177"/>
      <c r="O901" s="327"/>
      <c r="P901" s="121"/>
      <c r="Q901" s="143"/>
      <c r="R901" s="143"/>
      <c r="S901" s="17"/>
      <c r="T901" s="17"/>
      <c r="U901" s="17"/>
      <c r="V901" s="17"/>
      <c r="W901" s="17"/>
      <c r="X901" s="17"/>
      <c r="Y901" s="17"/>
      <c r="Z901" s="17"/>
    </row>
    <row r="902">
      <c r="A902" s="327"/>
      <c r="B902" s="121"/>
      <c r="C902" s="340"/>
      <c r="D902" s="339"/>
      <c r="E902" s="327"/>
      <c r="F902" s="121"/>
      <c r="G902" s="327"/>
      <c r="H902" s="121"/>
      <c r="I902" s="333"/>
      <c r="J902" s="177"/>
      <c r="K902" s="333"/>
      <c r="L902" s="177"/>
      <c r="M902" s="333"/>
      <c r="N902" s="177"/>
      <c r="O902" s="327"/>
      <c r="P902" s="121"/>
      <c r="Q902" s="143"/>
      <c r="R902" s="143"/>
      <c r="S902" s="17"/>
      <c r="T902" s="17"/>
      <c r="U902" s="17"/>
      <c r="V902" s="17"/>
      <c r="W902" s="17"/>
      <c r="X902" s="17"/>
      <c r="Y902" s="17"/>
      <c r="Z902" s="17"/>
    </row>
    <row r="903">
      <c r="A903" s="327"/>
      <c r="B903" s="121"/>
      <c r="C903" s="340"/>
      <c r="D903" s="339"/>
      <c r="E903" s="327"/>
      <c r="F903" s="121"/>
      <c r="G903" s="327"/>
      <c r="H903" s="121"/>
      <c r="I903" s="333"/>
      <c r="J903" s="177"/>
      <c r="K903" s="333"/>
      <c r="L903" s="177"/>
      <c r="M903" s="333"/>
      <c r="N903" s="177"/>
      <c r="O903" s="327"/>
      <c r="P903" s="121"/>
      <c r="Q903" s="143"/>
      <c r="R903" s="143"/>
      <c r="S903" s="17"/>
      <c r="T903" s="17"/>
      <c r="U903" s="17"/>
      <c r="V903" s="17"/>
      <c r="W903" s="17"/>
      <c r="X903" s="17"/>
      <c r="Y903" s="17"/>
      <c r="Z903" s="17"/>
    </row>
    <row r="904">
      <c r="A904" s="327"/>
      <c r="B904" s="121"/>
      <c r="C904" s="340"/>
      <c r="D904" s="339"/>
      <c r="E904" s="327"/>
      <c r="F904" s="121"/>
      <c r="G904" s="327"/>
      <c r="H904" s="121"/>
      <c r="I904" s="333"/>
      <c r="J904" s="177"/>
      <c r="K904" s="333"/>
      <c r="L904" s="177"/>
      <c r="M904" s="333"/>
      <c r="N904" s="177"/>
      <c r="O904" s="327"/>
      <c r="P904" s="121"/>
      <c r="Q904" s="143"/>
      <c r="R904" s="143"/>
      <c r="S904" s="17"/>
      <c r="T904" s="17"/>
      <c r="U904" s="17"/>
      <c r="V904" s="17"/>
      <c r="W904" s="17"/>
      <c r="X904" s="17"/>
      <c r="Y904" s="17"/>
      <c r="Z904" s="17"/>
    </row>
    <row r="905">
      <c r="A905" s="327"/>
      <c r="B905" s="121"/>
      <c r="C905" s="340"/>
      <c r="D905" s="339"/>
      <c r="E905" s="327"/>
      <c r="F905" s="121"/>
      <c r="G905" s="327"/>
      <c r="H905" s="121"/>
      <c r="I905" s="333"/>
      <c r="J905" s="177"/>
      <c r="K905" s="333"/>
      <c r="L905" s="177"/>
      <c r="M905" s="333"/>
      <c r="N905" s="177"/>
      <c r="O905" s="327"/>
      <c r="P905" s="121"/>
      <c r="Q905" s="143"/>
      <c r="R905" s="143"/>
      <c r="S905" s="17"/>
      <c r="T905" s="17"/>
      <c r="U905" s="17"/>
      <c r="V905" s="17"/>
      <c r="W905" s="17"/>
      <c r="X905" s="17"/>
      <c r="Y905" s="17"/>
      <c r="Z905" s="17"/>
    </row>
    <row r="906">
      <c r="A906" s="327"/>
      <c r="B906" s="121"/>
      <c r="C906" s="340"/>
      <c r="D906" s="339"/>
      <c r="E906" s="327"/>
      <c r="F906" s="121"/>
      <c r="G906" s="327"/>
      <c r="H906" s="121"/>
      <c r="I906" s="333"/>
      <c r="J906" s="177"/>
      <c r="K906" s="333"/>
      <c r="L906" s="177"/>
      <c r="M906" s="333"/>
      <c r="N906" s="177"/>
      <c r="O906" s="327"/>
      <c r="P906" s="121"/>
      <c r="Q906" s="143"/>
      <c r="R906" s="143"/>
      <c r="S906" s="17"/>
      <c r="T906" s="17"/>
      <c r="U906" s="17"/>
      <c r="V906" s="17"/>
      <c r="W906" s="17"/>
      <c r="X906" s="17"/>
      <c r="Y906" s="17"/>
      <c r="Z906" s="17"/>
    </row>
    <row r="907">
      <c r="A907" s="327"/>
      <c r="B907" s="121"/>
      <c r="C907" s="340"/>
      <c r="D907" s="339"/>
      <c r="E907" s="327"/>
      <c r="F907" s="121"/>
      <c r="G907" s="327"/>
      <c r="H907" s="121"/>
      <c r="I907" s="333"/>
      <c r="J907" s="177"/>
      <c r="K907" s="333"/>
      <c r="L907" s="177"/>
      <c r="M907" s="333"/>
      <c r="N907" s="177"/>
      <c r="O907" s="327"/>
      <c r="P907" s="121"/>
      <c r="Q907" s="143"/>
      <c r="R907" s="143"/>
      <c r="S907" s="17"/>
      <c r="T907" s="17"/>
      <c r="U907" s="17"/>
      <c r="V907" s="17"/>
      <c r="W907" s="17"/>
      <c r="X907" s="17"/>
      <c r="Y907" s="17"/>
      <c r="Z907" s="17"/>
    </row>
    <row r="908">
      <c r="A908" s="327"/>
      <c r="B908" s="121"/>
      <c r="C908" s="340"/>
      <c r="D908" s="339"/>
      <c r="E908" s="327"/>
      <c r="F908" s="121"/>
      <c r="G908" s="327"/>
      <c r="H908" s="121"/>
      <c r="I908" s="333"/>
      <c r="J908" s="177"/>
      <c r="K908" s="333"/>
      <c r="L908" s="177"/>
      <c r="M908" s="333"/>
      <c r="N908" s="177"/>
      <c r="O908" s="327"/>
      <c r="P908" s="121"/>
      <c r="Q908" s="143"/>
      <c r="R908" s="143"/>
      <c r="S908" s="17"/>
      <c r="T908" s="17"/>
      <c r="U908" s="17"/>
      <c r="V908" s="17"/>
      <c r="W908" s="17"/>
      <c r="X908" s="17"/>
      <c r="Y908" s="17"/>
      <c r="Z908" s="17"/>
    </row>
    <row r="909">
      <c r="A909" s="327"/>
      <c r="B909" s="121"/>
      <c r="C909" s="340"/>
      <c r="D909" s="339"/>
      <c r="E909" s="327"/>
      <c r="F909" s="121"/>
      <c r="G909" s="327"/>
      <c r="H909" s="121"/>
      <c r="I909" s="333"/>
      <c r="J909" s="177"/>
      <c r="K909" s="333"/>
      <c r="L909" s="177"/>
      <c r="M909" s="333"/>
      <c r="N909" s="177"/>
      <c r="O909" s="327"/>
      <c r="P909" s="121"/>
      <c r="Q909" s="143"/>
      <c r="R909" s="143"/>
      <c r="S909" s="17"/>
      <c r="T909" s="17"/>
      <c r="U909" s="17"/>
      <c r="V909" s="17"/>
      <c r="W909" s="17"/>
      <c r="X909" s="17"/>
      <c r="Y909" s="17"/>
      <c r="Z909" s="17"/>
    </row>
    <row r="910">
      <c r="A910" s="327"/>
      <c r="B910" s="121"/>
      <c r="C910" s="340"/>
      <c r="D910" s="339"/>
      <c r="E910" s="327"/>
      <c r="F910" s="121"/>
      <c r="G910" s="327"/>
      <c r="H910" s="121"/>
      <c r="I910" s="333"/>
      <c r="J910" s="177"/>
      <c r="K910" s="333"/>
      <c r="L910" s="177"/>
      <c r="M910" s="333"/>
      <c r="N910" s="177"/>
      <c r="O910" s="327"/>
      <c r="P910" s="121"/>
      <c r="Q910" s="143"/>
      <c r="R910" s="143"/>
      <c r="S910" s="17"/>
      <c r="T910" s="17"/>
      <c r="U910" s="17"/>
      <c r="V910" s="17"/>
      <c r="W910" s="17"/>
      <c r="X910" s="17"/>
      <c r="Y910" s="17"/>
      <c r="Z910" s="17"/>
    </row>
    <row r="911">
      <c r="A911" s="327"/>
      <c r="B911" s="121"/>
      <c r="C911" s="340"/>
      <c r="D911" s="339"/>
      <c r="E911" s="327"/>
      <c r="F911" s="121"/>
      <c r="G911" s="327"/>
      <c r="H911" s="121"/>
      <c r="I911" s="333"/>
      <c r="J911" s="177"/>
      <c r="K911" s="333"/>
      <c r="L911" s="177"/>
      <c r="M911" s="333"/>
      <c r="N911" s="177"/>
      <c r="O911" s="327"/>
      <c r="P911" s="121"/>
      <c r="Q911" s="143"/>
      <c r="R911" s="143"/>
      <c r="S911" s="17"/>
      <c r="T911" s="17"/>
      <c r="U911" s="17"/>
      <c r="V911" s="17"/>
      <c r="W911" s="17"/>
      <c r="X911" s="17"/>
      <c r="Y911" s="17"/>
      <c r="Z911" s="17"/>
    </row>
    <row r="912">
      <c r="A912" s="327"/>
      <c r="B912" s="121"/>
      <c r="C912" s="340"/>
      <c r="D912" s="339"/>
      <c r="E912" s="327"/>
      <c r="F912" s="121"/>
      <c r="G912" s="327"/>
      <c r="H912" s="121"/>
      <c r="I912" s="333"/>
      <c r="J912" s="177"/>
      <c r="K912" s="333"/>
      <c r="L912" s="177"/>
      <c r="M912" s="333"/>
      <c r="N912" s="177"/>
      <c r="O912" s="327"/>
      <c r="P912" s="121"/>
      <c r="Q912" s="143"/>
      <c r="R912" s="143"/>
      <c r="S912" s="17"/>
      <c r="T912" s="17"/>
      <c r="U912" s="17"/>
      <c r="V912" s="17"/>
      <c r="W912" s="17"/>
      <c r="X912" s="17"/>
      <c r="Y912" s="17"/>
      <c r="Z912" s="17"/>
    </row>
    <row r="913">
      <c r="A913" s="327"/>
      <c r="B913" s="121"/>
      <c r="C913" s="340"/>
      <c r="D913" s="339"/>
      <c r="E913" s="327"/>
      <c r="F913" s="121"/>
      <c r="G913" s="327"/>
      <c r="H913" s="121"/>
      <c r="I913" s="333"/>
      <c r="J913" s="177"/>
      <c r="K913" s="333"/>
      <c r="L913" s="177"/>
      <c r="M913" s="333"/>
      <c r="N913" s="177"/>
      <c r="O913" s="327"/>
      <c r="P913" s="121"/>
      <c r="Q913" s="143"/>
      <c r="R913" s="143"/>
      <c r="S913" s="17"/>
      <c r="T913" s="17"/>
      <c r="U913" s="17"/>
      <c r="V913" s="17"/>
      <c r="W913" s="17"/>
      <c r="X913" s="17"/>
      <c r="Y913" s="17"/>
      <c r="Z913" s="17"/>
    </row>
    <row r="914">
      <c r="A914" s="327"/>
      <c r="B914" s="121"/>
      <c r="C914" s="340"/>
      <c r="D914" s="339"/>
      <c r="E914" s="327"/>
      <c r="F914" s="121"/>
      <c r="G914" s="327"/>
      <c r="H914" s="121"/>
      <c r="I914" s="333"/>
      <c r="J914" s="177"/>
      <c r="K914" s="333"/>
      <c r="L914" s="177"/>
      <c r="M914" s="333"/>
      <c r="N914" s="177"/>
      <c r="O914" s="327"/>
      <c r="P914" s="121"/>
      <c r="Q914" s="143"/>
      <c r="R914" s="143"/>
      <c r="S914" s="17"/>
      <c r="T914" s="17"/>
      <c r="U914" s="17"/>
      <c r="V914" s="17"/>
      <c r="W914" s="17"/>
      <c r="X914" s="17"/>
      <c r="Y914" s="17"/>
      <c r="Z914" s="17"/>
    </row>
    <row r="915">
      <c r="A915" s="327"/>
      <c r="B915" s="121"/>
      <c r="C915" s="340"/>
      <c r="D915" s="339"/>
      <c r="E915" s="327"/>
      <c r="F915" s="121"/>
      <c r="G915" s="327"/>
      <c r="H915" s="121"/>
      <c r="I915" s="333"/>
      <c r="J915" s="177"/>
      <c r="K915" s="333"/>
      <c r="L915" s="177"/>
      <c r="M915" s="333"/>
      <c r="N915" s="177"/>
      <c r="O915" s="327"/>
      <c r="P915" s="121"/>
      <c r="Q915" s="143"/>
      <c r="R915" s="143"/>
      <c r="S915" s="17"/>
      <c r="T915" s="17"/>
      <c r="U915" s="17"/>
      <c r="V915" s="17"/>
      <c r="W915" s="17"/>
      <c r="X915" s="17"/>
      <c r="Y915" s="17"/>
      <c r="Z915" s="17"/>
    </row>
    <row r="916">
      <c r="A916" s="327"/>
      <c r="B916" s="121"/>
      <c r="C916" s="340"/>
      <c r="D916" s="339"/>
      <c r="E916" s="327"/>
      <c r="F916" s="121"/>
      <c r="G916" s="327"/>
      <c r="H916" s="121"/>
      <c r="I916" s="333"/>
      <c r="J916" s="177"/>
      <c r="K916" s="333"/>
      <c r="L916" s="177"/>
      <c r="M916" s="333"/>
      <c r="N916" s="177"/>
      <c r="O916" s="327"/>
      <c r="P916" s="121"/>
      <c r="Q916" s="143"/>
      <c r="R916" s="143"/>
      <c r="S916" s="17"/>
      <c r="T916" s="17"/>
      <c r="U916" s="17"/>
      <c r="V916" s="17"/>
      <c r="W916" s="17"/>
      <c r="X916" s="17"/>
      <c r="Y916" s="17"/>
      <c r="Z916" s="17"/>
    </row>
    <row r="917">
      <c r="A917" s="327"/>
      <c r="B917" s="121"/>
      <c r="C917" s="340"/>
      <c r="D917" s="339"/>
      <c r="E917" s="327"/>
      <c r="F917" s="121"/>
      <c r="G917" s="327"/>
      <c r="H917" s="121"/>
      <c r="I917" s="333"/>
      <c r="J917" s="177"/>
      <c r="K917" s="333"/>
      <c r="L917" s="177"/>
      <c r="M917" s="333"/>
      <c r="N917" s="177"/>
      <c r="O917" s="327"/>
      <c r="P917" s="121"/>
      <c r="Q917" s="143"/>
      <c r="R917" s="143"/>
      <c r="S917" s="17"/>
      <c r="T917" s="17"/>
      <c r="U917" s="17"/>
      <c r="V917" s="17"/>
      <c r="W917" s="17"/>
      <c r="X917" s="17"/>
      <c r="Y917" s="17"/>
      <c r="Z917" s="17"/>
    </row>
    <row r="918">
      <c r="A918" s="327"/>
      <c r="B918" s="121"/>
      <c r="C918" s="340"/>
      <c r="D918" s="339"/>
      <c r="E918" s="327"/>
      <c r="F918" s="121"/>
      <c r="G918" s="327"/>
      <c r="H918" s="121"/>
      <c r="I918" s="333"/>
      <c r="J918" s="177"/>
      <c r="K918" s="333"/>
      <c r="L918" s="177"/>
      <c r="M918" s="333"/>
      <c r="N918" s="177"/>
      <c r="O918" s="327"/>
      <c r="P918" s="121"/>
      <c r="Q918" s="143"/>
      <c r="R918" s="143"/>
      <c r="S918" s="17"/>
      <c r="T918" s="17"/>
      <c r="U918" s="17"/>
      <c r="V918" s="17"/>
      <c r="W918" s="17"/>
      <c r="X918" s="17"/>
      <c r="Y918" s="17"/>
      <c r="Z918" s="17"/>
    </row>
    <row r="919">
      <c r="A919" s="327"/>
      <c r="B919" s="121"/>
      <c r="C919" s="340"/>
      <c r="D919" s="339"/>
      <c r="E919" s="327"/>
      <c r="F919" s="121"/>
      <c r="G919" s="327"/>
      <c r="H919" s="121"/>
      <c r="I919" s="333"/>
      <c r="J919" s="177"/>
      <c r="K919" s="333"/>
      <c r="L919" s="177"/>
      <c r="M919" s="333"/>
      <c r="N919" s="177"/>
      <c r="O919" s="327"/>
      <c r="P919" s="121"/>
      <c r="Q919" s="143"/>
      <c r="R919" s="143"/>
      <c r="S919" s="17"/>
      <c r="T919" s="17"/>
      <c r="U919" s="17"/>
      <c r="V919" s="17"/>
      <c r="W919" s="17"/>
      <c r="X919" s="17"/>
      <c r="Y919" s="17"/>
      <c r="Z919" s="17"/>
    </row>
    <row r="920">
      <c r="A920" s="327"/>
      <c r="B920" s="121"/>
      <c r="C920" s="340"/>
      <c r="D920" s="339"/>
      <c r="E920" s="327"/>
      <c r="F920" s="121"/>
      <c r="G920" s="327"/>
      <c r="H920" s="121"/>
      <c r="I920" s="333"/>
      <c r="J920" s="177"/>
      <c r="K920" s="333"/>
      <c r="L920" s="177"/>
      <c r="M920" s="333"/>
      <c r="N920" s="177"/>
      <c r="O920" s="327"/>
      <c r="P920" s="121"/>
      <c r="Q920" s="143"/>
      <c r="R920" s="143"/>
      <c r="S920" s="17"/>
      <c r="T920" s="17"/>
      <c r="U920" s="17"/>
      <c r="V920" s="17"/>
      <c r="W920" s="17"/>
      <c r="X920" s="17"/>
      <c r="Y920" s="17"/>
      <c r="Z920" s="17"/>
    </row>
    <row r="921">
      <c r="A921" s="327"/>
      <c r="B921" s="121"/>
      <c r="C921" s="340"/>
      <c r="D921" s="339"/>
      <c r="E921" s="327"/>
      <c r="F921" s="121"/>
      <c r="G921" s="327"/>
      <c r="H921" s="121"/>
      <c r="I921" s="333"/>
      <c r="J921" s="177"/>
      <c r="K921" s="333"/>
      <c r="L921" s="177"/>
      <c r="M921" s="333"/>
      <c r="N921" s="177"/>
      <c r="O921" s="327"/>
      <c r="P921" s="121"/>
      <c r="Q921" s="143"/>
      <c r="R921" s="143"/>
      <c r="S921" s="17"/>
      <c r="T921" s="17"/>
      <c r="U921" s="17"/>
      <c r="V921" s="17"/>
      <c r="W921" s="17"/>
      <c r="X921" s="17"/>
      <c r="Y921" s="17"/>
      <c r="Z921" s="17"/>
    </row>
    <row r="922">
      <c r="A922" s="327"/>
      <c r="B922" s="121"/>
      <c r="C922" s="340"/>
      <c r="D922" s="339"/>
      <c r="E922" s="327"/>
      <c r="F922" s="121"/>
      <c r="G922" s="327"/>
      <c r="H922" s="121"/>
      <c r="I922" s="333"/>
      <c r="J922" s="177"/>
      <c r="K922" s="333"/>
      <c r="L922" s="177"/>
      <c r="M922" s="333"/>
      <c r="N922" s="177"/>
      <c r="O922" s="327"/>
      <c r="P922" s="121"/>
      <c r="Q922" s="143"/>
      <c r="R922" s="143"/>
      <c r="S922" s="17"/>
      <c r="T922" s="17"/>
      <c r="U922" s="17"/>
      <c r="V922" s="17"/>
      <c r="W922" s="17"/>
      <c r="X922" s="17"/>
      <c r="Y922" s="17"/>
      <c r="Z922" s="17"/>
    </row>
    <row r="923">
      <c r="A923" s="327"/>
      <c r="B923" s="121"/>
      <c r="C923" s="340"/>
      <c r="D923" s="339"/>
      <c r="E923" s="327"/>
      <c r="F923" s="121"/>
      <c r="G923" s="327"/>
      <c r="H923" s="121"/>
      <c r="I923" s="333"/>
      <c r="J923" s="177"/>
      <c r="K923" s="333"/>
      <c r="L923" s="177"/>
      <c r="M923" s="333"/>
      <c r="N923" s="177"/>
      <c r="O923" s="327"/>
      <c r="P923" s="121"/>
      <c r="Q923" s="143"/>
      <c r="R923" s="143"/>
      <c r="S923" s="17"/>
      <c r="T923" s="17"/>
      <c r="U923" s="17"/>
      <c r="V923" s="17"/>
      <c r="W923" s="17"/>
      <c r="X923" s="17"/>
      <c r="Y923" s="17"/>
      <c r="Z923" s="17"/>
    </row>
    <row r="924">
      <c r="A924" s="327"/>
      <c r="B924" s="121"/>
      <c r="C924" s="340"/>
      <c r="D924" s="339"/>
      <c r="E924" s="327"/>
      <c r="F924" s="121"/>
      <c r="G924" s="327"/>
      <c r="H924" s="121"/>
      <c r="I924" s="333"/>
      <c r="J924" s="177"/>
      <c r="K924" s="333"/>
      <c r="L924" s="177"/>
      <c r="M924" s="333"/>
      <c r="N924" s="177"/>
      <c r="O924" s="327"/>
      <c r="P924" s="121"/>
      <c r="Q924" s="143"/>
      <c r="R924" s="143"/>
      <c r="S924" s="17"/>
      <c r="T924" s="17"/>
      <c r="U924" s="17"/>
      <c r="V924" s="17"/>
      <c r="W924" s="17"/>
      <c r="X924" s="17"/>
      <c r="Y924" s="17"/>
      <c r="Z924" s="17"/>
    </row>
    <row r="925">
      <c r="A925" s="327"/>
      <c r="B925" s="121"/>
      <c r="C925" s="340"/>
      <c r="D925" s="339"/>
      <c r="E925" s="327"/>
      <c r="F925" s="121"/>
      <c r="G925" s="327"/>
      <c r="H925" s="121"/>
      <c r="I925" s="333"/>
      <c r="J925" s="177"/>
      <c r="K925" s="333"/>
      <c r="L925" s="177"/>
      <c r="M925" s="333"/>
      <c r="N925" s="177"/>
      <c r="O925" s="327"/>
      <c r="P925" s="121"/>
      <c r="Q925" s="143"/>
      <c r="R925" s="143"/>
      <c r="S925" s="17"/>
      <c r="T925" s="17"/>
      <c r="U925" s="17"/>
      <c r="V925" s="17"/>
      <c r="W925" s="17"/>
      <c r="X925" s="17"/>
      <c r="Y925" s="17"/>
      <c r="Z925" s="17"/>
    </row>
    <row r="926">
      <c r="A926" s="327"/>
      <c r="B926" s="121"/>
      <c r="C926" s="340"/>
      <c r="D926" s="339"/>
      <c r="E926" s="327"/>
      <c r="F926" s="121"/>
      <c r="G926" s="327"/>
      <c r="H926" s="121"/>
      <c r="I926" s="333"/>
      <c r="J926" s="177"/>
      <c r="K926" s="333"/>
      <c r="L926" s="177"/>
      <c r="M926" s="333"/>
      <c r="N926" s="177"/>
      <c r="O926" s="327"/>
      <c r="P926" s="121"/>
      <c r="Q926" s="143"/>
      <c r="R926" s="143"/>
      <c r="S926" s="17"/>
      <c r="T926" s="17"/>
      <c r="U926" s="17"/>
      <c r="V926" s="17"/>
      <c r="W926" s="17"/>
      <c r="X926" s="17"/>
      <c r="Y926" s="17"/>
      <c r="Z926" s="17"/>
    </row>
    <row r="927">
      <c r="A927" s="327"/>
      <c r="B927" s="121"/>
      <c r="C927" s="340"/>
      <c r="D927" s="339"/>
      <c r="E927" s="327"/>
      <c r="F927" s="121"/>
      <c r="G927" s="327"/>
      <c r="H927" s="121"/>
      <c r="I927" s="333"/>
      <c r="J927" s="177"/>
      <c r="K927" s="333"/>
      <c r="L927" s="177"/>
      <c r="M927" s="333"/>
      <c r="N927" s="177"/>
      <c r="O927" s="327"/>
      <c r="P927" s="121"/>
      <c r="Q927" s="143"/>
      <c r="R927" s="143"/>
      <c r="S927" s="17"/>
      <c r="T927" s="17"/>
      <c r="U927" s="17"/>
      <c r="V927" s="17"/>
      <c r="W927" s="17"/>
      <c r="X927" s="17"/>
      <c r="Y927" s="17"/>
      <c r="Z927" s="17"/>
    </row>
    <row r="928">
      <c r="A928" s="327"/>
      <c r="B928" s="121"/>
      <c r="C928" s="340"/>
      <c r="D928" s="339"/>
      <c r="E928" s="327"/>
      <c r="F928" s="121"/>
      <c r="G928" s="327"/>
      <c r="H928" s="121"/>
      <c r="I928" s="333"/>
      <c r="J928" s="177"/>
      <c r="K928" s="333"/>
      <c r="L928" s="177"/>
      <c r="M928" s="333"/>
      <c r="N928" s="177"/>
      <c r="O928" s="327"/>
      <c r="P928" s="121"/>
      <c r="Q928" s="143"/>
      <c r="R928" s="143"/>
      <c r="S928" s="17"/>
      <c r="T928" s="17"/>
      <c r="U928" s="17"/>
      <c r="V928" s="17"/>
      <c r="W928" s="17"/>
      <c r="X928" s="17"/>
      <c r="Y928" s="17"/>
      <c r="Z928" s="17"/>
    </row>
    <row r="929">
      <c r="A929" s="327"/>
      <c r="B929" s="121"/>
      <c r="C929" s="340"/>
      <c r="D929" s="339"/>
      <c r="E929" s="327"/>
      <c r="F929" s="121"/>
      <c r="G929" s="327"/>
      <c r="H929" s="121"/>
      <c r="I929" s="333"/>
      <c r="J929" s="177"/>
      <c r="K929" s="333"/>
      <c r="L929" s="177"/>
      <c r="M929" s="333"/>
      <c r="N929" s="177"/>
      <c r="O929" s="327"/>
      <c r="P929" s="121"/>
      <c r="Q929" s="143"/>
      <c r="R929" s="143"/>
      <c r="S929" s="17"/>
      <c r="T929" s="17"/>
      <c r="U929" s="17"/>
      <c r="V929" s="17"/>
      <c r="W929" s="17"/>
      <c r="X929" s="17"/>
      <c r="Y929" s="17"/>
      <c r="Z929" s="17"/>
    </row>
    <row r="930">
      <c r="A930" s="327"/>
      <c r="B930" s="121"/>
      <c r="C930" s="340"/>
      <c r="D930" s="339"/>
      <c r="E930" s="327"/>
      <c r="F930" s="121"/>
      <c r="G930" s="327"/>
      <c r="H930" s="121"/>
      <c r="I930" s="333"/>
      <c r="J930" s="177"/>
      <c r="K930" s="333"/>
      <c r="L930" s="177"/>
      <c r="M930" s="333"/>
      <c r="N930" s="177"/>
      <c r="O930" s="327"/>
      <c r="P930" s="121"/>
      <c r="Q930" s="143"/>
      <c r="R930" s="143"/>
      <c r="S930" s="17"/>
      <c r="T930" s="17"/>
      <c r="U930" s="17"/>
      <c r="V930" s="17"/>
      <c r="W930" s="17"/>
      <c r="X930" s="17"/>
      <c r="Y930" s="17"/>
      <c r="Z930" s="17"/>
    </row>
    <row r="931">
      <c r="A931" s="327"/>
      <c r="B931" s="121"/>
      <c r="C931" s="340"/>
      <c r="D931" s="339"/>
      <c r="E931" s="327"/>
      <c r="F931" s="121"/>
      <c r="G931" s="327"/>
      <c r="H931" s="121"/>
      <c r="I931" s="333"/>
      <c r="J931" s="177"/>
      <c r="K931" s="333"/>
      <c r="L931" s="177"/>
      <c r="M931" s="333"/>
      <c r="N931" s="177"/>
      <c r="O931" s="327"/>
      <c r="P931" s="121"/>
      <c r="Q931" s="143"/>
      <c r="R931" s="143"/>
      <c r="S931" s="17"/>
      <c r="T931" s="17"/>
      <c r="U931" s="17"/>
      <c r="V931" s="17"/>
      <c r="W931" s="17"/>
      <c r="X931" s="17"/>
      <c r="Y931" s="17"/>
      <c r="Z931" s="17"/>
    </row>
    <row r="932">
      <c r="A932" s="327"/>
      <c r="B932" s="121"/>
      <c r="C932" s="340"/>
      <c r="D932" s="339"/>
      <c r="E932" s="327"/>
      <c r="F932" s="121"/>
      <c r="G932" s="327"/>
      <c r="H932" s="121"/>
      <c r="I932" s="333"/>
      <c r="J932" s="177"/>
      <c r="K932" s="333"/>
      <c r="L932" s="177"/>
      <c r="M932" s="333"/>
      <c r="N932" s="177"/>
      <c r="O932" s="327"/>
      <c r="P932" s="121"/>
      <c r="Q932" s="143"/>
      <c r="R932" s="143"/>
      <c r="S932" s="17"/>
      <c r="T932" s="17"/>
      <c r="U932" s="17"/>
      <c r="V932" s="17"/>
      <c r="W932" s="17"/>
      <c r="X932" s="17"/>
      <c r="Y932" s="17"/>
      <c r="Z932" s="17"/>
    </row>
    <row r="933">
      <c r="A933" s="327"/>
      <c r="B933" s="121"/>
      <c r="C933" s="340"/>
      <c r="D933" s="339"/>
      <c r="E933" s="327"/>
      <c r="F933" s="121"/>
      <c r="G933" s="327"/>
      <c r="H933" s="121"/>
      <c r="I933" s="333"/>
      <c r="J933" s="177"/>
      <c r="K933" s="333"/>
      <c r="L933" s="177"/>
      <c r="M933" s="333"/>
      <c r="N933" s="177"/>
      <c r="O933" s="327"/>
      <c r="P933" s="121"/>
      <c r="Q933" s="143"/>
      <c r="R933" s="143"/>
      <c r="S933" s="17"/>
      <c r="T933" s="17"/>
      <c r="U933" s="17"/>
      <c r="V933" s="17"/>
      <c r="W933" s="17"/>
      <c r="X933" s="17"/>
      <c r="Y933" s="17"/>
      <c r="Z933" s="17"/>
    </row>
    <row r="934">
      <c r="A934" s="327"/>
      <c r="B934" s="121"/>
      <c r="C934" s="340"/>
      <c r="D934" s="339"/>
      <c r="E934" s="327"/>
      <c r="F934" s="121"/>
      <c r="G934" s="327"/>
      <c r="H934" s="121"/>
      <c r="I934" s="333"/>
      <c r="J934" s="177"/>
      <c r="K934" s="333"/>
      <c r="L934" s="177"/>
      <c r="M934" s="333"/>
      <c r="N934" s="177"/>
      <c r="O934" s="327"/>
      <c r="P934" s="121"/>
      <c r="Q934" s="143"/>
      <c r="R934" s="143"/>
      <c r="S934" s="17"/>
      <c r="T934" s="17"/>
      <c r="U934" s="17"/>
      <c r="V934" s="17"/>
      <c r="W934" s="17"/>
      <c r="X934" s="17"/>
      <c r="Y934" s="17"/>
      <c r="Z934" s="17"/>
    </row>
    <row r="935">
      <c r="A935" s="327"/>
      <c r="B935" s="121"/>
      <c r="C935" s="340"/>
      <c r="D935" s="339"/>
      <c r="E935" s="327"/>
      <c r="F935" s="121"/>
      <c r="G935" s="327"/>
      <c r="H935" s="121"/>
      <c r="I935" s="333"/>
      <c r="J935" s="177"/>
      <c r="K935" s="333"/>
      <c r="L935" s="177"/>
      <c r="M935" s="333"/>
      <c r="N935" s="177"/>
      <c r="O935" s="327"/>
      <c r="P935" s="121"/>
      <c r="Q935" s="143"/>
      <c r="R935" s="143"/>
      <c r="S935" s="17"/>
      <c r="T935" s="17"/>
      <c r="U935" s="17"/>
      <c r="V935" s="17"/>
      <c r="W935" s="17"/>
      <c r="X935" s="17"/>
      <c r="Y935" s="17"/>
      <c r="Z935" s="17"/>
    </row>
    <row r="936">
      <c r="A936" s="327"/>
      <c r="B936" s="121"/>
      <c r="C936" s="340"/>
      <c r="D936" s="339"/>
      <c r="E936" s="327"/>
      <c r="F936" s="121"/>
      <c r="G936" s="327"/>
      <c r="H936" s="121"/>
      <c r="I936" s="333"/>
      <c r="J936" s="177"/>
      <c r="K936" s="333"/>
      <c r="L936" s="177"/>
      <c r="M936" s="333"/>
      <c r="N936" s="177"/>
      <c r="O936" s="327"/>
      <c r="P936" s="121"/>
      <c r="Q936" s="143"/>
      <c r="R936" s="143"/>
      <c r="S936" s="17"/>
      <c r="T936" s="17"/>
      <c r="U936" s="17"/>
      <c r="V936" s="17"/>
      <c r="W936" s="17"/>
      <c r="X936" s="17"/>
      <c r="Y936" s="17"/>
      <c r="Z936" s="17"/>
    </row>
    <row r="937">
      <c r="A937" s="327"/>
      <c r="B937" s="121"/>
      <c r="C937" s="340"/>
      <c r="D937" s="339"/>
      <c r="E937" s="327"/>
      <c r="F937" s="121"/>
      <c r="G937" s="327"/>
      <c r="H937" s="121"/>
      <c r="I937" s="333"/>
      <c r="J937" s="177"/>
      <c r="K937" s="333"/>
      <c r="L937" s="177"/>
      <c r="M937" s="333"/>
      <c r="N937" s="177"/>
      <c r="O937" s="327"/>
      <c r="P937" s="121"/>
      <c r="Q937" s="143"/>
      <c r="R937" s="143"/>
      <c r="S937" s="17"/>
      <c r="T937" s="17"/>
      <c r="U937" s="17"/>
      <c r="V937" s="17"/>
      <c r="W937" s="17"/>
      <c r="X937" s="17"/>
      <c r="Y937" s="17"/>
      <c r="Z937" s="17"/>
    </row>
    <row r="938">
      <c r="A938" s="327"/>
      <c r="B938" s="121"/>
      <c r="C938" s="340"/>
      <c r="D938" s="339"/>
      <c r="E938" s="327"/>
      <c r="F938" s="121"/>
      <c r="G938" s="327"/>
      <c r="H938" s="121"/>
      <c r="I938" s="333"/>
      <c r="J938" s="177"/>
      <c r="K938" s="333"/>
      <c r="L938" s="177"/>
      <c r="M938" s="333"/>
      <c r="N938" s="177"/>
      <c r="O938" s="327"/>
      <c r="P938" s="121"/>
      <c r="Q938" s="143"/>
      <c r="R938" s="143"/>
      <c r="S938" s="17"/>
      <c r="T938" s="17"/>
      <c r="U938" s="17"/>
      <c r="V938" s="17"/>
      <c r="W938" s="17"/>
      <c r="X938" s="17"/>
      <c r="Y938" s="17"/>
      <c r="Z938" s="17"/>
    </row>
    <row r="939">
      <c r="A939" s="327"/>
      <c r="B939" s="121"/>
      <c r="C939" s="340"/>
      <c r="D939" s="339"/>
      <c r="E939" s="327"/>
      <c r="F939" s="121"/>
      <c r="G939" s="327"/>
      <c r="H939" s="121"/>
      <c r="I939" s="333"/>
      <c r="J939" s="177"/>
      <c r="K939" s="333"/>
      <c r="L939" s="177"/>
      <c r="M939" s="333"/>
      <c r="N939" s="177"/>
      <c r="O939" s="327"/>
      <c r="P939" s="121"/>
      <c r="Q939" s="143"/>
      <c r="R939" s="143"/>
      <c r="S939" s="17"/>
      <c r="T939" s="17"/>
      <c r="U939" s="17"/>
      <c r="V939" s="17"/>
      <c r="W939" s="17"/>
      <c r="X939" s="17"/>
      <c r="Y939" s="17"/>
      <c r="Z939" s="17"/>
    </row>
    <row r="940">
      <c r="A940" s="327"/>
      <c r="B940" s="121"/>
      <c r="C940" s="340"/>
      <c r="D940" s="339"/>
      <c r="E940" s="327"/>
      <c r="F940" s="121"/>
      <c r="G940" s="327"/>
      <c r="H940" s="121"/>
      <c r="I940" s="333"/>
      <c r="J940" s="177"/>
      <c r="K940" s="333"/>
      <c r="L940" s="177"/>
      <c r="M940" s="333"/>
      <c r="N940" s="177"/>
      <c r="O940" s="327"/>
      <c r="P940" s="121"/>
      <c r="Q940" s="143"/>
      <c r="R940" s="143"/>
      <c r="S940" s="17"/>
      <c r="T940" s="17"/>
      <c r="U940" s="17"/>
      <c r="V940" s="17"/>
      <c r="W940" s="17"/>
      <c r="X940" s="17"/>
      <c r="Y940" s="17"/>
      <c r="Z940" s="17"/>
    </row>
    <row r="941">
      <c r="A941" s="327"/>
      <c r="B941" s="121"/>
      <c r="C941" s="340"/>
      <c r="D941" s="339"/>
      <c r="E941" s="327"/>
      <c r="F941" s="121"/>
      <c r="G941" s="327"/>
      <c r="H941" s="121"/>
      <c r="I941" s="333"/>
      <c r="J941" s="177"/>
      <c r="K941" s="333"/>
      <c r="L941" s="177"/>
      <c r="M941" s="333"/>
      <c r="N941" s="177"/>
      <c r="O941" s="327"/>
      <c r="P941" s="121"/>
      <c r="Q941" s="143"/>
      <c r="R941" s="143"/>
      <c r="S941" s="17"/>
      <c r="T941" s="17"/>
      <c r="U941" s="17"/>
      <c r="V941" s="17"/>
      <c r="W941" s="17"/>
      <c r="X941" s="17"/>
      <c r="Y941" s="17"/>
      <c r="Z941" s="17"/>
    </row>
    <row r="942">
      <c r="A942" s="327"/>
      <c r="B942" s="121"/>
      <c r="C942" s="340"/>
      <c r="D942" s="339"/>
      <c r="E942" s="327"/>
      <c r="F942" s="121"/>
      <c r="G942" s="327"/>
      <c r="H942" s="121"/>
      <c r="I942" s="333"/>
      <c r="J942" s="177"/>
      <c r="K942" s="333"/>
      <c r="L942" s="177"/>
      <c r="M942" s="333"/>
      <c r="N942" s="177"/>
      <c r="O942" s="327"/>
      <c r="P942" s="121"/>
      <c r="Q942" s="143"/>
      <c r="R942" s="143"/>
      <c r="S942" s="17"/>
      <c r="T942" s="17"/>
      <c r="U942" s="17"/>
      <c r="V942" s="17"/>
      <c r="W942" s="17"/>
      <c r="X942" s="17"/>
      <c r="Y942" s="17"/>
      <c r="Z942" s="17"/>
    </row>
    <row r="943">
      <c r="A943" s="327"/>
      <c r="B943" s="121"/>
      <c r="C943" s="340"/>
      <c r="D943" s="339"/>
      <c r="E943" s="327"/>
      <c r="F943" s="121"/>
      <c r="G943" s="327"/>
      <c r="H943" s="121"/>
      <c r="I943" s="333"/>
      <c r="J943" s="177"/>
      <c r="K943" s="333"/>
      <c r="L943" s="177"/>
      <c r="M943" s="333"/>
      <c r="N943" s="177"/>
      <c r="O943" s="327"/>
      <c r="P943" s="121"/>
      <c r="Q943" s="143"/>
      <c r="R943" s="143"/>
      <c r="S943" s="17"/>
      <c r="T943" s="17"/>
      <c r="U943" s="17"/>
      <c r="V943" s="17"/>
      <c r="W943" s="17"/>
      <c r="X943" s="17"/>
      <c r="Y943" s="17"/>
      <c r="Z943" s="17"/>
    </row>
    <row r="944">
      <c r="A944" s="327"/>
      <c r="B944" s="121"/>
      <c r="C944" s="340"/>
      <c r="D944" s="339"/>
      <c r="E944" s="327"/>
      <c r="F944" s="121"/>
      <c r="G944" s="327"/>
      <c r="H944" s="121"/>
      <c r="I944" s="333"/>
      <c r="J944" s="177"/>
      <c r="K944" s="333"/>
      <c r="L944" s="177"/>
      <c r="M944" s="333"/>
      <c r="N944" s="177"/>
      <c r="O944" s="327"/>
      <c r="P944" s="121"/>
      <c r="Q944" s="143"/>
      <c r="R944" s="143"/>
      <c r="S944" s="17"/>
      <c r="T944" s="17"/>
      <c r="U944" s="17"/>
      <c r="V944" s="17"/>
      <c r="W944" s="17"/>
      <c r="X944" s="17"/>
      <c r="Y944" s="17"/>
      <c r="Z944" s="17"/>
    </row>
    <row r="945">
      <c r="A945" s="327"/>
      <c r="B945" s="121"/>
      <c r="C945" s="340"/>
      <c r="D945" s="339"/>
      <c r="E945" s="327"/>
      <c r="F945" s="121"/>
      <c r="G945" s="327"/>
      <c r="H945" s="121"/>
      <c r="I945" s="333"/>
      <c r="J945" s="177"/>
      <c r="K945" s="333"/>
      <c r="L945" s="177"/>
      <c r="M945" s="333"/>
      <c r="N945" s="177"/>
      <c r="O945" s="327"/>
      <c r="P945" s="121"/>
      <c r="Q945" s="143"/>
      <c r="R945" s="143"/>
      <c r="S945" s="17"/>
      <c r="T945" s="17"/>
      <c r="U945" s="17"/>
      <c r="V945" s="17"/>
      <c r="W945" s="17"/>
      <c r="X945" s="17"/>
      <c r="Y945" s="17"/>
      <c r="Z945" s="17"/>
    </row>
    <row r="946">
      <c r="A946" s="327"/>
      <c r="B946" s="121"/>
      <c r="C946" s="340"/>
      <c r="D946" s="339"/>
      <c r="E946" s="327"/>
      <c r="F946" s="121"/>
      <c r="G946" s="327"/>
      <c r="H946" s="121"/>
      <c r="I946" s="333"/>
      <c r="J946" s="177"/>
      <c r="K946" s="333"/>
      <c r="L946" s="177"/>
      <c r="M946" s="333"/>
      <c r="N946" s="177"/>
      <c r="O946" s="327"/>
      <c r="P946" s="121"/>
      <c r="Q946" s="143"/>
      <c r="R946" s="143"/>
      <c r="S946" s="17"/>
      <c r="T946" s="17"/>
      <c r="U946" s="17"/>
      <c r="V946" s="17"/>
      <c r="W946" s="17"/>
      <c r="X946" s="17"/>
      <c r="Y946" s="17"/>
      <c r="Z946" s="17"/>
    </row>
    <row r="947">
      <c r="A947" s="327"/>
      <c r="B947" s="121"/>
      <c r="C947" s="340"/>
      <c r="D947" s="339"/>
      <c r="E947" s="327"/>
      <c r="F947" s="121"/>
      <c r="G947" s="327"/>
      <c r="H947" s="121"/>
      <c r="I947" s="333"/>
      <c r="J947" s="177"/>
      <c r="K947" s="333"/>
      <c r="L947" s="177"/>
      <c r="M947" s="333"/>
      <c r="N947" s="177"/>
      <c r="O947" s="327"/>
      <c r="P947" s="121"/>
      <c r="Q947" s="143"/>
      <c r="R947" s="143"/>
      <c r="S947" s="17"/>
      <c r="T947" s="17"/>
      <c r="U947" s="17"/>
      <c r="V947" s="17"/>
      <c r="W947" s="17"/>
      <c r="X947" s="17"/>
      <c r="Y947" s="17"/>
      <c r="Z947" s="17"/>
    </row>
    <row r="948">
      <c r="A948" s="327"/>
      <c r="B948" s="121"/>
      <c r="C948" s="340"/>
      <c r="D948" s="339"/>
      <c r="E948" s="327"/>
      <c r="F948" s="121"/>
      <c r="G948" s="327"/>
      <c r="H948" s="121"/>
      <c r="I948" s="333"/>
      <c r="J948" s="177"/>
      <c r="K948" s="333"/>
      <c r="L948" s="177"/>
      <c r="M948" s="333"/>
      <c r="N948" s="177"/>
      <c r="O948" s="327"/>
      <c r="P948" s="121"/>
      <c r="Q948" s="143"/>
      <c r="R948" s="143"/>
      <c r="S948" s="17"/>
      <c r="T948" s="17"/>
      <c r="U948" s="17"/>
      <c r="V948" s="17"/>
      <c r="W948" s="17"/>
      <c r="X948" s="17"/>
      <c r="Y948" s="17"/>
      <c r="Z948" s="17"/>
    </row>
    <row r="949">
      <c r="A949" s="327"/>
      <c r="B949" s="121"/>
      <c r="C949" s="340"/>
      <c r="D949" s="339"/>
      <c r="E949" s="327"/>
      <c r="F949" s="121"/>
      <c r="G949" s="327"/>
      <c r="H949" s="121"/>
      <c r="I949" s="333"/>
      <c r="J949" s="177"/>
      <c r="K949" s="333"/>
      <c r="L949" s="177"/>
      <c r="M949" s="333"/>
      <c r="N949" s="177"/>
      <c r="O949" s="327"/>
      <c r="P949" s="121"/>
      <c r="Q949" s="143"/>
      <c r="R949" s="143"/>
      <c r="S949" s="17"/>
      <c r="T949" s="17"/>
      <c r="U949" s="17"/>
      <c r="V949" s="17"/>
      <c r="W949" s="17"/>
      <c r="X949" s="17"/>
      <c r="Y949" s="17"/>
      <c r="Z949" s="17"/>
    </row>
    <row r="950">
      <c r="A950" s="327"/>
      <c r="B950" s="121"/>
      <c r="C950" s="340"/>
      <c r="D950" s="339"/>
      <c r="E950" s="327"/>
      <c r="F950" s="121"/>
      <c r="G950" s="327"/>
      <c r="H950" s="121"/>
      <c r="I950" s="333"/>
      <c r="J950" s="177"/>
      <c r="K950" s="333"/>
      <c r="L950" s="177"/>
      <c r="M950" s="333"/>
      <c r="N950" s="177"/>
      <c r="O950" s="327"/>
      <c r="P950" s="121"/>
      <c r="Q950" s="143"/>
      <c r="R950" s="143"/>
      <c r="S950" s="17"/>
      <c r="T950" s="17"/>
      <c r="U950" s="17"/>
      <c r="V950" s="17"/>
      <c r="W950" s="17"/>
      <c r="X950" s="17"/>
      <c r="Y950" s="17"/>
      <c r="Z950" s="17"/>
    </row>
    <row r="951">
      <c r="A951" s="327"/>
      <c r="B951" s="121"/>
      <c r="C951" s="340"/>
      <c r="D951" s="339"/>
      <c r="E951" s="327"/>
      <c r="F951" s="121"/>
      <c r="G951" s="327"/>
      <c r="H951" s="121"/>
      <c r="I951" s="333"/>
      <c r="J951" s="177"/>
      <c r="K951" s="333"/>
      <c r="L951" s="177"/>
      <c r="M951" s="333"/>
      <c r="N951" s="177"/>
      <c r="O951" s="327"/>
      <c r="P951" s="121"/>
      <c r="Q951" s="143"/>
      <c r="R951" s="143"/>
      <c r="S951" s="17"/>
      <c r="T951" s="17"/>
      <c r="U951" s="17"/>
      <c r="V951" s="17"/>
      <c r="W951" s="17"/>
      <c r="X951" s="17"/>
      <c r="Y951" s="17"/>
      <c r="Z951" s="17"/>
    </row>
    <row r="952">
      <c r="A952" s="327"/>
      <c r="B952" s="121"/>
      <c r="C952" s="340"/>
      <c r="D952" s="339"/>
      <c r="E952" s="327"/>
      <c r="F952" s="121"/>
      <c r="G952" s="327"/>
      <c r="H952" s="121"/>
      <c r="I952" s="333"/>
      <c r="J952" s="177"/>
      <c r="K952" s="333"/>
      <c r="L952" s="177"/>
      <c r="M952" s="333"/>
      <c r="N952" s="177"/>
      <c r="O952" s="327"/>
      <c r="P952" s="121"/>
      <c r="Q952" s="143"/>
      <c r="R952" s="143"/>
      <c r="S952" s="17"/>
      <c r="T952" s="17"/>
      <c r="U952" s="17"/>
      <c r="V952" s="17"/>
      <c r="W952" s="17"/>
      <c r="X952" s="17"/>
      <c r="Y952" s="17"/>
      <c r="Z952" s="17"/>
    </row>
    <row r="953">
      <c r="A953" s="327"/>
      <c r="B953" s="121"/>
      <c r="C953" s="340"/>
      <c r="D953" s="339"/>
      <c r="E953" s="327"/>
      <c r="F953" s="121"/>
      <c r="G953" s="327"/>
      <c r="H953" s="121"/>
      <c r="I953" s="333"/>
      <c r="J953" s="177"/>
      <c r="K953" s="333"/>
      <c r="L953" s="177"/>
      <c r="M953" s="333"/>
      <c r="N953" s="177"/>
      <c r="O953" s="327"/>
      <c r="P953" s="121"/>
      <c r="Q953" s="143"/>
      <c r="R953" s="143"/>
      <c r="S953" s="17"/>
      <c r="T953" s="17"/>
      <c r="U953" s="17"/>
      <c r="V953" s="17"/>
      <c r="W953" s="17"/>
      <c r="X953" s="17"/>
      <c r="Y953" s="17"/>
      <c r="Z953" s="17"/>
    </row>
    <row r="954">
      <c r="A954" s="327"/>
      <c r="B954" s="121"/>
      <c r="C954" s="340"/>
      <c r="D954" s="339"/>
      <c r="E954" s="327"/>
      <c r="F954" s="121"/>
      <c r="G954" s="327"/>
      <c r="H954" s="121"/>
      <c r="I954" s="333"/>
      <c r="J954" s="177"/>
      <c r="K954" s="333"/>
      <c r="L954" s="177"/>
      <c r="M954" s="333"/>
      <c r="N954" s="177"/>
      <c r="O954" s="327"/>
      <c r="P954" s="121"/>
      <c r="Q954" s="143"/>
      <c r="R954" s="143"/>
      <c r="S954" s="17"/>
      <c r="T954" s="17"/>
      <c r="U954" s="17"/>
      <c r="V954" s="17"/>
      <c r="W954" s="17"/>
      <c r="X954" s="17"/>
      <c r="Y954" s="17"/>
      <c r="Z954" s="17"/>
    </row>
    <row r="955">
      <c r="A955" s="327"/>
      <c r="B955" s="121"/>
      <c r="C955" s="340"/>
      <c r="D955" s="339"/>
      <c r="E955" s="327"/>
      <c r="F955" s="121"/>
      <c r="G955" s="327"/>
      <c r="H955" s="121"/>
      <c r="I955" s="333"/>
      <c r="J955" s="177"/>
      <c r="K955" s="333"/>
      <c r="L955" s="177"/>
      <c r="M955" s="333"/>
      <c r="N955" s="177"/>
      <c r="O955" s="327"/>
      <c r="P955" s="121"/>
      <c r="Q955" s="143"/>
      <c r="R955" s="143"/>
      <c r="S955" s="17"/>
      <c r="T955" s="17"/>
      <c r="U955" s="17"/>
      <c r="V955" s="17"/>
      <c r="W955" s="17"/>
      <c r="X955" s="17"/>
      <c r="Y955" s="17"/>
      <c r="Z955" s="17"/>
    </row>
    <row r="956">
      <c r="A956" s="327"/>
      <c r="B956" s="121"/>
      <c r="C956" s="340"/>
      <c r="D956" s="339"/>
      <c r="E956" s="327"/>
      <c r="F956" s="121"/>
      <c r="G956" s="327"/>
      <c r="H956" s="121"/>
      <c r="I956" s="333"/>
      <c r="J956" s="177"/>
      <c r="K956" s="333"/>
      <c r="L956" s="177"/>
      <c r="M956" s="333"/>
      <c r="N956" s="177"/>
      <c r="O956" s="327"/>
      <c r="P956" s="121"/>
      <c r="Q956" s="143"/>
      <c r="R956" s="143"/>
      <c r="S956" s="17"/>
      <c r="T956" s="17"/>
      <c r="U956" s="17"/>
      <c r="V956" s="17"/>
      <c r="W956" s="17"/>
      <c r="X956" s="17"/>
      <c r="Y956" s="17"/>
      <c r="Z956" s="17"/>
    </row>
    <row r="957">
      <c r="A957" s="327"/>
      <c r="B957" s="121"/>
      <c r="C957" s="340"/>
      <c r="D957" s="339"/>
      <c r="E957" s="327"/>
      <c r="F957" s="121"/>
      <c r="G957" s="327"/>
      <c r="H957" s="121"/>
      <c r="I957" s="333"/>
      <c r="J957" s="177"/>
      <c r="K957" s="333"/>
      <c r="L957" s="177"/>
      <c r="M957" s="333"/>
      <c r="N957" s="177"/>
      <c r="O957" s="327"/>
      <c r="P957" s="121"/>
      <c r="Q957" s="143"/>
      <c r="R957" s="143"/>
      <c r="S957" s="17"/>
      <c r="T957" s="17"/>
      <c r="U957" s="17"/>
      <c r="V957" s="17"/>
      <c r="W957" s="17"/>
      <c r="X957" s="17"/>
      <c r="Y957" s="17"/>
      <c r="Z957" s="17"/>
    </row>
    <row r="958">
      <c r="A958" s="327"/>
      <c r="B958" s="121"/>
      <c r="C958" s="340"/>
      <c r="D958" s="339"/>
      <c r="E958" s="327"/>
      <c r="F958" s="121"/>
      <c r="G958" s="327"/>
      <c r="H958" s="121"/>
      <c r="I958" s="333"/>
      <c r="J958" s="177"/>
      <c r="K958" s="333"/>
      <c r="L958" s="177"/>
      <c r="M958" s="333"/>
      <c r="N958" s="177"/>
      <c r="O958" s="327"/>
      <c r="P958" s="121"/>
      <c r="Q958" s="143"/>
      <c r="R958" s="143"/>
      <c r="S958" s="17"/>
      <c r="T958" s="17"/>
      <c r="U958" s="17"/>
      <c r="V958" s="17"/>
      <c r="W958" s="17"/>
      <c r="X958" s="17"/>
      <c r="Y958" s="17"/>
      <c r="Z958" s="17"/>
    </row>
    <row r="959">
      <c r="A959" s="327"/>
      <c r="B959" s="121"/>
      <c r="C959" s="340"/>
      <c r="D959" s="339"/>
      <c r="E959" s="327"/>
      <c r="F959" s="121"/>
      <c r="G959" s="327"/>
      <c r="H959" s="121"/>
      <c r="I959" s="333"/>
      <c r="J959" s="177"/>
      <c r="K959" s="333"/>
      <c r="L959" s="177"/>
      <c r="M959" s="333"/>
      <c r="N959" s="177"/>
      <c r="O959" s="327"/>
      <c r="P959" s="121"/>
      <c r="Q959" s="143"/>
      <c r="R959" s="143"/>
      <c r="S959" s="17"/>
      <c r="T959" s="17"/>
      <c r="U959" s="17"/>
      <c r="V959" s="17"/>
      <c r="W959" s="17"/>
      <c r="X959" s="17"/>
      <c r="Y959" s="17"/>
      <c r="Z959" s="17"/>
    </row>
    <row r="960">
      <c r="A960" s="327"/>
      <c r="B960" s="121"/>
      <c r="C960" s="340"/>
      <c r="D960" s="339"/>
      <c r="E960" s="327"/>
      <c r="F960" s="121"/>
      <c r="G960" s="327"/>
      <c r="H960" s="121"/>
      <c r="I960" s="333"/>
      <c r="J960" s="177"/>
      <c r="K960" s="333"/>
      <c r="L960" s="177"/>
      <c r="M960" s="333"/>
      <c r="N960" s="177"/>
      <c r="O960" s="327"/>
      <c r="P960" s="121"/>
      <c r="Q960" s="143"/>
      <c r="R960" s="143"/>
      <c r="S960" s="17"/>
      <c r="T960" s="17"/>
      <c r="U960" s="17"/>
      <c r="V960" s="17"/>
      <c r="W960" s="17"/>
      <c r="X960" s="17"/>
      <c r="Y960" s="17"/>
      <c r="Z960" s="17"/>
    </row>
    <row r="961">
      <c r="A961" s="327"/>
      <c r="B961" s="121"/>
      <c r="C961" s="340"/>
      <c r="D961" s="339"/>
      <c r="E961" s="327"/>
      <c r="F961" s="121"/>
      <c r="G961" s="327"/>
      <c r="H961" s="121"/>
      <c r="I961" s="333"/>
      <c r="J961" s="177"/>
      <c r="K961" s="333"/>
      <c r="L961" s="177"/>
      <c r="M961" s="333"/>
      <c r="N961" s="177"/>
      <c r="O961" s="327"/>
      <c r="P961" s="121"/>
      <c r="Q961" s="143"/>
      <c r="R961" s="143"/>
      <c r="S961" s="17"/>
      <c r="T961" s="17"/>
      <c r="U961" s="17"/>
      <c r="V961" s="17"/>
      <c r="W961" s="17"/>
      <c r="X961" s="17"/>
      <c r="Y961" s="17"/>
      <c r="Z961" s="17"/>
    </row>
    <row r="962">
      <c r="A962" s="327"/>
      <c r="B962" s="121"/>
      <c r="C962" s="340"/>
      <c r="D962" s="339"/>
      <c r="E962" s="327"/>
      <c r="F962" s="121"/>
      <c r="G962" s="327"/>
      <c r="H962" s="121"/>
      <c r="I962" s="333"/>
      <c r="J962" s="177"/>
      <c r="K962" s="333"/>
      <c r="L962" s="177"/>
      <c r="M962" s="333"/>
      <c r="N962" s="177"/>
      <c r="O962" s="327"/>
      <c r="P962" s="121"/>
      <c r="Q962" s="143"/>
      <c r="R962" s="143"/>
      <c r="S962" s="17"/>
      <c r="T962" s="17"/>
      <c r="U962" s="17"/>
      <c r="V962" s="17"/>
      <c r="W962" s="17"/>
      <c r="X962" s="17"/>
      <c r="Y962" s="17"/>
      <c r="Z962" s="17"/>
    </row>
    <row r="963">
      <c r="A963" s="327"/>
      <c r="B963" s="121"/>
      <c r="C963" s="340"/>
      <c r="D963" s="339"/>
      <c r="E963" s="327"/>
      <c r="F963" s="121"/>
      <c r="G963" s="327"/>
      <c r="H963" s="121"/>
      <c r="I963" s="333"/>
      <c r="J963" s="177"/>
      <c r="K963" s="333"/>
      <c r="L963" s="177"/>
      <c r="M963" s="333"/>
      <c r="N963" s="177"/>
      <c r="O963" s="327"/>
      <c r="P963" s="121"/>
      <c r="Q963" s="143"/>
      <c r="R963" s="143"/>
      <c r="S963" s="17"/>
      <c r="T963" s="17"/>
      <c r="U963" s="17"/>
      <c r="V963" s="17"/>
      <c r="W963" s="17"/>
      <c r="X963" s="17"/>
      <c r="Y963" s="17"/>
      <c r="Z963" s="17"/>
    </row>
    <row r="964">
      <c r="A964" s="327"/>
      <c r="B964" s="121"/>
      <c r="C964" s="340"/>
      <c r="D964" s="339"/>
      <c r="E964" s="327"/>
      <c r="F964" s="121"/>
      <c r="G964" s="327"/>
      <c r="H964" s="121"/>
      <c r="I964" s="333"/>
      <c r="J964" s="177"/>
      <c r="K964" s="333"/>
      <c r="L964" s="177"/>
      <c r="M964" s="333"/>
      <c r="N964" s="177"/>
      <c r="O964" s="327"/>
      <c r="P964" s="121"/>
      <c r="Q964" s="143"/>
      <c r="R964" s="143"/>
      <c r="S964" s="17"/>
      <c r="T964" s="17"/>
      <c r="U964" s="17"/>
      <c r="V964" s="17"/>
      <c r="W964" s="17"/>
      <c r="X964" s="17"/>
      <c r="Y964" s="17"/>
      <c r="Z964" s="17"/>
    </row>
    <row r="965">
      <c r="A965" s="327"/>
      <c r="B965" s="121"/>
      <c r="C965" s="340"/>
      <c r="D965" s="339"/>
      <c r="E965" s="327"/>
      <c r="F965" s="121"/>
      <c r="G965" s="327"/>
      <c r="H965" s="121"/>
      <c r="I965" s="333"/>
      <c r="J965" s="177"/>
      <c r="K965" s="333"/>
      <c r="L965" s="177"/>
      <c r="M965" s="333"/>
      <c r="N965" s="177"/>
      <c r="O965" s="327"/>
      <c r="P965" s="121"/>
      <c r="Q965" s="143"/>
      <c r="R965" s="143"/>
      <c r="S965" s="17"/>
      <c r="T965" s="17"/>
      <c r="U965" s="17"/>
      <c r="V965" s="17"/>
      <c r="W965" s="17"/>
      <c r="X965" s="17"/>
      <c r="Y965" s="17"/>
      <c r="Z965" s="17"/>
    </row>
    <row r="966">
      <c r="A966" s="327"/>
      <c r="B966" s="121"/>
      <c r="C966" s="340"/>
      <c r="D966" s="339"/>
      <c r="E966" s="327"/>
      <c r="F966" s="121"/>
      <c r="G966" s="327"/>
      <c r="H966" s="121"/>
      <c r="I966" s="333"/>
      <c r="J966" s="177"/>
      <c r="K966" s="333"/>
      <c r="L966" s="177"/>
      <c r="M966" s="333"/>
      <c r="N966" s="177"/>
      <c r="O966" s="327"/>
      <c r="P966" s="121"/>
      <c r="Q966" s="143"/>
      <c r="R966" s="143"/>
      <c r="S966" s="17"/>
      <c r="T966" s="17"/>
      <c r="U966" s="17"/>
      <c r="V966" s="17"/>
      <c r="W966" s="17"/>
      <c r="X966" s="17"/>
      <c r="Y966" s="17"/>
      <c r="Z966" s="17"/>
    </row>
    <row r="967">
      <c r="A967" s="327"/>
      <c r="B967" s="121"/>
      <c r="C967" s="340"/>
      <c r="D967" s="339"/>
      <c r="E967" s="327"/>
      <c r="F967" s="121"/>
      <c r="G967" s="327"/>
      <c r="H967" s="121"/>
      <c r="I967" s="333"/>
      <c r="J967" s="177"/>
      <c r="K967" s="333"/>
      <c r="L967" s="177"/>
      <c r="M967" s="333"/>
      <c r="N967" s="177"/>
      <c r="O967" s="327"/>
      <c r="P967" s="121"/>
      <c r="Q967" s="143"/>
      <c r="R967" s="143"/>
      <c r="S967" s="17"/>
      <c r="T967" s="17"/>
      <c r="U967" s="17"/>
      <c r="V967" s="17"/>
      <c r="W967" s="17"/>
      <c r="X967" s="17"/>
      <c r="Y967" s="17"/>
      <c r="Z967" s="17"/>
    </row>
    <row r="968">
      <c r="A968" s="327"/>
      <c r="B968" s="121"/>
      <c r="C968" s="340"/>
      <c r="D968" s="339"/>
      <c r="E968" s="327"/>
      <c r="F968" s="121"/>
      <c r="G968" s="327"/>
      <c r="H968" s="121"/>
      <c r="I968" s="333"/>
      <c r="J968" s="177"/>
      <c r="K968" s="333"/>
      <c r="L968" s="177"/>
      <c r="M968" s="333"/>
      <c r="N968" s="177"/>
      <c r="O968" s="327"/>
      <c r="P968" s="121"/>
      <c r="Q968" s="143"/>
      <c r="R968" s="143"/>
      <c r="S968" s="17"/>
      <c r="T968" s="17"/>
      <c r="U968" s="17"/>
      <c r="V968" s="17"/>
      <c r="W968" s="17"/>
      <c r="X968" s="17"/>
      <c r="Y968" s="17"/>
      <c r="Z968" s="17"/>
    </row>
    <row r="969">
      <c r="A969" s="327"/>
      <c r="B969" s="121"/>
      <c r="C969" s="340"/>
      <c r="D969" s="339"/>
      <c r="E969" s="327"/>
      <c r="F969" s="121"/>
      <c r="G969" s="327"/>
      <c r="H969" s="121"/>
      <c r="I969" s="333"/>
      <c r="J969" s="177"/>
      <c r="K969" s="333"/>
      <c r="L969" s="177"/>
      <c r="M969" s="333"/>
      <c r="N969" s="177"/>
      <c r="O969" s="327"/>
      <c r="P969" s="121"/>
      <c r="Q969" s="143"/>
      <c r="R969" s="143"/>
      <c r="S969" s="17"/>
      <c r="T969" s="17"/>
      <c r="U969" s="17"/>
      <c r="V969" s="17"/>
      <c r="W969" s="17"/>
      <c r="X969" s="17"/>
      <c r="Y969" s="17"/>
      <c r="Z969" s="17"/>
    </row>
    <row r="970">
      <c r="A970" s="327"/>
      <c r="B970" s="121"/>
      <c r="C970" s="340"/>
      <c r="D970" s="339"/>
      <c r="E970" s="327"/>
      <c r="F970" s="121"/>
      <c r="G970" s="327"/>
      <c r="H970" s="121"/>
      <c r="I970" s="333"/>
      <c r="J970" s="177"/>
      <c r="K970" s="333"/>
      <c r="L970" s="177"/>
      <c r="M970" s="333"/>
      <c r="N970" s="177"/>
      <c r="O970" s="327"/>
      <c r="P970" s="121"/>
      <c r="Q970" s="143"/>
      <c r="R970" s="143"/>
      <c r="S970" s="17"/>
      <c r="T970" s="17"/>
      <c r="U970" s="17"/>
      <c r="V970" s="17"/>
      <c r="W970" s="17"/>
      <c r="X970" s="17"/>
      <c r="Y970" s="17"/>
      <c r="Z970" s="17"/>
    </row>
    <row r="971">
      <c r="A971" s="327"/>
      <c r="B971" s="121"/>
      <c r="C971" s="340"/>
      <c r="D971" s="339"/>
      <c r="E971" s="327"/>
      <c r="F971" s="121"/>
      <c r="G971" s="327"/>
      <c r="H971" s="121"/>
      <c r="I971" s="333"/>
      <c r="J971" s="177"/>
      <c r="K971" s="333"/>
      <c r="L971" s="177"/>
      <c r="M971" s="333"/>
      <c r="N971" s="177"/>
      <c r="O971" s="327"/>
      <c r="P971" s="121"/>
      <c r="Q971" s="143"/>
      <c r="R971" s="143"/>
      <c r="S971" s="17"/>
      <c r="T971" s="17"/>
      <c r="U971" s="17"/>
      <c r="V971" s="17"/>
      <c r="W971" s="17"/>
      <c r="X971" s="17"/>
      <c r="Y971" s="17"/>
      <c r="Z971" s="17"/>
    </row>
    <row r="972">
      <c r="A972" s="327"/>
      <c r="B972" s="121"/>
      <c r="C972" s="340"/>
      <c r="D972" s="339"/>
      <c r="E972" s="327"/>
      <c r="F972" s="121"/>
      <c r="G972" s="327"/>
      <c r="H972" s="121"/>
      <c r="I972" s="333"/>
      <c r="J972" s="177"/>
      <c r="K972" s="333"/>
      <c r="L972" s="177"/>
      <c r="M972" s="333"/>
      <c r="N972" s="177"/>
      <c r="O972" s="327"/>
      <c r="P972" s="121"/>
      <c r="Q972" s="143"/>
      <c r="R972" s="143"/>
      <c r="S972" s="17"/>
      <c r="T972" s="17"/>
      <c r="U972" s="17"/>
      <c r="V972" s="17"/>
      <c r="W972" s="17"/>
      <c r="X972" s="17"/>
      <c r="Y972" s="17"/>
      <c r="Z972" s="17"/>
    </row>
    <row r="973">
      <c r="A973" s="327"/>
      <c r="B973" s="121"/>
      <c r="C973" s="340"/>
      <c r="D973" s="339"/>
      <c r="E973" s="327"/>
      <c r="F973" s="121"/>
      <c r="G973" s="327"/>
      <c r="H973" s="121"/>
      <c r="I973" s="333"/>
      <c r="J973" s="177"/>
      <c r="K973" s="333"/>
      <c r="L973" s="177"/>
      <c r="M973" s="333"/>
      <c r="N973" s="177"/>
      <c r="O973" s="327"/>
      <c r="P973" s="121"/>
      <c r="Q973" s="143"/>
      <c r="R973" s="143"/>
      <c r="S973" s="17"/>
      <c r="T973" s="17"/>
      <c r="U973" s="17"/>
      <c r="V973" s="17"/>
      <c r="W973" s="17"/>
      <c r="X973" s="17"/>
      <c r="Y973" s="17"/>
      <c r="Z973" s="17"/>
    </row>
    <row r="974">
      <c r="A974" s="327"/>
      <c r="B974" s="121"/>
      <c r="C974" s="340"/>
      <c r="D974" s="339"/>
      <c r="E974" s="327"/>
      <c r="F974" s="121"/>
      <c r="G974" s="327"/>
      <c r="H974" s="121"/>
      <c r="I974" s="333"/>
      <c r="J974" s="177"/>
      <c r="K974" s="333"/>
      <c r="L974" s="177"/>
      <c r="M974" s="333"/>
      <c r="N974" s="177"/>
      <c r="O974" s="327"/>
      <c r="P974" s="121"/>
      <c r="Q974" s="143"/>
      <c r="R974" s="143"/>
      <c r="S974" s="17"/>
      <c r="T974" s="17"/>
      <c r="U974" s="17"/>
      <c r="V974" s="17"/>
      <c r="W974" s="17"/>
      <c r="X974" s="17"/>
      <c r="Y974" s="17"/>
      <c r="Z974" s="17"/>
    </row>
    <row r="975">
      <c r="A975" s="327"/>
      <c r="B975" s="121"/>
      <c r="C975" s="340"/>
      <c r="D975" s="339"/>
      <c r="E975" s="327"/>
      <c r="F975" s="121"/>
      <c r="G975" s="327"/>
      <c r="H975" s="121"/>
      <c r="I975" s="333"/>
      <c r="J975" s="177"/>
      <c r="K975" s="333"/>
      <c r="L975" s="177"/>
      <c r="M975" s="333"/>
      <c r="N975" s="177"/>
      <c r="O975" s="327"/>
      <c r="P975" s="121"/>
      <c r="Q975" s="143"/>
      <c r="R975" s="143"/>
      <c r="S975" s="17"/>
      <c r="T975" s="17"/>
      <c r="U975" s="17"/>
      <c r="V975" s="17"/>
      <c r="W975" s="17"/>
      <c r="X975" s="17"/>
      <c r="Y975" s="17"/>
      <c r="Z975" s="17"/>
    </row>
    <row r="976">
      <c r="A976" s="327"/>
      <c r="B976" s="121"/>
      <c r="C976" s="340"/>
      <c r="D976" s="339"/>
      <c r="E976" s="327"/>
      <c r="F976" s="121"/>
      <c r="G976" s="327"/>
      <c r="H976" s="121"/>
      <c r="I976" s="333"/>
      <c r="J976" s="177"/>
      <c r="K976" s="333"/>
      <c r="L976" s="177"/>
      <c r="M976" s="333"/>
      <c r="N976" s="177"/>
      <c r="O976" s="327"/>
      <c r="P976" s="121"/>
      <c r="Q976" s="143"/>
      <c r="R976" s="143"/>
      <c r="S976" s="17"/>
      <c r="T976" s="17"/>
      <c r="U976" s="17"/>
      <c r="V976" s="17"/>
      <c r="W976" s="17"/>
      <c r="X976" s="17"/>
      <c r="Y976" s="17"/>
      <c r="Z976" s="17"/>
    </row>
    <row r="977">
      <c r="A977" s="327"/>
      <c r="B977" s="121"/>
      <c r="C977" s="340"/>
      <c r="D977" s="339"/>
      <c r="E977" s="327"/>
      <c r="F977" s="121"/>
      <c r="G977" s="327"/>
      <c r="H977" s="121"/>
      <c r="I977" s="333"/>
      <c r="J977" s="177"/>
      <c r="K977" s="333"/>
      <c r="L977" s="177"/>
      <c r="M977" s="333"/>
      <c r="N977" s="177"/>
      <c r="O977" s="327"/>
      <c r="P977" s="121"/>
      <c r="Q977" s="143"/>
      <c r="R977" s="143"/>
      <c r="S977" s="17"/>
      <c r="T977" s="17"/>
      <c r="U977" s="17"/>
      <c r="V977" s="17"/>
      <c r="W977" s="17"/>
      <c r="X977" s="17"/>
      <c r="Y977" s="17"/>
      <c r="Z977" s="17"/>
    </row>
    <row r="978">
      <c r="A978" s="327"/>
      <c r="B978" s="121"/>
      <c r="C978" s="340"/>
      <c r="D978" s="339"/>
      <c r="E978" s="327"/>
      <c r="F978" s="121"/>
      <c r="G978" s="327"/>
      <c r="H978" s="121"/>
      <c r="I978" s="333"/>
      <c r="J978" s="177"/>
      <c r="K978" s="333"/>
      <c r="L978" s="177"/>
      <c r="M978" s="333"/>
      <c r="N978" s="177"/>
      <c r="O978" s="327"/>
      <c r="P978" s="121"/>
      <c r="Q978" s="143"/>
      <c r="R978" s="143"/>
      <c r="S978" s="17"/>
      <c r="T978" s="17"/>
      <c r="U978" s="17"/>
      <c r="V978" s="17"/>
      <c r="W978" s="17"/>
      <c r="X978" s="17"/>
      <c r="Y978" s="17"/>
      <c r="Z978" s="17"/>
    </row>
    <row r="979">
      <c r="A979" s="327"/>
      <c r="B979" s="121"/>
      <c r="C979" s="340"/>
      <c r="D979" s="339"/>
      <c r="E979" s="327"/>
      <c r="F979" s="121"/>
      <c r="G979" s="327"/>
      <c r="H979" s="121"/>
      <c r="I979" s="333"/>
      <c r="J979" s="177"/>
      <c r="K979" s="333"/>
      <c r="L979" s="177"/>
      <c r="M979" s="333"/>
      <c r="N979" s="177"/>
      <c r="O979" s="327"/>
      <c r="P979" s="121"/>
      <c r="Q979" s="143"/>
      <c r="R979" s="143"/>
      <c r="S979" s="17"/>
      <c r="T979" s="17"/>
      <c r="U979" s="17"/>
      <c r="V979" s="17"/>
      <c r="W979" s="17"/>
      <c r="X979" s="17"/>
      <c r="Y979" s="17"/>
      <c r="Z979" s="17"/>
    </row>
    <row r="980">
      <c r="A980" s="327"/>
      <c r="B980" s="121"/>
      <c r="C980" s="340"/>
      <c r="D980" s="339"/>
      <c r="E980" s="327"/>
      <c r="F980" s="121"/>
      <c r="G980" s="327"/>
      <c r="H980" s="121"/>
      <c r="I980" s="333"/>
      <c r="J980" s="177"/>
      <c r="K980" s="333"/>
      <c r="L980" s="177"/>
      <c r="M980" s="333"/>
      <c r="N980" s="177"/>
      <c r="O980" s="327"/>
      <c r="P980" s="121"/>
      <c r="Q980" s="143"/>
      <c r="R980" s="143"/>
      <c r="S980" s="17"/>
      <c r="T980" s="17"/>
      <c r="U980" s="17"/>
      <c r="V980" s="17"/>
      <c r="W980" s="17"/>
      <c r="X980" s="17"/>
      <c r="Y980" s="17"/>
      <c r="Z980" s="17"/>
    </row>
    <row r="981">
      <c r="A981" s="327"/>
      <c r="B981" s="121"/>
      <c r="C981" s="340"/>
      <c r="D981" s="339"/>
      <c r="E981" s="327"/>
      <c r="F981" s="121"/>
      <c r="G981" s="327"/>
      <c r="H981" s="121"/>
      <c r="I981" s="333"/>
      <c r="J981" s="177"/>
      <c r="K981" s="333"/>
      <c r="L981" s="177"/>
      <c r="M981" s="333"/>
      <c r="N981" s="177"/>
      <c r="O981" s="327"/>
      <c r="P981" s="121"/>
      <c r="Q981" s="143"/>
      <c r="R981" s="143"/>
      <c r="S981" s="17"/>
      <c r="T981" s="17"/>
      <c r="U981" s="17"/>
      <c r="V981" s="17"/>
      <c r="W981" s="17"/>
      <c r="X981" s="17"/>
      <c r="Y981" s="17"/>
      <c r="Z981" s="17"/>
    </row>
    <row r="982">
      <c r="A982" s="327"/>
      <c r="B982" s="121"/>
      <c r="C982" s="340"/>
      <c r="D982" s="339"/>
      <c r="E982" s="327"/>
      <c r="F982" s="121"/>
      <c r="G982" s="327"/>
      <c r="H982" s="121"/>
      <c r="I982" s="333"/>
      <c r="J982" s="177"/>
      <c r="K982" s="333"/>
      <c r="L982" s="177"/>
      <c r="M982" s="333"/>
      <c r="N982" s="177"/>
      <c r="O982" s="327"/>
      <c r="P982" s="121"/>
      <c r="Q982" s="143"/>
      <c r="R982" s="143"/>
      <c r="S982" s="17"/>
      <c r="T982" s="17"/>
      <c r="U982" s="17"/>
      <c r="V982" s="17"/>
      <c r="W982" s="17"/>
      <c r="X982" s="17"/>
      <c r="Y982" s="17"/>
      <c r="Z982" s="17"/>
    </row>
    <row r="983">
      <c r="A983" s="327"/>
      <c r="B983" s="121"/>
      <c r="C983" s="340"/>
      <c r="D983" s="339"/>
      <c r="E983" s="327"/>
      <c r="F983" s="121"/>
      <c r="G983" s="327"/>
      <c r="H983" s="121"/>
      <c r="I983" s="333"/>
      <c r="J983" s="177"/>
      <c r="K983" s="333"/>
      <c r="L983" s="177"/>
      <c r="M983" s="333"/>
      <c r="N983" s="177"/>
      <c r="O983" s="327"/>
      <c r="P983" s="121"/>
      <c r="Q983" s="143"/>
      <c r="R983" s="143"/>
      <c r="S983" s="17"/>
      <c r="T983" s="17"/>
      <c r="U983" s="17"/>
      <c r="V983" s="17"/>
      <c r="W983" s="17"/>
      <c r="X983" s="17"/>
      <c r="Y983" s="17"/>
      <c r="Z983" s="17"/>
    </row>
    <row r="984">
      <c r="A984" s="327"/>
      <c r="B984" s="121"/>
      <c r="C984" s="340"/>
      <c r="D984" s="339"/>
      <c r="E984" s="327"/>
      <c r="F984" s="121"/>
      <c r="G984" s="327"/>
      <c r="H984" s="121"/>
      <c r="I984" s="333"/>
      <c r="J984" s="177"/>
      <c r="K984" s="333"/>
      <c r="L984" s="177"/>
      <c r="M984" s="333"/>
      <c r="N984" s="177"/>
      <c r="O984" s="327"/>
      <c r="P984" s="121"/>
      <c r="Q984" s="143"/>
      <c r="R984" s="143"/>
      <c r="S984" s="17"/>
      <c r="T984" s="17"/>
      <c r="U984" s="17"/>
      <c r="V984" s="17"/>
      <c r="W984" s="17"/>
      <c r="X984" s="17"/>
      <c r="Y984" s="17"/>
      <c r="Z984" s="17"/>
    </row>
    <row r="985">
      <c r="A985" s="327"/>
      <c r="B985" s="121"/>
      <c r="C985" s="340"/>
      <c r="D985" s="339"/>
      <c r="E985" s="327"/>
      <c r="F985" s="121"/>
      <c r="G985" s="327"/>
      <c r="H985" s="121"/>
      <c r="I985" s="333"/>
      <c r="J985" s="177"/>
      <c r="K985" s="333"/>
      <c r="L985" s="177"/>
      <c r="M985" s="333"/>
      <c r="N985" s="177"/>
      <c r="O985" s="327"/>
      <c r="P985" s="121"/>
      <c r="Q985" s="143"/>
      <c r="R985" s="143"/>
      <c r="S985" s="17"/>
      <c r="T985" s="17"/>
      <c r="U985" s="17"/>
      <c r="V985" s="17"/>
      <c r="W985" s="17"/>
      <c r="X985" s="17"/>
      <c r="Y985" s="17"/>
      <c r="Z985" s="17"/>
    </row>
    <row r="986">
      <c r="A986" s="327"/>
      <c r="B986" s="121"/>
      <c r="C986" s="340"/>
      <c r="D986" s="339"/>
      <c r="E986" s="327"/>
      <c r="F986" s="121"/>
      <c r="G986" s="327"/>
      <c r="H986" s="121"/>
      <c r="I986" s="333"/>
      <c r="J986" s="177"/>
      <c r="K986" s="333"/>
      <c r="L986" s="177"/>
      <c r="M986" s="333"/>
      <c r="N986" s="177"/>
      <c r="O986" s="327"/>
      <c r="P986" s="121"/>
      <c r="Q986" s="143"/>
      <c r="R986" s="143"/>
      <c r="S986" s="17"/>
      <c r="T986" s="17"/>
      <c r="U986" s="17"/>
      <c r="V986" s="17"/>
      <c r="W986" s="17"/>
      <c r="X986" s="17"/>
      <c r="Y986" s="17"/>
      <c r="Z986" s="17"/>
    </row>
    <row r="987">
      <c r="A987" s="327"/>
      <c r="B987" s="121"/>
      <c r="C987" s="340"/>
      <c r="D987" s="339"/>
      <c r="E987" s="327"/>
      <c r="F987" s="121"/>
      <c r="G987" s="327"/>
      <c r="H987" s="121"/>
      <c r="I987" s="333"/>
      <c r="J987" s="177"/>
      <c r="K987" s="333"/>
      <c r="L987" s="177"/>
      <c r="M987" s="333"/>
      <c r="N987" s="177"/>
      <c r="O987" s="327"/>
      <c r="P987" s="121"/>
      <c r="Q987" s="143"/>
      <c r="R987" s="143"/>
      <c r="S987" s="17"/>
      <c r="T987" s="17"/>
      <c r="U987" s="17"/>
      <c r="V987" s="17"/>
      <c r="W987" s="17"/>
      <c r="X987" s="17"/>
      <c r="Y987" s="17"/>
      <c r="Z987" s="17"/>
    </row>
    <row r="988">
      <c r="A988" s="327"/>
      <c r="B988" s="121"/>
      <c r="C988" s="340"/>
      <c r="D988" s="339"/>
      <c r="E988" s="327"/>
      <c r="F988" s="121"/>
      <c r="G988" s="327"/>
      <c r="H988" s="121"/>
      <c r="I988" s="333"/>
      <c r="J988" s="177"/>
      <c r="K988" s="333"/>
      <c r="L988" s="177"/>
      <c r="M988" s="333"/>
      <c r="N988" s="177"/>
      <c r="O988" s="327"/>
      <c r="P988" s="121"/>
      <c r="Q988" s="143"/>
      <c r="R988" s="143"/>
      <c r="S988" s="17"/>
      <c r="T988" s="17"/>
      <c r="U988" s="17"/>
      <c r="V988" s="17"/>
      <c r="W988" s="17"/>
      <c r="X988" s="17"/>
      <c r="Y988" s="17"/>
      <c r="Z988" s="17"/>
    </row>
    <row r="989">
      <c r="A989" s="327"/>
      <c r="B989" s="121"/>
      <c r="C989" s="340"/>
      <c r="D989" s="339"/>
      <c r="E989" s="327"/>
      <c r="F989" s="121"/>
      <c r="G989" s="327"/>
      <c r="H989" s="121"/>
      <c r="I989" s="333"/>
      <c r="J989" s="177"/>
      <c r="K989" s="333"/>
      <c r="L989" s="177"/>
      <c r="M989" s="333"/>
      <c r="N989" s="177"/>
      <c r="O989" s="327"/>
      <c r="P989" s="121"/>
      <c r="Q989" s="143"/>
      <c r="R989" s="143"/>
      <c r="S989" s="17"/>
      <c r="T989" s="17"/>
      <c r="U989" s="17"/>
      <c r="V989" s="17"/>
      <c r="W989" s="17"/>
      <c r="X989" s="17"/>
      <c r="Y989" s="17"/>
      <c r="Z989" s="17"/>
    </row>
    <row r="990">
      <c r="A990" s="327"/>
      <c r="B990" s="121"/>
      <c r="C990" s="340"/>
      <c r="D990" s="339"/>
      <c r="E990" s="327"/>
      <c r="F990" s="121"/>
      <c r="G990" s="327"/>
      <c r="H990" s="121"/>
      <c r="I990" s="333"/>
      <c r="J990" s="177"/>
      <c r="K990" s="333"/>
      <c r="L990" s="177"/>
      <c r="M990" s="333"/>
      <c r="N990" s="177"/>
      <c r="O990" s="327"/>
      <c r="P990" s="121"/>
      <c r="Q990" s="143"/>
      <c r="R990" s="143"/>
      <c r="S990" s="17"/>
      <c r="T990" s="17"/>
      <c r="U990" s="17"/>
      <c r="V990" s="17"/>
      <c r="W990" s="17"/>
      <c r="X990" s="17"/>
      <c r="Y990" s="17"/>
      <c r="Z990" s="17"/>
    </row>
    <row r="991">
      <c r="A991" s="327"/>
      <c r="B991" s="121"/>
      <c r="C991" s="340"/>
      <c r="D991" s="339"/>
      <c r="E991" s="327"/>
      <c r="F991" s="121"/>
      <c r="G991" s="327"/>
      <c r="H991" s="121"/>
      <c r="I991" s="333"/>
      <c r="J991" s="177"/>
      <c r="K991" s="333"/>
      <c r="L991" s="177"/>
      <c r="M991" s="333"/>
      <c r="N991" s="177"/>
      <c r="O991" s="327"/>
      <c r="P991" s="121"/>
      <c r="Q991" s="143"/>
      <c r="R991" s="143"/>
      <c r="S991" s="17"/>
      <c r="T991" s="17"/>
      <c r="U991" s="17"/>
      <c r="V991" s="17"/>
      <c r="W991" s="17"/>
      <c r="X991" s="17"/>
      <c r="Y991" s="17"/>
      <c r="Z991" s="17"/>
    </row>
    <row r="992">
      <c r="A992" s="327"/>
      <c r="B992" s="121"/>
      <c r="C992" s="340"/>
      <c r="D992" s="339"/>
      <c r="E992" s="327"/>
      <c r="F992" s="121"/>
      <c r="G992" s="327"/>
      <c r="H992" s="121"/>
      <c r="I992" s="333"/>
      <c r="J992" s="177"/>
      <c r="K992" s="333"/>
      <c r="L992" s="177"/>
      <c r="M992" s="333"/>
      <c r="N992" s="177"/>
      <c r="O992" s="327"/>
      <c r="P992" s="121"/>
      <c r="Q992" s="143"/>
      <c r="R992" s="143"/>
      <c r="S992" s="17"/>
      <c r="T992" s="17"/>
      <c r="U992" s="17"/>
      <c r="V992" s="17"/>
      <c r="W992" s="17"/>
      <c r="X992" s="17"/>
      <c r="Y992" s="17"/>
      <c r="Z992" s="17"/>
    </row>
    <row r="993">
      <c r="A993" s="327"/>
      <c r="B993" s="121"/>
      <c r="C993" s="340"/>
      <c r="D993" s="339"/>
      <c r="E993" s="327"/>
      <c r="F993" s="121"/>
      <c r="G993" s="327"/>
      <c r="H993" s="121"/>
      <c r="I993" s="333"/>
      <c r="J993" s="177"/>
      <c r="K993" s="333"/>
      <c r="L993" s="177"/>
      <c r="M993" s="333"/>
      <c r="N993" s="177"/>
      <c r="O993" s="327"/>
      <c r="P993" s="121"/>
      <c r="Q993" s="143"/>
      <c r="R993" s="143"/>
      <c r="S993" s="17"/>
      <c r="T993" s="17"/>
      <c r="U993" s="17"/>
      <c r="V993" s="17"/>
      <c r="W993" s="17"/>
      <c r="X993" s="17"/>
      <c r="Y993" s="17"/>
      <c r="Z993" s="17"/>
    </row>
    <row r="994">
      <c r="A994" s="327"/>
      <c r="B994" s="121"/>
      <c r="C994" s="340"/>
      <c r="D994" s="339"/>
      <c r="E994" s="327"/>
      <c r="F994" s="121"/>
      <c r="G994" s="327"/>
      <c r="H994" s="121"/>
      <c r="I994" s="333"/>
      <c r="J994" s="177"/>
      <c r="K994" s="333"/>
      <c r="L994" s="177"/>
      <c r="M994" s="333"/>
      <c r="N994" s="177"/>
      <c r="O994" s="327"/>
      <c r="P994" s="121"/>
      <c r="Q994" s="143"/>
      <c r="R994" s="143"/>
      <c r="S994" s="17"/>
      <c r="T994" s="17"/>
      <c r="U994" s="17"/>
      <c r="V994" s="17"/>
      <c r="W994" s="17"/>
      <c r="X994" s="17"/>
      <c r="Y994" s="17"/>
      <c r="Z994" s="17"/>
    </row>
    <row r="995">
      <c r="A995" s="327"/>
      <c r="B995" s="121"/>
      <c r="C995" s="340"/>
      <c r="D995" s="339"/>
      <c r="E995" s="327"/>
      <c r="F995" s="121"/>
      <c r="G995" s="327"/>
      <c r="H995" s="121"/>
      <c r="I995" s="333"/>
      <c r="J995" s="177"/>
      <c r="K995" s="333"/>
      <c r="L995" s="177"/>
      <c r="M995" s="333"/>
      <c r="N995" s="177"/>
      <c r="O995" s="327"/>
      <c r="P995" s="121"/>
      <c r="Q995" s="143"/>
      <c r="R995" s="143"/>
      <c r="S995" s="17"/>
      <c r="T995" s="17"/>
      <c r="U995" s="17"/>
      <c r="V995" s="17"/>
      <c r="W995" s="17"/>
      <c r="X995" s="17"/>
      <c r="Y995" s="17"/>
      <c r="Z995" s="17"/>
    </row>
    <row r="996">
      <c r="A996" s="327"/>
      <c r="B996" s="121"/>
      <c r="C996" s="340"/>
      <c r="D996" s="339"/>
      <c r="E996" s="327"/>
      <c r="F996" s="121"/>
      <c r="G996" s="327"/>
      <c r="H996" s="121"/>
      <c r="I996" s="333"/>
      <c r="J996" s="177"/>
      <c r="K996" s="333"/>
      <c r="L996" s="177"/>
      <c r="M996" s="333"/>
      <c r="N996" s="177"/>
      <c r="O996" s="327"/>
      <c r="P996" s="121"/>
      <c r="Q996" s="143"/>
      <c r="R996" s="143"/>
      <c r="S996" s="17"/>
      <c r="T996" s="17"/>
      <c r="U996" s="17"/>
      <c r="V996" s="17"/>
      <c r="W996" s="17"/>
      <c r="X996" s="17"/>
      <c r="Y996" s="17"/>
      <c r="Z996" s="17"/>
    </row>
    <row r="997">
      <c r="A997" s="327"/>
      <c r="B997" s="121"/>
      <c r="C997" s="340"/>
      <c r="D997" s="339"/>
      <c r="E997" s="327"/>
      <c r="F997" s="121"/>
      <c r="G997" s="327"/>
      <c r="H997" s="121"/>
      <c r="I997" s="333"/>
      <c r="J997" s="177"/>
      <c r="K997" s="333"/>
      <c r="L997" s="177"/>
      <c r="M997" s="333"/>
      <c r="N997" s="177"/>
      <c r="O997" s="327"/>
      <c r="P997" s="121"/>
      <c r="Q997" s="143"/>
      <c r="R997" s="143"/>
      <c r="S997" s="17"/>
      <c r="T997" s="17"/>
      <c r="U997" s="17"/>
      <c r="V997" s="17"/>
      <c r="W997" s="17"/>
      <c r="X997" s="17"/>
      <c r="Y997" s="17"/>
      <c r="Z997" s="17"/>
    </row>
    <row r="998">
      <c r="A998" s="327"/>
      <c r="B998" s="121"/>
      <c r="C998" s="340"/>
      <c r="D998" s="339"/>
      <c r="E998" s="327"/>
      <c r="F998" s="121"/>
      <c r="G998" s="327"/>
      <c r="H998" s="121"/>
      <c r="I998" s="333"/>
      <c r="J998" s="177"/>
      <c r="K998" s="333"/>
      <c r="L998" s="177"/>
      <c r="M998" s="333"/>
      <c r="N998" s="177"/>
      <c r="O998" s="327"/>
      <c r="P998" s="121"/>
      <c r="Q998" s="143"/>
      <c r="R998" s="143"/>
      <c r="S998" s="17"/>
      <c r="T998" s="17"/>
      <c r="U998" s="17"/>
      <c r="V998" s="17"/>
      <c r="W998" s="17"/>
      <c r="X998" s="17"/>
      <c r="Y998" s="17"/>
      <c r="Z998" s="17"/>
    </row>
    <row r="999">
      <c r="A999" s="327"/>
      <c r="B999" s="121"/>
      <c r="C999" s="340"/>
      <c r="D999" s="339"/>
      <c r="E999" s="327"/>
      <c r="F999" s="121"/>
      <c r="G999" s="327"/>
      <c r="H999" s="121"/>
      <c r="I999" s="333"/>
      <c r="J999" s="177"/>
      <c r="K999" s="333"/>
      <c r="L999" s="177"/>
      <c r="M999" s="333"/>
      <c r="N999" s="177"/>
      <c r="O999" s="327"/>
      <c r="P999" s="121"/>
      <c r="Q999" s="143"/>
      <c r="R999" s="143"/>
      <c r="S999" s="17"/>
      <c r="T999" s="17"/>
      <c r="U999" s="17"/>
      <c r="V999" s="17"/>
      <c r="W999" s="17"/>
      <c r="X999" s="17"/>
      <c r="Y999" s="17"/>
      <c r="Z999" s="17"/>
    </row>
    <row r="1000">
      <c r="A1000" s="327"/>
      <c r="B1000" s="121"/>
      <c r="C1000" s="340"/>
      <c r="D1000" s="339"/>
      <c r="E1000" s="327"/>
      <c r="F1000" s="121"/>
      <c r="G1000" s="327"/>
      <c r="H1000" s="121"/>
      <c r="I1000" s="333"/>
      <c r="J1000" s="177"/>
      <c r="K1000" s="333"/>
      <c r="L1000" s="177"/>
      <c r="M1000" s="333"/>
      <c r="N1000" s="177"/>
      <c r="O1000" s="327"/>
      <c r="P1000" s="121"/>
      <c r="Q1000" s="143"/>
      <c r="R1000" s="143"/>
      <c r="S1000" s="17"/>
      <c r="T1000" s="17"/>
      <c r="U1000" s="17"/>
      <c r="V1000" s="17"/>
      <c r="W1000" s="17"/>
      <c r="X1000" s="17"/>
      <c r="Y1000" s="17"/>
      <c r="Z1000" s="17"/>
    </row>
    <row r="1001">
      <c r="A1001" s="327"/>
      <c r="B1001" s="121"/>
      <c r="C1001" s="340"/>
      <c r="D1001" s="339"/>
      <c r="E1001" s="327"/>
      <c r="F1001" s="121"/>
      <c r="G1001" s="327"/>
      <c r="H1001" s="121"/>
      <c r="I1001" s="333"/>
      <c r="J1001" s="177"/>
      <c r="K1001" s="333"/>
      <c r="L1001" s="177"/>
      <c r="M1001" s="333"/>
      <c r="N1001" s="177"/>
      <c r="O1001" s="327"/>
      <c r="P1001" s="121"/>
      <c r="Q1001" s="327"/>
      <c r="R1001" s="121"/>
      <c r="S1001" s="17"/>
      <c r="T1001" s="17"/>
      <c r="U1001" s="17"/>
      <c r="V1001" s="17"/>
      <c r="W1001" s="17"/>
      <c r="X1001" s="17"/>
      <c r="Y1001" s="17"/>
      <c r="Z1001" s="17"/>
    </row>
    <row r="1002">
      <c r="A1002" s="327"/>
      <c r="B1002" s="121"/>
      <c r="C1002" s="340"/>
      <c r="D1002" s="339"/>
      <c r="E1002" s="327"/>
      <c r="F1002" s="121"/>
      <c r="G1002" s="327"/>
      <c r="H1002" s="121"/>
      <c r="I1002" s="333"/>
      <c r="J1002" s="177"/>
      <c r="K1002" s="333"/>
      <c r="L1002" s="177"/>
      <c r="M1002" s="333"/>
      <c r="N1002" s="177"/>
      <c r="O1002" s="327"/>
      <c r="P1002" s="121"/>
      <c r="Q1002" s="327"/>
      <c r="R1002" s="121"/>
      <c r="S1002" s="17"/>
      <c r="T1002" s="17"/>
      <c r="U1002" s="17"/>
      <c r="V1002" s="17"/>
      <c r="W1002" s="17"/>
      <c r="X1002" s="17"/>
      <c r="Y1002" s="17"/>
      <c r="Z1002" s="17"/>
    </row>
    <row r="1003">
      <c r="A1003" s="327"/>
      <c r="B1003" s="121"/>
      <c r="C1003" s="340"/>
      <c r="D1003" s="339"/>
      <c r="E1003" s="327"/>
      <c r="F1003" s="121"/>
      <c r="G1003" s="327"/>
      <c r="H1003" s="121"/>
      <c r="I1003" s="333"/>
      <c r="J1003" s="177"/>
      <c r="K1003" s="333"/>
      <c r="L1003" s="177"/>
      <c r="M1003" s="333"/>
      <c r="N1003" s="177"/>
      <c r="O1003" s="327"/>
      <c r="P1003" s="121"/>
      <c r="Q1003" s="327"/>
      <c r="R1003" s="121"/>
      <c r="S1003" s="17"/>
      <c r="T1003" s="17"/>
      <c r="U1003" s="17"/>
      <c r="V1003" s="17"/>
      <c r="W1003" s="17"/>
      <c r="X1003" s="17"/>
      <c r="Y1003" s="17"/>
      <c r="Z1003" s="17"/>
    </row>
    <row r="1004">
      <c r="A1004" s="327"/>
      <c r="B1004" s="121"/>
      <c r="C1004" s="340"/>
      <c r="D1004" s="339"/>
      <c r="E1004" s="327"/>
      <c r="F1004" s="121"/>
      <c r="G1004" s="327"/>
      <c r="H1004" s="121"/>
      <c r="I1004" s="333"/>
      <c r="J1004" s="177"/>
      <c r="K1004" s="333"/>
      <c r="L1004" s="177"/>
      <c r="M1004" s="333"/>
      <c r="N1004" s="177"/>
      <c r="O1004" s="327"/>
      <c r="P1004" s="121"/>
      <c r="Q1004" s="327"/>
      <c r="R1004" s="121"/>
      <c r="S1004" s="17"/>
      <c r="T1004" s="17"/>
      <c r="U1004" s="17"/>
      <c r="V1004" s="17"/>
      <c r="W1004" s="17"/>
      <c r="X1004" s="17"/>
      <c r="Y1004" s="17"/>
      <c r="Z1004" s="17"/>
    </row>
    <row r="1005">
      <c r="A1005" s="327"/>
      <c r="B1005" s="121"/>
      <c r="C1005" s="340"/>
      <c r="D1005" s="339"/>
      <c r="E1005" s="327"/>
      <c r="F1005" s="121"/>
      <c r="G1005" s="327"/>
      <c r="H1005" s="121"/>
      <c r="I1005" s="333"/>
      <c r="J1005" s="177"/>
      <c r="K1005" s="333"/>
      <c r="L1005" s="177"/>
      <c r="M1005" s="333"/>
      <c r="N1005" s="177"/>
      <c r="O1005" s="327"/>
      <c r="P1005" s="121"/>
      <c r="Q1005" s="327"/>
      <c r="R1005" s="121"/>
      <c r="S1005" s="17"/>
      <c r="T1005" s="17"/>
      <c r="U1005" s="17"/>
      <c r="V1005" s="17"/>
      <c r="W1005" s="17"/>
      <c r="X1005" s="17"/>
      <c r="Y1005" s="17"/>
      <c r="Z1005" s="17"/>
    </row>
    <row r="1006">
      <c r="A1006" s="327"/>
      <c r="B1006" s="121"/>
      <c r="C1006" s="340"/>
      <c r="D1006" s="339"/>
      <c r="E1006" s="327"/>
      <c r="F1006" s="121"/>
      <c r="G1006" s="327"/>
      <c r="H1006" s="121"/>
      <c r="I1006" s="333"/>
      <c r="J1006" s="177"/>
      <c r="K1006" s="333"/>
      <c r="L1006" s="177"/>
      <c r="M1006" s="333"/>
      <c r="N1006" s="177"/>
      <c r="O1006" s="327"/>
      <c r="P1006" s="121"/>
      <c r="Q1006" s="327"/>
      <c r="R1006" s="121"/>
      <c r="S1006" s="17"/>
      <c r="T1006" s="17"/>
      <c r="U1006" s="17"/>
      <c r="V1006" s="17"/>
      <c r="W1006" s="17"/>
      <c r="X1006" s="17"/>
      <c r="Y1006" s="17"/>
      <c r="Z1006" s="17"/>
    </row>
    <row r="1007">
      <c r="A1007" s="327"/>
      <c r="B1007" s="121"/>
      <c r="C1007" s="340"/>
      <c r="D1007" s="339"/>
      <c r="E1007" s="327"/>
      <c r="F1007" s="121"/>
      <c r="G1007" s="327"/>
      <c r="H1007" s="121"/>
      <c r="I1007" s="333"/>
      <c r="J1007" s="177"/>
      <c r="K1007" s="333"/>
      <c r="L1007" s="177"/>
      <c r="M1007" s="333"/>
      <c r="N1007" s="177"/>
      <c r="O1007" s="327"/>
      <c r="P1007" s="121"/>
      <c r="Q1007" s="327"/>
      <c r="R1007" s="121"/>
      <c r="S1007" s="17"/>
      <c r="T1007" s="17"/>
      <c r="U1007" s="17"/>
      <c r="V1007" s="17"/>
      <c r="W1007" s="17"/>
      <c r="X1007" s="17"/>
      <c r="Y1007" s="17"/>
      <c r="Z1007" s="17"/>
    </row>
    <row r="1008">
      <c r="A1008" s="327"/>
      <c r="B1008" s="121"/>
      <c r="C1008" s="340"/>
      <c r="D1008" s="339"/>
      <c r="E1008" s="327"/>
      <c r="F1008" s="121"/>
      <c r="G1008" s="327"/>
      <c r="H1008" s="121"/>
      <c r="I1008" s="333"/>
      <c r="J1008" s="177"/>
      <c r="K1008" s="333"/>
      <c r="L1008" s="177"/>
      <c r="M1008" s="333"/>
      <c r="N1008" s="177"/>
      <c r="O1008" s="327"/>
      <c r="P1008" s="121"/>
      <c r="Q1008" s="327"/>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無断転載は禁止です。")</f>
        <v>公式ゲーム「Countercurrent Tea Party - 痩せた妹とのシンプルな生活」を応援してください。
攻略まとめ：公式Discord - RORO、協力者 - MIO、Luo Ran、翻訳者 - 눈_눈、Ruika、zNagato、Libeti、Gabriel B、maltesey、AndyJango、IntenseLag、Nian Sprout
無断転載は禁止です。</v>
      </c>
      <c r="E1" s="57" t="s">
        <v>5373</v>
      </c>
      <c r="G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 maltesey, Andy"&amp;"Jango,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Intense"&amp;"Lag,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IntenseLag, Nian Sprout.
Несанкционированное воспроизведение запрещено.</v>
      </c>
      <c r="O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Unerlaubte Vervielfältigung verboten.</v>
      </c>
      <c r="Q1" s="350" t="s">
        <v>5374</v>
      </c>
      <c r="S1" s="293"/>
      <c r="T1" s="293"/>
      <c r="U1" s="293"/>
      <c r="V1" s="293"/>
    </row>
    <row r="2">
      <c r="A2" s="351" t="s">
        <v>5375</v>
      </c>
      <c r="C2" s="351" t="str">
        <f>IFERROR(__xludf.DUMMYFUNCTION("GOOGLETRANSLATE(A2,""zh-tw"",""ja"")"),"消耗品のみ記録されます")</f>
        <v>消耗品のみ記録されます</v>
      </c>
      <c r="E2" s="351" t="s">
        <v>5376</v>
      </c>
      <c r="G2" s="351" t="str">
        <f>IFERROR(__xludf.DUMMYFUNCTION("GOOGLETRANSLATE(A2,""zh-tw"",""zh"")"),"仅记录消耗型物品")</f>
        <v>仅记录消耗型物品</v>
      </c>
      <c r="I2" s="352" t="str">
        <f>IFERROR(__xludf.DUMMYFUNCTION("GOOGLETRANSLATE(A2,""zh-tw"",""es-MX"")"),"Sólo se registran los artículos consumibles")</f>
        <v>Sólo se registran los artículos consumibles</v>
      </c>
      <c r="K2" s="352" t="str">
        <f>IFERROR(__xludf.DUMMYFUNCTION("GOOGLETRANSLATE(A2,""zh-tw"",""KO"")"),"소모품만 기록됩니다.")</f>
        <v>소모품만 기록됩니다.</v>
      </c>
      <c r="M2" s="352" t="str">
        <f>IFERROR(__xludf.DUMMYFUNCTION("GOOGLETRANSLATE(A2,""zh-tw"",""ru"")"),"Учитываются только расходные материалы.")</f>
        <v>Учитываются только расходные материалы.</v>
      </c>
      <c r="O2" s="217" t="s">
        <v>5377</v>
      </c>
      <c r="Q2" s="353" t="s">
        <v>5378</v>
      </c>
      <c r="S2" s="354"/>
      <c r="T2" s="354"/>
      <c r="U2" s="354"/>
      <c r="V2" s="354"/>
    </row>
    <row r="3">
      <c r="A3" s="320" t="s">
        <v>5379</v>
      </c>
      <c r="B3" s="72" t="s">
        <v>5380</v>
      </c>
      <c r="C3" s="320" t="str">
        <f>IFERROR(__xludf.DUMMYFUNCTION("GOOGLETRANSLATE(A3,""zh-tw"",""ja"")"),"小道具名")</f>
        <v>小道具名</v>
      </c>
      <c r="D3" s="72" t="str">
        <f>IFERROR(__xludf.DUMMYFUNCTION("GOOGLETRANSLATE(B3,""zh-tw"",""ja"")"),"効果")</f>
        <v>効果</v>
      </c>
      <c r="E3" s="322" t="str">
        <f>IFERROR(__xludf.DUMMYFUNCTION("GOOGLETRANSLATE(A3,""zh-tw"",""en"")"),"Prop name")</f>
        <v>Prop name</v>
      </c>
      <c r="F3" s="69" t="str">
        <f>IFERROR(__xludf.DUMMYFUNCTION("GOOGLETRANSLATE(B3,""zh-tw"",""en"")"),"Effect")</f>
        <v>Effect</v>
      </c>
      <c r="G3" s="320" t="str">
        <f>IFERROR(__xludf.DUMMYFUNCTION("GOOGLETRANSLATE(A3,""zh-tw"",""zh"")"),"道具名称")</f>
        <v>道具名称</v>
      </c>
      <c r="H3" s="72" t="str">
        <f>IFERROR(__xludf.DUMMYFUNCTION("GOOGLETRANSLATE(B3,""zh-tw"",""zh"")"),"效果")</f>
        <v>效果</v>
      </c>
      <c r="I3" s="321" t="str">
        <f>IFERROR(__xludf.DUMMYFUNCTION("GOOGLETRANSLATE(A3,""zh-tw"",""es-MX"")"),"Nombre del objeto")</f>
        <v>Nombre del objeto</v>
      </c>
      <c r="J3" s="34" t="str">
        <f>IFERROR(__xludf.DUMMYFUNCTION("GOOGLETRANSLATE(B3,""zh-tw"",""es-MX"")"),"Efecto")</f>
        <v>Efecto</v>
      </c>
      <c r="K3" s="321" t="str">
        <f>IFERROR(__xludf.DUMMYFUNCTION("GOOGLETRANSLATE(A3,""zh-tw"",""KO"")"),"소품 이름")</f>
        <v>소품 이름</v>
      </c>
      <c r="L3" s="34" t="str">
        <f>IFERROR(__xludf.DUMMYFUNCTION("GOOGLETRANSLATE(B3,""zh-tw"",""KO"")"),"효과")</f>
        <v>효과</v>
      </c>
      <c r="M3" s="321" t="str">
        <f>IFERROR(__xludf.DUMMYFUNCTION("GOOGLETRANSLATE(A3,""zh-tw"",""ru"")"),"Имя реквизита")</f>
        <v>Имя реквизита</v>
      </c>
      <c r="N3" s="34" t="str">
        <f>IFERROR(__xludf.DUMMYFUNCTION("GOOGLETRANSLATE(B3,""zh-tw"",""ru"")"),"Эффект")</f>
        <v>Эффект</v>
      </c>
      <c r="O3" s="320" t="s">
        <v>5381</v>
      </c>
      <c r="P3" s="72" t="s">
        <v>5382</v>
      </c>
      <c r="Q3" s="355" t="s">
        <v>5383</v>
      </c>
      <c r="R3" s="356" t="s">
        <v>5384</v>
      </c>
      <c r="S3" s="354"/>
      <c r="T3" s="354"/>
      <c r="U3" s="354"/>
      <c r="V3" s="354"/>
    </row>
    <row r="4">
      <c r="A4" s="325" t="s">
        <v>5385</v>
      </c>
      <c r="B4" s="117" t="s">
        <v>5386</v>
      </c>
      <c r="C4" s="325" t="s">
        <v>5387</v>
      </c>
      <c r="D4" s="117" t="s">
        <v>5388</v>
      </c>
      <c r="E4" s="325" t="s">
        <v>5389</v>
      </c>
      <c r="F4" s="117" t="s">
        <v>5390</v>
      </c>
      <c r="G4" s="325" t="str">
        <f>IFERROR(__xludf.DUMMYFUNCTION("GOOGLETRANSLATE(A4,""zh-tw"",""zh"")"),"好喝的牛奶")</f>
        <v>好喝的牛奶</v>
      </c>
      <c r="H4" s="117" t="str">
        <f>IFERROR(__xludf.DUMMYFUNCTION("GOOGLETRANSLATE(B4,""zh-tw"",""zh"")"),"回复体力120，自动回复效果")</f>
        <v>回复体力120，自动回复效果</v>
      </c>
      <c r="I4" s="327"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7" t="str">
        <f>IFERROR(__xludf.DUMMYFUNCTION("GOOGLETRANSLATE(A4,""zh-tw"",""KO"")"),"맛있는 우유")</f>
        <v>맛있는 우유</v>
      </c>
      <c r="L4" s="117" t="s">
        <v>5391</v>
      </c>
      <c r="M4" s="327"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5" t="s">
        <v>5392</v>
      </c>
      <c r="P4" s="117" t="s">
        <v>5393</v>
      </c>
      <c r="Q4" s="332" t="s">
        <v>5394</v>
      </c>
      <c r="R4" s="123" t="s">
        <v>5395</v>
      </c>
      <c r="S4" s="17"/>
      <c r="T4" s="17"/>
      <c r="U4" s="17"/>
      <c r="V4" s="17"/>
    </row>
    <row r="5">
      <c r="A5" s="325" t="s">
        <v>5396</v>
      </c>
      <c r="B5" s="117" t="s">
        <v>5397</v>
      </c>
      <c r="C5" s="325" t="s">
        <v>5398</v>
      </c>
      <c r="D5" s="117" t="s">
        <v>5399</v>
      </c>
      <c r="E5" s="325" t="s">
        <v>5400</v>
      </c>
      <c r="F5" s="117" t="s">
        <v>5401</v>
      </c>
      <c r="G5" s="325" t="str">
        <f>IFERROR(__xludf.DUMMYFUNCTION("GOOGLETRANSLATE(A5,""zh-tw"",""zh"")"),"胡萝卜牛奶")</f>
        <v>胡萝卜牛奶</v>
      </c>
      <c r="H5" s="117" t="str">
        <f>IFERROR(__xludf.DUMMYFUNCTION("GOOGLETRANSLATE(B5,""zh-tw"",""zh"")"),"回复体力75，消除异常")</f>
        <v>回复体力75，消除异常</v>
      </c>
      <c r="I5" s="327" t="str">
        <f>IFERROR(__xludf.DUMMYFUNCTION("GOOGLETRANSLATE(A5,""zh-tw"",""es-MX"")"),"Leche de zanahoria")</f>
        <v>Leche de zanahoria</v>
      </c>
      <c r="J5" s="121" t="str">
        <f>IFERROR(__xludf.DUMMYFUNCTION("GOOGLETRANSLATE(B5,""zh-tw"",""es-MX"")"),"Restaura 75 HP y elimina anomalías.")</f>
        <v>Restaura 75 HP y elimina anomalías.</v>
      </c>
      <c r="K5" s="327" t="str">
        <f>IFERROR(__xludf.DUMMYFUNCTION("GOOGLETRANSLATE(A5,""zh-tw"",""KO"")"),"당근 우유")</f>
        <v>당근 우유</v>
      </c>
      <c r="L5" s="117" t="s">
        <v>5402</v>
      </c>
      <c r="M5" s="327"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5" t="s">
        <v>5403</v>
      </c>
      <c r="P5" s="117" t="s">
        <v>5404</v>
      </c>
      <c r="Q5" s="332" t="s">
        <v>5405</v>
      </c>
      <c r="R5" s="123" t="s">
        <v>5406</v>
      </c>
      <c r="S5" s="17"/>
      <c r="T5" s="17"/>
      <c r="U5" s="17"/>
      <c r="V5" s="17"/>
    </row>
    <row r="6">
      <c r="A6" s="325" t="s">
        <v>5407</v>
      </c>
      <c r="B6" s="117" t="s">
        <v>5408</v>
      </c>
      <c r="C6" s="325" t="s">
        <v>5409</v>
      </c>
      <c r="D6" s="117" t="s">
        <v>5410</v>
      </c>
      <c r="E6" s="325" t="s">
        <v>5411</v>
      </c>
      <c r="F6" s="117" t="s">
        <v>5412</v>
      </c>
      <c r="G6" s="325" t="str">
        <f>IFERROR(__xludf.DUMMYFUNCTION("GOOGLETRANSLATE(A6,""zh-tw"",""zh"")"),"草莓味牛奶")</f>
        <v>草莓味牛奶</v>
      </c>
      <c r="H6" s="117" t="str">
        <f>IFERROR(__xludf.DUMMYFUNCTION("GOOGLETRANSLATE(B6,""zh-tw"",""zh"")"),"回复体力75，提高50%攻击")</f>
        <v>回复体力75，提高50%攻击</v>
      </c>
      <c r="I6" s="327"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5" t="s">
        <v>5413</v>
      </c>
      <c r="L6" s="121" t="str">
        <f>IFERROR(__xludf.DUMMYFUNCTION("GOOGLETRANSLATE(B6,""zh-tw"",""KO"")"),"체력 75 회복 및 공격력 50% 증가")</f>
        <v>체력 75 회복 및 공격력 50% 증가</v>
      </c>
      <c r="M6" s="327"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5" t="s">
        <v>5414</v>
      </c>
      <c r="P6" s="117" t="s">
        <v>5415</v>
      </c>
      <c r="Q6" s="332" t="s">
        <v>5416</v>
      </c>
      <c r="R6" s="123" t="s">
        <v>5417</v>
      </c>
      <c r="S6" s="17"/>
      <c r="T6" s="17"/>
      <c r="U6" s="17"/>
      <c r="V6" s="17"/>
    </row>
    <row r="7">
      <c r="A7" s="325" t="s">
        <v>5418</v>
      </c>
      <c r="B7" s="117" t="s">
        <v>5419</v>
      </c>
      <c r="C7" s="325" t="s">
        <v>5420</v>
      </c>
      <c r="D7" s="117" t="s">
        <v>5421</v>
      </c>
      <c r="E7" s="325" t="s">
        <v>5422</v>
      </c>
      <c r="F7" s="117" t="s">
        <v>5423</v>
      </c>
      <c r="G7" s="325" t="str">
        <f>IFERROR(__xludf.DUMMYFUNCTION("GOOGLETRANSLATE(A7,""zh-tw"",""zh"")"),"蜜瓜味牛奶")</f>
        <v>蜜瓜味牛奶</v>
      </c>
      <c r="H7" s="117" t="str">
        <f>IFERROR(__xludf.DUMMYFUNCTION("GOOGLETRANSLATE(B7,""zh-tw"",""zh"")"),"回复体力75，提高50%魔力")</f>
        <v>回复体力75，提高50%魔力</v>
      </c>
      <c r="I7" s="327"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5" t="s">
        <v>5424</v>
      </c>
      <c r="L7" s="121" t="str">
        <f>IFERROR(__xludf.DUMMYFUNCTION("GOOGLETRANSLATE(B7,""zh-tw"",""KO"")"),"체력을 75 회복하고 마나를 50% 증가시킵니다.")</f>
        <v>체력을 75 회복하고 마나를 50% 증가시킵니다.</v>
      </c>
      <c r="M7" s="327"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5" t="s">
        <v>5425</v>
      </c>
      <c r="P7" s="117" t="s">
        <v>5426</v>
      </c>
      <c r="Q7" s="332" t="s">
        <v>5427</v>
      </c>
      <c r="R7" s="123" t="s">
        <v>5428</v>
      </c>
      <c r="S7" s="17"/>
      <c r="T7" s="17"/>
      <c r="U7" s="17"/>
      <c r="V7" s="17"/>
    </row>
    <row r="8">
      <c r="A8" s="325" t="s">
        <v>5429</v>
      </c>
      <c r="B8" s="117" t="s">
        <v>5430</v>
      </c>
      <c r="C8" s="325" t="s">
        <v>5431</v>
      </c>
      <c r="D8" s="117" t="s">
        <v>5432</v>
      </c>
      <c r="E8" s="325" t="s">
        <v>5433</v>
      </c>
      <c r="F8" s="117" t="s">
        <v>5434</v>
      </c>
      <c r="G8" s="325" t="str">
        <f>IFERROR(__xludf.DUMMYFUNCTION("GOOGLETRANSLATE(A8,""zh-tw"",""zh"")"),"香蕉味牛奶")</f>
        <v>香蕉味牛奶</v>
      </c>
      <c r="H8" s="117" t="str">
        <f>IFERROR(__xludf.DUMMYFUNCTION("GOOGLETRANSLATE(B8,""zh-tw"",""zh"")"),"回复体力75，移速增强")</f>
        <v>回复体力75，移速增强</v>
      </c>
      <c r="I8" s="327"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7" t="str">
        <f>IFERROR(__xludf.DUMMYFUNCTION("GOOGLETRANSLATE(A8,""zh-tw"",""KO"")"),"바나나맛 우유")</f>
        <v>바나나맛 우유</v>
      </c>
      <c r="L8" s="117" t="s">
        <v>5435</v>
      </c>
      <c r="M8" s="327"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5" t="s">
        <v>5436</v>
      </c>
      <c r="P8" s="117" t="s">
        <v>5437</v>
      </c>
      <c r="Q8" s="332" t="s">
        <v>5438</v>
      </c>
      <c r="R8" s="123" t="s">
        <v>5439</v>
      </c>
      <c r="S8" s="17"/>
      <c r="T8" s="17"/>
      <c r="U8" s="17"/>
      <c r="V8" s="17"/>
    </row>
    <row r="9">
      <c r="A9" s="325" t="s">
        <v>5440</v>
      </c>
      <c r="B9" s="117" t="s">
        <v>5441</v>
      </c>
      <c r="C9" s="325" t="s">
        <v>5442</v>
      </c>
      <c r="D9" s="117" t="s">
        <v>5443</v>
      </c>
      <c r="E9" s="325" t="s">
        <v>5444</v>
      </c>
      <c r="F9" s="117" t="s">
        <v>5445</v>
      </c>
      <c r="G9" s="325" t="str">
        <f>IFERROR(__xludf.DUMMYFUNCTION("GOOGLETRANSLATE(A9,""zh-tw"",""zh"")"),"巧克力牛奶")</f>
        <v>巧克力牛奶</v>
      </c>
      <c r="H9" s="117" t="str">
        <f>IFERROR(__xludf.DUMMYFUNCTION("GOOGLETRANSLATE(B9,""zh-tw"",""zh"")"),"回复体力78，霸体效果
(未实装)")</f>
        <v>回复体力78，霸体效果
(未实装)</v>
      </c>
      <c r="I9" s="327"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5" t="s">
        <v>5446</v>
      </c>
      <c r="L9" s="121" t="str">
        <f>IFERROR(__xludf.DUMMYFUNCTION("GOOGLETRANSLATE(B9,""zh-tw"",""KO"")"),"체력 78 회복, 슈퍼아머 효과 부여
(아직 구현되지 않음)")</f>
        <v>체력 78 회복, 슈퍼아머 효과 부여
(아직 구현되지 않음)</v>
      </c>
      <c r="M9" s="327"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5" t="s">
        <v>5447</v>
      </c>
      <c r="P9" s="117" t="s">
        <v>5448</v>
      </c>
      <c r="Q9" s="332" t="s">
        <v>5449</v>
      </c>
      <c r="R9" s="123" t="s">
        <v>5450</v>
      </c>
      <c r="S9" s="17"/>
      <c r="T9" s="17"/>
      <c r="U9" s="17"/>
      <c r="V9" s="17"/>
    </row>
    <row r="10">
      <c r="A10" s="325" t="s">
        <v>5451</v>
      </c>
      <c r="B10" s="117" t="s">
        <v>5452</v>
      </c>
      <c r="C10" s="325" t="s">
        <v>5453</v>
      </c>
      <c r="D10" s="117" t="s">
        <v>5454</v>
      </c>
      <c r="E10" s="325" t="s">
        <v>5455</v>
      </c>
      <c r="F10" s="117" t="s">
        <v>5456</v>
      </c>
      <c r="G10" s="325" t="str">
        <f>IFERROR(__xludf.DUMMYFUNCTION("GOOGLETRANSLATE(A10,""zh-tw"",""zh"")"),"逆流可乐")</f>
        <v>逆流可乐</v>
      </c>
      <c r="H10" s="117" t="str">
        <f>IFERROR(__xludf.DUMMYFUNCTION("GOOGLETRANSLATE(B10,""zh-tw"",""zh"")"),"(战斗效果未实装)")</f>
        <v>(战斗效果未实装)</v>
      </c>
      <c r="I10" s="325" t="s">
        <v>5455</v>
      </c>
      <c r="J10" s="121" t="str">
        <f>IFERROR(__xludf.DUMMYFUNCTION("GOOGLETRANSLATE(B10,""zh-tw"",""es-MX"")"),"(Efectos de batalla aún no implementados)")</f>
        <v>(Efectos de batalla aún no implementados)</v>
      </c>
      <c r="K10" s="325" t="s">
        <v>5457</v>
      </c>
      <c r="L10" s="121" t="str">
        <f>IFERROR(__xludf.DUMMYFUNCTION("GOOGLETRANSLATE(B10,""zh-tw"",""KO"")"),"(전투 효과는 아직 구현되지 않았습니다)")</f>
        <v>(전투 효과는 아직 구현되지 않았습니다)</v>
      </c>
      <c r="M10" s="327"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5" t="s">
        <v>5455</v>
      </c>
      <c r="P10" s="117" t="s">
        <v>5458</v>
      </c>
      <c r="Q10" s="332" t="s">
        <v>5455</v>
      </c>
      <c r="R10" s="123" t="s">
        <v>5459</v>
      </c>
      <c r="S10" s="17"/>
      <c r="T10" s="17"/>
      <c r="U10" s="17"/>
      <c r="V10" s="17"/>
    </row>
    <row r="11">
      <c r="A11" s="325" t="s">
        <v>5460</v>
      </c>
      <c r="B11" s="117" t="s">
        <v>5461</v>
      </c>
      <c r="C11" s="325" t="s">
        <v>5462</v>
      </c>
      <c r="D11" s="117" t="s">
        <v>5463</v>
      </c>
      <c r="E11" s="325" t="s">
        <v>5464</v>
      </c>
      <c r="F11" s="117" t="s">
        <v>5465</v>
      </c>
      <c r="G11" s="325"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7"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5" t="s">
        <v>5466</v>
      </c>
      <c r="L11" s="117" t="s">
        <v>5467</v>
      </c>
      <c r="M11" s="327"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5" t="s">
        <v>5468</v>
      </c>
      <c r="P11" s="117" t="s">
        <v>5469</v>
      </c>
      <c r="Q11" s="332" t="s">
        <v>5470</v>
      </c>
      <c r="R11" s="123" t="s">
        <v>5471</v>
      </c>
      <c r="S11" s="17"/>
      <c r="T11" s="17"/>
      <c r="U11" s="17"/>
      <c r="V11" s="17"/>
    </row>
    <row r="12">
      <c r="A12" s="325" t="s">
        <v>5472</v>
      </c>
      <c r="B12" s="117" t="s">
        <v>5473</v>
      </c>
      <c r="C12" s="325" t="s">
        <v>5474</v>
      </c>
      <c r="D12" s="117" t="s">
        <v>5475</v>
      </c>
      <c r="E12" s="325" t="s">
        <v>5476</v>
      </c>
      <c r="F12" s="117" t="s">
        <v>5477</v>
      </c>
      <c r="G12" s="325"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7" t="str">
        <f>IFERROR(__xludf.DUMMYFUNCTION("GOOGLETRANSLATE(A12,""zh-tw"",""es-MX"")"),"Conpeito azul")</f>
        <v>Conpeito azul</v>
      </c>
      <c r="J12" s="121" t="str">
        <f>IFERROR(__xludf.DUMMYFUNCTION("GOOGLETRANSLATE(B12,""zh-tw"",""es-MX"")"),"Le da sueño a la hermana menor (combina con platos de carne).
El entusiasmo del hermano mayor disminuye. Darle dos pastillas a la hermana menor le dará sueño al instante, lo que le permitirá dormir muy bien.")</f>
        <v>Le da sueño a la hermana menor (combina con platos de carne).
El entusiasmo del hermano mayor disminuye. Darle dos pastillas a la hermana menor le dará sueño al instante, lo que le permitirá dormir muy bien.</v>
      </c>
      <c r="K12" s="325" t="s">
        <v>5478</v>
      </c>
      <c r="L12" s="117" t="s">
        <v>5479</v>
      </c>
      <c r="M12" s="327"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уснет, что обеспечит ей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уснет, что обеспечит ей крепкий сон.</v>
      </c>
      <c r="O12" s="325" t="s">
        <v>5480</v>
      </c>
      <c r="P12" s="117" t="s">
        <v>5481</v>
      </c>
      <c r="Q12" s="332" t="s">
        <v>5482</v>
      </c>
      <c r="R12" s="123" t="s">
        <v>5483</v>
      </c>
      <c r="S12" s="17"/>
      <c r="T12" s="17"/>
      <c r="U12" s="17"/>
      <c r="V12" s="17"/>
    </row>
    <row r="13">
      <c r="A13" s="325" t="s">
        <v>5484</v>
      </c>
      <c r="B13" s="117" t="s">
        <v>5485</v>
      </c>
      <c r="C13" s="325" t="s">
        <v>5486</v>
      </c>
      <c r="D13" s="117" t="s">
        <v>593</v>
      </c>
      <c r="E13" s="325" t="s">
        <v>5487</v>
      </c>
      <c r="F13" s="117" t="s">
        <v>5488</v>
      </c>
      <c r="G13" s="325" t="str">
        <f>IFERROR(__xludf.DUMMYFUNCTION("GOOGLETRANSLATE(A13,""zh-tw"",""zh"")"),"绿色金平糖")</f>
        <v>绿色金平糖</v>
      </c>
      <c r="H13" s="117" t="str">
        <f>IFERROR(__xludf.DUMMYFUNCTION("GOOGLETRANSLATE(B13,""zh-tw"",""zh"")"),"效果未实装")</f>
        <v>效果未实装</v>
      </c>
      <c r="I13" s="327" t="str">
        <f>IFERROR(__xludf.DUMMYFUNCTION("GOOGLETRANSLATE(A13,""zh-tw"",""es-MX"")"),"Konpeito verde")</f>
        <v>Konpeito verde</v>
      </c>
      <c r="J13" s="121" t="str">
        <f>IFERROR(__xludf.DUMMYFUNCTION("GOOGLETRANSLATE(B13,""zh-tw"",""es-MX"")"),"Efecto no implementado")</f>
        <v>Efecto no implementado</v>
      </c>
      <c r="K13" s="325" t="s">
        <v>5489</v>
      </c>
      <c r="L13" s="121" t="str">
        <f>IFERROR(__xludf.DUMMYFUNCTION("GOOGLETRANSLATE(B13,""zh-tw"",""KO"")"),"효과가 구현되지 않았습니다")</f>
        <v>효과가 구현되지 않았습니다</v>
      </c>
      <c r="M13" s="327" t="str">
        <f>IFERROR(__xludf.DUMMYFUNCTION("GOOGLETRANSLATE(A13,""zh-tw"",""ru"")"),"Грин Конпейто")</f>
        <v>Грин Конпейто</v>
      </c>
      <c r="N13" s="121" t="str">
        <f>IFERROR(__xludf.DUMMYFUNCTION("GOOGLETRANSLATE(B13,""zh-tw"",""ru"")"),"Эффект не реализован")</f>
        <v>Эффект не реализован</v>
      </c>
      <c r="O13" s="325" t="s">
        <v>5490</v>
      </c>
      <c r="P13" s="117" t="s">
        <v>2326</v>
      </c>
      <c r="Q13" s="332" t="s">
        <v>5491</v>
      </c>
      <c r="R13" s="123" t="s">
        <v>5492</v>
      </c>
      <c r="S13" s="17"/>
      <c r="T13" s="17"/>
      <c r="U13" s="17"/>
      <c r="V13" s="17"/>
    </row>
    <row r="14">
      <c r="A14" s="325" t="s">
        <v>5493</v>
      </c>
      <c r="B14" s="117" t="s">
        <v>5494</v>
      </c>
      <c r="C14" s="325" t="s">
        <v>5495</v>
      </c>
      <c r="D14" s="117" t="s">
        <v>5496</v>
      </c>
      <c r="E14" s="325" t="s">
        <v>5497</v>
      </c>
      <c r="F14" s="117" t="s">
        <v>5498</v>
      </c>
      <c r="G14" s="325" t="str">
        <f>IFERROR(__xludf.DUMMYFUNCTION("GOOGLETRANSLATE(A14,""zh-tw"",""zh"")"),"天上之石碎片")</f>
        <v>天上之石碎片</v>
      </c>
      <c r="H14" s="117" t="str">
        <f>IFERROR(__xludf.DUMMYFUNCTION("GOOGLETRANSLATE(B14,""zh-tw"",""zh"")"),"治愈妹妹或者增加哥哥的状态")</f>
        <v>治愈妹妹或者增加哥哥的状态</v>
      </c>
      <c r="I14" s="327"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7" t="str">
        <f>IFERROR(__xludf.DUMMYFUNCTION("GOOGLETRANSLATE(A14,""zh-tw"",""KO"")"),"천상의 돌 조각")</f>
        <v>천상의 돌 조각</v>
      </c>
      <c r="L14" s="117" t="s">
        <v>5499</v>
      </c>
      <c r="M14" s="327"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5" t="s">
        <v>5500</v>
      </c>
      <c r="P14" s="117" t="s">
        <v>5501</v>
      </c>
      <c r="Q14" s="332" t="s">
        <v>5502</v>
      </c>
      <c r="R14" s="123" t="s">
        <v>5503</v>
      </c>
      <c r="S14" s="17"/>
      <c r="T14" s="17"/>
      <c r="U14" s="17"/>
      <c r="V14" s="17"/>
    </row>
    <row r="15">
      <c r="A15" s="325" t="s">
        <v>5504</v>
      </c>
      <c r="B15" s="117" t="s">
        <v>5505</v>
      </c>
      <c r="C15" s="325" t="s">
        <v>5506</v>
      </c>
      <c r="D15" s="117" t="s">
        <v>5507</v>
      </c>
      <c r="E15" s="325" t="s">
        <v>5508</v>
      </c>
      <c r="F15" s="117" t="s">
        <v>5509</v>
      </c>
      <c r="G15" s="325" t="str">
        <f>IFERROR(__xludf.DUMMYFUNCTION("GOOGLETRANSLATE(A15,""zh-tw"",""zh"")"),"卢恩符文A")</f>
        <v>卢恩符文A</v>
      </c>
      <c r="H15" s="117" t="s">
        <v>5510</v>
      </c>
      <c r="I15" s="327" t="str">
        <f>IFERROR(__xludf.DUMMYFUNCTION("GOOGLETRANSLATE(A15,""zh-tw"",""es-MX"")"),"Runa A")</f>
        <v>Runa A</v>
      </c>
      <c r="J15" s="121" t="str">
        <f>IFERROR(__xludf.DUMMYFUNCTION("GOOGLETRANSLATE(B15,""zh-tw"",""es-MX"")"),"Dejar constancia escrita")</f>
        <v>Dejar constancia escrita</v>
      </c>
      <c r="K15" s="325" t="s">
        <v>5511</v>
      </c>
      <c r="L15" s="117" t="s">
        <v>5512</v>
      </c>
      <c r="M15" s="327" t="str">
        <f>IFERROR(__xludf.DUMMYFUNCTION("GOOGLETRANSLATE(A15,""zh-tw"",""ru"")"),"Руна А")</f>
        <v>Руна А</v>
      </c>
      <c r="N15" s="121" t="str">
        <f>IFERROR(__xludf.DUMMYFUNCTION("GOOGLETRANSLATE(B15,""zh-tw"",""ru"")"),"Оставьте письменный отчет")</f>
        <v>Оставьте письменный отчет</v>
      </c>
      <c r="O15" s="325" t="s">
        <v>5513</v>
      </c>
      <c r="P15" s="117" t="s">
        <v>5514</v>
      </c>
      <c r="Q15" s="332" t="s">
        <v>5508</v>
      </c>
      <c r="R15" s="123" t="s">
        <v>5515</v>
      </c>
      <c r="S15" s="17"/>
      <c r="T15" s="17"/>
      <c r="U15" s="17"/>
      <c r="V15" s="17"/>
    </row>
    <row r="16">
      <c r="A16" s="325" t="s">
        <v>5516</v>
      </c>
      <c r="B16" s="117" t="s">
        <v>5517</v>
      </c>
      <c r="C16" s="325" t="s">
        <v>5518</v>
      </c>
      <c r="D16" s="117" t="s">
        <v>5519</v>
      </c>
      <c r="E16" s="325" t="s">
        <v>5520</v>
      </c>
      <c r="F16" s="117" t="s">
        <v>5521</v>
      </c>
      <c r="G16" s="325" t="str">
        <f>IFERROR(__xludf.DUMMYFUNCTION("GOOGLETRANSLATE(A16,""zh-tw"",""zh"")"),"卢恩符文R")</f>
        <v>卢恩符文R</v>
      </c>
      <c r="H16" s="117" t="str">
        <f>IFERROR(__xludf.DUMMYFUNCTION("GOOGLETRANSLATE(B16,""zh-tw"",""zh"")"),"投掷后，滑鼠点选R的位置进行交换")</f>
        <v>投掷后，滑鼠点选R的位置进行交换</v>
      </c>
      <c r="I16" s="327"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5" t="s">
        <v>5522</v>
      </c>
      <c r="L16" s="117" t="s">
        <v>5523</v>
      </c>
      <c r="M16" s="327"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5" t="s">
        <v>5524</v>
      </c>
      <c r="P16" s="117" t="s">
        <v>5525</v>
      </c>
      <c r="Q16" s="332" t="s">
        <v>5520</v>
      </c>
      <c r="R16" s="123" t="s">
        <v>5526</v>
      </c>
      <c r="S16" s="17"/>
      <c r="T16" s="17"/>
      <c r="U16" s="17"/>
      <c r="V16" s="17"/>
    </row>
    <row r="17">
      <c r="A17" s="325" t="s">
        <v>5527</v>
      </c>
      <c r="B17" s="117" t="s">
        <v>5528</v>
      </c>
      <c r="C17" s="325" t="s">
        <v>5529</v>
      </c>
      <c r="D17" s="117" t="s">
        <v>5530</v>
      </c>
      <c r="E17" s="325" t="s">
        <v>5531</v>
      </c>
      <c r="F17" s="117" t="s">
        <v>5532</v>
      </c>
      <c r="G17" s="325" t="str">
        <f>IFERROR(__xludf.DUMMYFUNCTION("GOOGLETRANSLATE(A17,""zh-tw"",""zh"")"),"卢恩符文E")</f>
        <v>卢恩符文E</v>
      </c>
      <c r="H17" s="117" t="str">
        <f>IFERROR(__xludf.DUMMYFUNCTION("GOOGLETRANSLATE(B17,""zh-tw"",""zh"")"),"投掷后与目标进行位置交换")</f>
        <v>投掷后与目标进行位置交换</v>
      </c>
      <c r="I17" s="327"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5" t="s">
        <v>5533</v>
      </c>
      <c r="L17" s="117" t="s">
        <v>5534</v>
      </c>
      <c r="M17" s="327"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5" t="s">
        <v>5535</v>
      </c>
      <c r="P17" s="117" t="s">
        <v>5536</v>
      </c>
      <c r="Q17" s="332" t="s">
        <v>5531</v>
      </c>
      <c r="R17" s="123" t="s">
        <v>5537</v>
      </c>
      <c r="S17" s="17"/>
      <c r="T17" s="17"/>
      <c r="U17" s="17"/>
      <c r="V17" s="17"/>
    </row>
    <row r="18">
      <c r="A18" s="325" t="s">
        <v>5538</v>
      </c>
      <c r="B18" s="117" t="s">
        <v>5539</v>
      </c>
      <c r="C18" s="325" t="s">
        <v>5540</v>
      </c>
      <c r="D18" s="117" t="s">
        <v>5541</v>
      </c>
      <c r="E18" s="325" t="s">
        <v>5542</v>
      </c>
      <c r="F18" s="117" t="s">
        <v>5543</v>
      </c>
      <c r="G18" s="325" t="str">
        <f>IFERROR(__xludf.DUMMYFUNCTION("GOOGLETRANSLATE(A18,""zh-tw"",""zh"")"),"节制")</f>
        <v>节制</v>
      </c>
      <c r="H18" s="117" t="str">
        <f>IFERROR(__xludf.DUMMYFUNCTION("GOOGLETRANSLATE(B18,""zh-tw"",""zh"")"),"召唤扭蛋机")</f>
        <v>召唤扭蛋机</v>
      </c>
      <c r="I18" s="327" t="str">
        <f>IFERROR(__xludf.DUMMYFUNCTION("GOOGLETRANSLATE(A18,""zh-tw"",""es-MX"")"),"control")</f>
        <v>control</v>
      </c>
      <c r="J18" s="121" t="str">
        <f>IFERROR(__xludf.DUMMYFUNCTION("GOOGLETRANSLATE(B18,""zh-tw"",""es-MX"")"),"Invocar máquina Gachapon")</f>
        <v>Invocar máquina Gachapon</v>
      </c>
      <c r="K18" s="325" t="s">
        <v>5544</v>
      </c>
      <c r="L18" s="121" t="str">
        <f>IFERROR(__xludf.DUMMYFUNCTION("GOOGLETRANSLATE(B18,""zh-tw"",""KO"")"),"가챠폰 머신 소환")</f>
        <v>가챠폰 머신 소환</v>
      </c>
      <c r="M18" s="327" t="str">
        <f>IFERROR(__xludf.DUMMYFUNCTION("GOOGLETRANSLATE(A18,""zh-tw"",""ru"")"),"контроль")</f>
        <v>контроль</v>
      </c>
      <c r="N18" s="121" t="str">
        <f>IFERROR(__xludf.DUMMYFUNCTION("GOOGLETRANSLATE(B18,""zh-tw"",""ru"")"),"Вызов машины гачапона")</f>
        <v>Вызов машины гачапона</v>
      </c>
      <c r="O18" s="325" t="s">
        <v>5545</v>
      </c>
      <c r="P18" s="117" t="s">
        <v>5546</v>
      </c>
      <c r="Q18" s="332" t="s">
        <v>5542</v>
      </c>
      <c r="R18" s="123" t="s">
        <v>5547</v>
      </c>
      <c r="S18" s="17"/>
      <c r="T18" s="17"/>
      <c r="U18" s="17"/>
      <c r="V18" s="17"/>
    </row>
    <row r="19">
      <c r="A19" s="325" t="s">
        <v>5548</v>
      </c>
      <c r="B19" s="117" t="s">
        <v>5549</v>
      </c>
      <c r="C19" s="325" t="s">
        <v>5550</v>
      </c>
      <c r="D19" s="117" t="s">
        <v>5551</v>
      </c>
      <c r="E19" s="325" t="s">
        <v>5552</v>
      </c>
      <c r="F19" s="117" t="s">
        <v>5553</v>
      </c>
      <c r="G19" s="325" t="str">
        <f>IFERROR(__xludf.DUMMYFUNCTION("GOOGLETRANSLATE(A19,""zh-tw"",""zh"")"),"正义")</f>
        <v>正义</v>
      </c>
      <c r="H19" s="117" t="str">
        <f>IFERROR(__xludf.DUMMYFUNCTION("GOOGLETRANSLATE(B19,""zh-tw"",""zh"")"),"消除状态")</f>
        <v>消除状态</v>
      </c>
      <c r="I19" s="327" t="str">
        <f>IFERROR(__xludf.DUMMYFUNCTION("GOOGLETRANSLATE(A19,""zh-tw"",""es-MX"")"),"justicia")</f>
        <v>justicia</v>
      </c>
      <c r="J19" s="121" t="str">
        <f>IFERROR(__xludf.DUMMYFUNCTION("GOOGLETRANSLATE(B19,""zh-tw"",""es-MX"")"),"Eliminar estado")</f>
        <v>Eliminar estado</v>
      </c>
      <c r="K19" s="325" t="s">
        <v>5554</v>
      </c>
      <c r="L19" s="310" t="s">
        <v>5555</v>
      </c>
      <c r="M19" s="327" t="str">
        <f>IFERROR(__xludf.DUMMYFUNCTION("GOOGLETRANSLATE(A19,""zh-tw"",""ru"")"),"справедливость")</f>
        <v>справедливость</v>
      </c>
      <c r="N19" s="121" t="str">
        <f>IFERROR(__xludf.DUMMYFUNCTION("GOOGLETRANSLATE(B19,""zh-tw"",""ru"")"),"Устранить статус")</f>
        <v>Устранить статус</v>
      </c>
      <c r="O19" s="325" t="s">
        <v>5556</v>
      </c>
      <c r="P19" s="117" t="s">
        <v>5557</v>
      </c>
      <c r="Q19" s="332" t="s">
        <v>5552</v>
      </c>
      <c r="R19" s="123" t="s">
        <v>5553</v>
      </c>
      <c r="S19" s="17"/>
      <c r="T19" s="17"/>
      <c r="U19" s="17"/>
      <c r="V19" s="17"/>
    </row>
    <row r="20">
      <c r="A20" s="325" t="s">
        <v>5558</v>
      </c>
      <c r="B20" s="117" t="s">
        <v>5559</v>
      </c>
      <c r="C20" s="325" t="s">
        <v>5560</v>
      </c>
      <c r="D20" s="117" t="s">
        <v>5561</v>
      </c>
      <c r="E20" s="325" t="s">
        <v>5562</v>
      </c>
      <c r="F20" s="117" t="s">
        <v>5563</v>
      </c>
      <c r="G20" s="325" t="str">
        <f>IFERROR(__xludf.DUMMYFUNCTION("GOOGLETRANSLATE(A20,""zh-tw"",""zh"")"),"力")</f>
        <v>力</v>
      </c>
      <c r="H20" s="117" t="str">
        <f>IFERROR(__xludf.DUMMYFUNCTION("GOOGLETRANSLATE(B20,""zh-tw"",""zh"")"),"武器巨大化增强")</f>
        <v>武器巨大化增强</v>
      </c>
      <c r="I20" s="327" t="str">
        <f>IFERROR(__xludf.DUMMYFUNCTION("GOOGLETRANSLATE(A20,""zh-tw"",""es-MX"")"),"fuerza")</f>
        <v>fuerza</v>
      </c>
      <c r="J20" s="121" t="str">
        <f>IFERROR(__xludf.DUMMYFUNCTION("GOOGLETRANSLATE(B20,""zh-tw"",""es-MX"")"),"Mejora de la ampliación de armas")</f>
        <v>Mejora de la ampliación de armas</v>
      </c>
      <c r="K20" s="327" t="str">
        <f>IFERROR(__xludf.DUMMYFUNCTION("GOOGLETRANSLATE(A20,""zh-tw"",""KO"")"),"힘")</f>
        <v>힘</v>
      </c>
      <c r="L20" s="117" t="s">
        <v>5564</v>
      </c>
      <c r="M20" s="327" t="str">
        <f>IFERROR(__xludf.DUMMYFUNCTION("GOOGLETRANSLATE(A20,""zh-tw"",""ru"")"),"сила")</f>
        <v>сила</v>
      </c>
      <c r="N20" s="121" t="str">
        <f>IFERROR(__xludf.DUMMYFUNCTION("GOOGLETRANSLATE(B20,""zh-tw"",""ru"")"),"Улучшение увеличения оружия")</f>
        <v>Улучшение увеличения оружия</v>
      </c>
      <c r="O20" s="325" t="s">
        <v>5565</v>
      </c>
      <c r="P20" s="117" t="s">
        <v>5566</v>
      </c>
      <c r="Q20" s="332" t="s">
        <v>5562</v>
      </c>
      <c r="R20" s="123" t="s">
        <v>5567</v>
      </c>
      <c r="S20" s="17"/>
      <c r="T20" s="17"/>
      <c r="U20" s="17"/>
      <c r="V20" s="17"/>
    </row>
    <row r="21">
      <c r="A21" s="325" t="s">
        <v>5568</v>
      </c>
      <c r="B21" s="117" t="s">
        <v>5569</v>
      </c>
      <c r="C21" s="325" t="s">
        <v>5570</v>
      </c>
      <c r="D21" s="117" t="s">
        <v>5571</v>
      </c>
      <c r="E21" s="325" t="s">
        <v>5572</v>
      </c>
      <c r="F21" s="117" t="s">
        <v>5573</v>
      </c>
      <c r="G21" s="325" t="str">
        <f>IFERROR(__xludf.DUMMYFUNCTION("GOOGLETRANSLATE(A21,""zh-tw"",""zh"")"),"皇帝")</f>
        <v>皇帝</v>
      </c>
      <c r="H21" s="117" t="str">
        <f>IFERROR(__xludf.DUMMYFUNCTION("GOOGLETRANSLATE(B21,""zh-tw"",""zh"")"),"巨龙咆啸")</f>
        <v>巨龙咆啸</v>
      </c>
      <c r="I21" s="327" t="str">
        <f>IFERROR(__xludf.DUMMYFUNCTION("GOOGLETRANSLATE(A21,""zh-tw"",""es-MX"")"),"emperador")</f>
        <v>emperador</v>
      </c>
      <c r="J21" s="121" t="str">
        <f>IFERROR(__xludf.DUMMYFUNCTION("GOOGLETRANSLATE(B21,""zh-tw"",""es-MX"")"),"Rugido de dragón")</f>
        <v>Rugido de dragón</v>
      </c>
      <c r="K21" s="327" t="str">
        <f>IFERROR(__xludf.DUMMYFUNCTION("GOOGLETRANSLATE(A21,""zh-tw"",""KO"")"),"황제")</f>
        <v>황제</v>
      </c>
      <c r="L21" s="117" t="s">
        <v>5574</v>
      </c>
      <c r="M21" s="327" t="str">
        <f>IFERROR(__xludf.DUMMYFUNCTION("GOOGLETRANSLATE(A21,""zh-tw"",""ru"")"),"император")</f>
        <v>император</v>
      </c>
      <c r="N21" s="121" t="str">
        <f>IFERROR(__xludf.DUMMYFUNCTION("GOOGLETRANSLATE(B21,""zh-tw"",""ru"")"),"Рев Дракона")</f>
        <v>Рев Дракона</v>
      </c>
      <c r="O21" s="325" t="s">
        <v>5575</v>
      </c>
      <c r="P21" s="117" t="s">
        <v>5576</v>
      </c>
      <c r="Q21" s="332" t="s">
        <v>5572</v>
      </c>
      <c r="R21" s="123" t="s">
        <v>5577</v>
      </c>
      <c r="S21" s="17"/>
      <c r="T21" s="17"/>
      <c r="U21" s="17"/>
      <c r="V21" s="17"/>
    </row>
    <row r="22">
      <c r="A22" s="325" t="s">
        <v>5578</v>
      </c>
      <c r="B22" s="117" t="s">
        <v>5579</v>
      </c>
      <c r="C22" s="325" t="str">
        <f>IFERROR(__xludf.DUMMYFUNCTION("GOOGLETRANSLATE(A22,""zh-tw"",""ja"")"),"星")</f>
        <v>星</v>
      </c>
      <c r="D22" s="117" t="s">
        <v>5580</v>
      </c>
      <c r="E22" s="325" t="s">
        <v>5581</v>
      </c>
      <c r="F22" s="117" t="s">
        <v>5582</v>
      </c>
      <c r="G22" s="325" t="str">
        <f>IFERROR(__xludf.DUMMYFUNCTION("GOOGLETRANSLATE(A22,""zh-tw"",""zh"")"),"星")</f>
        <v>星</v>
      </c>
      <c r="H22" s="117" t="str">
        <f>IFERROR(__xludf.DUMMYFUNCTION("GOOGLETRANSLATE(B22,""zh-tw"",""zh"")"),"星之门")</f>
        <v>星之门</v>
      </c>
      <c r="I22" s="327" t="str">
        <f>IFERROR(__xludf.DUMMYFUNCTION("GOOGLETRANSLATE(A22,""zh-tw"",""es-MX"")"),"estrella")</f>
        <v>estrella</v>
      </c>
      <c r="J22" s="121" t="str">
        <f>IFERROR(__xludf.DUMMYFUNCTION("GOOGLETRANSLATE(B22,""zh-tw"",""es-MX"")"),"Puerta Estelar")</f>
        <v>Puerta Estelar</v>
      </c>
      <c r="K22" s="327" t="str">
        <f>IFERROR(__xludf.DUMMYFUNCTION("GOOGLETRANSLATE(A22,""zh-tw"",""KO"")"),"별")</f>
        <v>별</v>
      </c>
      <c r="L22" s="117" t="s">
        <v>5583</v>
      </c>
      <c r="M22" s="327" t="str">
        <f>IFERROR(__xludf.DUMMYFUNCTION("GOOGLETRANSLATE(A22,""zh-tw"",""ru"")"),"звезда")</f>
        <v>звезда</v>
      </c>
      <c r="N22" s="121" t="str">
        <f>IFERROR(__xludf.DUMMYFUNCTION("GOOGLETRANSLATE(B22,""zh-tw"",""ru"")"),"Звездные Врата")</f>
        <v>Звездные Врата</v>
      </c>
      <c r="O22" s="325" t="s">
        <v>5584</v>
      </c>
      <c r="P22" s="117" t="s">
        <v>5585</v>
      </c>
      <c r="Q22" s="332" t="s">
        <v>5581</v>
      </c>
      <c r="R22" s="123" t="s">
        <v>5586</v>
      </c>
      <c r="S22" s="17"/>
      <c r="T22" s="17"/>
      <c r="U22" s="17"/>
      <c r="V22" s="17"/>
    </row>
    <row r="23">
      <c r="A23" s="325" t="s">
        <v>5587</v>
      </c>
      <c r="B23" s="117" t="s">
        <v>5588</v>
      </c>
      <c r="C23" s="325" t="s">
        <v>5589</v>
      </c>
      <c r="D23" s="117" t="s">
        <v>5590</v>
      </c>
      <c r="E23" s="325" t="s">
        <v>5591</v>
      </c>
      <c r="F23" s="117" t="s">
        <v>5592</v>
      </c>
      <c r="G23" s="325" t="str">
        <f>IFERROR(__xludf.DUMMYFUNCTION("GOOGLETRANSLATE(A23,""zh-tw"",""zh"")"),"战车")</f>
        <v>战车</v>
      </c>
      <c r="H23" s="117" t="str">
        <f>IFERROR(__xludf.DUMMYFUNCTION("GOOGLETRANSLATE(B23,""zh-tw"",""zh"")"),"召唤猫娘商店车")</f>
        <v>召唤猫娘商店车</v>
      </c>
      <c r="I23" s="327" t="str">
        <f>IFERROR(__xludf.DUMMYFUNCTION("GOOGLETRANSLATE(A23,""zh-tw"",""es-MX"")"),"Carruaje")</f>
        <v>Carruaje</v>
      </c>
      <c r="J23" s="121" t="str">
        <f>IFERROR(__xludf.DUMMYFUNCTION("GOOGLETRANSLATE(B23,""zh-tw"",""es-MX"")"),"Invocar carrito de la tienda de la chica gato")</f>
        <v>Invocar carrito de la tienda de la chica gato</v>
      </c>
      <c r="K23" s="325" t="s">
        <v>5593</v>
      </c>
      <c r="L23" s="121" t="str">
        <f>IFERROR(__xludf.DUMMYFUNCTION("GOOGLETRANSLATE(B23,""zh-tw"",""KO"")"),"고양이 소녀 상점 카트 소환")</f>
        <v>고양이 소녀 상점 카트 소환</v>
      </c>
      <c r="M23" s="327"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5" t="s">
        <v>5594</v>
      </c>
      <c r="P23" s="117" t="s">
        <v>5595</v>
      </c>
      <c r="Q23" s="332" t="s">
        <v>5591</v>
      </c>
      <c r="R23" s="123" t="s">
        <v>5596</v>
      </c>
      <c r="S23" s="17"/>
      <c r="T23" s="17"/>
      <c r="U23" s="17"/>
      <c r="V23" s="17"/>
    </row>
    <row r="24">
      <c r="A24" s="325" t="s">
        <v>5597</v>
      </c>
      <c r="B24" s="117" t="s">
        <v>5598</v>
      </c>
      <c r="C24" s="325" t="s">
        <v>5599</v>
      </c>
      <c r="D24" s="117" t="s">
        <v>5600</v>
      </c>
      <c r="E24" s="325" t="s">
        <v>5601</v>
      </c>
      <c r="F24" s="117" t="s">
        <v>5602</v>
      </c>
      <c r="G24" s="325" t="str">
        <f>IFERROR(__xludf.DUMMYFUNCTION("GOOGLETRANSLATE(A24,""zh-tw"",""zh"")"),"女祭司")</f>
        <v>女祭司</v>
      </c>
      <c r="H24" s="117" t="str">
        <f>IFERROR(__xludf.DUMMYFUNCTION("GOOGLETRANSLATE(B24,""zh-tw"",""zh"")"),"召唤教堂")</f>
        <v>召唤教堂</v>
      </c>
      <c r="I24" s="327" t="str">
        <f>IFERROR(__xludf.DUMMYFUNCTION("GOOGLETRANSLATE(A24,""zh-tw"",""es-MX"")"),"Sacerdotisa")</f>
        <v>Sacerdotisa</v>
      </c>
      <c r="J24" s="121" t="str">
        <f>IFERROR(__xludf.DUMMYFUNCTION("GOOGLETRANSLATE(B24,""zh-tw"",""es-MX"")"),"Iglesia de la Invocación")</f>
        <v>Iglesia de la Invocación</v>
      </c>
      <c r="K24" s="325" t="s">
        <v>5603</v>
      </c>
      <c r="L24" s="117" t="s">
        <v>5604</v>
      </c>
      <c r="M24" s="327" t="str">
        <f>IFERROR(__xludf.DUMMYFUNCTION("GOOGLETRANSLATE(A24,""zh-tw"",""ru"")"),"Жрица")</f>
        <v>Жрица</v>
      </c>
      <c r="N24" s="121" t="str">
        <f>IFERROR(__xludf.DUMMYFUNCTION("GOOGLETRANSLATE(B24,""zh-tw"",""ru"")"),"Церковь Призыва")</f>
        <v>Церковь Призыва</v>
      </c>
      <c r="O24" s="325" t="s">
        <v>5605</v>
      </c>
      <c r="P24" s="117" t="s">
        <v>5606</v>
      </c>
      <c r="Q24" s="332" t="s">
        <v>5601</v>
      </c>
      <c r="R24" s="123" t="s">
        <v>5607</v>
      </c>
      <c r="S24" s="17"/>
      <c r="T24" s="17"/>
      <c r="U24" s="17"/>
      <c r="V24" s="17"/>
    </row>
    <row r="25">
      <c r="A25" s="325" t="s">
        <v>5608</v>
      </c>
      <c r="B25" s="117" t="s">
        <v>5609</v>
      </c>
      <c r="C25" s="325" t="s">
        <v>5610</v>
      </c>
      <c r="D25" s="117" t="s">
        <v>5611</v>
      </c>
      <c r="E25" s="325" t="s">
        <v>5612</v>
      </c>
      <c r="F25" s="117" t="s">
        <v>5613</v>
      </c>
      <c r="G25" s="325" t="str">
        <f>IFERROR(__xludf.DUMMYFUNCTION("GOOGLETRANSLATE(A25,""zh-tw"",""zh"")"),"命运之轮")</f>
        <v>命运之轮</v>
      </c>
      <c r="H25" s="117" t="str">
        <f>IFERROR(__xludf.DUMMYFUNCTION("GOOGLETRANSLATE(B25,""zh-tw"",""zh"")"),"随机BUFF效果")</f>
        <v>随机BUFF效果</v>
      </c>
      <c r="I25" s="327" t="str">
        <f>IFERROR(__xludf.DUMMYFUNCTION("GOOGLETRANSLATE(A25,""zh-tw"",""es-MX"")"),"Rueda de la fortuna")</f>
        <v>Rueda de la fortuna</v>
      </c>
      <c r="J25" s="121" t="str">
        <f>IFERROR(__xludf.DUMMYFUNCTION("GOOGLETRANSLATE(B25,""zh-tw"",""es-MX"")"),"Efecto BUFF aleatorio")</f>
        <v>Efecto BUFF aleatorio</v>
      </c>
      <c r="K25" s="325" t="s">
        <v>5614</v>
      </c>
      <c r="L25" s="117" t="s">
        <v>5615</v>
      </c>
      <c r="M25" s="327" t="str">
        <f>IFERROR(__xludf.DUMMYFUNCTION("GOOGLETRANSLATE(A25,""zh-tw"",""ru"")"),"Колесо Фортуны")</f>
        <v>Колесо Фортуны</v>
      </c>
      <c r="N25" s="121" t="str">
        <f>IFERROR(__xludf.DUMMYFUNCTION("GOOGLETRANSLATE(B25,""zh-tw"",""ru"")"),"Случайный эффект BUFF")</f>
        <v>Случайный эффект BUFF</v>
      </c>
      <c r="O25" s="325" t="s">
        <v>5616</v>
      </c>
      <c r="P25" s="117" t="s">
        <v>5617</v>
      </c>
      <c r="Q25" s="332" t="s">
        <v>5612</v>
      </c>
      <c r="R25" s="123" t="s">
        <v>5618</v>
      </c>
      <c r="S25" s="17"/>
      <c r="T25" s="17"/>
      <c r="U25" s="17"/>
      <c r="V25" s="17"/>
    </row>
    <row r="26">
      <c r="A26" s="325" t="s">
        <v>5619</v>
      </c>
      <c r="B26" s="117" t="s">
        <v>5620</v>
      </c>
      <c r="C26" s="325" t="s">
        <v>5621</v>
      </c>
      <c r="D26" s="117" t="s">
        <v>5622</v>
      </c>
      <c r="E26" s="325" t="s">
        <v>5623</v>
      </c>
      <c r="F26" s="117" t="s">
        <v>5624</v>
      </c>
      <c r="G26" s="325" t="str">
        <f>IFERROR(__xludf.DUMMYFUNCTION("GOOGLETRANSLATE(A26,""zh-tw"",""zh"")"),"世界")</f>
        <v>世界</v>
      </c>
      <c r="H26" s="117" t="str">
        <f>IFERROR(__xludf.DUMMYFUNCTION("GOOGLETRANSLATE(B26,""zh-tw"",""zh"")"),"重制场地")</f>
        <v>重制场地</v>
      </c>
      <c r="I26" s="327" t="str">
        <f>IFERROR(__xludf.DUMMYFUNCTION("GOOGLETRANSLATE(A26,""zh-tw"",""es-MX"")"),"mundo")</f>
        <v>mundo</v>
      </c>
      <c r="J26" s="121" t="str">
        <f>IFERROR(__xludf.DUMMYFUNCTION("GOOGLETRANSLATE(B26,""zh-tw"",""es-MX"")"),"Lugar de remake")</f>
        <v>Lugar de remake</v>
      </c>
      <c r="K26" s="327" t="str">
        <f>IFERROR(__xludf.DUMMYFUNCTION("GOOGLETRANSLATE(A26,""zh-tw"",""KO"")"),"세계")</f>
        <v>세계</v>
      </c>
      <c r="L26" s="117" t="s">
        <v>5625</v>
      </c>
      <c r="M26" s="327" t="str">
        <f>IFERROR(__xludf.DUMMYFUNCTION("GOOGLETRANSLATE(A26,""zh-tw"",""ru"")"),"мир")</f>
        <v>мир</v>
      </c>
      <c r="N26" s="121" t="str">
        <f>IFERROR(__xludf.DUMMYFUNCTION("GOOGLETRANSLATE(B26,""zh-tw"",""ru"")"),"Remake Venue")</f>
        <v>Remake Venue</v>
      </c>
      <c r="O26" s="325" t="s">
        <v>5626</v>
      </c>
      <c r="P26" s="117" t="s">
        <v>5627</v>
      </c>
      <c r="Q26" s="332" t="s">
        <v>5623</v>
      </c>
      <c r="R26" s="123" t="s">
        <v>5628</v>
      </c>
      <c r="S26" s="17"/>
      <c r="T26" s="17"/>
      <c r="U26" s="17"/>
      <c r="V26" s="17"/>
    </row>
    <row r="27">
      <c r="A27" s="325" t="s">
        <v>5629</v>
      </c>
      <c r="B27" s="117" t="s">
        <v>5630</v>
      </c>
      <c r="C27" s="338" t="s">
        <v>5631</v>
      </c>
      <c r="D27" s="339" t="str">
        <f>IFERROR(__xludf.DUMMYFUNCTION("GOOGLETRANSLATE(B27,""zh-tw"",""ja"")"),"一定期間内に1回復活できる")</f>
        <v>一定期間内に1回復活できる</v>
      </c>
      <c r="E27" s="325" t="s">
        <v>5632</v>
      </c>
      <c r="F27" s="117" t="s">
        <v>5633</v>
      </c>
      <c r="G27" s="325" t="str">
        <f>IFERROR(__xludf.DUMMYFUNCTION("GOOGLETRANSLATE(A27,""zh-tw"",""zh"")"),"日")</f>
        <v>日</v>
      </c>
      <c r="H27" s="117" t="str">
        <f>IFERROR(__xludf.DUMMYFUNCTION("GOOGLETRANSLATE(B27,""zh-tw"",""zh"")"),"一定时间内，可复活一次")</f>
        <v>一定时间内，可复活一次</v>
      </c>
      <c r="I27" s="327"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7" t="s">
        <v>5634</v>
      </c>
      <c r="L27" s="117" t="s">
        <v>5635</v>
      </c>
      <c r="M27" s="327"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5" t="s">
        <v>5636</v>
      </c>
      <c r="P27" s="117" t="s">
        <v>5637</v>
      </c>
      <c r="Q27" s="332" t="s">
        <v>5632</v>
      </c>
      <c r="R27" s="123" t="s">
        <v>5638</v>
      </c>
      <c r="S27" s="17"/>
      <c r="T27" s="17"/>
      <c r="U27" s="17"/>
      <c r="V27" s="17"/>
    </row>
    <row r="28">
      <c r="A28" s="331" t="s">
        <v>5639</v>
      </c>
      <c r="B28" s="117" t="s">
        <v>5640</v>
      </c>
      <c r="C28" s="331" t="s">
        <v>5641</v>
      </c>
      <c r="D28" s="117" t="s">
        <v>5642</v>
      </c>
      <c r="E28" s="331" t="s">
        <v>5643</v>
      </c>
      <c r="F28" s="105" t="s">
        <v>5644</v>
      </c>
      <c r="G28" s="325"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7"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7"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7"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5" t="s">
        <v>5645</v>
      </c>
      <c r="P28" s="117" t="s">
        <v>5646</v>
      </c>
      <c r="Q28" s="332" t="s">
        <v>5643</v>
      </c>
      <c r="R28" s="123" t="s">
        <v>5647</v>
      </c>
      <c r="S28" s="17"/>
      <c r="T28" s="17"/>
      <c r="U28" s="17"/>
      <c r="V28" s="17"/>
    </row>
    <row r="29">
      <c r="A29" s="325" t="s">
        <v>5648</v>
      </c>
      <c r="B29" s="117" t="s">
        <v>5649</v>
      </c>
      <c r="C29" s="325" t="str">
        <f>IFERROR(__xludf.DUMMYFUNCTION("GOOGLETRANSLATE(A29,""zh-tw"",""ja"")"),"ジャック・ボム")</f>
        <v>ジャック・ボム</v>
      </c>
      <c r="D29" s="117" t="s">
        <v>5650</v>
      </c>
      <c r="E29" s="325" t="s">
        <v>5651</v>
      </c>
      <c r="F29" s="117" t="s">
        <v>5652</v>
      </c>
      <c r="G29" s="325" t="str">
        <f>IFERROR(__xludf.DUMMYFUNCTION("GOOGLETRANSLATE(A29,""zh-tw"",""zh"")"),"杰克爆弹")</f>
        <v>杰克爆弹</v>
      </c>
      <c r="H29" s="117" t="str">
        <f>IFERROR(__xludf.DUMMYFUNCTION("GOOGLETRANSLATE(B29,""zh-tw"",""zh"")"),"炸弹(无视防御)")</f>
        <v>炸弹(无视防御)</v>
      </c>
      <c r="I29" s="327" t="str">
        <f>IFERROR(__xludf.DUMMYFUNCTION("GOOGLETRANSLATE(A29,""zh-tw"",""es-MX"")"),"Jack Bomb")</f>
        <v>Jack Bomb</v>
      </c>
      <c r="J29" s="121" t="str">
        <f>IFERROR(__xludf.DUMMYFUNCTION("GOOGLETRANSLATE(B29,""zh-tw"",""es-MX"")"),"Bomba (ignora la defensa)")</f>
        <v>Bomba (ignora la defensa)</v>
      </c>
      <c r="K29" s="325" t="s">
        <v>5653</v>
      </c>
      <c r="L29" s="121" t="str">
        <f>IFERROR(__xludf.DUMMYFUNCTION("GOOGLETRANSLATE(B29,""zh-tw"",""KO"")"),"폭탄(방어 무시)")</f>
        <v>폭탄(방어 무시)</v>
      </c>
      <c r="M29" s="327" t="str">
        <f>IFERROR(__xludf.DUMMYFUNCTION("GOOGLETRANSLATE(A29,""zh-tw"",""ru"")"),"Джек Бомба")</f>
        <v>Джек Бомба</v>
      </c>
      <c r="N29" s="121" t="str">
        <f>IFERROR(__xludf.DUMMYFUNCTION("GOOGLETRANSLATE(B29,""zh-tw"",""ru"")"),"Бомба (игнорирует защиту)")</f>
        <v>Бомба (игнорирует защиту)</v>
      </c>
      <c r="O29" s="325" t="s">
        <v>5654</v>
      </c>
      <c r="P29" s="117" t="s">
        <v>5655</v>
      </c>
      <c r="Q29" s="332" t="s">
        <v>5651</v>
      </c>
      <c r="R29" s="123" t="s">
        <v>5656</v>
      </c>
      <c r="S29" s="17"/>
      <c r="T29" s="17"/>
      <c r="U29" s="17"/>
      <c r="V29" s="17"/>
    </row>
    <row r="30">
      <c r="A30" s="325" t="s">
        <v>5657</v>
      </c>
      <c r="B30" s="117" t="s">
        <v>5658</v>
      </c>
      <c r="C30" s="325" t="s">
        <v>5659</v>
      </c>
      <c r="D30" s="117" t="s">
        <v>5660</v>
      </c>
      <c r="E30" s="325" t="s">
        <v>5661</v>
      </c>
      <c r="F30" s="117" t="s">
        <v>5662</v>
      </c>
      <c r="G30" s="325" t="str">
        <f>IFERROR(__xludf.DUMMYFUNCTION("GOOGLETRANSLATE(A30,""zh-tw"",""zh"")"),"冰霜杰克爆弹")</f>
        <v>冰霜杰克爆弹</v>
      </c>
      <c r="H30" s="117" t="str">
        <f>IFERROR(__xludf.DUMMYFUNCTION("GOOGLETRANSLATE(B30,""zh-tw"",""zh"")"),"冰属性炸弹")</f>
        <v>冰属性炸弹</v>
      </c>
      <c r="I30" s="327" t="str">
        <f>IFERROR(__xludf.DUMMYFUNCTION("GOOGLETRANSLATE(A30,""zh-tw"",""es-MX"")"),"Bomba Frost Jack")</f>
        <v>Bomba Frost Jack</v>
      </c>
      <c r="J30" s="121" t="str">
        <f>IFERROR(__xludf.DUMMYFUNCTION("GOOGLETRANSLATE(B30,""zh-tw"",""es-MX"")"),"bomba de hielo")</f>
        <v>bomba de hielo</v>
      </c>
      <c r="K30" s="327" t="str">
        <f>IFERROR(__xludf.DUMMYFUNCTION("GOOGLETRANSLATE(A30,""zh-tw"",""KO"")"),"프로스트 잭 폭탄")</f>
        <v>프로스트 잭 폭탄</v>
      </c>
      <c r="L30" s="117" t="s">
        <v>5663</v>
      </c>
      <c r="M30" s="327" t="str">
        <f>IFERROR(__xludf.DUMMYFUNCTION("GOOGLETRANSLATE(A30,""zh-tw"",""ru"")"),"Фрост Джек Бомба")</f>
        <v>Фрост Джек Бомба</v>
      </c>
      <c r="N30" s="121" t="str">
        <f>IFERROR(__xludf.DUMMYFUNCTION("GOOGLETRANSLATE(B30,""zh-tw"",""ru"")"),"Ледяная бомба")</f>
        <v>Ледяная бомба</v>
      </c>
      <c r="O30" s="325" t="s">
        <v>5664</v>
      </c>
      <c r="P30" s="117" t="s">
        <v>5665</v>
      </c>
      <c r="Q30" s="332" t="s">
        <v>5661</v>
      </c>
      <c r="R30" s="123" t="s">
        <v>5666</v>
      </c>
      <c r="S30" s="17"/>
      <c r="T30" s="17"/>
      <c r="U30" s="17"/>
      <c r="V30" s="17"/>
    </row>
    <row r="31">
      <c r="A31" s="325" t="s">
        <v>5667</v>
      </c>
      <c r="B31" s="117" t="s">
        <v>5668</v>
      </c>
      <c r="C31" s="325" t="s">
        <v>5669</v>
      </c>
      <c r="D31" s="117" t="s">
        <v>5670</v>
      </c>
      <c r="E31" s="325" t="s">
        <v>5671</v>
      </c>
      <c r="F31" s="117" t="s">
        <v>5672</v>
      </c>
      <c r="G31" s="325" t="str">
        <f>IFERROR(__xludf.DUMMYFUNCTION("GOOGLETRANSLATE(A31,""zh-tw"",""zh"")"),"猛毒杰克爆弹")</f>
        <v>猛毒杰克爆弹</v>
      </c>
      <c r="H31" s="117" t="str">
        <f>IFERROR(__xludf.DUMMYFUNCTION("GOOGLETRANSLATE(B31,""zh-tw"",""zh"")"),"毒属性炸弹")</f>
        <v>毒属性炸弹</v>
      </c>
      <c r="I31" s="327" t="str">
        <f>IFERROR(__xludf.DUMMYFUNCTION("GOOGLETRANSLATE(A31,""zh-tw"",""es-MX"")"),"Bomba de Venom Jack")</f>
        <v>Bomba de Venom Jack</v>
      </c>
      <c r="J31" s="121" t="str">
        <f>IFERROR(__xludf.DUMMYFUNCTION("GOOGLETRANSLATE(B31,""zh-tw"",""es-MX"")"),"bomba venenosa")</f>
        <v>bomba venenosa</v>
      </c>
      <c r="K31" s="325" t="s">
        <v>5673</v>
      </c>
      <c r="L31" s="117" t="s">
        <v>5674</v>
      </c>
      <c r="M31" s="327" t="str">
        <f>IFERROR(__xludf.DUMMYFUNCTION("GOOGLETRANSLATE(A31,""zh-tw"",""ru"")"),"Веном Джек Бомба")</f>
        <v>Веном Джек Бомба</v>
      </c>
      <c r="N31" s="121" t="str">
        <f>IFERROR(__xludf.DUMMYFUNCTION("GOOGLETRANSLATE(B31,""zh-tw"",""ru"")"),"Ядовитая бомба")</f>
        <v>Ядовитая бомба</v>
      </c>
      <c r="O31" s="325" t="s">
        <v>5675</v>
      </c>
      <c r="P31" s="117" t="s">
        <v>5676</v>
      </c>
      <c r="Q31" s="332" t="s">
        <v>5671</v>
      </c>
      <c r="R31" s="123" t="s">
        <v>5677</v>
      </c>
      <c r="S31" s="17"/>
      <c r="T31" s="17"/>
      <c r="U31" s="17"/>
      <c r="V31" s="17"/>
    </row>
    <row r="32">
      <c r="A32" s="325" t="s">
        <v>5678</v>
      </c>
      <c r="B32" s="117" t="s">
        <v>5679</v>
      </c>
      <c r="C32" s="325" t="str">
        <f>IFERROR(__xludf.DUMMYFUNCTION("GOOGLETRANSLATE(A32,""zh-tw"",""ja"")"),"密封された時計")</f>
        <v>密封された時計</v>
      </c>
      <c r="D32" s="117" t="s">
        <v>5680</v>
      </c>
      <c r="E32" s="325" t="s">
        <v>5681</v>
      </c>
      <c r="F32" s="117" t="s">
        <v>5682</v>
      </c>
      <c r="G32" s="325" t="str">
        <f>IFERROR(__xludf.DUMMYFUNCTION("GOOGLETRANSLATE(A32,""zh-tw"",""zh"")"),"封存的时计")</f>
        <v>封存的时计</v>
      </c>
      <c r="H32" s="117" t="str">
        <f>IFERROR(__xludf.DUMMYFUNCTION("GOOGLETRANSLATE(B32,""zh-tw"",""zh"")"),"范围暂停")</f>
        <v>范围暂停</v>
      </c>
      <c r="I32" s="327" t="str">
        <f>IFERROR(__xludf.DUMMYFUNCTION("GOOGLETRANSLATE(A32,""zh-tw"",""es-MX"")"),"Relojes sellados")</f>
        <v>Relojes sellados</v>
      </c>
      <c r="J32" s="121" t="str">
        <f>IFERROR(__xludf.DUMMYFUNCTION("GOOGLETRANSLATE(B32,""zh-tw"",""es-MX"")"),"Pausa de rango")</f>
        <v>Pausa de rango</v>
      </c>
      <c r="K32" s="325" t="s">
        <v>5683</v>
      </c>
      <c r="L32" s="117" t="s">
        <v>5684</v>
      </c>
      <c r="M32" s="327" t="str">
        <f>IFERROR(__xludf.DUMMYFUNCTION("GOOGLETRANSLATE(A32,""zh-tw"",""ru"")"),"Герметичные часы")</f>
        <v>Герметичные часы</v>
      </c>
      <c r="N32" s="121" t="str">
        <f>IFERROR(__xludf.DUMMYFUNCTION("GOOGLETRANSLATE(B32,""zh-tw"",""ru"")"),"Пауза диапазона")</f>
        <v>Пауза диапазона</v>
      </c>
      <c r="O32" s="325" t="s">
        <v>5685</v>
      </c>
      <c r="P32" s="117" t="s">
        <v>5686</v>
      </c>
      <c r="Q32" s="332" t="s">
        <v>5687</v>
      </c>
      <c r="R32" s="123" t="s">
        <v>5688</v>
      </c>
      <c r="S32" s="17"/>
      <c r="T32" s="17"/>
      <c r="U32" s="17"/>
      <c r="V32" s="17"/>
    </row>
    <row r="33">
      <c r="A33" s="325" t="s">
        <v>5689</v>
      </c>
      <c r="B33" s="117" t="s">
        <v>5690</v>
      </c>
      <c r="C33" s="325" t="str">
        <f>IFERROR(__xludf.DUMMYFUNCTION("GOOGLETRANSLATE(A33,""zh-tw"",""ja"")"),"寿司プリン")</f>
        <v>寿司プリン</v>
      </c>
      <c r="D33" s="117" t="s">
        <v>5691</v>
      </c>
      <c r="E33" s="325" t="s">
        <v>5692</v>
      </c>
      <c r="F33" s="117" t="s">
        <v>5693</v>
      </c>
      <c r="G33" s="325" t="str">
        <f>IFERROR(__xludf.DUMMYFUNCTION("GOOGLETRANSLATE(A33,""zh-tw"",""zh"")"),"寿司布丁")</f>
        <v>寿司布丁</v>
      </c>
      <c r="H33" s="117" t="str">
        <f>IFERROR(__xludf.DUMMYFUNCTION("GOOGLETRANSLATE(B33,""zh-tw"",""zh"")"),"飞向恶魔商店的位置")</f>
        <v>飞向恶魔商店的位置</v>
      </c>
      <c r="I33" s="327" t="str">
        <f>IFERROR(__xludf.DUMMYFUNCTION("GOOGLETRANSLATE(A33,""zh-tw"",""es-MX"")"),"Pudín de sushi")</f>
        <v>Pudín de sushi</v>
      </c>
      <c r="J33" s="121" t="str">
        <f>IFERROR(__xludf.DUMMYFUNCTION("GOOGLETRANSLATE(B33,""zh-tw"",""es-MX"")"),"Vuela a la ubicación de la Tienda del Diablo.")</f>
        <v>Vuela a la ubicación de la Tienda del Diablo.</v>
      </c>
      <c r="K33" s="327" t="str">
        <f>IFERROR(__xludf.DUMMYFUNCTION("GOOGLETRANSLATE(A33,""zh-tw"",""KO"")"),"스시 푸딩")</f>
        <v>스시 푸딩</v>
      </c>
      <c r="L33" s="121" t="str">
        <f>IFERROR(__xludf.DUMMYFUNCTION("GOOGLETRANSLATE(B33,""zh-tw"",""KO"")"),"악마의 가게 위치로 날아가세요")</f>
        <v>악마의 가게 위치로 날아가세요</v>
      </c>
      <c r="M33" s="327"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5" t="s">
        <v>5692</v>
      </c>
      <c r="P33" s="117" t="s">
        <v>5694</v>
      </c>
      <c r="Q33" s="332" t="s">
        <v>5692</v>
      </c>
      <c r="R33" s="123" t="s">
        <v>5695</v>
      </c>
      <c r="S33" s="17"/>
      <c r="T33" s="17"/>
      <c r="U33" s="17"/>
      <c r="V33" s="17"/>
    </row>
    <row r="34">
      <c r="A34" s="325" t="s">
        <v>5696</v>
      </c>
      <c r="B34" s="117" t="s">
        <v>5697</v>
      </c>
      <c r="C34" s="325" t="str">
        <f>IFERROR(__xludf.DUMMYFUNCTION("GOOGLETRANSLATE(A34,""zh-tw"",""ja"")"),"ポラロイド 1～35")</f>
        <v>ポラロイド 1～35</v>
      </c>
      <c r="D34" s="117" t="s">
        <v>5698</v>
      </c>
      <c r="E34" s="325" t="s">
        <v>5699</v>
      </c>
      <c r="F34" s="117" t="s">
        <v>5700</v>
      </c>
      <c r="G34" s="325" t="str">
        <f>IFERROR(__xludf.DUMMYFUNCTION("GOOGLETRANSLATE(A34,""zh-tw"",""zh"")"),"拍立得1~35")</f>
        <v>拍立得1~35</v>
      </c>
      <c r="H34" s="117" t="str">
        <f>IFERROR(__xludf.DUMMYFUNCTION("GOOGLETRANSLATE(B34,""zh-tw"",""zh"")"),"查看优质照片")</f>
        <v>查看优质照片</v>
      </c>
      <c r="I34" s="327" t="str">
        <f>IFERROR(__xludf.DUMMYFUNCTION("GOOGLETRANSLATE(A34,""zh-tw"",""es-MX"")"),"Polaroid 1~35")</f>
        <v>Polaroid 1~35</v>
      </c>
      <c r="J34" s="121" t="str">
        <f>IFERROR(__xludf.DUMMYFUNCTION("GOOGLETRANSLATE(B34,""zh-tw"",""es-MX"")"),"Ver fotos de alta calidad")</f>
        <v>Ver fotos de alta calidad</v>
      </c>
      <c r="K34" s="327" t="str">
        <f>IFERROR(__xludf.DUMMYFUNCTION("GOOGLETRANSLATE(A34,""zh-tw"",""KO"")"),"폴라로이드 1~35")</f>
        <v>폴라로이드 1~35</v>
      </c>
      <c r="L34" s="121" t="str">
        <f>IFERROR(__xludf.DUMMYFUNCTION("GOOGLETRANSLATE(B34,""zh-tw"",""KO"")"),"고품질 사진 보기")</f>
        <v>고품질 사진 보기</v>
      </c>
      <c r="M34" s="327"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5" t="s">
        <v>5701</v>
      </c>
      <c r="P34" s="117" t="s">
        <v>5702</v>
      </c>
      <c r="Q34" s="332" t="s">
        <v>5699</v>
      </c>
      <c r="R34" s="123" t="s">
        <v>5703</v>
      </c>
      <c r="S34" s="17"/>
      <c r="T34" s="17"/>
      <c r="U34" s="17"/>
      <c r="V34" s="17"/>
    </row>
    <row r="35">
      <c r="A35" s="325" t="s">
        <v>5704</v>
      </c>
      <c r="B35" s="117" t="s">
        <v>5705</v>
      </c>
      <c r="C35" s="325" t="s">
        <v>5706</v>
      </c>
      <c r="D35" s="117" t="s">
        <v>5707</v>
      </c>
      <c r="E35" s="325" t="s">
        <v>5708</v>
      </c>
      <c r="F35" s="117" t="s">
        <v>5709</v>
      </c>
      <c r="G35" s="325" t="str">
        <f>IFERROR(__xludf.DUMMYFUNCTION("GOOGLETRANSLATE(A35,""zh-tw"",""zh"")"),"魔力小凝胶")</f>
        <v>魔力小凝胶</v>
      </c>
      <c r="H35" s="117" t="str">
        <f>IFERROR(__xludf.DUMMYFUNCTION("GOOGLETRANSLATE(B35,""zh-tw"",""zh"")"),"扩充格子")</f>
        <v>扩充格子</v>
      </c>
      <c r="I35" s="327" t="str">
        <f>IFERROR(__xludf.DUMMYFUNCTION("GOOGLETRANSLATE(A35,""zh-tw"",""es-MX"")"),"Gel mágico")</f>
        <v>Gel mágico</v>
      </c>
      <c r="J35" s="121" t="str">
        <f>IFERROR(__xludf.DUMMYFUNCTION("GOOGLETRANSLATE(B35,""zh-tw"",""es-MX"")"),"Ampliando la red")</f>
        <v>Ampliando la red</v>
      </c>
      <c r="K35" s="326" t="s">
        <v>5710</v>
      </c>
      <c r="L35" s="121" t="str">
        <f>IFERROR(__xludf.DUMMYFUNCTION("GOOGLETRANSLATE(B35,""zh-tw"",""KO"")"),"그리드 확장")</f>
        <v>그리드 확장</v>
      </c>
      <c r="M35" s="327" t="str">
        <f>IFERROR(__xludf.DUMMYFUNCTION("GOOGLETRANSLATE(A35,""zh-tw"",""ru"")"),"Волшебный гель")</f>
        <v>Волшебный гель</v>
      </c>
      <c r="N35" s="121" t="str">
        <f>IFERROR(__xludf.DUMMYFUNCTION("GOOGLETRANSLATE(B35,""zh-tw"",""ru"")"),"Расширение сетки")</f>
        <v>Расширение сетки</v>
      </c>
      <c r="O35" s="325" t="s">
        <v>5711</v>
      </c>
      <c r="P35" s="117" t="s">
        <v>5712</v>
      </c>
      <c r="Q35" s="332" t="s">
        <v>5713</v>
      </c>
      <c r="R35" s="123" t="s">
        <v>5714</v>
      </c>
      <c r="S35" s="17"/>
      <c r="T35" s="17"/>
      <c r="U35" s="17"/>
      <c r="V35" s="17"/>
    </row>
    <row r="36">
      <c r="A36" s="325" t="s">
        <v>5715</v>
      </c>
      <c r="B36" s="117" t="s">
        <v>5716</v>
      </c>
      <c r="C36" s="325" t="s">
        <v>5717</v>
      </c>
      <c r="D36" s="117" t="s">
        <v>5718</v>
      </c>
      <c r="E36" s="325" t="s">
        <v>5719</v>
      </c>
      <c r="F36" s="117" t="s">
        <v>5720</v>
      </c>
      <c r="G36" s="325" t="str">
        <f>IFERROR(__xludf.DUMMYFUNCTION("GOOGLETRANSLATE(A36,""zh-tw"",""zh"")"),"百合同人本")</f>
        <v>百合同人本</v>
      </c>
      <c r="H36" s="117" t="str">
        <f>IFERROR(__xludf.DUMMYFUNCTION("GOOGLETRANSLATE(B36,""zh-tw"",""zh"")"),"提升性欲
(战车商店贩售)")</f>
        <v>提升性欲
(战车商店贩售)</v>
      </c>
      <c r="I36" s="327"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7" t="str">
        <f>IFERROR(__xludf.DUMMYFUNCTION("GOOGLETRANSLATE(A36,""zh-tw"",""KO"")"),"백허 개인 서적")</f>
        <v>백허 개인 서적</v>
      </c>
      <c r="L36" s="117" t="s">
        <v>5721</v>
      </c>
      <c r="M36" s="327"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5" t="s">
        <v>5722</v>
      </c>
      <c r="P36" s="117" t="s">
        <v>5723</v>
      </c>
      <c r="Q36" s="332" t="s">
        <v>5724</v>
      </c>
      <c r="R36" s="123" t="s">
        <v>5725</v>
      </c>
      <c r="S36" s="17"/>
      <c r="T36" s="17"/>
      <c r="U36" s="17"/>
      <c r="V36" s="17"/>
    </row>
    <row r="37">
      <c r="A37" s="325" t="s">
        <v>5726</v>
      </c>
      <c r="B37" s="117" t="s">
        <v>5716</v>
      </c>
      <c r="C37" s="325" t="s">
        <v>5727</v>
      </c>
      <c r="D37" s="117" t="s">
        <v>5728</v>
      </c>
      <c r="E37" s="325" t="s">
        <v>5729</v>
      </c>
      <c r="F37" s="117" t="s">
        <v>5720</v>
      </c>
      <c r="G37" s="325" t="str">
        <f>IFERROR(__xludf.DUMMYFUNCTION("GOOGLETRANSLATE(A37,""zh-tw"",""zh"")"),"萌萌同人本")</f>
        <v>萌萌同人本</v>
      </c>
      <c r="H37" s="117" t="str">
        <f>IFERROR(__xludf.DUMMYFUNCTION("GOOGLETRANSLATE(B37,""zh-tw"",""zh"")"),"提升性欲
(战车商店贩售)")</f>
        <v>提升性欲
(战车商店贩售)</v>
      </c>
      <c r="I37" s="327"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6" t="s">
        <v>5710</v>
      </c>
      <c r="L37" s="121" t="str">
        <f>IFERROR(__xludf.DUMMYFUNCTION("GOOGLETRANSLATE(B37,""zh-tw"",""KO"")"),"성욕 증가
(탱크샵에서 판매)")</f>
        <v>성욕 증가
(탱크샵에서 판매)</v>
      </c>
      <c r="M37" s="327"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5" t="s">
        <v>5711</v>
      </c>
      <c r="P37" s="117" t="s">
        <v>5712</v>
      </c>
      <c r="Q37" s="332" t="s">
        <v>5730</v>
      </c>
      <c r="R37" s="123" t="s">
        <v>5725</v>
      </c>
      <c r="S37" s="17"/>
      <c r="T37" s="17"/>
      <c r="U37" s="17"/>
      <c r="V37" s="17"/>
    </row>
    <row r="38">
      <c r="A38" s="325" t="s">
        <v>5731</v>
      </c>
      <c r="B38" s="117" t="s">
        <v>5732</v>
      </c>
      <c r="C38" s="325" t="s">
        <v>5733</v>
      </c>
      <c r="D38" s="117" t="s">
        <v>5734</v>
      </c>
      <c r="E38" s="325" t="s">
        <v>5735</v>
      </c>
      <c r="F38" s="117" t="s">
        <v>5736</v>
      </c>
      <c r="G38" s="325" t="str">
        <f>IFERROR(__xludf.DUMMYFUNCTION("GOOGLETRANSLATE(A38,""zh-tw"",""zh"")"),"电风扇")</f>
        <v>电风扇</v>
      </c>
      <c r="H38" s="117" t="str">
        <f>IFERROR(__xludf.DUMMYFUNCTION("GOOGLETRANSLATE(B38,""zh-tw"",""zh"")"),"炎热剧情道具
(战车商店贩售)")</f>
        <v>炎热剧情道具
(战车商店贩售)</v>
      </c>
      <c r="I38" s="327"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7" t="str">
        <f>IFERROR(__xludf.DUMMYFUNCTION("GOOGLETRANSLATE(A38,""zh-tw"",""KO"")"),"선풍기")</f>
        <v>선풍기</v>
      </c>
      <c r="L38" s="117" t="s">
        <v>5721</v>
      </c>
      <c r="M38" s="327"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5" t="s">
        <v>5722</v>
      </c>
      <c r="P38" s="117" t="s">
        <v>5723</v>
      </c>
      <c r="Q38" s="332" t="s">
        <v>5737</v>
      </c>
      <c r="R38" s="123" t="s">
        <v>5738</v>
      </c>
      <c r="S38" s="17"/>
      <c r="T38" s="17"/>
      <c r="U38" s="17"/>
      <c r="V38" s="17"/>
    </row>
    <row r="39">
      <c r="A39" s="331" t="s">
        <v>5739</v>
      </c>
      <c r="B39" s="121" t="s">
        <v>5740</v>
      </c>
      <c r="C39" s="327" t="s">
        <v>5741</v>
      </c>
      <c r="D39" s="121" t="s">
        <v>5742</v>
      </c>
      <c r="E39" s="327" t="s">
        <v>5743</v>
      </c>
      <c r="F39" s="121" t="s">
        <v>5744</v>
      </c>
      <c r="G39" s="325"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7"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7"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7"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5" t="s">
        <v>5745</v>
      </c>
      <c r="P39" s="117" t="s">
        <v>5746</v>
      </c>
      <c r="Q39" s="332" t="s">
        <v>5747</v>
      </c>
      <c r="R39" s="120" t="s">
        <v>5748</v>
      </c>
      <c r="S39" s="17"/>
      <c r="T39" s="17"/>
      <c r="U39" s="17"/>
      <c r="V39" s="17"/>
    </row>
    <row r="40">
      <c r="A40" s="325" t="s">
        <v>5749</v>
      </c>
      <c r="B40" s="117" t="s">
        <v>5750</v>
      </c>
      <c r="C40" s="325" t="s">
        <v>5751</v>
      </c>
      <c r="D40" s="117" t="s">
        <v>5752</v>
      </c>
      <c r="E40" s="325" t="s">
        <v>5753</v>
      </c>
      <c r="F40" s="117" t="s">
        <v>5754</v>
      </c>
      <c r="G40" s="325" t="str">
        <f>IFERROR(__xludf.DUMMYFUNCTION("GOOGLETRANSLATE(A40,""zh-tw"",""zh"")"),"超敏软Q水馒头")</f>
        <v>超敏软Q水馒头</v>
      </c>
      <c r="H40" s="117" t="str">
        <f>IFERROR(__xludf.DUMMYFUNCTION("GOOGLETRANSLATE(B40,""zh-tw"",""zh"")"),"于AKI商店购买
提升敏感度")</f>
        <v>于AKI商店购买
提升敏感度</v>
      </c>
      <c r="I40" s="327"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7"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7"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5" t="s">
        <v>5755</v>
      </c>
      <c r="P40" s="117" t="s">
        <v>5756</v>
      </c>
      <c r="Q40" s="332" t="s">
        <v>5757</v>
      </c>
      <c r="R40" s="123" t="s">
        <v>5758</v>
      </c>
      <c r="S40" s="17"/>
      <c r="T40" s="17"/>
      <c r="U40" s="17"/>
      <c r="V40" s="17"/>
    </row>
    <row r="41">
      <c r="A41" s="331" t="s">
        <v>5759</v>
      </c>
      <c r="B41" s="121" t="s">
        <v>5760</v>
      </c>
      <c r="C41" s="327" t="s">
        <v>5761</v>
      </c>
      <c r="D41" s="121" t="s">
        <v>5762</v>
      </c>
      <c r="E41" s="327" t="s">
        <v>5763</v>
      </c>
      <c r="F41" s="121" t="s">
        <v>5764</v>
      </c>
      <c r="G41" s="325"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7"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7"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7"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7" t="s">
        <v>5763</v>
      </c>
      <c r="P41" s="121" t="s">
        <v>5764</v>
      </c>
      <c r="Q41" s="332" t="s">
        <v>5763</v>
      </c>
      <c r="R41" s="177" t="s">
        <v>5765</v>
      </c>
      <c r="S41" s="17"/>
      <c r="T41" s="17"/>
      <c r="U41" s="17"/>
      <c r="V41" s="17"/>
    </row>
    <row r="42">
      <c r="A42" s="325" t="s">
        <v>5766</v>
      </c>
      <c r="B42" s="117" t="s">
        <v>5767</v>
      </c>
      <c r="C42" s="327" t="str">
        <f>IFERROR(__xludf.DUMMYFUNCTION("GOOGLETRANSLATE(A42,""zh-tw"",""ja"")"),"青い輝石")</f>
        <v>青い輝石</v>
      </c>
      <c r="D42" s="121" t="str">
        <f>IFERROR(__xludf.DUMMYFUNCTION("GOOGLETRANSLATE(B42,""zh-tw"",""ja"")"),"現在、引き換え方法はありません。
(ジェム)")</f>
        <v>現在、引き換え方法はありません。
(ジェム)</v>
      </c>
      <c r="E42" s="325" t="s">
        <v>5768</v>
      </c>
      <c r="F42" s="117" t="s">
        <v>5769</v>
      </c>
      <c r="G42" s="325" t="str">
        <f>IFERROR(__xludf.DUMMYFUNCTION("GOOGLETRANSLATE(A42,""zh-tw"",""zh"")"),"蓝辉石")</f>
        <v>蓝辉石</v>
      </c>
      <c r="H42" s="117" t="str">
        <f>IFERROR(__xludf.DUMMYFUNCTION("GOOGLETRANSLATE(B42,""zh-tw"",""zh"")"),"目前没有兑换方式
(宝石)")</f>
        <v>目前没有兑换方式
(宝石)</v>
      </c>
      <c r="I42" s="327" t="str">
        <f>IFERROR(__xludf.DUMMYFUNCTION("GOOGLETRANSLATE(A42,""zh-tw"",""es-MX"")"),"Piroxeno azul")</f>
        <v>Piroxeno azul</v>
      </c>
      <c r="J42" s="121" t="str">
        <f>IFERROR(__xludf.DUMMYFUNCTION("GOOGLETRANSLATE(B42,""zh-tw"",""es-MX"")"),"Actualmente no hay forma de canjearlos.
(Gemas)")</f>
        <v>Actualmente no hay forma de canjearlos.
(Gemas)</v>
      </c>
      <c r="K42" s="327" t="str">
        <f>IFERROR(__xludf.DUMMYFUNCTION("GOOGLETRANSLATE(A42,""zh-tw"",""KO"")"),"푸른 휘석")</f>
        <v>푸른 휘석</v>
      </c>
      <c r="L42" s="117" t="s">
        <v>5721</v>
      </c>
      <c r="M42" s="327" t="str">
        <f>IFERROR(__xludf.DUMMYFUNCTION("GOOGLETRANSLATE(A42,""zh-tw"",""ru"")"),"Синий пироксен")</f>
        <v>Синий пироксен</v>
      </c>
      <c r="N42" s="121" t="str">
        <f>IFERROR(__xludf.DUMMYFUNCTION("GOOGLETRANSLATE(B42,""zh-tw"",""ru"")"),"В настоящее время способа погашения нет.
(Драгоценные камни)")</f>
        <v>В настоящее время способа погашения нет.
(Драгоценные камни)</v>
      </c>
      <c r="O42" s="326" t="s">
        <v>5770</v>
      </c>
      <c r="P42" s="310" t="s">
        <v>5771</v>
      </c>
      <c r="Q42" s="346" t="s">
        <v>5772</v>
      </c>
      <c r="R42" s="123" t="s">
        <v>5773</v>
      </c>
      <c r="S42" s="17"/>
      <c r="T42" s="17"/>
      <c r="U42" s="17"/>
      <c r="V42" s="17"/>
    </row>
    <row r="43">
      <c r="A43" s="325" t="s">
        <v>5774</v>
      </c>
      <c r="B43" s="117" t="s">
        <v>5767</v>
      </c>
      <c r="C43" s="325" t="s">
        <v>5775</v>
      </c>
      <c r="D43" s="117" t="s">
        <v>5776</v>
      </c>
      <c r="E43" s="325" t="s">
        <v>5777</v>
      </c>
      <c r="F43" s="117" t="s">
        <v>2307</v>
      </c>
      <c r="G43" s="325" t="str">
        <f>IFERROR(__xludf.DUMMYFUNCTION("GOOGLETRANSLATE(A43,""zh-tw"",""zh"")"),"火菱石")</f>
        <v>火菱石</v>
      </c>
      <c r="H43" s="117" t="str">
        <f>IFERROR(__xludf.DUMMYFUNCTION("GOOGLETRANSLATE(B43,""zh-tw"",""zh"")"),"目前没有兑换方式
(宝石)")</f>
        <v>目前没有兑换方式
(宝石)</v>
      </c>
      <c r="I43" s="327" t="str">
        <f>IFERROR(__xludf.DUMMYFUNCTION("GOOGLETRANSLATE(A43,""zh-tw"",""es-MX"")"),"Firestone")</f>
        <v>Firestone</v>
      </c>
      <c r="J43" s="121" t="str">
        <f>IFERROR(__xludf.DUMMYFUNCTION("GOOGLETRANSLATE(B43,""zh-tw"",""es-MX"")"),"Actualmente no hay forma de canjearlos.
(Gemas)")</f>
        <v>Actualmente no hay forma de canjearlos.
(Gemas)</v>
      </c>
      <c r="K43" s="327" t="str">
        <f>IFERROR(__xludf.DUMMYFUNCTION("GOOGLETRANSLATE(A43,""zh-tw"",""KO"")"),"파이어스톤")</f>
        <v>파이어스톤</v>
      </c>
      <c r="L43" s="117" t="s">
        <v>5721</v>
      </c>
      <c r="M43" s="327" t="str">
        <f>IFERROR(__xludf.DUMMYFUNCTION("GOOGLETRANSLATE(A43,""zh-tw"",""ru"")"),"Файрстоун")</f>
        <v>Файрстоун</v>
      </c>
      <c r="N43" s="121" t="str">
        <f>IFERROR(__xludf.DUMMYFUNCTION("GOOGLETRANSLATE(B43,""zh-tw"",""ru"")"),"В настоящее время способа погашения нет.
(Драгоценные камни)")</f>
        <v>В настоящее время способа погашения нет.
(Драгоценные камни)</v>
      </c>
      <c r="O43" s="325" t="s">
        <v>5778</v>
      </c>
      <c r="P43" s="117" t="s">
        <v>5779</v>
      </c>
      <c r="Q43" s="346" t="s">
        <v>5780</v>
      </c>
      <c r="R43" s="123" t="s">
        <v>3045</v>
      </c>
      <c r="S43" s="17"/>
      <c r="T43" s="17"/>
      <c r="U43" s="17"/>
      <c r="V43" s="17"/>
    </row>
    <row r="44">
      <c r="A44" s="331" t="s">
        <v>5781</v>
      </c>
      <c r="B44" s="121" t="s">
        <v>5782</v>
      </c>
      <c r="C44" s="325" t="s">
        <v>5783</v>
      </c>
      <c r="D44" s="117" t="s">
        <v>5784</v>
      </c>
      <c r="E44" s="325" t="s">
        <v>5785</v>
      </c>
      <c r="F44" s="117" t="s">
        <v>5786</v>
      </c>
      <c r="G44" s="325" t="str">
        <f>IFERROR(__xludf.DUMMYFUNCTION("GOOGLETRANSLATE(A44,""zh-tw"",""zh"")"),"茶会拍立得收藏集")</f>
        <v>茶会拍立得收藏集</v>
      </c>
      <c r="H44" s="117" t="str">
        <f>IFERROR(__xludf.DUMMYFUNCTION("GOOGLETRANSLATE(B44,""zh-tw"",""zh"")"),"完成后提升幸运值")</f>
        <v>完成后提升幸运值</v>
      </c>
      <c r="I44" s="327"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7" t="str">
        <f>IFERROR(__xludf.DUMMYFUNCTION("GOOGLETRANSLATE(A44,""zh-tw"",""KO"")"),"티파티 폴라로이드 컬렉션")</f>
        <v>티파티 폴라로이드 컬렉션</v>
      </c>
      <c r="L44" s="117" t="s">
        <v>5721</v>
      </c>
      <c r="M44" s="327"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5" t="s">
        <v>5787</v>
      </c>
      <c r="P44" s="117" t="s">
        <v>5788</v>
      </c>
      <c r="Q44" s="346" t="s">
        <v>5789</v>
      </c>
      <c r="R44" s="120" t="s">
        <v>5790</v>
      </c>
      <c r="S44" s="17"/>
      <c r="T44" s="17"/>
      <c r="U44" s="17"/>
      <c r="V44" s="17"/>
    </row>
    <row r="45">
      <c r="A45" s="325" t="s">
        <v>5791</v>
      </c>
      <c r="B45" s="117" t="s">
        <v>5792</v>
      </c>
      <c r="C45" s="325" t="s">
        <v>5793</v>
      </c>
      <c r="D45" s="117" t="s">
        <v>5794</v>
      </c>
      <c r="E45" s="325" t="s">
        <v>5795</v>
      </c>
      <c r="F45" s="117" t="s">
        <v>5796</v>
      </c>
      <c r="G45" s="327"/>
      <c r="H45" s="121"/>
      <c r="I45" s="358"/>
      <c r="J45" s="142"/>
      <c r="K45" s="358"/>
      <c r="L45" s="142"/>
      <c r="M45" s="327"/>
      <c r="N45" s="121"/>
      <c r="O45" s="325" t="s">
        <v>5795</v>
      </c>
      <c r="P45" s="120" t="s">
        <v>5797</v>
      </c>
      <c r="Q45" s="338" t="s">
        <v>5795</v>
      </c>
      <c r="R45" s="120" t="s">
        <v>5798</v>
      </c>
      <c r="S45" s="17"/>
      <c r="T45" s="17"/>
      <c r="U45" s="17"/>
      <c r="V45" s="17"/>
    </row>
    <row r="46">
      <c r="A46" s="325" t="s">
        <v>5799</v>
      </c>
      <c r="B46" s="117" t="s">
        <v>5800</v>
      </c>
      <c r="C46" s="325" t="s">
        <v>5801</v>
      </c>
      <c r="D46" s="117" t="s">
        <v>5802</v>
      </c>
      <c r="E46" s="325" t="s">
        <v>5803</v>
      </c>
      <c r="F46" s="117" t="s">
        <v>5804</v>
      </c>
      <c r="G46" s="327"/>
      <c r="H46" s="121"/>
      <c r="I46" s="358"/>
      <c r="J46" s="142"/>
      <c r="K46" s="358"/>
      <c r="L46" s="142"/>
      <c r="M46" s="327"/>
      <c r="N46" s="121"/>
      <c r="O46" s="325" t="s">
        <v>5805</v>
      </c>
      <c r="P46" s="120" t="s">
        <v>5806</v>
      </c>
      <c r="Q46" s="338" t="s">
        <v>5807</v>
      </c>
      <c r="R46" s="120" t="s">
        <v>5808</v>
      </c>
      <c r="S46" s="17"/>
      <c r="T46" s="17"/>
      <c r="U46" s="17"/>
      <c r="V46" s="17"/>
    </row>
    <row r="47">
      <c r="A47" s="325" t="s">
        <v>5809</v>
      </c>
      <c r="B47" s="117" t="s">
        <v>5810</v>
      </c>
      <c r="C47" s="325" t="s">
        <v>5811</v>
      </c>
      <c r="D47" s="117" t="s">
        <v>5812</v>
      </c>
      <c r="E47" s="325" t="s">
        <v>5813</v>
      </c>
      <c r="F47" s="117" t="s">
        <v>5814</v>
      </c>
      <c r="G47" s="327"/>
      <c r="H47" s="121"/>
      <c r="I47" s="358"/>
      <c r="J47" s="142"/>
      <c r="K47" s="358"/>
      <c r="L47" s="142"/>
      <c r="M47" s="327"/>
      <c r="N47" s="121"/>
      <c r="O47" s="325" t="s">
        <v>5815</v>
      </c>
      <c r="P47" s="120" t="s">
        <v>5816</v>
      </c>
      <c r="Q47" s="338" t="s">
        <v>5817</v>
      </c>
      <c r="R47" s="120" t="s">
        <v>5818</v>
      </c>
      <c r="S47" s="17"/>
      <c r="T47" s="17"/>
      <c r="U47" s="17"/>
      <c r="V47" s="17"/>
    </row>
    <row r="48">
      <c r="A48" s="327"/>
      <c r="B48" s="121"/>
      <c r="C48" s="327"/>
      <c r="D48" s="121"/>
      <c r="E48" s="327"/>
      <c r="F48" s="121"/>
      <c r="G48" s="327"/>
      <c r="H48" s="121"/>
      <c r="I48" s="358"/>
      <c r="J48" s="142"/>
      <c r="K48" s="358"/>
      <c r="L48" s="142"/>
      <c r="M48" s="327"/>
      <c r="N48" s="121"/>
      <c r="O48" s="327"/>
      <c r="P48" s="121"/>
      <c r="Q48" s="332"/>
      <c r="R48" s="123"/>
      <c r="S48" s="17"/>
      <c r="T48" s="17"/>
      <c r="U48" s="17"/>
      <c r="V48" s="17"/>
    </row>
    <row r="49">
      <c r="A49" s="327"/>
      <c r="B49" s="121"/>
      <c r="C49" s="327"/>
      <c r="D49" s="121"/>
      <c r="E49" s="327"/>
      <c r="F49" s="121"/>
      <c r="G49" s="327"/>
      <c r="H49" s="121"/>
      <c r="I49" s="358"/>
      <c r="J49" s="142"/>
      <c r="K49" s="358"/>
      <c r="L49" s="142"/>
      <c r="M49" s="327"/>
      <c r="N49" s="121"/>
      <c r="O49" s="327"/>
      <c r="P49" s="121"/>
      <c r="Q49" s="332"/>
      <c r="R49" s="123"/>
      <c r="S49" s="17"/>
      <c r="T49" s="17"/>
      <c r="U49" s="17"/>
      <c r="V49" s="17"/>
    </row>
    <row r="50">
      <c r="A50" s="327"/>
      <c r="B50" s="121"/>
      <c r="C50" s="327"/>
      <c r="D50" s="121"/>
      <c r="E50" s="327"/>
      <c r="F50" s="121"/>
      <c r="G50" s="327"/>
      <c r="H50" s="121"/>
      <c r="I50" s="358"/>
      <c r="J50" s="142"/>
      <c r="K50" s="358"/>
      <c r="L50" s="142"/>
      <c r="M50" s="327"/>
      <c r="N50" s="121"/>
      <c r="O50" s="327"/>
      <c r="P50" s="121"/>
      <c r="Q50" s="332"/>
      <c r="R50" s="123"/>
      <c r="S50" s="17"/>
      <c r="T50" s="17"/>
      <c r="U50" s="17"/>
      <c r="V50" s="17"/>
    </row>
    <row r="51">
      <c r="A51" s="327"/>
      <c r="B51" s="121"/>
      <c r="C51" s="327"/>
      <c r="D51" s="121"/>
      <c r="E51" s="327"/>
      <c r="F51" s="121"/>
      <c r="G51" s="327"/>
      <c r="H51" s="121"/>
      <c r="I51" s="358"/>
      <c r="J51" s="142"/>
      <c r="K51" s="358"/>
      <c r="L51" s="142"/>
      <c r="M51" s="327"/>
      <c r="N51" s="121"/>
      <c r="O51" s="327"/>
      <c r="P51" s="121"/>
      <c r="Q51" s="332"/>
      <c r="R51" s="123"/>
      <c r="S51" s="17"/>
      <c r="T51" s="17"/>
      <c r="U51" s="17"/>
      <c r="V51" s="17"/>
    </row>
    <row r="52">
      <c r="A52" s="327"/>
      <c r="B52" s="121"/>
      <c r="C52" s="327"/>
      <c r="D52" s="121"/>
      <c r="E52" s="327"/>
      <c r="F52" s="121"/>
      <c r="G52" s="327"/>
      <c r="H52" s="121"/>
      <c r="I52" s="358"/>
      <c r="J52" s="142"/>
      <c r="K52" s="358"/>
      <c r="L52" s="142"/>
      <c r="M52" s="327"/>
      <c r="N52" s="121"/>
      <c r="O52" s="327"/>
      <c r="P52" s="121"/>
      <c r="Q52" s="332"/>
      <c r="R52" s="123"/>
      <c r="S52" s="17"/>
      <c r="T52" s="17"/>
      <c r="U52" s="17"/>
      <c r="V52" s="17"/>
    </row>
    <row r="53">
      <c r="A53" s="327"/>
      <c r="B53" s="121"/>
      <c r="C53" s="327"/>
      <c r="D53" s="121"/>
      <c r="E53" s="327"/>
      <c r="F53" s="121"/>
      <c r="G53" s="327"/>
      <c r="H53" s="121"/>
      <c r="I53" s="358"/>
      <c r="J53" s="142"/>
      <c r="K53" s="358"/>
      <c r="L53" s="142"/>
      <c r="M53" s="327"/>
      <c r="N53" s="121"/>
      <c r="O53" s="327"/>
      <c r="P53" s="121"/>
      <c r="Q53" s="332"/>
      <c r="R53" s="123"/>
      <c r="S53" s="17"/>
      <c r="T53" s="17"/>
      <c r="U53" s="17"/>
      <c r="V53" s="17"/>
    </row>
    <row r="54">
      <c r="A54" s="327"/>
      <c r="B54" s="121"/>
      <c r="C54" s="327"/>
      <c r="D54" s="121"/>
      <c r="E54" s="327"/>
      <c r="F54" s="121"/>
      <c r="G54" s="327"/>
      <c r="H54" s="121"/>
      <c r="I54" s="358"/>
      <c r="J54" s="142"/>
      <c r="K54" s="358"/>
      <c r="L54" s="142"/>
      <c r="M54" s="327"/>
      <c r="N54" s="121"/>
      <c r="O54" s="327"/>
      <c r="P54" s="121"/>
      <c r="Q54" s="332"/>
      <c r="R54" s="123"/>
      <c r="S54" s="17"/>
      <c r="T54" s="17"/>
      <c r="U54" s="17"/>
      <c r="V54" s="17"/>
    </row>
    <row r="55">
      <c r="A55" s="327"/>
      <c r="B55" s="121"/>
      <c r="C55" s="327"/>
      <c r="D55" s="121"/>
      <c r="E55" s="327"/>
      <c r="F55" s="121"/>
      <c r="G55" s="327"/>
      <c r="H55" s="121"/>
      <c r="I55" s="358"/>
      <c r="J55" s="142"/>
      <c r="K55" s="358"/>
      <c r="L55" s="142"/>
      <c r="M55" s="327"/>
      <c r="N55" s="121"/>
      <c r="O55" s="327"/>
      <c r="P55" s="121"/>
      <c r="Q55" s="332"/>
      <c r="R55" s="123"/>
      <c r="S55" s="17"/>
      <c r="T55" s="17"/>
      <c r="U55" s="17"/>
      <c r="V55" s="17"/>
    </row>
    <row r="56">
      <c r="A56" s="327"/>
      <c r="B56" s="121"/>
      <c r="C56" s="327"/>
      <c r="D56" s="121"/>
      <c r="E56" s="327"/>
      <c r="F56" s="121"/>
      <c r="G56" s="327"/>
      <c r="H56" s="121"/>
      <c r="I56" s="358"/>
      <c r="J56" s="142"/>
      <c r="K56" s="358"/>
      <c r="L56" s="142"/>
      <c r="M56" s="327"/>
      <c r="N56" s="121"/>
      <c r="O56" s="327"/>
      <c r="P56" s="121"/>
      <c r="Q56" s="332"/>
      <c r="R56" s="123"/>
      <c r="S56" s="17"/>
      <c r="T56" s="17"/>
      <c r="U56" s="17"/>
      <c r="V56" s="17"/>
    </row>
    <row r="57">
      <c r="A57" s="327"/>
      <c r="B57" s="121"/>
      <c r="C57" s="327"/>
      <c r="D57" s="121"/>
      <c r="E57" s="327"/>
      <c r="F57" s="121"/>
      <c r="G57" s="327"/>
      <c r="H57" s="121"/>
      <c r="I57" s="358"/>
      <c r="J57" s="142"/>
      <c r="K57" s="358"/>
      <c r="L57" s="142"/>
      <c r="M57" s="327"/>
      <c r="N57" s="121"/>
      <c r="O57" s="327"/>
      <c r="P57" s="121"/>
      <c r="Q57" s="332"/>
      <c r="R57" s="123"/>
      <c r="S57" s="17"/>
      <c r="T57" s="17"/>
      <c r="U57" s="17"/>
      <c r="V57" s="17"/>
    </row>
    <row r="58">
      <c r="A58" s="327"/>
      <c r="B58" s="121"/>
      <c r="C58" s="327"/>
      <c r="D58" s="121"/>
      <c r="E58" s="327"/>
      <c r="F58" s="121"/>
      <c r="G58" s="327"/>
      <c r="H58" s="121"/>
      <c r="I58" s="358"/>
      <c r="J58" s="142"/>
      <c r="K58" s="358"/>
      <c r="L58" s="142"/>
      <c r="M58" s="327"/>
      <c r="N58" s="121"/>
      <c r="O58" s="327"/>
      <c r="P58" s="121"/>
      <c r="Q58" s="332"/>
      <c r="R58" s="123"/>
      <c r="S58" s="17"/>
      <c r="T58" s="17"/>
      <c r="U58" s="17"/>
      <c r="V58" s="17"/>
    </row>
    <row r="59">
      <c r="A59" s="327"/>
      <c r="B59" s="121"/>
      <c r="C59" s="327"/>
      <c r="D59" s="121"/>
      <c r="E59" s="327"/>
      <c r="F59" s="121"/>
      <c r="G59" s="327"/>
      <c r="H59" s="121"/>
      <c r="I59" s="358"/>
      <c r="J59" s="142"/>
      <c r="K59" s="358"/>
      <c r="L59" s="142"/>
      <c r="M59" s="327"/>
      <c r="N59" s="121"/>
      <c r="O59" s="327"/>
      <c r="P59" s="121"/>
      <c r="Q59" s="332"/>
      <c r="R59" s="123"/>
      <c r="S59" s="17"/>
      <c r="T59" s="17"/>
      <c r="U59" s="17"/>
      <c r="V59" s="17"/>
    </row>
    <row r="60">
      <c r="A60" s="327"/>
      <c r="B60" s="121"/>
      <c r="C60" s="327"/>
      <c r="D60" s="121"/>
      <c r="E60" s="327"/>
      <c r="F60" s="121"/>
      <c r="G60" s="327"/>
      <c r="H60" s="121"/>
      <c r="I60" s="358"/>
      <c r="J60" s="142"/>
      <c r="K60" s="358"/>
      <c r="L60" s="142"/>
      <c r="M60" s="327"/>
      <c r="N60" s="121"/>
      <c r="O60" s="327"/>
      <c r="P60" s="121"/>
      <c r="Q60" s="332"/>
      <c r="R60" s="123"/>
      <c r="S60" s="17"/>
      <c r="T60" s="17"/>
      <c r="U60" s="17"/>
      <c r="V60" s="17"/>
    </row>
    <row r="61">
      <c r="A61" s="327"/>
      <c r="B61" s="121"/>
      <c r="C61" s="327"/>
      <c r="D61" s="121"/>
      <c r="E61" s="327"/>
      <c r="F61" s="121"/>
      <c r="G61" s="327"/>
      <c r="H61" s="121"/>
      <c r="I61" s="358"/>
      <c r="J61" s="142"/>
      <c r="K61" s="358"/>
      <c r="L61" s="142"/>
      <c r="M61" s="327"/>
      <c r="N61" s="121"/>
      <c r="O61" s="327"/>
      <c r="P61" s="121"/>
      <c r="Q61" s="332"/>
      <c r="R61" s="123"/>
      <c r="S61" s="17"/>
      <c r="T61" s="17"/>
      <c r="U61" s="17"/>
      <c r="V61" s="17"/>
    </row>
    <row r="62">
      <c r="A62" s="327"/>
      <c r="B62" s="121"/>
      <c r="C62" s="327"/>
      <c r="D62" s="121"/>
      <c r="E62" s="327"/>
      <c r="F62" s="121"/>
      <c r="G62" s="327"/>
      <c r="H62" s="121"/>
      <c r="I62" s="358"/>
      <c r="J62" s="142"/>
      <c r="K62" s="358"/>
      <c r="L62" s="142"/>
      <c r="M62" s="327"/>
      <c r="N62" s="121"/>
      <c r="O62" s="327"/>
      <c r="P62" s="121"/>
      <c r="Q62" s="332"/>
      <c r="R62" s="123"/>
      <c r="S62" s="17"/>
      <c r="T62" s="17"/>
      <c r="U62" s="17"/>
      <c r="V62" s="17"/>
    </row>
    <row r="63">
      <c r="A63" s="327"/>
      <c r="B63" s="121"/>
      <c r="C63" s="327"/>
      <c r="D63" s="121"/>
      <c r="E63" s="327"/>
      <c r="F63" s="121"/>
      <c r="G63" s="327"/>
      <c r="H63" s="121"/>
      <c r="I63" s="358"/>
      <c r="J63" s="142"/>
      <c r="K63" s="358"/>
      <c r="L63" s="142"/>
      <c r="M63" s="327"/>
      <c r="N63" s="121"/>
      <c r="O63" s="327"/>
      <c r="P63" s="121"/>
      <c r="Q63" s="332"/>
      <c r="R63" s="123"/>
      <c r="S63" s="17"/>
      <c r="T63" s="17"/>
      <c r="U63" s="17"/>
      <c r="V63" s="17"/>
    </row>
    <row r="64">
      <c r="A64" s="327"/>
      <c r="B64" s="121"/>
      <c r="C64" s="327"/>
      <c r="D64" s="121"/>
      <c r="E64" s="327"/>
      <c r="F64" s="121"/>
      <c r="G64" s="327"/>
      <c r="H64" s="121"/>
      <c r="I64" s="358"/>
      <c r="J64" s="142"/>
      <c r="K64" s="358"/>
      <c r="L64" s="142"/>
      <c r="M64" s="327"/>
      <c r="N64" s="121"/>
      <c r="O64" s="327"/>
      <c r="P64" s="121"/>
      <c r="Q64" s="332"/>
      <c r="R64" s="123"/>
      <c r="S64" s="17"/>
      <c r="T64" s="17"/>
      <c r="U64" s="17"/>
      <c r="V64" s="17"/>
    </row>
    <row r="65">
      <c r="A65" s="327"/>
      <c r="B65" s="121"/>
      <c r="C65" s="327"/>
      <c r="D65" s="121"/>
      <c r="E65" s="327"/>
      <c r="F65" s="121"/>
      <c r="G65" s="327"/>
      <c r="H65" s="121"/>
      <c r="I65" s="358"/>
      <c r="J65" s="142"/>
      <c r="K65" s="358"/>
      <c r="L65" s="142"/>
      <c r="M65" s="327"/>
      <c r="N65" s="121"/>
      <c r="O65" s="327"/>
      <c r="P65" s="121"/>
      <c r="Q65" s="332"/>
      <c r="R65" s="123"/>
      <c r="S65" s="17"/>
      <c r="T65" s="17"/>
      <c r="U65" s="17"/>
      <c r="V65" s="17"/>
    </row>
    <row r="66">
      <c r="A66" s="327"/>
      <c r="B66" s="121"/>
      <c r="C66" s="327"/>
      <c r="D66" s="121"/>
      <c r="E66" s="327"/>
      <c r="F66" s="121"/>
      <c r="G66" s="327"/>
      <c r="H66" s="121"/>
      <c r="I66" s="358"/>
      <c r="J66" s="142"/>
      <c r="K66" s="358"/>
      <c r="L66" s="142"/>
      <c r="M66" s="327"/>
      <c r="N66" s="121"/>
      <c r="O66" s="327"/>
      <c r="P66" s="121"/>
      <c r="Q66" s="332"/>
      <c r="R66" s="123"/>
      <c r="S66" s="17"/>
      <c r="T66" s="17"/>
      <c r="U66" s="17"/>
      <c r="V66" s="17"/>
    </row>
    <row r="67">
      <c r="A67" s="327"/>
      <c r="B67" s="121"/>
      <c r="C67" s="327"/>
      <c r="D67" s="121"/>
      <c r="E67" s="327"/>
      <c r="F67" s="121"/>
      <c r="G67" s="327"/>
      <c r="H67" s="121"/>
      <c r="I67" s="358"/>
      <c r="J67" s="142"/>
      <c r="K67" s="358"/>
      <c r="L67" s="142"/>
      <c r="M67" s="327"/>
      <c r="N67" s="121"/>
      <c r="O67" s="327"/>
      <c r="P67" s="121"/>
      <c r="Q67" s="332"/>
      <c r="R67" s="123"/>
      <c r="S67" s="17"/>
      <c r="T67" s="17"/>
      <c r="U67" s="17"/>
      <c r="V67" s="17"/>
    </row>
    <row r="68">
      <c r="A68" s="327"/>
      <c r="B68" s="121"/>
      <c r="C68" s="327"/>
      <c r="D68" s="121"/>
      <c r="E68" s="327"/>
      <c r="F68" s="121"/>
      <c r="G68" s="327"/>
      <c r="H68" s="121"/>
      <c r="I68" s="358"/>
      <c r="J68" s="142"/>
      <c r="K68" s="358"/>
      <c r="L68" s="142"/>
      <c r="M68" s="327"/>
      <c r="N68" s="121"/>
      <c r="O68" s="327"/>
      <c r="P68" s="121"/>
      <c r="Q68" s="332"/>
      <c r="R68" s="123"/>
      <c r="S68" s="17"/>
      <c r="T68" s="17"/>
      <c r="U68" s="17"/>
      <c r="V68" s="17"/>
    </row>
    <row r="69">
      <c r="A69" s="327"/>
      <c r="B69" s="121"/>
      <c r="C69" s="327"/>
      <c r="D69" s="121"/>
      <c r="E69" s="327"/>
      <c r="F69" s="121"/>
      <c r="G69" s="327"/>
      <c r="H69" s="121"/>
      <c r="I69" s="358"/>
      <c r="J69" s="142"/>
      <c r="K69" s="358"/>
      <c r="L69" s="142"/>
      <c r="M69" s="327"/>
      <c r="N69" s="121"/>
      <c r="O69" s="327"/>
      <c r="P69" s="121"/>
      <c r="Q69" s="332"/>
      <c r="R69" s="123"/>
      <c r="S69" s="17"/>
      <c r="T69" s="17"/>
      <c r="U69" s="17"/>
      <c r="V69" s="17"/>
    </row>
    <row r="70">
      <c r="A70" s="327"/>
      <c r="B70" s="121"/>
      <c r="C70" s="327"/>
      <c r="D70" s="121"/>
      <c r="E70" s="327"/>
      <c r="F70" s="121"/>
      <c r="G70" s="327"/>
      <c r="H70" s="121"/>
      <c r="I70" s="358"/>
      <c r="J70" s="142"/>
      <c r="K70" s="358"/>
      <c r="L70" s="142"/>
      <c r="M70" s="327"/>
      <c r="N70" s="121"/>
      <c r="O70" s="327"/>
      <c r="P70" s="121"/>
      <c r="Q70" s="332"/>
      <c r="R70" s="123"/>
      <c r="S70" s="17"/>
      <c r="T70" s="17"/>
      <c r="U70" s="17"/>
      <c r="V70" s="17"/>
    </row>
    <row r="71">
      <c r="A71" s="327"/>
      <c r="B71" s="121"/>
      <c r="C71" s="327"/>
      <c r="D71" s="121"/>
      <c r="E71" s="327"/>
      <c r="F71" s="121"/>
      <c r="G71" s="327"/>
      <c r="H71" s="121"/>
      <c r="I71" s="358"/>
      <c r="J71" s="142"/>
      <c r="K71" s="358"/>
      <c r="L71" s="142"/>
      <c r="M71" s="327"/>
      <c r="N71" s="121"/>
      <c r="O71" s="327"/>
      <c r="P71" s="121"/>
      <c r="Q71" s="332"/>
      <c r="R71" s="123"/>
      <c r="S71" s="17"/>
      <c r="T71" s="17"/>
      <c r="U71" s="17"/>
      <c r="V71" s="17"/>
    </row>
    <row r="72">
      <c r="A72" s="327"/>
      <c r="B72" s="121"/>
      <c r="C72" s="327"/>
      <c r="D72" s="121"/>
      <c r="E72" s="327"/>
      <c r="F72" s="121"/>
      <c r="G72" s="327"/>
      <c r="H72" s="121"/>
      <c r="I72" s="358"/>
      <c r="J72" s="142"/>
      <c r="K72" s="358"/>
      <c r="L72" s="142"/>
      <c r="M72" s="327"/>
      <c r="N72" s="121"/>
      <c r="O72" s="327"/>
      <c r="P72" s="121"/>
      <c r="Q72" s="332"/>
      <c r="R72" s="123"/>
      <c r="S72" s="17"/>
      <c r="T72" s="17"/>
      <c r="U72" s="17"/>
      <c r="V72" s="17"/>
    </row>
    <row r="73">
      <c r="A73" s="327"/>
      <c r="B73" s="121"/>
      <c r="C73" s="327"/>
      <c r="D73" s="121"/>
      <c r="E73" s="327"/>
      <c r="F73" s="121"/>
      <c r="G73" s="327"/>
      <c r="H73" s="121"/>
      <c r="I73" s="358"/>
      <c r="J73" s="142"/>
      <c r="K73" s="358"/>
      <c r="L73" s="142"/>
      <c r="M73" s="327"/>
      <c r="N73" s="121"/>
      <c r="O73" s="327"/>
      <c r="P73" s="121"/>
      <c r="Q73" s="332"/>
      <c r="R73" s="123"/>
      <c r="S73" s="17"/>
      <c r="T73" s="17"/>
      <c r="U73" s="17"/>
      <c r="V73" s="17"/>
    </row>
    <row r="74">
      <c r="A74" s="327"/>
      <c r="B74" s="121"/>
      <c r="C74" s="327"/>
      <c r="D74" s="121"/>
      <c r="E74" s="327"/>
      <c r="F74" s="121"/>
      <c r="G74" s="327"/>
      <c r="H74" s="121"/>
      <c r="I74" s="358"/>
      <c r="J74" s="142"/>
      <c r="K74" s="358"/>
      <c r="L74" s="142"/>
      <c r="M74" s="327"/>
      <c r="N74" s="121"/>
      <c r="O74" s="327"/>
      <c r="P74" s="121"/>
      <c r="Q74" s="332"/>
      <c r="R74" s="123"/>
      <c r="S74" s="17"/>
      <c r="T74" s="17"/>
      <c r="U74" s="17"/>
      <c r="V74" s="17"/>
    </row>
    <row r="75">
      <c r="A75" s="327"/>
      <c r="B75" s="121"/>
      <c r="C75" s="327"/>
      <c r="D75" s="121"/>
      <c r="E75" s="327"/>
      <c r="F75" s="121"/>
      <c r="G75" s="327"/>
      <c r="H75" s="121"/>
      <c r="I75" s="358"/>
      <c r="J75" s="142"/>
      <c r="K75" s="358"/>
      <c r="L75" s="142"/>
      <c r="M75" s="327"/>
      <c r="N75" s="121"/>
      <c r="O75" s="327"/>
      <c r="P75" s="121"/>
      <c r="Q75" s="332"/>
      <c r="R75" s="123"/>
      <c r="S75" s="17"/>
      <c r="T75" s="17"/>
      <c r="U75" s="17"/>
      <c r="V75" s="17"/>
    </row>
    <row r="76">
      <c r="A76" s="327"/>
      <c r="B76" s="121"/>
      <c r="C76" s="327"/>
      <c r="D76" s="121"/>
      <c r="E76" s="327"/>
      <c r="F76" s="121"/>
      <c r="G76" s="327"/>
      <c r="H76" s="121"/>
      <c r="I76" s="358"/>
      <c r="J76" s="142"/>
      <c r="K76" s="358"/>
      <c r="L76" s="142"/>
      <c r="M76" s="327"/>
      <c r="N76" s="121"/>
      <c r="O76" s="327"/>
      <c r="P76" s="121"/>
      <c r="Q76" s="332"/>
      <c r="R76" s="123"/>
      <c r="S76" s="17"/>
      <c r="T76" s="17"/>
      <c r="U76" s="17"/>
      <c r="V76" s="17"/>
    </row>
    <row r="77">
      <c r="A77" s="327"/>
      <c r="B77" s="121"/>
      <c r="C77" s="327"/>
      <c r="D77" s="121"/>
      <c r="E77" s="327"/>
      <c r="F77" s="121"/>
      <c r="G77" s="327"/>
      <c r="H77" s="121"/>
      <c r="I77" s="358"/>
      <c r="J77" s="142"/>
      <c r="K77" s="358"/>
      <c r="L77" s="142"/>
      <c r="M77" s="327"/>
      <c r="N77" s="121"/>
      <c r="O77" s="327"/>
      <c r="P77" s="121"/>
      <c r="Q77" s="332"/>
      <c r="R77" s="123"/>
      <c r="S77" s="17"/>
      <c r="T77" s="17"/>
      <c r="U77" s="17"/>
      <c r="V77" s="17"/>
    </row>
    <row r="78">
      <c r="A78" s="327"/>
      <c r="B78" s="121"/>
      <c r="C78" s="327"/>
      <c r="D78" s="121"/>
      <c r="E78" s="327"/>
      <c r="F78" s="121"/>
      <c r="G78" s="327"/>
      <c r="H78" s="121"/>
      <c r="I78" s="358"/>
      <c r="J78" s="142"/>
      <c r="K78" s="358"/>
      <c r="L78" s="142"/>
      <c r="M78" s="327"/>
      <c r="N78" s="121"/>
      <c r="O78" s="327"/>
      <c r="P78" s="121"/>
      <c r="Q78" s="332"/>
      <c r="R78" s="123"/>
      <c r="S78" s="17"/>
      <c r="T78" s="17"/>
      <c r="U78" s="17"/>
      <c r="V78" s="17"/>
    </row>
    <row r="79">
      <c r="A79" s="327"/>
      <c r="B79" s="121"/>
      <c r="C79" s="327"/>
      <c r="D79" s="121"/>
      <c r="E79" s="327"/>
      <c r="F79" s="121"/>
      <c r="G79" s="327"/>
      <c r="H79" s="121"/>
      <c r="I79" s="358"/>
      <c r="J79" s="142"/>
      <c r="K79" s="358"/>
      <c r="L79" s="142"/>
      <c r="M79" s="327"/>
      <c r="N79" s="121"/>
      <c r="O79" s="327"/>
      <c r="P79" s="121"/>
      <c r="Q79" s="332"/>
      <c r="R79" s="123"/>
      <c r="S79" s="17"/>
      <c r="T79" s="17"/>
      <c r="U79" s="17"/>
      <c r="V79" s="17"/>
    </row>
    <row r="80">
      <c r="A80" s="327"/>
      <c r="B80" s="121"/>
      <c r="C80" s="327"/>
      <c r="D80" s="121"/>
      <c r="E80" s="327"/>
      <c r="F80" s="121"/>
      <c r="G80" s="327"/>
      <c r="H80" s="121"/>
      <c r="I80" s="358"/>
      <c r="J80" s="142"/>
      <c r="K80" s="358"/>
      <c r="L80" s="142"/>
      <c r="M80" s="327"/>
      <c r="N80" s="121"/>
      <c r="O80" s="327"/>
      <c r="P80" s="121"/>
      <c r="Q80" s="332"/>
      <c r="R80" s="123"/>
      <c r="S80" s="17"/>
      <c r="T80" s="17"/>
      <c r="U80" s="17"/>
      <c r="V80" s="17"/>
    </row>
    <row r="81">
      <c r="A81" s="327"/>
      <c r="B81" s="121"/>
      <c r="C81" s="327"/>
      <c r="D81" s="121"/>
      <c r="E81" s="327"/>
      <c r="F81" s="121"/>
      <c r="G81" s="327"/>
      <c r="H81" s="121"/>
      <c r="I81" s="358"/>
      <c r="J81" s="142"/>
      <c r="K81" s="358"/>
      <c r="L81" s="142"/>
      <c r="M81" s="327"/>
      <c r="N81" s="121"/>
      <c r="O81" s="327"/>
      <c r="P81" s="121"/>
      <c r="Q81" s="332"/>
      <c r="R81" s="123"/>
      <c r="S81" s="17"/>
      <c r="T81" s="17"/>
      <c r="U81" s="17"/>
      <c r="V81" s="17"/>
    </row>
    <row r="82">
      <c r="A82" s="327"/>
      <c r="B82" s="121"/>
      <c r="C82" s="327"/>
      <c r="D82" s="121"/>
      <c r="E82" s="327"/>
      <c r="F82" s="121"/>
      <c r="G82" s="327"/>
      <c r="H82" s="121"/>
      <c r="I82" s="358"/>
      <c r="J82" s="142"/>
      <c r="K82" s="358"/>
      <c r="L82" s="142"/>
      <c r="M82" s="327"/>
      <c r="N82" s="121"/>
      <c r="O82" s="327"/>
      <c r="P82" s="121"/>
      <c r="Q82" s="332"/>
      <c r="R82" s="123"/>
      <c r="S82" s="17"/>
      <c r="T82" s="17"/>
      <c r="U82" s="17"/>
      <c r="V82" s="17"/>
    </row>
    <row r="83">
      <c r="A83" s="327"/>
      <c r="B83" s="121"/>
      <c r="C83" s="327"/>
      <c r="D83" s="121"/>
      <c r="E83" s="327"/>
      <c r="F83" s="121"/>
      <c r="G83" s="327"/>
      <c r="H83" s="121"/>
      <c r="I83" s="358"/>
      <c r="J83" s="142"/>
      <c r="K83" s="358"/>
      <c r="L83" s="142"/>
      <c r="M83" s="327"/>
      <c r="N83" s="121"/>
      <c r="O83" s="327"/>
      <c r="P83" s="121"/>
      <c r="Q83" s="332"/>
      <c r="R83" s="123"/>
      <c r="S83" s="17"/>
      <c r="T83" s="17"/>
      <c r="U83" s="17"/>
      <c r="V83" s="17"/>
    </row>
    <row r="84">
      <c r="A84" s="327"/>
      <c r="B84" s="121"/>
      <c r="C84" s="327"/>
      <c r="D84" s="121"/>
      <c r="E84" s="327"/>
      <c r="F84" s="121"/>
      <c r="G84" s="327"/>
      <c r="H84" s="121"/>
      <c r="I84" s="358"/>
      <c r="J84" s="142"/>
      <c r="K84" s="358"/>
      <c r="L84" s="142"/>
      <c r="M84" s="327"/>
      <c r="N84" s="121"/>
      <c r="O84" s="327"/>
      <c r="P84" s="121"/>
      <c r="Q84" s="332"/>
      <c r="R84" s="123"/>
      <c r="S84" s="17"/>
      <c r="T84" s="17"/>
      <c r="U84" s="17"/>
      <c r="V84" s="17"/>
    </row>
    <row r="85">
      <c r="A85" s="327"/>
      <c r="B85" s="121"/>
      <c r="C85" s="327"/>
      <c r="D85" s="121"/>
      <c r="E85" s="327"/>
      <c r="F85" s="121"/>
      <c r="G85" s="327"/>
      <c r="H85" s="121"/>
      <c r="I85" s="358"/>
      <c r="J85" s="142"/>
      <c r="K85" s="358"/>
      <c r="L85" s="142"/>
      <c r="M85" s="327"/>
      <c r="N85" s="121"/>
      <c r="O85" s="327"/>
      <c r="P85" s="121"/>
      <c r="Q85" s="332"/>
      <c r="R85" s="123"/>
      <c r="S85" s="17"/>
      <c r="T85" s="17"/>
      <c r="U85" s="17"/>
      <c r="V85" s="17"/>
    </row>
    <row r="86">
      <c r="A86" s="327"/>
      <c r="B86" s="121"/>
      <c r="C86" s="327"/>
      <c r="D86" s="121"/>
      <c r="E86" s="327"/>
      <c r="F86" s="121"/>
      <c r="G86" s="327"/>
      <c r="H86" s="121"/>
      <c r="I86" s="358"/>
      <c r="J86" s="142"/>
      <c r="K86" s="358"/>
      <c r="L86" s="142"/>
      <c r="M86" s="327"/>
      <c r="N86" s="121"/>
      <c r="O86" s="327"/>
      <c r="P86" s="121"/>
      <c r="Q86" s="332"/>
      <c r="R86" s="123"/>
      <c r="S86" s="17"/>
      <c r="T86" s="17"/>
      <c r="U86" s="17"/>
      <c r="V86" s="17"/>
    </row>
    <row r="87">
      <c r="A87" s="327"/>
      <c r="B87" s="121"/>
      <c r="C87" s="327"/>
      <c r="D87" s="121"/>
      <c r="E87" s="327"/>
      <c r="F87" s="121"/>
      <c r="G87" s="327"/>
      <c r="H87" s="121"/>
      <c r="I87" s="358"/>
      <c r="J87" s="142"/>
      <c r="K87" s="358"/>
      <c r="L87" s="142"/>
      <c r="M87" s="327"/>
      <c r="N87" s="121"/>
      <c r="O87" s="327"/>
      <c r="P87" s="121"/>
      <c r="Q87" s="332"/>
      <c r="R87" s="123"/>
      <c r="S87" s="17"/>
      <c r="T87" s="17"/>
      <c r="U87" s="17"/>
      <c r="V87" s="17"/>
    </row>
    <row r="88">
      <c r="A88" s="327"/>
      <c r="B88" s="121"/>
      <c r="C88" s="327"/>
      <c r="D88" s="121"/>
      <c r="E88" s="327"/>
      <c r="F88" s="121"/>
      <c r="G88" s="327"/>
      <c r="H88" s="121"/>
      <c r="I88" s="358"/>
      <c r="J88" s="142"/>
      <c r="K88" s="358"/>
      <c r="L88" s="142"/>
      <c r="M88" s="327"/>
      <c r="N88" s="121"/>
      <c r="O88" s="327"/>
      <c r="P88" s="121"/>
      <c r="Q88" s="332"/>
      <c r="R88" s="123"/>
      <c r="S88" s="17"/>
      <c r="T88" s="17"/>
      <c r="U88" s="17"/>
      <c r="V88" s="17"/>
    </row>
    <row r="89">
      <c r="A89" s="327"/>
      <c r="B89" s="121"/>
      <c r="C89" s="327"/>
      <c r="D89" s="121"/>
      <c r="E89" s="327"/>
      <c r="F89" s="121"/>
      <c r="G89" s="327"/>
      <c r="H89" s="121"/>
      <c r="I89" s="358"/>
      <c r="J89" s="142"/>
      <c r="K89" s="358"/>
      <c r="L89" s="142"/>
      <c r="M89" s="327"/>
      <c r="N89" s="121"/>
      <c r="O89" s="327"/>
      <c r="P89" s="121"/>
      <c r="Q89" s="333"/>
      <c r="R89" s="177"/>
      <c r="S89" s="17"/>
      <c r="T89" s="17"/>
      <c r="U89" s="17"/>
      <c r="V89" s="17"/>
    </row>
    <row r="90">
      <c r="A90" s="327"/>
      <c r="B90" s="121"/>
      <c r="C90" s="327"/>
      <c r="D90" s="121"/>
      <c r="E90" s="327"/>
      <c r="F90" s="121"/>
      <c r="G90" s="327"/>
      <c r="H90" s="121"/>
      <c r="I90" s="358"/>
      <c r="J90" s="142"/>
      <c r="K90" s="358"/>
      <c r="L90" s="142"/>
      <c r="M90" s="327"/>
      <c r="N90" s="121"/>
      <c r="O90" s="327"/>
      <c r="P90" s="121"/>
      <c r="Q90" s="333"/>
      <c r="R90" s="177"/>
      <c r="S90" s="17"/>
      <c r="T90" s="17"/>
      <c r="U90" s="17"/>
      <c r="V90" s="17"/>
    </row>
    <row r="91">
      <c r="A91" s="327"/>
      <c r="B91" s="121"/>
      <c r="C91" s="327"/>
      <c r="D91" s="121"/>
      <c r="E91" s="327"/>
      <c r="F91" s="121"/>
      <c r="G91" s="327"/>
      <c r="H91" s="121"/>
      <c r="I91" s="358"/>
      <c r="J91" s="142"/>
      <c r="K91" s="358"/>
      <c r="L91" s="142"/>
      <c r="M91" s="327"/>
      <c r="N91" s="121"/>
      <c r="O91" s="327"/>
      <c r="P91" s="121"/>
      <c r="Q91" s="333"/>
      <c r="R91" s="177"/>
      <c r="S91" s="17"/>
      <c r="T91" s="17"/>
      <c r="U91" s="17"/>
      <c r="V91" s="17"/>
    </row>
    <row r="92">
      <c r="A92" s="327"/>
      <c r="B92" s="121"/>
      <c r="C92" s="327"/>
      <c r="D92" s="121"/>
      <c r="E92" s="327"/>
      <c r="F92" s="121"/>
      <c r="G92" s="327"/>
      <c r="H92" s="121"/>
      <c r="I92" s="358"/>
      <c r="J92" s="142"/>
      <c r="K92" s="358"/>
      <c r="L92" s="142"/>
      <c r="M92" s="327"/>
      <c r="N92" s="121"/>
      <c r="O92" s="327"/>
      <c r="P92" s="121"/>
      <c r="Q92" s="333"/>
      <c r="R92" s="177"/>
      <c r="S92" s="17"/>
      <c r="T92" s="17"/>
      <c r="U92" s="17"/>
      <c r="V92" s="17"/>
    </row>
    <row r="93">
      <c r="A93" s="327"/>
      <c r="B93" s="121"/>
      <c r="C93" s="327"/>
      <c r="D93" s="121"/>
      <c r="E93" s="327"/>
      <c r="F93" s="121"/>
      <c r="G93" s="327"/>
      <c r="H93" s="121"/>
      <c r="I93" s="358"/>
      <c r="J93" s="142"/>
      <c r="K93" s="358"/>
      <c r="L93" s="142"/>
      <c r="M93" s="327"/>
      <c r="N93" s="121"/>
      <c r="O93" s="327"/>
      <c r="P93" s="121"/>
      <c r="Q93" s="333"/>
      <c r="R93" s="177"/>
      <c r="S93" s="17"/>
      <c r="T93" s="17"/>
      <c r="U93" s="17"/>
      <c r="V93" s="17"/>
    </row>
    <row r="94">
      <c r="A94" s="327"/>
      <c r="B94" s="121"/>
      <c r="C94" s="327"/>
      <c r="D94" s="121"/>
      <c r="E94" s="327"/>
      <c r="F94" s="121"/>
      <c r="G94" s="327"/>
      <c r="H94" s="121"/>
      <c r="I94" s="358"/>
      <c r="J94" s="142"/>
      <c r="K94" s="358"/>
      <c r="L94" s="142"/>
      <c r="M94" s="327"/>
      <c r="N94" s="121"/>
      <c r="O94" s="327"/>
      <c r="P94" s="121"/>
      <c r="Q94" s="333"/>
      <c r="R94" s="177"/>
      <c r="S94" s="17"/>
      <c r="T94" s="17"/>
      <c r="U94" s="17"/>
      <c r="V94" s="17"/>
    </row>
    <row r="95">
      <c r="A95" s="327"/>
      <c r="B95" s="121"/>
      <c r="C95" s="327"/>
      <c r="D95" s="121"/>
      <c r="E95" s="327"/>
      <c r="F95" s="121"/>
      <c r="G95" s="327"/>
      <c r="H95" s="121"/>
      <c r="I95" s="358"/>
      <c r="J95" s="142"/>
      <c r="K95" s="358"/>
      <c r="L95" s="142"/>
      <c r="M95" s="327"/>
      <c r="N95" s="121"/>
      <c r="O95" s="327"/>
      <c r="P95" s="121"/>
      <c r="Q95" s="333"/>
      <c r="R95" s="177"/>
      <c r="S95" s="17"/>
      <c r="T95" s="17"/>
      <c r="U95" s="17"/>
      <c r="V95" s="17"/>
    </row>
    <row r="96">
      <c r="A96" s="327"/>
      <c r="B96" s="121"/>
      <c r="C96" s="327"/>
      <c r="D96" s="121"/>
      <c r="E96" s="327"/>
      <c r="F96" s="121"/>
      <c r="G96" s="327"/>
      <c r="H96" s="121"/>
      <c r="I96" s="358"/>
      <c r="J96" s="142"/>
      <c r="K96" s="358"/>
      <c r="L96" s="142"/>
      <c r="M96" s="327"/>
      <c r="N96" s="121"/>
      <c r="O96" s="327"/>
      <c r="P96" s="121"/>
      <c r="Q96" s="333"/>
      <c r="R96" s="177"/>
      <c r="S96" s="17"/>
      <c r="T96" s="17"/>
      <c r="U96" s="17"/>
      <c r="V96" s="17"/>
    </row>
    <row r="97">
      <c r="A97" s="327"/>
      <c r="B97" s="121"/>
      <c r="C97" s="327"/>
      <c r="D97" s="121"/>
      <c r="E97" s="327"/>
      <c r="F97" s="121"/>
      <c r="G97" s="327"/>
      <c r="H97" s="121"/>
      <c r="I97" s="358"/>
      <c r="J97" s="142"/>
      <c r="K97" s="358"/>
      <c r="L97" s="142"/>
      <c r="M97" s="327"/>
      <c r="N97" s="121"/>
      <c r="O97" s="327"/>
      <c r="P97" s="121"/>
      <c r="Q97" s="333"/>
      <c r="R97" s="177"/>
      <c r="S97" s="17"/>
      <c r="T97" s="17"/>
      <c r="U97" s="17"/>
      <c r="V97" s="17"/>
    </row>
    <row r="98">
      <c r="A98" s="327"/>
      <c r="B98" s="121"/>
      <c r="C98" s="327"/>
      <c r="D98" s="121"/>
      <c r="E98" s="327"/>
      <c r="F98" s="121"/>
      <c r="G98" s="327"/>
      <c r="H98" s="121"/>
      <c r="I98" s="358"/>
      <c r="J98" s="142"/>
      <c r="K98" s="358"/>
      <c r="L98" s="142"/>
      <c r="M98" s="327"/>
      <c r="N98" s="121"/>
      <c r="O98" s="327"/>
      <c r="P98" s="121"/>
      <c r="Q98" s="333"/>
      <c r="R98" s="177"/>
      <c r="S98" s="17"/>
      <c r="T98" s="17"/>
      <c r="U98" s="17"/>
      <c r="V98" s="17"/>
    </row>
    <row r="99">
      <c r="A99" s="327"/>
      <c r="B99" s="121"/>
      <c r="C99" s="327"/>
      <c r="D99" s="121"/>
      <c r="E99" s="327"/>
      <c r="F99" s="121"/>
      <c r="G99" s="327"/>
      <c r="H99" s="121"/>
      <c r="I99" s="358"/>
      <c r="J99" s="142"/>
      <c r="K99" s="358"/>
      <c r="L99" s="142"/>
      <c r="M99" s="327"/>
      <c r="N99" s="121"/>
      <c r="O99" s="327"/>
      <c r="P99" s="121"/>
      <c r="Q99" s="333"/>
      <c r="R99" s="177"/>
      <c r="S99" s="17"/>
      <c r="T99" s="17"/>
      <c r="U99" s="17"/>
      <c r="V99" s="17"/>
    </row>
    <row r="100">
      <c r="A100" s="327"/>
      <c r="B100" s="121"/>
      <c r="C100" s="327"/>
      <c r="D100" s="121"/>
      <c r="E100" s="327"/>
      <c r="F100" s="121"/>
      <c r="G100" s="327"/>
      <c r="H100" s="121"/>
      <c r="I100" s="358"/>
      <c r="J100" s="142"/>
      <c r="K100" s="358"/>
      <c r="L100" s="142"/>
      <c r="M100" s="327"/>
      <c r="N100" s="121"/>
      <c r="O100" s="327"/>
      <c r="P100" s="121"/>
      <c r="Q100" s="333"/>
      <c r="R100" s="177"/>
      <c r="S100" s="17"/>
      <c r="T100" s="17"/>
      <c r="U100" s="17"/>
      <c r="V100" s="17"/>
    </row>
    <row r="101">
      <c r="A101" s="327"/>
      <c r="B101" s="121"/>
      <c r="C101" s="327"/>
      <c r="D101" s="121"/>
      <c r="E101" s="327"/>
      <c r="F101" s="121"/>
      <c r="G101" s="327"/>
      <c r="H101" s="121"/>
      <c r="I101" s="358"/>
      <c r="J101" s="142"/>
      <c r="K101" s="358"/>
      <c r="L101" s="142"/>
      <c r="M101" s="327"/>
      <c r="N101" s="121"/>
      <c r="O101" s="327"/>
      <c r="P101" s="121"/>
      <c r="Q101" s="333"/>
      <c r="R101" s="177"/>
      <c r="S101" s="17"/>
      <c r="T101" s="17"/>
      <c r="U101" s="17"/>
      <c r="V101" s="17"/>
    </row>
    <row r="102">
      <c r="A102" s="327"/>
      <c r="B102" s="121"/>
      <c r="C102" s="327"/>
      <c r="D102" s="121"/>
      <c r="E102" s="327"/>
      <c r="F102" s="121"/>
      <c r="G102" s="327"/>
      <c r="H102" s="121"/>
      <c r="I102" s="358"/>
      <c r="J102" s="142"/>
      <c r="K102" s="358"/>
      <c r="L102" s="142"/>
      <c r="M102" s="327"/>
      <c r="N102" s="121"/>
      <c r="O102" s="327"/>
      <c r="P102" s="121"/>
      <c r="Q102" s="333"/>
      <c r="R102" s="177"/>
      <c r="S102" s="17"/>
      <c r="T102" s="17"/>
      <c r="U102" s="17"/>
      <c r="V102" s="17"/>
    </row>
    <row r="103">
      <c r="A103" s="327"/>
      <c r="B103" s="121"/>
      <c r="C103" s="327"/>
      <c r="D103" s="121"/>
      <c r="E103" s="327"/>
      <c r="F103" s="121"/>
      <c r="G103" s="327"/>
      <c r="H103" s="121"/>
      <c r="I103" s="358"/>
      <c r="J103" s="142"/>
      <c r="K103" s="358"/>
      <c r="L103" s="142"/>
      <c r="M103" s="327"/>
      <c r="N103" s="121"/>
      <c r="O103" s="327"/>
      <c r="P103" s="121"/>
      <c r="Q103" s="333"/>
      <c r="R103" s="177"/>
      <c r="S103" s="17"/>
      <c r="T103" s="17"/>
      <c r="U103" s="17"/>
      <c r="V103" s="17"/>
    </row>
    <row r="104">
      <c r="A104" s="327"/>
      <c r="B104" s="121"/>
      <c r="C104" s="327"/>
      <c r="D104" s="121"/>
      <c r="E104" s="327"/>
      <c r="F104" s="121"/>
      <c r="G104" s="327"/>
      <c r="H104" s="121"/>
      <c r="I104" s="358"/>
      <c r="J104" s="142"/>
      <c r="K104" s="358"/>
      <c r="L104" s="142"/>
      <c r="M104" s="327"/>
      <c r="N104" s="121"/>
      <c r="O104" s="327"/>
      <c r="P104" s="121"/>
      <c r="Q104" s="333"/>
      <c r="R104" s="177"/>
      <c r="S104" s="17"/>
      <c r="T104" s="17"/>
      <c r="U104" s="17"/>
      <c r="V104" s="17"/>
    </row>
    <row r="105">
      <c r="A105" s="327"/>
      <c r="B105" s="121"/>
      <c r="C105" s="327"/>
      <c r="D105" s="121"/>
      <c r="E105" s="327"/>
      <c r="F105" s="121"/>
      <c r="G105" s="327"/>
      <c r="H105" s="121"/>
      <c r="I105" s="358"/>
      <c r="J105" s="142"/>
      <c r="K105" s="358"/>
      <c r="L105" s="142"/>
      <c r="M105" s="327"/>
      <c r="N105" s="121"/>
      <c r="O105" s="327"/>
      <c r="P105" s="121"/>
      <c r="Q105" s="333"/>
      <c r="R105" s="177"/>
      <c r="S105" s="17"/>
      <c r="T105" s="17"/>
      <c r="U105" s="17"/>
      <c r="V105" s="17"/>
    </row>
    <row r="106">
      <c r="A106" s="327"/>
      <c r="B106" s="121"/>
      <c r="C106" s="327"/>
      <c r="D106" s="121"/>
      <c r="E106" s="327"/>
      <c r="F106" s="121"/>
      <c r="G106" s="327"/>
      <c r="H106" s="121"/>
      <c r="I106" s="358"/>
      <c r="J106" s="142"/>
      <c r="K106" s="358"/>
      <c r="L106" s="142"/>
      <c r="M106" s="327"/>
      <c r="N106" s="121"/>
      <c r="O106" s="327"/>
      <c r="P106" s="121"/>
      <c r="Q106" s="333"/>
      <c r="R106" s="177"/>
      <c r="S106" s="17"/>
      <c r="T106" s="17"/>
      <c r="U106" s="17"/>
      <c r="V106" s="17"/>
    </row>
    <row r="107">
      <c r="A107" s="327"/>
      <c r="B107" s="121"/>
      <c r="C107" s="327"/>
      <c r="D107" s="121"/>
      <c r="E107" s="327"/>
      <c r="F107" s="121"/>
      <c r="G107" s="327"/>
      <c r="H107" s="121"/>
      <c r="I107" s="358"/>
      <c r="J107" s="142"/>
      <c r="K107" s="358"/>
      <c r="L107" s="142"/>
      <c r="M107" s="327"/>
      <c r="N107" s="121"/>
      <c r="O107" s="327"/>
      <c r="P107" s="121"/>
      <c r="Q107" s="333"/>
      <c r="R107" s="177"/>
      <c r="S107" s="17"/>
      <c r="T107" s="17"/>
      <c r="U107" s="17"/>
      <c r="V107" s="17"/>
    </row>
    <row r="108">
      <c r="A108" s="327"/>
      <c r="B108" s="121"/>
      <c r="C108" s="327"/>
      <c r="D108" s="121"/>
      <c r="E108" s="327"/>
      <c r="F108" s="121"/>
      <c r="G108" s="327"/>
      <c r="H108" s="121"/>
      <c r="I108" s="358"/>
      <c r="J108" s="142"/>
      <c r="K108" s="358"/>
      <c r="L108" s="142"/>
      <c r="M108" s="327"/>
      <c r="N108" s="121"/>
      <c r="O108" s="327"/>
      <c r="P108" s="121"/>
      <c r="Q108" s="333"/>
      <c r="R108" s="177"/>
      <c r="S108" s="17"/>
      <c r="T108" s="17"/>
      <c r="U108" s="17"/>
      <c r="V108" s="17"/>
    </row>
    <row r="109">
      <c r="A109" s="327"/>
      <c r="B109" s="121"/>
      <c r="C109" s="327"/>
      <c r="D109" s="121"/>
      <c r="E109" s="327"/>
      <c r="F109" s="121"/>
      <c r="G109" s="327"/>
      <c r="H109" s="121"/>
      <c r="I109" s="358"/>
      <c r="J109" s="142"/>
      <c r="K109" s="358"/>
      <c r="L109" s="142"/>
      <c r="M109" s="327"/>
      <c r="N109" s="121"/>
      <c r="O109" s="327"/>
      <c r="P109" s="121"/>
      <c r="Q109" s="333"/>
      <c r="R109" s="177"/>
      <c r="S109" s="17"/>
      <c r="T109" s="17"/>
      <c r="U109" s="17"/>
      <c r="V109" s="17"/>
    </row>
    <row r="110">
      <c r="A110" s="327"/>
      <c r="B110" s="121"/>
      <c r="C110" s="327"/>
      <c r="D110" s="121"/>
      <c r="E110" s="327"/>
      <c r="F110" s="121"/>
      <c r="G110" s="327"/>
      <c r="H110" s="121"/>
      <c r="I110" s="358"/>
      <c r="J110" s="142"/>
      <c r="K110" s="358"/>
      <c r="L110" s="142"/>
      <c r="M110" s="327"/>
      <c r="N110" s="121"/>
      <c r="O110" s="327"/>
      <c r="P110" s="121"/>
      <c r="Q110" s="333"/>
      <c r="R110" s="177"/>
      <c r="S110" s="17"/>
      <c r="T110" s="17"/>
      <c r="U110" s="17"/>
      <c r="V110" s="17"/>
    </row>
    <row r="111">
      <c r="A111" s="327"/>
      <c r="B111" s="121"/>
      <c r="C111" s="327"/>
      <c r="D111" s="121"/>
      <c r="E111" s="327"/>
      <c r="F111" s="121"/>
      <c r="G111" s="327"/>
      <c r="H111" s="121"/>
      <c r="I111" s="358"/>
      <c r="J111" s="142"/>
      <c r="K111" s="358"/>
      <c r="L111" s="142"/>
      <c r="M111" s="327"/>
      <c r="N111" s="121"/>
      <c r="O111" s="327"/>
      <c r="P111" s="121"/>
      <c r="Q111" s="333"/>
      <c r="R111" s="177"/>
      <c r="S111" s="17"/>
      <c r="T111" s="17"/>
      <c r="U111" s="17"/>
      <c r="V111" s="17"/>
    </row>
    <row r="112">
      <c r="A112" s="327"/>
      <c r="B112" s="121"/>
      <c r="C112" s="327"/>
      <c r="D112" s="121"/>
      <c r="E112" s="327"/>
      <c r="F112" s="121"/>
      <c r="G112" s="327"/>
      <c r="H112" s="121"/>
      <c r="I112" s="358"/>
      <c r="J112" s="142"/>
      <c r="K112" s="358"/>
      <c r="L112" s="142"/>
      <c r="M112" s="327"/>
      <c r="N112" s="121"/>
      <c r="O112" s="327"/>
      <c r="P112" s="121"/>
      <c r="Q112" s="333"/>
      <c r="R112" s="177"/>
      <c r="S112" s="17"/>
      <c r="T112" s="17"/>
      <c r="U112" s="17"/>
      <c r="V112" s="17"/>
    </row>
    <row r="113">
      <c r="A113" s="327"/>
      <c r="B113" s="121"/>
      <c r="C113" s="327"/>
      <c r="D113" s="121"/>
      <c r="E113" s="327"/>
      <c r="F113" s="121"/>
      <c r="G113" s="327"/>
      <c r="H113" s="121"/>
      <c r="I113" s="358"/>
      <c r="J113" s="142"/>
      <c r="K113" s="358"/>
      <c r="L113" s="142"/>
      <c r="M113" s="327"/>
      <c r="N113" s="121"/>
      <c r="O113" s="327"/>
      <c r="P113" s="121"/>
      <c r="Q113" s="333"/>
      <c r="R113" s="177"/>
      <c r="S113" s="17"/>
      <c r="T113" s="17"/>
      <c r="U113" s="17"/>
      <c r="V113" s="17"/>
    </row>
    <row r="114">
      <c r="A114" s="327"/>
      <c r="B114" s="121"/>
      <c r="C114" s="327"/>
      <c r="D114" s="121"/>
      <c r="E114" s="327"/>
      <c r="F114" s="121"/>
      <c r="G114" s="327"/>
      <c r="H114" s="121"/>
      <c r="I114" s="358"/>
      <c r="J114" s="142"/>
      <c r="K114" s="358"/>
      <c r="L114" s="142"/>
      <c r="M114" s="327"/>
      <c r="N114" s="121"/>
      <c r="O114" s="327"/>
      <c r="P114" s="121"/>
      <c r="Q114" s="333"/>
      <c r="R114" s="177"/>
      <c r="S114" s="17"/>
      <c r="T114" s="17"/>
      <c r="U114" s="17"/>
      <c r="V114" s="17"/>
    </row>
    <row r="115">
      <c r="A115" s="327"/>
      <c r="B115" s="121"/>
      <c r="C115" s="327"/>
      <c r="D115" s="121"/>
      <c r="E115" s="327"/>
      <c r="F115" s="121"/>
      <c r="G115" s="327"/>
      <c r="H115" s="121"/>
      <c r="I115" s="358"/>
      <c r="J115" s="142"/>
      <c r="K115" s="358"/>
      <c r="L115" s="142"/>
      <c r="M115" s="327"/>
      <c r="N115" s="121"/>
      <c r="O115" s="327"/>
      <c r="P115" s="121"/>
      <c r="Q115" s="333"/>
      <c r="R115" s="177"/>
      <c r="S115" s="17"/>
      <c r="T115" s="17"/>
      <c r="U115" s="17"/>
      <c r="V115" s="17"/>
    </row>
    <row r="116">
      <c r="A116" s="327"/>
      <c r="B116" s="121"/>
      <c r="C116" s="327"/>
      <c r="D116" s="121"/>
      <c r="E116" s="327"/>
      <c r="F116" s="121"/>
      <c r="G116" s="327"/>
      <c r="H116" s="121"/>
      <c r="I116" s="358"/>
      <c r="J116" s="142"/>
      <c r="K116" s="358"/>
      <c r="L116" s="142"/>
      <c r="M116" s="327"/>
      <c r="N116" s="121"/>
      <c r="O116" s="327"/>
      <c r="P116" s="121"/>
      <c r="Q116" s="333"/>
      <c r="R116" s="177"/>
      <c r="S116" s="17"/>
      <c r="T116" s="17"/>
      <c r="U116" s="17"/>
      <c r="V116" s="17"/>
    </row>
    <row r="117">
      <c r="A117" s="327"/>
      <c r="B117" s="121"/>
      <c r="C117" s="327"/>
      <c r="D117" s="121"/>
      <c r="E117" s="327"/>
      <c r="F117" s="121"/>
      <c r="G117" s="327"/>
      <c r="H117" s="121"/>
      <c r="I117" s="358"/>
      <c r="J117" s="142"/>
      <c r="K117" s="358"/>
      <c r="L117" s="142"/>
      <c r="M117" s="327"/>
      <c r="N117" s="121"/>
      <c r="O117" s="327"/>
      <c r="P117" s="121"/>
      <c r="Q117" s="333"/>
      <c r="R117" s="177"/>
      <c r="S117" s="17"/>
      <c r="T117" s="17"/>
      <c r="U117" s="17"/>
      <c r="V117" s="17"/>
    </row>
    <row r="118">
      <c r="A118" s="327"/>
      <c r="B118" s="121"/>
      <c r="C118" s="327"/>
      <c r="D118" s="121"/>
      <c r="E118" s="327"/>
      <c r="F118" s="121"/>
      <c r="G118" s="327"/>
      <c r="H118" s="121"/>
      <c r="I118" s="358"/>
      <c r="J118" s="142"/>
      <c r="K118" s="358"/>
      <c r="L118" s="142"/>
      <c r="M118" s="327"/>
      <c r="N118" s="121"/>
      <c r="O118" s="327"/>
      <c r="P118" s="121"/>
      <c r="Q118" s="333"/>
      <c r="R118" s="177"/>
      <c r="S118" s="17"/>
      <c r="T118" s="17"/>
      <c r="U118" s="17"/>
      <c r="V118" s="17"/>
    </row>
    <row r="119">
      <c r="A119" s="327"/>
      <c r="B119" s="121"/>
      <c r="C119" s="327"/>
      <c r="D119" s="121"/>
      <c r="E119" s="327"/>
      <c r="F119" s="121"/>
      <c r="G119" s="327"/>
      <c r="H119" s="121"/>
      <c r="I119" s="358"/>
      <c r="J119" s="142"/>
      <c r="K119" s="358"/>
      <c r="L119" s="142"/>
      <c r="M119" s="327"/>
      <c r="N119" s="121"/>
      <c r="O119" s="327"/>
      <c r="P119" s="121"/>
      <c r="Q119" s="333"/>
      <c r="R119" s="177"/>
      <c r="S119" s="17"/>
      <c r="T119" s="17"/>
      <c r="U119" s="17"/>
      <c r="V119" s="17"/>
    </row>
    <row r="120">
      <c r="A120" s="327"/>
      <c r="B120" s="121"/>
      <c r="C120" s="327"/>
      <c r="D120" s="121"/>
      <c r="E120" s="327"/>
      <c r="F120" s="121"/>
      <c r="G120" s="327"/>
      <c r="H120" s="121"/>
      <c r="I120" s="358"/>
      <c r="J120" s="142"/>
      <c r="K120" s="358"/>
      <c r="L120" s="142"/>
      <c r="M120" s="327"/>
      <c r="N120" s="121"/>
      <c r="O120" s="327"/>
      <c r="P120" s="121"/>
      <c r="Q120" s="333"/>
      <c r="R120" s="177"/>
      <c r="S120" s="17"/>
      <c r="T120" s="17"/>
      <c r="U120" s="17"/>
      <c r="V120" s="17"/>
    </row>
    <row r="121">
      <c r="A121" s="327"/>
      <c r="B121" s="121"/>
      <c r="C121" s="327"/>
      <c r="D121" s="121"/>
      <c r="E121" s="327"/>
      <c r="F121" s="121"/>
      <c r="G121" s="327"/>
      <c r="H121" s="121"/>
      <c r="I121" s="358"/>
      <c r="J121" s="142"/>
      <c r="K121" s="358"/>
      <c r="L121" s="142"/>
      <c r="M121" s="327"/>
      <c r="N121" s="121"/>
      <c r="O121" s="327"/>
      <c r="P121" s="121"/>
      <c r="Q121" s="333"/>
      <c r="R121" s="177"/>
      <c r="S121" s="17"/>
      <c r="T121" s="17"/>
      <c r="U121" s="17"/>
      <c r="V121" s="17"/>
    </row>
    <row r="122">
      <c r="A122" s="327"/>
      <c r="B122" s="121"/>
      <c r="C122" s="327"/>
      <c r="D122" s="121"/>
      <c r="E122" s="327"/>
      <c r="F122" s="121"/>
      <c r="G122" s="327"/>
      <c r="H122" s="121"/>
      <c r="I122" s="358"/>
      <c r="J122" s="142"/>
      <c r="K122" s="358"/>
      <c r="L122" s="142"/>
      <c r="M122" s="327"/>
      <c r="N122" s="121"/>
      <c r="O122" s="327"/>
      <c r="P122" s="121"/>
      <c r="Q122" s="333"/>
      <c r="R122" s="177"/>
      <c r="S122" s="17"/>
      <c r="T122" s="17"/>
      <c r="U122" s="17"/>
      <c r="V122" s="17"/>
    </row>
    <row r="123">
      <c r="A123" s="327"/>
      <c r="B123" s="121"/>
      <c r="C123" s="327"/>
      <c r="D123" s="121"/>
      <c r="E123" s="327"/>
      <c r="F123" s="121"/>
      <c r="G123" s="327"/>
      <c r="H123" s="121"/>
      <c r="I123" s="358"/>
      <c r="J123" s="142"/>
      <c r="K123" s="358"/>
      <c r="L123" s="142"/>
      <c r="M123" s="327"/>
      <c r="N123" s="121"/>
      <c r="O123" s="327"/>
      <c r="P123" s="121"/>
      <c r="Q123" s="333"/>
      <c r="R123" s="177"/>
      <c r="S123" s="17"/>
      <c r="T123" s="17"/>
      <c r="U123" s="17"/>
      <c r="V123" s="17"/>
    </row>
    <row r="124">
      <c r="A124" s="327"/>
      <c r="B124" s="121"/>
      <c r="C124" s="327"/>
      <c r="D124" s="121"/>
      <c r="E124" s="327"/>
      <c r="F124" s="121"/>
      <c r="G124" s="327"/>
      <c r="H124" s="121"/>
      <c r="I124" s="358"/>
      <c r="J124" s="142"/>
      <c r="K124" s="358"/>
      <c r="L124" s="142"/>
      <c r="M124" s="327"/>
      <c r="N124" s="121"/>
      <c r="O124" s="327"/>
      <c r="P124" s="121"/>
      <c r="Q124" s="333"/>
      <c r="R124" s="177"/>
      <c r="S124" s="17"/>
      <c r="T124" s="17"/>
      <c r="U124" s="17"/>
      <c r="V124" s="17"/>
    </row>
    <row r="125">
      <c r="A125" s="327"/>
      <c r="B125" s="121"/>
      <c r="C125" s="327"/>
      <c r="D125" s="121"/>
      <c r="E125" s="327"/>
      <c r="F125" s="121"/>
      <c r="G125" s="327"/>
      <c r="H125" s="121"/>
      <c r="I125" s="358"/>
      <c r="J125" s="142"/>
      <c r="K125" s="358"/>
      <c r="L125" s="142"/>
      <c r="M125" s="327"/>
      <c r="N125" s="121"/>
      <c r="O125" s="327"/>
      <c r="P125" s="121"/>
      <c r="Q125" s="333"/>
      <c r="R125" s="177"/>
      <c r="S125" s="17"/>
      <c r="T125" s="17"/>
      <c r="U125" s="17"/>
      <c r="V125" s="17"/>
    </row>
    <row r="126">
      <c r="A126" s="327"/>
      <c r="B126" s="121"/>
      <c r="C126" s="327"/>
      <c r="D126" s="121"/>
      <c r="E126" s="327"/>
      <c r="F126" s="121"/>
      <c r="G126" s="327"/>
      <c r="H126" s="121"/>
      <c r="I126" s="358"/>
      <c r="J126" s="142"/>
      <c r="K126" s="358"/>
      <c r="L126" s="142"/>
      <c r="M126" s="327"/>
      <c r="N126" s="121"/>
      <c r="O126" s="327"/>
      <c r="P126" s="121"/>
      <c r="Q126" s="333"/>
      <c r="R126" s="177"/>
      <c r="S126" s="17"/>
      <c r="T126" s="17"/>
      <c r="U126" s="17"/>
      <c r="V126" s="17"/>
    </row>
    <row r="127">
      <c r="A127" s="327"/>
      <c r="B127" s="121"/>
      <c r="C127" s="327"/>
      <c r="D127" s="121"/>
      <c r="E127" s="327"/>
      <c r="F127" s="121"/>
      <c r="G127" s="327"/>
      <c r="H127" s="121"/>
      <c r="I127" s="358"/>
      <c r="J127" s="142"/>
      <c r="K127" s="358"/>
      <c r="L127" s="142"/>
      <c r="M127" s="327"/>
      <c r="N127" s="121"/>
      <c r="O127" s="327"/>
      <c r="P127" s="121"/>
      <c r="Q127" s="333"/>
      <c r="R127" s="177"/>
      <c r="S127" s="17"/>
      <c r="T127" s="17"/>
      <c r="U127" s="17"/>
      <c r="V127" s="17"/>
    </row>
    <row r="128">
      <c r="A128" s="327"/>
      <c r="B128" s="121"/>
      <c r="C128" s="327"/>
      <c r="D128" s="121"/>
      <c r="E128" s="327"/>
      <c r="F128" s="121"/>
      <c r="G128" s="327"/>
      <c r="H128" s="121"/>
      <c r="I128" s="358"/>
      <c r="J128" s="142"/>
      <c r="K128" s="358"/>
      <c r="L128" s="142"/>
      <c r="M128" s="327"/>
      <c r="N128" s="121"/>
      <c r="O128" s="327"/>
      <c r="P128" s="121"/>
      <c r="Q128" s="333"/>
      <c r="R128" s="177"/>
      <c r="S128" s="17"/>
      <c r="T128" s="17"/>
      <c r="U128" s="17"/>
      <c r="V128" s="17"/>
    </row>
    <row r="129">
      <c r="A129" s="327"/>
      <c r="B129" s="121"/>
      <c r="C129" s="327"/>
      <c r="D129" s="121"/>
      <c r="E129" s="327"/>
      <c r="F129" s="121"/>
      <c r="G129" s="327"/>
      <c r="H129" s="121"/>
      <c r="I129" s="358"/>
      <c r="J129" s="142"/>
      <c r="K129" s="358"/>
      <c r="L129" s="142"/>
      <c r="M129" s="327"/>
      <c r="N129" s="121"/>
      <c r="O129" s="327"/>
      <c r="P129" s="121"/>
      <c r="Q129" s="333"/>
      <c r="R129" s="177"/>
      <c r="S129" s="17"/>
      <c r="T129" s="17"/>
      <c r="U129" s="17"/>
      <c r="V129" s="17"/>
    </row>
    <row r="130">
      <c r="A130" s="327"/>
      <c r="B130" s="121"/>
      <c r="C130" s="327"/>
      <c r="D130" s="121"/>
      <c r="E130" s="327"/>
      <c r="F130" s="121"/>
      <c r="G130" s="327"/>
      <c r="H130" s="121"/>
      <c r="I130" s="358"/>
      <c r="J130" s="142"/>
      <c r="K130" s="358"/>
      <c r="L130" s="142"/>
      <c r="M130" s="327"/>
      <c r="N130" s="121"/>
      <c r="O130" s="327"/>
      <c r="P130" s="121"/>
      <c r="Q130" s="333"/>
      <c r="R130" s="177"/>
      <c r="S130" s="17"/>
      <c r="T130" s="17"/>
      <c r="U130" s="17"/>
      <c r="V130" s="17"/>
    </row>
    <row r="131">
      <c r="A131" s="327"/>
      <c r="B131" s="121"/>
      <c r="C131" s="327"/>
      <c r="D131" s="121"/>
      <c r="E131" s="327"/>
      <c r="F131" s="121"/>
      <c r="G131" s="327"/>
      <c r="H131" s="121"/>
      <c r="I131" s="358"/>
      <c r="J131" s="142"/>
      <c r="K131" s="358"/>
      <c r="L131" s="142"/>
      <c r="M131" s="327"/>
      <c r="N131" s="121"/>
      <c r="O131" s="327"/>
      <c r="P131" s="121"/>
      <c r="Q131" s="333"/>
      <c r="R131" s="177"/>
      <c r="S131" s="17"/>
      <c r="T131" s="17"/>
      <c r="U131" s="17"/>
      <c r="V131" s="17"/>
    </row>
    <row r="132">
      <c r="A132" s="327"/>
      <c r="B132" s="121"/>
      <c r="C132" s="327"/>
      <c r="D132" s="121"/>
      <c r="E132" s="327"/>
      <c r="F132" s="121"/>
      <c r="G132" s="327"/>
      <c r="H132" s="121"/>
      <c r="I132" s="358"/>
      <c r="J132" s="142"/>
      <c r="K132" s="358"/>
      <c r="L132" s="142"/>
      <c r="M132" s="327"/>
      <c r="N132" s="121"/>
      <c r="O132" s="327"/>
      <c r="P132" s="121"/>
      <c r="Q132" s="333"/>
      <c r="R132" s="177"/>
      <c r="S132" s="17"/>
      <c r="T132" s="17"/>
      <c r="U132" s="17"/>
      <c r="V132" s="17"/>
    </row>
    <row r="133">
      <c r="A133" s="327"/>
      <c r="B133" s="121"/>
      <c r="C133" s="327"/>
      <c r="D133" s="121"/>
      <c r="E133" s="327"/>
      <c r="F133" s="121"/>
      <c r="G133" s="327"/>
      <c r="H133" s="121"/>
      <c r="I133" s="358"/>
      <c r="J133" s="142"/>
      <c r="K133" s="358"/>
      <c r="L133" s="142"/>
      <c r="M133" s="327"/>
      <c r="N133" s="121"/>
      <c r="O133" s="327"/>
      <c r="P133" s="121"/>
      <c r="Q133" s="333"/>
      <c r="R133" s="177"/>
      <c r="S133" s="17"/>
      <c r="T133" s="17"/>
      <c r="U133" s="17"/>
      <c r="V133" s="17"/>
    </row>
    <row r="134">
      <c r="A134" s="327"/>
      <c r="B134" s="121"/>
      <c r="C134" s="327"/>
      <c r="D134" s="121"/>
      <c r="E134" s="327"/>
      <c r="F134" s="121"/>
      <c r="G134" s="327"/>
      <c r="H134" s="121"/>
      <c r="I134" s="358"/>
      <c r="J134" s="142"/>
      <c r="K134" s="358"/>
      <c r="L134" s="142"/>
      <c r="M134" s="327"/>
      <c r="N134" s="121"/>
      <c r="O134" s="327"/>
      <c r="P134" s="121"/>
      <c r="Q134" s="333"/>
      <c r="R134" s="177"/>
      <c r="S134" s="17"/>
      <c r="T134" s="17"/>
      <c r="U134" s="17"/>
      <c r="V134" s="17"/>
    </row>
    <row r="135">
      <c r="A135" s="327"/>
      <c r="B135" s="121"/>
      <c r="C135" s="327"/>
      <c r="D135" s="121"/>
      <c r="E135" s="327"/>
      <c r="F135" s="121"/>
      <c r="G135" s="327"/>
      <c r="H135" s="121"/>
      <c r="I135" s="358"/>
      <c r="J135" s="142"/>
      <c r="K135" s="358"/>
      <c r="L135" s="142"/>
      <c r="M135" s="327"/>
      <c r="N135" s="121"/>
      <c r="O135" s="327"/>
      <c r="P135" s="121"/>
      <c r="Q135" s="333"/>
      <c r="R135" s="177"/>
      <c r="S135" s="17"/>
      <c r="T135" s="17"/>
      <c r="U135" s="17"/>
      <c r="V135" s="17"/>
    </row>
    <row r="136">
      <c r="A136" s="327"/>
      <c r="B136" s="121"/>
      <c r="C136" s="327"/>
      <c r="D136" s="121"/>
      <c r="E136" s="327"/>
      <c r="F136" s="121"/>
      <c r="G136" s="327"/>
      <c r="H136" s="121"/>
      <c r="I136" s="358"/>
      <c r="J136" s="142"/>
      <c r="K136" s="358"/>
      <c r="L136" s="142"/>
      <c r="M136" s="327"/>
      <c r="N136" s="121"/>
      <c r="O136" s="327"/>
      <c r="P136" s="121"/>
      <c r="Q136" s="333"/>
      <c r="R136" s="177"/>
      <c r="S136" s="17"/>
      <c r="T136" s="17"/>
      <c r="U136" s="17"/>
      <c r="V136" s="17"/>
    </row>
    <row r="137">
      <c r="A137" s="327"/>
      <c r="B137" s="121"/>
      <c r="C137" s="327"/>
      <c r="D137" s="121"/>
      <c r="E137" s="327"/>
      <c r="F137" s="121"/>
      <c r="G137" s="327"/>
      <c r="H137" s="121"/>
      <c r="I137" s="358"/>
      <c r="J137" s="142"/>
      <c r="K137" s="358"/>
      <c r="L137" s="142"/>
      <c r="M137" s="327"/>
      <c r="N137" s="121"/>
      <c r="O137" s="327"/>
      <c r="P137" s="121"/>
      <c r="Q137" s="333"/>
      <c r="R137" s="177"/>
      <c r="S137" s="17"/>
      <c r="T137" s="17"/>
      <c r="U137" s="17"/>
      <c r="V137" s="17"/>
    </row>
    <row r="138">
      <c r="A138" s="327"/>
      <c r="B138" s="121"/>
      <c r="C138" s="327"/>
      <c r="D138" s="121"/>
      <c r="E138" s="327"/>
      <c r="F138" s="121"/>
      <c r="G138" s="327"/>
      <c r="H138" s="121"/>
      <c r="I138" s="358"/>
      <c r="J138" s="142"/>
      <c r="K138" s="358"/>
      <c r="L138" s="142"/>
      <c r="M138" s="327"/>
      <c r="N138" s="121"/>
      <c r="O138" s="327"/>
      <c r="P138" s="121"/>
      <c r="Q138" s="333"/>
      <c r="R138" s="177"/>
      <c r="S138" s="17"/>
      <c r="T138" s="17"/>
      <c r="U138" s="17"/>
      <c r="V138" s="17"/>
    </row>
    <row r="139">
      <c r="A139" s="327"/>
      <c r="B139" s="121"/>
      <c r="C139" s="327"/>
      <c r="D139" s="121"/>
      <c r="E139" s="327"/>
      <c r="F139" s="121"/>
      <c r="G139" s="327"/>
      <c r="H139" s="121"/>
      <c r="I139" s="358"/>
      <c r="J139" s="142"/>
      <c r="K139" s="358"/>
      <c r="L139" s="142"/>
      <c r="M139" s="327"/>
      <c r="N139" s="121"/>
      <c r="O139" s="327"/>
      <c r="P139" s="121"/>
      <c r="Q139" s="333"/>
      <c r="R139" s="177"/>
      <c r="S139" s="17"/>
      <c r="T139" s="17"/>
      <c r="U139" s="17"/>
      <c r="V139" s="17"/>
    </row>
    <row r="140">
      <c r="A140" s="327"/>
      <c r="B140" s="121"/>
      <c r="C140" s="327"/>
      <c r="D140" s="121"/>
      <c r="E140" s="327"/>
      <c r="F140" s="121"/>
      <c r="G140" s="327"/>
      <c r="H140" s="121"/>
      <c r="I140" s="358"/>
      <c r="J140" s="142"/>
      <c r="K140" s="358"/>
      <c r="L140" s="142"/>
      <c r="M140" s="327"/>
      <c r="N140" s="121"/>
      <c r="O140" s="327"/>
      <c r="P140" s="121"/>
      <c r="Q140" s="333"/>
      <c r="R140" s="177"/>
      <c r="S140" s="17"/>
      <c r="T140" s="17"/>
      <c r="U140" s="17"/>
      <c r="V140" s="17"/>
    </row>
    <row r="141">
      <c r="A141" s="327"/>
      <c r="B141" s="121"/>
      <c r="C141" s="327"/>
      <c r="D141" s="121"/>
      <c r="E141" s="327"/>
      <c r="F141" s="121"/>
      <c r="G141" s="327"/>
      <c r="H141" s="121"/>
      <c r="I141" s="358"/>
      <c r="J141" s="142"/>
      <c r="K141" s="358"/>
      <c r="L141" s="142"/>
      <c r="M141" s="327"/>
      <c r="N141" s="121"/>
      <c r="O141" s="327"/>
      <c r="P141" s="121"/>
      <c r="Q141" s="333"/>
      <c r="R141" s="177"/>
      <c r="S141" s="17"/>
      <c r="T141" s="17"/>
      <c r="U141" s="17"/>
      <c r="V141" s="17"/>
    </row>
    <row r="142">
      <c r="A142" s="327"/>
      <c r="B142" s="121"/>
      <c r="C142" s="327"/>
      <c r="D142" s="121"/>
      <c r="E142" s="327"/>
      <c r="F142" s="121"/>
      <c r="G142" s="327"/>
      <c r="H142" s="121"/>
      <c r="I142" s="358"/>
      <c r="J142" s="142"/>
      <c r="K142" s="358"/>
      <c r="L142" s="142"/>
      <c r="M142" s="327"/>
      <c r="N142" s="121"/>
      <c r="O142" s="327"/>
      <c r="P142" s="121"/>
      <c r="Q142" s="333"/>
      <c r="R142" s="177"/>
      <c r="S142" s="17"/>
      <c r="T142" s="17"/>
      <c r="U142" s="17"/>
      <c r="V142" s="17"/>
    </row>
    <row r="143">
      <c r="A143" s="327"/>
      <c r="B143" s="121"/>
      <c r="C143" s="327"/>
      <c r="D143" s="121"/>
      <c r="E143" s="327"/>
      <c r="F143" s="121"/>
      <c r="G143" s="327"/>
      <c r="H143" s="121"/>
      <c r="I143" s="358"/>
      <c r="J143" s="142"/>
      <c r="K143" s="358"/>
      <c r="L143" s="142"/>
      <c r="M143" s="327"/>
      <c r="N143" s="121"/>
      <c r="O143" s="327"/>
      <c r="P143" s="121"/>
      <c r="Q143" s="333"/>
      <c r="R143" s="177"/>
      <c r="S143" s="17"/>
      <c r="T143" s="17"/>
      <c r="U143" s="17"/>
      <c r="V143" s="17"/>
    </row>
    <row r="144">
      <c r="A144" s="327"/>
      <c r="B144" s="121"/>
      <c r="C144" s="327"/>
      <c r="D144" s="121"/>
      <c r="E144" s="327"/>
      <c r="F144" s="121"/>
      <c r="G144" s="327"/>
      <c r="H144" s="121"/>
      <c r="I144" s="358"/>
      <c r="J144" s="142"/>
      <c r="K144" s="358"/>
      <c r="L144" s="142"/>
      <c r="M144" s="327"/>
      <c r="N144" s="121"/>
      <c r="O144" s="327"/>
      <c r="P144" s="121"/>
      <c r="Q144" s="333"/>
      <c r="R144" s="177"/>
      <c r="S144" s="17"/>
      <c r="T144" s="17"/>
      <c r="U144" s="17"/>
      <c r="V144" s="17"/>
    </row>
    <row r="145">
      <c r="A145" s="327"/>
      <c r="B145" s="121"/>
      <c r="C145" s="327"/>
      <c r="D145" s="121"/>
      <c r="E145" s="327"/>
      <c r="F145" s="121"/>
      <c r="G145" s="327"/>
      <c r="H145" s="121"/>
      <c r="I145" s="358"/>
      <c r="J145" s="142"/>
      <c r="K145" s="358"/>
      <c r="L145" s="142"/>
      <c r="M145" s="327"/>
      <c r="N145" s="121"/>
      <c r="O145" s="327"/>
      <c r="P145" s="121"/>
      <c r="Q145" s="333"/>
      <c r="R145" s="177"/>
      <c r="S145" s="17"/>
      <c r="T145" s="17"/>
      <c r="U145" s="17"/>
      <c r="V145" s="17"/>
    </row>
    <row r="146">
      <c r="A146" s="327"/>
      <c r="B146" s="121"/>
      <c r="C146" s="327"/>
      <c r="D146" s="121"/>
      <c r="E146" s="327"/>
      <c r="F146" s="121"/>
      <c r="G146" s="327"/>
      <c r="H146" s="121"/>
      <c r="I146" s="358"/>
      <c r="J146" s="142"/>
      <c r="K146" s="358"/>
      <c r="L146" s="142"/>
      <c r="M146" s="327"/>
      <c r="N146" s="121"/>
      <c r="O146" s="327"/>
      <c r="P146" s="121"/>
      <c r="Q146" s="333"/>
      <c r="R146" s="177"/>
      <c r="S146" s="17"/>
      <c r="T146" s="17"/>
      <c r="U146" s="17"/>
      <c r="V146" s="17"/>
    </row>
    <row r="147">
      <c r="A147" s="327"/>
      <c r="B147" s="121"/>
      <c r="C147" s="327"/>
      <c r="D147" s="121"/>
      <c r="E147" s="327"/>
      <c r="F147" s="121"/>
      <c r="G147" s="327"/>
      <c r="H147" s="121"/>
      <c r="I147" s="358"/>
      <c r="J147" s="142"/>
      <c r="K147" s="358"/>
      <c r="L147" s="142"/>
      <c r="M147" s="327"/>
      <c r="N147" s="121"/>
      <c r="O147" s="327"/>
      <c r="P147" s="121"/>
      <c r="Q147" s="333"/>
      <c r="R147" s="177"/>
      <c r="S147" s="17"/>
      <c r="T147" s="17"/>
      <c r="U147" s="17"/>
      <c r="V147" s="17"/>
    </row>
    <row r="148">
      <c r="A148" s="327"/>
      <c r="B148" s="121"/>
      <c r="C148" s="327"/>
      <c r="D148" s="121"/>
      <c r="E148" s="327"/>
      <c r="F148" s="121"/>
      <c r="G148" s="327"/>
      <c r="H148" s="121"/>
      <c r="I148" s="358"/>
      <c r="J148" s="142"/>
      <c r="K148" s="358"/>
      <c r="L148" s="142"/>
      <c r="M148" s="327"/>
      <c r="N148" s="121"/>
      <c r="O148" s="327"/>
      <c r="P148" s="121"/>
      <c r="Q148" s="333"/>
      <c r="R148" s="177"/>
      <c r="S148" s="17"/>
      <c r="T148" s="17"/>
      <c r="U148" s="17"/>
      <c r="V148" s="17"/>
    </row>
    <row r="149">
      <c r="A149" s="327"/>
      <c r="B149" s="121"/>
      <c r="C149" s="327"/>
      <c r="D149" s="121"/>
      <c r="E149" s="327"/>
      <c r="F149" s="121"/>
      <c r="G149" s="327"/>
      <c r="H149" s="121"/>
      <c r="I149" s="358"/>
      <c r="J149" s="142"/>
      <c r="K149" s="358"/>
      <c r="L149" s="142"/>
      <c r="M149" s="327"/>
      <c r="N149" s="121"/>
      <c r="O149" s="327"/>
      <c r="P149" s="121"/>
      <c r="Q149" s="333"/>
      <c r="R149" s="177"/>
      <c r="S149" s="17"/>
      <c r="T149" s="17"/>
      <c r="U149" s="17"/>
      <c r="V149" s="17"/>
    </row>
    <row r="150">
      <c r="A150" s="327"/>
      <c r="B150" s="121"/>
      <c r="C150" s="327"/>
      <c r="D150" s="121"/>
      <c r="E150" s="327"/>
      <c r="F150" s="121"/>
      <c r="G150" s="327"/>
      <c r="H150" s="121"/>
      <c r="I150" s="358"/>
      <c r="J150" s="142"/>
      <c r="K150" s="358"/>
      <c r="L150" s="142"/>
      <c r="M150" s="327"/>
      <c r="N150" s="121"/>
      <c r="O150" s="327"/>
      <c r="P150" s="121"/>
      <c r="Q150" s="333"/>
      <c r="R150" s="177"/>
      <c r="S150" s="17"/>
      <c r="T150" s="17"/>
      <c r="U150" s="17"/>
      <c r="V150" s="17"/>
    </row>
    <row r="151">
      <c r="A151" s="327"/>
      <c r="B151" s="121"/>
      <c r="C151" s="327"/>
      <c r="D151" s="121"/>
      <c r="E151" s="327"/>
      <c r="F151" s="121"/>
      <c r="G151" s="327"/>
      <c r="H151" s="121"/>
      <c r="I151" s="358"/>
      <c r="J151" s="142"/>
      <c r="K151" s="358"/>
      <c r="L151" s="142"/>
      <c r="M151" s="327"/>
      <c r="N151" s="121"/>
      <c r="O151" s="327"/>
      <c r="P151" s="121"/>
      <c r="Q151" s="333"/>
      <c r="R151" s="177"/>
      <c r="S151" s="17"/>
      <c r="T151" s="17"/>
      <c r="U151" s="17"/>
      <c r="V151" s="17"/>
    </row>
    <row r="152">
      <c r="A152" s="327"/>
      <c r="B152" s="121"/>
      <c r="C152" s="327"/>
      <c r="D152" s="121"/>
      <c r="E152" s="327"/>
      <c r="F152" s="121"/>
      <c r="G152" s="327"/>
      <c r="H152" s="121"/>
      <c r="I152" s="358"/>
      <c r="J152" s="142"/>
      <c r="K152" s="358"/>
      <c r="L152" s="142"/>
      <c r="M152" s="327"/>
      <c r="N152" s="121"/>
      <c r="O152" s="327"/>
      <c r="P152" s="121"/>
      <c r="Q152" s="333"/>
      <c r="R152" s="177"/>
      <c r="S152" s="17"/>
      <c r="T152" s="17"/>
      <c r="U152" s="17"/>
      <c r="V152" s="17"/>
    </row>
    <row r="153">
      <c r="A153" s="327"/>
      <c r="B153" s="121"/>
      <c r="C153" s="327"/>
      <c r="D153" s="121"/>
      <c r="E153" s="327"/>
      <c r="F153" s="121"/>
      <c r="G153" s="327"/>
      <c r="H153" s="121"/>
      <c r="I153" s="358"/>
      <c r="J153" s="142"/>
      <c r="K153" s="358"/>
      <c r="L153" s="142"/>
      <c r="M153" s="327"/>
      <c r="N153" s="121"/>
      <c r="O153" s="327"/>
      <c r="P153" s="121"/>
      <c r="Q153" s="333"/>
      <c r="R153" s="177"/>
      <c r="S153" s="17"/>
      <c r="T153" s="17"/>
      <c r="U153" s="17"/>
      <c r="V153" s="17"/>
    </row>
    <row r="154">
      <c r="A154" s="327"/>
      <c r="B154" s="121"/>
      <c r="C154" s="327"/>
      <c r="D154" s="121"/>
      <c r="E154" s="327"/>
      <c r="F154" s="121"/>
      <c r="G154" s="327"/>
      <c r="H154" s="121"/>
      <c r="I154" s="358"/>
      <c r="J154" s="142"/>
      <c r="K154" s="358"/>
      <c r="L154" s="142"/>
      <c r="M154" s="327"/>
      <c r="N154" s="121"/>
      <c r="O154" s="327"/>
      <c r="P154" s="121"/>
      <c r="Q154" s="333"/>
      <c r="R154" s="177"/>
      <c r="S154" s="17"/>
      <c r="T154" s="17"/>
      <c r="U154" s="17"/>
      <c r="V154" s="17"/>
    </row>
    <row r="155">
      <c r="A155" s="327"/>
      <c r="B155" s="121"/>
      <c r="C155" s="327"/>
      <c r="D155" s="121"/>
      <c r="E155" s="327"/>
      <c r="F155" s="121"/>
      <c r="G155" s="327"/>
      <c r="H155" s="121"/>
      <c r="I155" s="358"/>
      <c r="J155" s="142"/>
      <c r="K155" s="358"/>
      <c r="L155" s="142"/>
      <c r="M155" s="327"/>
      <c r="N155" s="121"/>
      <c r="O155" s="327"/>
      <c r="P155" s="121"/>
      <c r="Q155" s="333"/>
      <c r="R155" s="177"/>
      <c r="S155" s="17"/>
      <c r="T155" s="17"/>
      <c r="U155" s="17"/>
      <c r="V155" s="17"/>
    </row>
    <row r="156">
      <c r="A156" s="327"/>
      <c r="B156" s="121"/>
      <c r="C156" s="327"/>
      <c r="D156" s="121"/>
      <c r="E156" s="327"/>
      <c r="F156" s="121"/>
      <c r="G156" s="327"/>
      <c r="H156" s="121"/>
      <c r="I156" s="358"/>
      <c r="J156" s="142"/>
      <c r="K156" s="358"/>
      <c r="L156" s="142"/>
      <c r="M156" s="327"/>
      <c r="N156" s="121"/>
      <c r="O156" s="327"/>
      <c r="P156" s="121"/>
      <c r="Q156" s="333"/>
      <c r="R156" s="177"/>
      <c r="S156" s="17"/>
      <c r="T156" s="17"/>
      <c r="U156" s="17"/>
      <c r="V156" s="17"/>
    </row>
    <row r="157">
      <c r="A157" s="327"/>
      <c r="B157" s="121"/>
      <c r="C157" s="327"/>
      <c r="D157" s="121"/>
      <c r="E157" s="327"/>
      <c r="F157" s="121"/>
      <c r="G157" s="327"/>
      <c r="H157" s="121"/>
      <c r="I157" s="358"/>
      <c r="J157" s="142"/>
      <c r="K157" s="358"/>
      <c r="L157" s="142"/>
      <c r="M157" s="327"/>
      <c r="N157" s="121"/>
      <c r="O157" s="327"/>
      <c r="P157" s="121"/>
      <c r="Q157" s="333"/>
      <c r="R157" s="177"/>
      <c r="S157" s="17"/>
      <c r="T157" s="17"/>
      <c r="U157" s="17"/>
      <c r="V157" s="17"/>
    </row>
    <row r="158">
      <c r="A158" s="327"/>
      <c r="B158" s="121"/>
      <c r="C158" s="327"/>
      <c r="D158" s="121"/>
      <c r="E158" s="327"/>
      <c r="F158" s="121"/>
      <c r="G158" s="327"/>
      <c r="H158" s="121"/>
      <c r="I158" s="358"/>
      <c r="J158" s="142"/>
      <c r="K158" s="358"/>
      <c r="L158" s="142"/>
      <c r="M158" s="327"/>
      <c r="N158" s="121"/>
      <c r="O158" s="327"/>
      <c r="P158" s="121"/>
      <c r="Q158" s="333"/>
      <c r="R158" s="177"/>
      <c r="S158" s="17"/>
      <c r="T158" s="17"/>
      <c r="U158" s="17"/>
      <c r="V158" s="17"/>
    </row>
    <row r="159">
      <c r="A159" s="327"/>
      <c r="B159" s="121"/>
      <c r="C159" s="327"/>
      <c r="D159" s="121"/>
      <c r="E159" s="327"/>
      <c r="F159" s="121"/>
      <c r="G159" s="327"/>
      <c r="H159" s="121"/>
      <c r="I159" s="358"/>
      <c r="J159" s="142"/>
      <c r="K159" s="358"/>
      <c r="L159" s="142"/>
      <c r="M159" s="327"/>
      <c r="N159" s="121"/>
      <c r="O159" s="327"/>
      <c r="P159" s="121"/>
      <c r="Q159" s="333"/>
      <c r="R159" s="177"/>
      <c r="S159" s="17"/>
      <c r="T159" s="17"/>
      <c r="U159" s="17"/>
      <c r="V159" s="17"/>
    </row>
    <row r="160">
      <c r="A160" s="327"/>
      <c r="B160" s="121"/>
      <c r="C160" s="327"/>
      <c r="D160" s="121"/>
      <c r="E160" s="327"/>
      <c r="F160" s="121"/>
      <c r="G160" s="327"/>
      <c r="H160" s="121"/>
      <c r="I160" s="358"/>
      <c r="J160" s="142"/>
      <c r="K160" s="358"/>
      <c r="L160" s="142"/>
      <c r="M160" s="327"/>
      <c r="N160" s="121"/>
      <c r="O160" s="327"/>
      <c r="P160" s="121"/>
      <c r="Q160" s="333"/>
      <c r="R160" s="177"/>
      <c r="S160" s="17"/>
      <c r="T160" s="17"/>
      <c r="U160" s="17"/>
      <c r="V160" s="17"/>
    </row>
    <row r="161">
      <c r="A161" s="327"/>
      <c r="B161" s="121"/>
      <c r="C161" s="327"/>
      <c r="D161" s="121"/>
      <c r="E161" s="327"/>
      <c r="F161" s="121"/>
      <c r="G161" s="327"/>
      <c r="H161" s="121"/>
      <c r="I161" s="358"/>
      <c r="J161" s="142"/>
      <c r="K161" s="358"/>
      <c r="L161" s="142"/>
      <c r="M161" s="327"/>
      <c r="N161" s="121"/>
      <c r="O161" s="327"/>
      <c r="P161" s="121"/>
      <c r="Q161" s="333"/>
      <c r="R161" s="177"/>
      <c r="S161" s="17"/>
      <c r="T161" s="17"/>
      <c r="U161" s="17"/>
      <c r="V161" s="17"/>
    </row>
    <row r="162">
      <c r="A162" s="327"/>
      <c r="B162" s="121"/>
      <c r="C162" s="327"/>
      <c r="D162" s="121"/>
      <c r="E162" s="327"/>
      <c r="F162" s="121"/>
      <c r="G162" s="327"/>
      <c r="H162" s="121"/>
      <c r="I162" s="358"/>
      <c r="J162" s="142"/>
      <c r="K162" s="358"/>
      <c r="L162" s="142"/>
      <c r="M162" s="327"/>
      <c r="N162" s="121"/>
      <c r="O162" s="327"/>
      <c r="P162" s="121"/>
      <c r="Q162" s="333"/>
      <c r="R162" s="177"/>
      <c r="S162" s="17"/>
      <c r="T162" s="17"/>
      <c r="U162" s="17"/>
      <c r="V162" s="17"/>
    </row>
    <row r="163">
      <c r="A163" s="327"/>
      <c r="B163" s="121"/>
      <c r="C163" s="327"/>
      <c r="D163" s="121"/>
      <c r="E163" s="327"/>
      <c r="F163" s="121"/>
      <c r="G163" s="327"/>
      <c r="H163" s="121"/>
      <c r="I163" s="358"/>
      <c r="J163" s="142"/>
      <c r="K163" s="358"/>
      <c r="L163" s="142"/>
      <c r="M163" s="327"/>
      <c r="N163" s="121"/>
      <c r="O163" s="327"/>
      <c r="P163" s="121"/>
      <c r="Q163" s="333"/>
      <c r="R163" s="177"/>
      <c r="S163" s="17"/>
      <c r="T163" s="17"/>
      <c r="U163" s="17"/>
      <c r="V163" s="17"/>
    </row>
    <row r="164">
      <c r="A164" s="327"/>
      <c r="B164" s="121"/>
      <c r="C164" s="327"/>
      <c r="D164" s="121"/>
      <c r="E164" s="327"/>
      <c r="F164" s="121"/>
      <c r="G164" s="327"/>
      <c r="H164" s="121"/>
      <c r="I164" s="358"/>
      <c r="J164" s="142"/>
      <c r="K164" s="358"/>
      <c r="L164" s="142"/>
      <c r="M164" s="327"/>
      <c r="N164" s="121"/>
      <c r="O164" s="327"/>
      <c r="P164" s="121"/>
      <c r="Q164" s="333"/>
      <c r="R164" s="177"/>
      <c r="S164" s="17"/>
      <c r="T164" s="17"/>
      <c r="U164" s="17"/>
      <c r="V164" s="17"/>
    </row>
    <row r="165">
      <c r="A165" s="327"/>
      <c r="B165" s="121"/>
      <c r="C165" s="327"/>
      <c r="D165" s="121"/>
      <c r="E165" s="327"/>
      <c r="F165" s="121"/>
      <c r="G165" s="327"/>
      <c r="H165" s="121"/>
      <c r="I165" s="358"/>
      <c r="J165" s="142"/>
      <c r="K165" s="358"/>
      <c r="L165" s="142"/>
      <c r="M165" s="327"/>
      <c r="N165" s="121"/>
      <c r="O165" s="327"/>
      <c r="P165" s="121"/>
      <c r="Q165" s="333"/>
      <c r="R165" s="177"/>
      <c r="S165" s="17"/>
      <c r="T165" s="17"/>
      <c r="U165" s="17"/>
      <c r="V165" s="17"/>
    </row>
    <row r="166">
      <c r="A166" s="327"/>
      <c r="B166" s="121"/>
      <c r="C166" s="327"/>
      <c r="D166" s="121"/>
      <c r="E166" s="327"/>
      <c r="F166" s="121"/>
      <c r="G166" s="327"/>
      <c r="H166" s="121"/>
      <c r="I166" s="358"/>
      <c r="J166" s="142"/>
      <c r="K166" s="358"/>
      <c r="L166" s="142"/>
      <c r="M166" s="327"/>
      <c r="N166" s="121"/>
      <c r="O166" s="327"/>
      <c r="P166" s="121"/>
      <c r="Q166" s="333"/>
      <c r="R166" s="177"/>
      <c r="S166" s="17"/>
      <c r="T166" s="17"/>
      <c r="U166" s="17"/>
      <c r="V166" s="17"/>
    </row>
    <row r="167">
      <c r="A167" s="327"/>
      <c r="B167" s="121"/>
      <c r="C167" s="327"/>
      <c r="D167" s="121"/>
      <c r="E167" s="327"/>
      <c r="F167" s="121"/>
      <c r="G167" s="327"/>
      <c r="H167" s="121"/>
      <c r="I167" s="358"/>
      <c r="J167" s="142"/>
      <c r="K167" s="358"/>
      <c r="L167" s="142"/>
      <c r="M167" s="327"/>
      <c r="N167" s="121"/>
      <c r="O167" s="327"/>
      <c r="P167" s="121"/>
      <c r="Q167" s="333"/>
      <c r="R167" s="177"/>
      <c r="S167" s="17"/>
      <c r="T167" s="17"/>
      <c r="U167" s="17"/>
      <c r="V167" s="17"/>
    </row>
    <row r="168">
      <c r="A168" s="327"/>
      <c r="B168" s="121"/>
      <c r="C168" s="327"/>
      <c r="D168" s="121"/>
      <c r="E168" s="327"/>
      <c r="F168" s="121"/>
      <c r="G168" s="327"/>
      <c r="H168" s="121"/>
      <c r="I168" s="358"/>
      <c r="J168" s="142"/>
      <c r="K168" s="358"/>
      <c r="L168" s="142"/>
      <c r="M168" s="327"/>
      <c r="N168" s="121"/>
      <c r="O168" s="327"/>
      <c r="P168" s="121"/>
      <c r="Q168" s="333"/>
      <c r="R168" s="177"/>
      <c r="S168" s="17"/>
      <c r="T168" s="17"/>
      <c r="U168" s="17"/>
      <c r="V168" s="17"/>
    </row>
    <row r="169">
      <c r="A169" s="327"/>
      <c r="B169" s="121"/>
      <c r="C169" s="327"/>
      <c r="D169" s="121"/>
      <c r="E169" s="327"/>
      <c r="F169" s="121"/>
      <c r="G169" s="327"/>
      <c r="H169" s="121"/>
      <c r="I169" s="358"/>
      <c r="J169" s="142"/>
      <c r="K169" s="358"/>
      <c r="L169" s="142"/>
      <c r="M169" s="327"/>
      <c r="N169" s="121"/>
      <c r="O169" s="327"/>
      <c r="P169" s="121"/>
      <c r="Q169" s="333"/>
      <c r="R169" s="177"/>
      <c r="S169" s="17"/>
      <c r="T169" s="17"/>
      <c r="U169" s="17"/>
      <c r="V169" s="17"/>
    </row>
    <row r="170">
      <c r="A170" s="327"/>
      <c r="B170" s="121"/>
      <c r="C170" s="327"/>
      <c r="D170" s="121"/>
      <c r="E170" s="327"/>
      <c r="F170" s="121"/>
      <c r="G170" s="327"/>
      <c r="H170" s="121"/>
      <c r="I170" s="358"/>
      <c r="J170" s="142"/>
      <c r="K170" s="358"/>
      <c r="L170" s="142"/>
      <c r="M170" s="327"/>
      <c r="N170" s="121"/>
      <c r="O170" s="327"/>
      <c r="P170" s="121"/>
      <c r="Q170" s="333"/>
      <c r="R170" s="177"/>
      <c r="S170" s="17"/>
      <c r="T170" s="17"/>
      <c r="U170" s="17"/>
      <c r="V170" s="17"/>
    </row>
    <row r="171">
      <c r="A171" s="327"/>
      <c r="B171" s="121"/>
      <c r="C171" s="327"/>
      <c r="D171" s="121"/>
      <c r="E171" s="327"/>
      <c r="F171" s="121"/>
      <c r="G171" s="327"/>
      <c r="H171" s="121"/>
      <c r="I171" s="358"/>
      <c r="J171" s="142"/>
      <c r="K171" s="358"/>
      <c r="L171" s="142"/>
      <c r="M171" s="327"/>
      <c r="N171" s="121"/>
      <c r="O171" s="327"/>
      <c r="P171" s="121"/>
      <c r="Q171" s="333"/>
      <c r="R171" s="177"/>
      <c r="S171" s="17"/>
      <c r="T171" s="17"/>
      <c r="U171" s="17"/>
      <c r="V171" s="17"/>
    </row>
    <row r="172">
      <c r="A172" s="327"/>
      <c r="B172" s="121"/>
      <c r="C172" s="327"/>
      <c r="D172" s="121"/>
      <c r="E172" s="327"/>
      <c r="F172" s="121"/>
      <c r="G172" s="327"/>
      <c r="H172" s="121"/>
      <c r="I172" s="358"/>
      <c r="J172" s="142"/>
      <c r="K172" s="358"/>
      <c r="L172" s="142"/>
      <c r="M172" s="327"/>
      <c r="N172" s="121"/>
      <c r="O172" s="327"/>
      <c r="P172" s="121"/>
      <c r="Q172" s="333"/>
      <c r="R172" s="177"/>
      <c r="S172" s="17"/>
      <c r="T172" s="17"/>
      <c r="U172" s="17"/>
      <c r="V172" s="17"/>
    </row>
    <row r="173">
      <c r="A173" s="327"/>
      <c r="B173" s="121"/>
      <c r="C173" s="327"/>
      <c r="D173" s="121"/>
      <c r="E173" s="327"/>
      <c r="F173" s="121"/>
      <c r="G173" s="327"/>
      <c r="H173" s="121"/>
      <c r="I173" s="358"/>
      <c r="J173" s="142"/>
      <c r="K173" s="358"/>
      <c r="L173" s="142"/>
      <c r="M173" s="327"/>
      <c r="N173" s="121"/>
      <c r="O173" s="327"/>
      <c r="P173" s="121"/>
      <c r="Q173" s="333"/>
      <c r="R173" s="177"/>
      <c r="S173" s="17"/>
      <c r="T173" s="17"/>
      <c r="U173" s="17"/>
      <c r="V173" s="17"/>
    </row>
    <row r="174">
      <c r="A174" s="327"/>
      <c r="B174" s="121"/>
      <c r="C174" s="327"/>
      <c r="D174" s="121"/>
      <c r="E174" s="327"/>
      <c r="F174" s="121"/>
      <c r="G174" s="327"/>
      <c r="H174" s="121"/>
      <c r="I174" s="358"/>
      <c r="J174" s="142"/>
      <c r="K174" s="358"/>
      <c r="L174" s="142"/>
      <c r="M174" s="327"/>
      <c r="N174" s="121"/>
      <c r="O174" s="327"/>
      <c r="P174" s="121"/>
      <c r="Q174" s="333"/>
      <c r="R174" s="177"/>
      <c r="S174" s="17"/>
      <c r="T174" s="17"/>
      <c r="U174" s="17"/>
      <c r="V174" s="17"/>
    </row>
    <row r="175">
      <c r="A175" s="327"/>
      <c r="B175" s="121"/>
      <c r="C175" s="327"/>
      <c r="D175" s="121"/>
      <c r="E175" s="327"/>
      <c r="F175" s="121"/>
      <c r="G175" s="327"/>
      <c r="H175" s="121"/>
      <c r="I175" s="358"/>
      <c r="J175" s="142"/>
      <c r="K175" s="358"/>
      <c r="L175" s="142"/>
      <c r="M175" s="327"/>
      <c r="N175" s="121"/>
      <c r="O175" s="327"/>
      <c r="P175" s="121"/>
      <c r="Q175" s="333"/>
      <c r="R175" s="177"/>
      <c r="S175" s="17"/>
      <c r="T175" s="17"/>
      <c r="U175" s="17"/>
      <c r="V175" s="17"/>
    </row>
    <row r="176">
      <c r="A176" s="327"/>
      <c r="B176" s="121"/>
      <c r="C176" s="327"/>
      <c r="D176" s="121"/>
      <c r="E176" s="327"/>
      <c r="F176" s="121"/>
      <c r="G176" s="327"/>
      <c r="H176" s="121"/>
      <c r="I176" s="358"/>
      <c r="J176" s="142"/>
      <c r="K176" s="358"/>
      <c r="L176" s="142"/>
      <c r="M176" s="327"/>
      <c r="N176" s="121"/>
      <c r="O176" s="327"/>
      <c r="P176" s="121"/>
      <c r="Q176" s="333"/>
      <c r="R176" s="177"/>
      <c r="S176" s="17"/>
      <c r="T176" s="17"/>
      <c r="U176" s="17"/>
      <c r="V176" s="17"/>
    </row>
    <row r="177">
      <c r="A177" s="327"/>
      <c r="B177" s="121"/>
      <c r="C177" s="327"/>
      <c r="D177" s="121"/>
      <c r="E177" s="327"/>
      <c r="F177" s="121"/>
      <c r="G177" s="327"/>
      <c r="H177" s="121"/>
      <c r="I177" s="358"/>
      <c r="J177" s="142"/>
      <c r="K177" s="358"/>
      <c r="L177" s="142"/>
      <c r="M177" s="327"/>
      <c r="N177" s="121"/>
      <c r="O177" s="327"/>
      <c r="P177" s="121"/>
      <c r="Q177" s="333"/>
      <c r="R177" s="177"/>
      <c r="S177" s="17"/>
      <c r="T177" s="17"/>
      <c r="U177" s="17"/>
      <c r="V177" s="17"/>
    </row>
    <row r="178">
      <c r="A178" s="327"/>
      <c r="B178" s="121"/>
      <c r="C178" s="327"/>
      <c r="D178" s="121"/>
      <c r="E178" s="327"/>
      <c r="F178" s="121"/>
      <c r="G178" s="327"/>
      <c r="H178" s="121"/>
      <c r="I178" s="358"/>
      <c r="J178" s="142"/>
      <c r="K178" s="358"/>
      <c r="L178" s="142"/>
      <c r="M178" s="327"/>
      <c r="N178" s="121"/>
      <c r="O178" s="327"/>
      <c r="P178" s="121"/>
      <c r="Q178" s="333"/>
      <c r="R178" s="177"/>
      <c r="S178" s="17"/>
      <c r="T178" s="17"/>
      <c r="U178" s="17"/>
      <c r="V178" s="17"/>
    </row>
    <row r="179">
      <c r="A179" s="327"/>
      <c r="B179" s="121"/>
      <c r="C179" s="327"/>
      <c r="D179" s="121"/>
      <c r="E179" s="327"/>
      <c r="F179" s="121"/>
      <c r="G179" s="327"/>
      <c r="H179" s="121"/>
      <c r="I179" s="358"/>
      <c r="J179" s="142"/>
      <c r="K179" s="358"/>
      <c r="L179" s="142"/>
      <c r="M179" s="327"/>
      <c r="N179" s="121"/>
      <c r="O179" s="327"/>
      <c r="P179" s="121"/>
      <c r="Q179" s="333"/>
      <c r="R179" s="177"/>
      <c r="S179" s="17"/>
      <c r="T179" s="17"/>
      <c r="U179" s="17"/>
      <c r="V179" s="17"/>
    </row>
    <row r="180">
      <c r="A180" s="327"/>
      <c r="B180" s="121"/>
      <c r="C180" s="327"/>
      <c r="D180" s="121"/>
      <c r="E180" s="327"/>
      <c r="F180" s="121"/>
      <c r="G180" s="327"/>
      <c r="H180" s="121"/>
      <c r="I180" s="358"/>
      <c r="J180" s="142"/>
      <c r="K180" s="358"/>
      <c r="L180" s="142"/>
      <c r="M180" s="327"/>
      <c r="N180" s="121"/>
      <c r="O180" s="327"/>
      <c r="P180" s="121"/>
      <c r="Q180" s="333"/>
      <c r="R180" s="177"/>
      <c r="S180" s="17"/>
      <c r="T180" s="17"/>
      <c r="U180" s="17"/>
      <c r="V180" s="17"/>
    </row>
    <row r="181">
      <c r="A181" s="327"/>
      <c r="B181" s="121"/>
      <c r="C181" s="327"/>
      <c r="D181" s="121"/>
      <c r="E181" s="327"/>
      <c r="F181" s="121"/>
      <c r="G181" s="327"/>
      <c r="H181" s="121"/>
      <c r="I181" s="358"/>
      <c r="J181" s="142"/>
      <c r="K181" s="358"/>
      <c r="L181" s="142"/>
      <c r="M181" s="327"/>
      <c r="N181" s="121"/>
      <c r="O181" s="327"/>
      <c r="P181" s="121"/>
      <c r="Q181" s="333"/>
      <c r="R181" s="177"/>
      <c r="S181" s="17"/>
      <c r="T181" s="17"/>
      <c r="U181" s="17"/>
      <c r="V181" s="17"/>
    </row>
    <row r="182">
      <c r="A182" s="327"/>
      <c r="B182" s="121"/>
      <c r="C182" s="327"/>
      <c r="D182" s="121"/>
      <c r="E182" s="327"/>
      <c r="F182" s="121"/>
      <c r="G182" s="327"/>
      <c r="H182" s="121"/>
      <c r="I182" s="358"/>
      <c r="J182" s="142"/>
      <c r="K182" s="358"/>
      <c r="L182" s="142"/>
      <c r="M182" s="327"/>
      <c r="N182" s="121"/>
      <c r="O182" s="327"/>
      <c r="P182" s="121"/>
      <c r="Q182" s="333"/>
      <c r="R182" s="177"/>
      <c r="S182" s="17"/>
      <c r="T182" s="17"/>
      <c r="U182" s="17"/>
      <c r="V182" s="17"/>
    </row>
    <row r="183">
      <c r="A183" s="327"/>
      <c r="B183" s="121"/>
      <c r="C183" s="327"/>
      <c r="D183" s="121"/>
      <c r="E183" s="327"/>
      <c r="F183" s="121"/>
      <c r="G183" s="327"/>
      <c r="H183" s="121"/>
      <c r="I183" s="358"/>
      <c r="J183" s="142"/>
      <c r="K183" s="358"/>
      <c r="L183" s="142"/>
      <c r="M183" s="327"/>
      <c r="N183" s="121"/>
      <c r="O183" s="327"/>
      <c r="P183" s="121"/>
      <c r="Q183" s="333"/>
      <c r="R183" s="177"/>
      <c r="S183" s="17"/>
      <c r="T183" s="17"/>
      <c r="U183" s="17"/>
      <c r="V183" s="17"/>
    </row>
    <row r="184">
      <c r="A184" s="327"/>
      <c r="B184" s="121"/>
      <c r="C184" s="327"/>
      <c r="D184" s="121"/>
      <c r="E184" s="327"/>
      <c r="F184" s="121"/>
      <c r="G184" s="327"/>
      <c r="H184" s="121"/>
      <c r="I184" s="358"/>
      <c r="J184" s="142"/>
      <c r="K184" s="358"/>
      <c r="L184" s="142"/>
      <c r="M184" s="327"/>
      <c r="N184" s="121"/>
      <c r="O184" s="327"/>
      <c r="P184" s="121"/>
      <c r="Q184" s="333"/>
      <c r="R184" s="177"/>
      <c r="S184" s="17"/>
      <c r="T184" s="17"/>
      <c r="U184" s="17"/>
      <c r="V184" s="17"/>
    </row>
    <row r="185">
      <c r="A185" s="327"/>
      <c r="B185" s="121"/>
      <c r="C185" s="327"/>
      <c r="D185" s="121"/>
      <c r="E185" s="327"/>
      <c r="F185" s="121"/>
      <c r="G185" s="327"/>
      <c r="H185" s="121"/>
      <c r="I185" s="358"/>
      <c r="J185" s="142"/>
      <c r="K185" s="358"/>
      <c r="L185" s="142"/>
      <c r="M185" s="327"/>
      <c r="N185" s="121"/>
      <c r="O185" s="327"/>
      <c r="P185" s="121"/>
      <c r="Q185" s="333"/>
      <c r="R185" s="177"/>
      <c r="S185" s="17"/>
      <c r="T185" s="17"/>
      <c r="U185" s="17"/>
      <c r="V185" s="17"/>
    </row>
    <row r="186">
      <c r="A186" s="327"/>
      <c r="B186" s="121"/>
      <c r="C186" s="327"/>
      <c r="D186" s="121"/>
      <c r="E186" s="327"/>
      <c r="F186" s="121"/>
      <c r="G186" s="327"/>
      <c r="H186" s="121"/>
      <c r="I186" s="358"/>
      <c r="J186" s="142"/>
      <c r="K186" s="358"/>
      <c r="L186" s="142"/>
      <c r="M186" s="327"/>
      <c r="N186" s="121"/>
      <c r="O186" s="327"/>
      <c r="P186" s="121"/>
      <c r="Q186" s="333"/>
      <c r="R186" s="177"/>
      <c r="S186" s="17"/>
      <c r="T186" s="17"/>
      <c r="U186" s="17"/>
      <c r="V186" s="17"/>
    </row>
    <row r="187">
      <c r="A187" s="327"/>
      <c r="B187" s="121"/>
      <c r="C187" s="327"/>
      <c r="D187" s="121"/>
      <c r="E187" s="327"/>
      <c r="F187" s="121"/>
      <c r="G187" s="327"/>
      <c r="H187" s="121"/>
      <c r="I187" s="358"/>
      <c r="J187" s="142"/>
      <c r="K187" s="358"/>
      <c r="L187" s="142"/>
      <c r="M187" s="327"/>
      <c r="N187" s="121"/>
      <c r="O187" s="327"/>
      <c r="P187" s="121"/>
      <c r="Q187" s="333"/>
      <c r="R187" s="177"/>
      <c r="S187" s="17"/>
      <c r="T187" s="17"/>
      <c r="U187" s="17"/>
      <c r="V187" s="17"/>
    </row>
    <row r="188">
      <c r="A188" s="327"/>
      <c r="B188" s="121"/>
      <c r="C188" s="327"/>
      <c r="D188" s="121"/>
      <c r="E188" s="327"/>
      <c r="F188" s="121"/>
      <c r="G188" s="327"/>
      <c r="H188" s="121"/>
      <c r="I188" s="358"/>
      <c r="J188" s="142"/>
      <c r="K188" s="358"/>
      <c r="L188" s="142"/>
      <c r="M188" s="327"/>
      <c r="N188" s="121"/>
      <c r="O188" s="327"/>
      <c r="P188" s="121"/>
      <c r="Q188" s="333"/>
      <c r="R188" s="177"/>
      <c r="S188" s="17"/>
      <c r="T188" s="17"/>
      <c r="U188" s="17"/>
      <c r="V188" s="17"/>
    </row>
    <row r="189">
      <c r="A189" s="327"/>
      <c r="B189" s="121"/>
      <c r="C189" s="327"/>
      <c r="D189" s="121"/>
      <c r="E189" s="327"/>
      <c r="F189" s="121"/>
      <c r="G189" s="327"/>
      <c r="H189" s="121"/>
      <c r="I189" s="358"/>
      <c r="J189" s="142"/>
      <c r="K189" s="358"/>
      <c r="L189" s="142"/>
      <c r="M189" s="327"/>
      <c r="N189" s="121"/>
      <c r="O189" s="327"/>
      <c r="P189" s="121"/>
      <c r="Q189" s="333"/>
      <c r="R189" s="177"/>
      <c r="S189" s="17"/>
      <c r="T189" s="17"/>
      <c r="U189" s="17"/>
      <c r="V189" s="17"/>
    </row>
    <row r="190">
      <c r="A190" s="327"/>
      <c r="B190" s="121"/>
      <c r="C190" s="327"/>
      <c r="D190" s="121"/>
      <c r="E190" s="327"/>
      <c r="F190" s="121"/>
      <c r="G190" s="327"/>
      <c r="H190" s="121"/>
      <c r="I190" s="358"/>
      <c r="J190" s="142"/>
      <c r="K190" s="358"/>
      <c r="L190" s="142"/>
      <c r="M190" s="327"/>
      <c r="N190" s="121"/>
      <c r="O190" s="327"/>
      <c r="P190" s="121"/>
      <c r="Q190" s="333"/>
      <c r="R190" s="177"/>
      <c r="S190" s="17"/>
      <c r="T190" s="17"/>
      <c r="U190" s="17"/>
      <c r="V190" s="17"/>
    </row>
    <row r="191">
      <c r="A191" s="327"/>
      <c r="B191" s="121"/>
      <c r="C191" s="327"/>
      <c r="D191" s="121"/>
      <c r="E191" s="327"/>
      <c r="F191" s="121"/>
      <c r="G191" s="327"/>
      <c r="H191" s="121"/>
      <c r="I191" s="358"/>
      <c r="J191" s="142"/>
      <c r="K191" s="358"/>
      <c r="L191" s="142"/>
      <c r="M191" s="327"/>
      <c r="N191" s="121"/>
      <c r="O191" s="327"/>
      <c r="P191" s="121"/>
      <c r="Q191" s="333"/>
      <c r="R191" s="177"/>
      <c r="S191" s="17"/>
      <c r="T191" s="17"/>
      <c r="U191" s="17"/>
      <c r="V191" s="17"/>
    </row>
    <row r="192">
      <c r="A192" s="327"/>
      <c r="B192" s="121"/>
      <c r="C192" s="327"/>
      <c r="D192" s="121"/>
      <c r="E192" s="327"/>
      <c r="F192" s="121"/>
      <c r="G192" s="327"/>
      <c r="H192" s="121"/>
      <c r="I192" s="358"/>
      <c r="J192" s="142"/>
      <c r="K192" s="358"/>
      <c r="L192" s="142"/>
      <c r="M192" s="327"/>
      <c r="N192" s="121"/>
      <c r="O192" s="327"/>
      <c r="P192" s="121"/>
      <c r="Q192" s="333"/>
      <c r="R192" s="177"/>
      <c r="S192" s="17"/>
      <c r="T192" s="17"/>
      <c r="U192" s="17"/>
      <c r="V192" s="17"/>
    </row>
    <row r="193">
      <c r="A193" s="327"/>
      <c r="B193" s="121"/>
      <c r="C193" s="327"/>
      <c r="D193" s="121"/>
      <c r="E193" s="327"/>
      <c r="F193" s="121"/>
      <c r="G193" s="327"/>
      <c r="H193" s="121"/>
      <c r="I193" s="358"/>
      <c r="J193" s="142"/>
      <c r="K193" s="358"/>
      <c r="L193" s="142"/>
      <c r="M193" s="327"/>
      <c r="N193" s="121"/>
      <c r="O193" s="327"/>
      <c r="P193" s="121"/>
      <c r="Q193" s="333"/>
      <c r="R193" s="177"/>
      <c r="S193" s="17"/>
      <c r="T193" s="17"/>
      <c r="U193" s="17"/>
      <c r="V193" s="17"/>
    </row>
    <row r="194">
      <c r="A194" s="327"/>
      <c r="B194" s="121"/>
      <c r="C194" s="327"/>
      <c r="D194" s="121"/>
      <c r="E194" s="327"/>
      <c r="F194" s="121"/>
      <c r="G194" s="327"/>
      <c r="H194" s="121"/>
      <c r="I194" s="358"/>
      <c r="J194" s="142"/>
      <c r="K194" s="358"/>
      <c r="L194" s="142"/>
      <c r="M194" s="327"/>
      <c r="N194" s="121"/>
      <c r="O194" s="327"/>
      <c r="P194" s="121"/>
      <c r="Q194" s="333"/>
      <c r="R194" s="177"/>
      <c r="S194" s="17"/>
      <c r="T194" s="17"/>
      <c r="U194" s="17"/>
      <c r="V194" s="17"/>
    </row>
    <row r="195">
      <c r="A195" s="327"/>
      <c r="B195" s="121"/>
      <c r="C195" s="327"/>
      <c r="D195" s="121"/>
      <c r="E195" s="327"/>
      <c r="F195" s="121"/>
      <c r="G195" s="327"/>
      <c r="H195" s="121"/>
      <c r="I195" s="358"/>
      <c r="J195" s="142"/>
      <c r="K195" s="358"/>
      <c r="L195" s="142"/>
      <c r="M195" s="327"/>
      <c r="N195" s="121"/>
      <c r="O195" s="327"/>
      <c r="P195" s="121"/>
      <c r="Q195" s="333"/>
      <c r="R195" s="177"/>
      <c r="S195" s="17"/>
      <c r="T195" s="17"/>
      <c r="U195" s="17"/>
      <c r="V195" s="17"/>
    </row>
    <row r="196">
      <c r="A196" s="327"/>
      <c r="B196" s="121"/>
      <c r="C196" s="327"/>
      <c r="D196" s="121"/>
      <c r="E196" s="327"/>
      <c r="F196" s="121"/>
      <c r="G196" s="327"/>
      <c r="H196" s="121"/>
      <c r="I196" s="358"/>
      <c r="J196" s="142"/>
      <c r="K196" s="358"/>
      <c r="L196" s="142"/>
      <c r="M196" s="327"/>
      <c r="N196" s="121"/>
      <c r="O196" s="327"/>
      <c r="P196" s="121"/>
      <c r="Q196" s="333"/>
      <c r="R196" s="177"/>
      <c r="S196" s="17"/>
      <c r="T196" s="17"/>
      <c r="U196" s="17"/>
      <c r="V196" s="17"/>
    </row>
    <row r="197">
      <c r="A197" s="327"/>
      <c r="B197" s="121"/>
      <c r="C197" s="327"/>
      <c r="D197" s="121"/>
      <c r="E197" s="327"/>
      <c r="F197" s="121"/>
      <c r="G197" s="327"/>
      <c r="H197" s="121"/>
      <c r="I197" s="358"/>
      <c r="J197" s="142"/>
      <c r="K197" s="358"/>
      <c r="L197" s="142"/>
      <c r="M197" s="327"/>
      <c r="N197" s="121"/>
      <c r="O197" s="327"/>
      <c r="P197" s="121"/>
      <c r="Q197" s="333"/>
      <c r="R197" s="177"/>
      <c r="S197" s="17"/>
      <c r="T197" s="17"/>
      <c r="U197" s="17"/>
      <c r="V197" s="17"/>
    </row>
    <row r="198">
      <c r="A198" s="327"/>
      <c r="B198" s="121"/>
      <c r="C198" s="327"/>
      <c r="D198" s="121"/>
      <c r="E198" s="327"/>
      <c r="F198" s="121"/>
      <c r="G198" s="327"/>
      <c r="H198" s="121"/>
      <c r="I198" s="358"/>
      <c r="J198" s="142"/>
      <c r="K198" s="358"/>
      <c r="L198" s="142"/>
      <c r="M198" s="327"/>
      <c r="N198" s="121"/>
      <c r="O198" s="327"/>
      <c r="P198" s="121"/>
      <c r="Q198" s="333"/>
      <c r="R198" s="177"/>
      <c r="S198" s="17"/>
      <c r="T198" s="17"/>
      <c r="U198" s="17"/>
      <c r="V198" s="17"/>
    </row>
    <row r="199">
      <c r="A199" s="327"/>
      <c r="B199" s="121"/>
      <c r="C199" s="327"/>
      <c r="D199" s="121"/>
      <c r="E199" s="327"/>
      <c r="F199" s="121"/>
      <c r="G199" s="327"/>
      <c r="H199" s="121"/>
      <c r="I199" s="358"/>
      <c r="J199" s="142"/>
      <c r="K199" s="358"/>
      <c r="L199" s="142"/>
      <c r="M199" s="327"/>
      <c r="N199" s="121"/>
      <c r="O199" s="327"/>
      <c r="P199" s="121"/>
      <c r="Q199" s="333"/>
      <c r="R199" s="177"/>
      <c r="S199" s="17"/>
      <c r="T199" s="17"/>
      <c r="U199" s="17"/>
      <c r="V199" s="17"/>
    </row>
    <row r="200">
      <c r="A200" s="327"/>
      <c r="B200" s="121"/>
      <c r="C200" s="327"/>
      <c r="D200" s="121"/>
      <c r="E200" s="327"/>
      <c r="F200" s="121"/>
      <c r="G200" s="327"/>
      <c r="H200" s="121"/>
      <c r="I200" s="358"/>
      <c r="J200" s="142"/>
      <c r="K200" s="358"/>
      <c r="L200" s="142"/>
      <c r="M200" s="327"/>
      <c r="N200" s="121"/>
      <c r="O200" s="327"/>
      <c r="P200" s="121"/>
      <c r="Q200" s="333"/>
      <c r="R200" s="177"/>
      <c r="S200" s="17"/>
      <c r="T200" s="17"/>
      <c r="U200" s="17"/>
      <c r="V200" s="17"/>
    </row>
    <row r="201">
      <c r="A201" s="327"/>
      <c r="B201" s="121"/>
      <c r="C201" s="327"/>
      <c r="D201" s="121"/>
      <c r="E201" s="327"/>
      <c r="F201" s="121"/>
      <c r="G201" s="327"/>
      <c r="H201" s="121"/>
      <c r="I201" s="358"/>
      <c r="J201" s="142"/>
      <c r="K201" s="358"/>
      <c r="L201" s="142"/>
      <c r="M201" s="327"/>
      <c r="N201" s="121"/>
      <c r="O201" s="327"/>
      <c r="P201" s="121"/>
      <c r="Q201" s="333"/>
      <c r="R201" s="177"/>
      <c r="S201" s="17"/>
      <c r="T201" s="17"/>
      <c r="U201" s="17"/>
      <c r="V201" s="17"/>
    </row>
    <row r="202">
      <c r="A202" s="327"/>
      <c r="B202" s="121"/>
      <c r="C202" s="327"/>
      <c r="D202" s="121"/>
      <c r="E202" s="327"/>
      <c r="F202" s="121"/>
      <c r="G202" s="327"/>
      <c r="H202" s="121"/>
      <c r="I202" s="358"/>
      <c r="J202" s="142"/>
      <c r="K202" s="358"/>
      <c r="L202" s="142"/>
      <c r="M202" s="327"/>
      <c r="N202" s="121"/>
      <c r="O202" s="327"/>
      <c r="P202" s="121"/>
      <c r="Q202" s="333"/>
      <c r="R202" s="177"/>
      <c r="S202" s="17"/>
      <c r="T202" s="17"/>
      <c r="U202" s="17"/>
      <c r="V202" s="17"/>
    </row>
    <row r="203">
      <c r="A203" s="327"/>
      <c r="B203" s="121"/>
      <c r="C203" s="327"/>
      <c r="D203" s="121"/>
      <c r="E203" s="327"/>
      <c r="F203" s="121"/>
      <c r="G203" s="327"/>
      <c r="H203" s="121"/>
      <c r="I203" s="358"/>
      <c r="J203" s="142"/>
      <c r="K203" s="358"/>
      <c r="L203" s="142"/>
      <c r="M203" s="327"/>
      <c r="N203" s="121"/>
      <c r="O203" s="327"/>
      <c r="P203" s="121"/>
      <c r="Q203" s="333"/>
      <c r="R203" s="177"/>
      <c r="S203" s="17"/>
      <c r="T203" s="17"/>
      <c r="U203" s="17"/>
      <c r="V203" s="17"/>
    </row>
    <row r="204">
      <c r="A204" s="327"/>
      <c r="B204" s="121"/>
      <c r="C204" s="327"/>
      <c r="D204" s="121"/>
      <c r="E204" s="327"/>
      <c r="F204" s="121"/>
      <c r="G204" s="327"/>
      <c r="H204" s="121"/>
      <c r="I204" s="358"/>
      <c r="J204" s="142"/>
      <c r="K204" s="358"/>
      <c r="L204" s="142"/>
      <c r="M204" s="327"/>
      <c r="N204" s="121"/>
      <c r="O204" s="327"/>
      <c r="P204" s="121"/>
      <c r="Q204" s="333"/>
      <c r="R204" s="177"/>
      <c r="S204" s="17"/>
      <c r="T204" s="17"/>
      <c r="U204" s="17"/>
      <c r="V204" s="17"/>
    </row>
    <row r="205">
      <c r="A205" s="327"/>
      <c r="B205" s="121"/>
      <c r="C205" s="327"/>
      <c r="D205" s="121"/>
      <c r="E205" s="327"/>
      <c r="F205" s="121"/>
      <c r="G205" s="327"/>
      <c r="H205" s="121"/>
      <c r="I205" s="358"/>
      <c r="J205" s="142"/>
      <c r="K205" s="358"/>
      <c r="L205" s="142"/>
      <c r="M205" s="327"/>
      <c r="N205" s="121"/>
      <c r="O205" s="327"/>
      <c r="P205" s="121"/>
      <c r="Q205" s="333"/>
      <c r="R205" s="177"/>
      <c r="S205" s="17"/>
      <c r="T205" s="17"/>
      <c r="U205" s="17"/>
      <c r="V205" s="17"/>
    </row>
    <row r="206">
      <c r="A206" s="327"/>
      <c r="B206" s="121"/>
      <c r="C206" s="327"/>
      <c r="D206" s="121"/>
      <c r="E206" s="327"/>
      <c r="F206" s="121"/>
      <c r="G206" s="327"/>
      <c r="H206" s="121"/>
      <c r="I206" s="358"/>
      <c r="J206" s="142"/>
      <c r="K206" s="358"/>
      <c r="L206" s="142"/>
      <c r="M206" s="327"/>
      <c r="N206" s="121"/>
      <c r="O206" s="327"/>
      <c r="P206" s="121"/>
      <c r="Q206" s="333"/>
      <c r="R206" s="177"/>
      <c r="S206" s="17"/>
      <c r="T206" s="17"/>
      <c r="U206" s="17"/>
      <c r="V206" s="17"/>
    </row>
    <row r="207">
      <c r="A207" s="327"/>
      <c r="B207" s="121"/>
      <c r="C207" s="327"/>
      <c r="D207" s="121"/>
      <c r="E207" s="327"/>
      <c r="F207" s="121"/>
      <c r="G207" s="327"/>
      <c r="H207" s="121"/>
      <c r="I207" s="358"/>
      <c r="J207" s="142"/>
      <c r="K207" s="358"/>
      <c r="L207" s="142"/>
      <c r="M207" s="327"/>
      <c r="N207" s="121"/>
      <c r="O207" s="327"/>
      <c r="P207" s="121"/>
      <c r="Q207" s="333"/>
      <c r="R207" s="177"/>
      <c r="S207" s="17"/>
      <c r="T207" s="17"/>
      <c r="U207" s="17"/>
      <c r="V207" s="17"/>
    </row>
    <row r="208">
      <c r="A208" s="327"/>
      <c r="B208" s="121"/>
      <c r="C208" s="327"/>
      <c r="D208" s="121"/>
      <c r="E208" s="327"/>
      <c r="F208" s="121"/>
      <c r="G208" s="327"/>
      <c r="H208" s="121"/>
      <c r="I208" s="358"/>
      <c r="J208" s="142"/>
      <c r="K208" s="358"/>
      <c r="L208" s="142"/>
      <c r="M208" s="327"/>
      <c r="N208" s="121"/>
      <c r="O208" s="327"/>
      <c r="P208" s="121"/>
      <c r="Q208" s="333"/>
      <c r="R208" s="177"/>
      <c r="S208" s="17"/>
      <c r="T208" s="17"/>
      <c r="U208" s="17"/>
      <c r="V208" s="17"/>
    </row>
    <row r="209">
      <c r="A209" s="327"/>
      <c r="B209" s="121"/>
      <c r="C209" s="327"/>
      <c r="D209" s="121"/>
      <c r="E209" s="327"/>
      <c r="F209" s="121"/>
      <c r="G209" s="327"/>
      <c r="H209" s="121"/>
      <c r="I209" s="358"/>
      <c r="J209" s="142"/>
      <c r="K209" s="358"/>
      <c r="L209" s="142"/>
      <c r="M209" s="327"/>
      <c r="N209" s="121"/>
      <c r="O209" s="327"/>
      <c r="P209" s="121"/>
      <c r="Q209" s="333"/>
      <c r="R209" s="177"/>
      <c r="S209" s="17"/>
      <c r="T209" s="17"/>
      <c r="U209" s="17"/>
      <c r="V209" s="17"/>
    </row>
    <row r="210">
      <c r="A210" s="327"/>
      <c r="B210" s="121"/>
      <c r="C210" s="327"/>
      <c r="D210" s="121"/>
      <c r="E210" s="327"/>
      <c r="F210" s="121"/>
      <c r="G210" s="327"/>
      <c r="H210" s="121"/>
      <c r="I210" s="358"/>
      <c r="J210" s="142"/>
      <c r="K210" s="358"/>
      <c r="L210" s="142"/>
      <c r="M210" s="327"/>
      <c r="N210" s="121"/>
      <c r="O210" s="327"/>
      <c r="P210" s="121"/>
      <c r="Q210" s="333"/>
      <c r="R210" s="177"/>
      <c r="S210" s="17"/>
      <c r="T210" s="17"/>
      <c r="U210" s="17"/>
      <c r="V210" s="17"/>
    </row>
    <row r="211">
      <c r="A211" s="327"/>
      <c r="B211" s="121"/>
      <c r="C211" s="327"/>
      <c r="D211" s="121"/>
      <c r="E211" s="327"/>
      <c r="F211" s="121"/>
      <c r="G211" s="327"/>
      <c r="H211" s="121"/>
      <c r="I211" s="358"/>
      <c r="J211" s="142"/>
      <c r="K211" s="358"/>
      <c r="L211" s="142"/>
      <c r="M211" s="327"/>
      <c r="N211" s="121"/>
      <c r="O211" s="327"/>
      <c r="P211" s="121"/>
      <c r="Q211" s="333"/>
      <c r="R211" s="177"/>
      <c r="S211" s="17"/>
      <c r="T211" s="17"/>
      <c r="U211" s="17"/>
      <c r="V211" s="17"/>
    </row>
    <row r="212">
      <c r="A212" s="327"/>
      <c r="B212" s="121"/>
      <c r="C212" s="327"/>
      <c r="D212" s="121"/>
      <c r="E212" s="327"/>
      <c r="F212" s="121"/>
      <c r="G212" s="327"/>
      <c r="H212" s="121"/>
      <c r="I212" s="358"/>
      <c r="J212" s="142"/>
      <c r="K212" s="358"/>
      <c r="L212" s="142"/>
      <c r="M212" s="327"/>
      <c r="N212" s="121"/>
      <c r="O212" s="327"/>
      <c r="P212" s="121"/>
      <c r="Q212" s="333"/>
      <c r="R212" s="177"/>
      <c r="S212" s="17"/>
      <c r="T212" s="17"/>
      <c r="U212" s="17"/>
      <c r="V212" s="17"/>
    </row>
    <row r="213">
      <c r="A213" s="327"/>
      <c r="B213" s="121"/>
      <c r="C213" s="327"/>
      <c r="D213" s="121"/>
      <c r="E213" s="327"/>
      <c r="F213" s="121"/>
      <c r="G213" s="327"/>
      <c r="H213" s="121"/>
      <c r="I213" s="358"/>
      <c r="J213" s="142"/>
      <c r="K213" s="358"/>
      <c r="L213" s="142"/>
      <c r="M213" s="327"/>
      <c r="N213" s="121"/>
      <c r="O213" s="327"/>
      <c r="P213" s="121"/>
      <c r="Q213" s="333"/>
      <c r="R213" s="177"/>
      <c r="S213" s="17"/>
      <c r="T213" s="17"/>
      <c r="U213" s="17"/>
      <c r="V213" s="17"/>
    </row>
    <row r="214">
      <c r="A214" s="327"/>
      <c r="B214" s="121"/>
      <c r="C214" s="327"/>
      <c r="D214" s="121"/>
      <c r="E214" s="327"/>
      <c r="F214" s="121"/>
      <c r="G214" s="327"/>
      <c r="H214" s="121"/>
      <c r="I214" s="358"/>
      <c r="J214" s="142"/>
      <c r="K214" s="358"/>
      <c r="L214" s="142"/>
      <c r="M214" s="327"/>
      <c r="N214" s="121"/>
      <c r="O214" s="327"/>
      <c r="P214" s="121"/>
      <c r="Q214" s="333"/>
      <c r="R214" s="177"/>
      <c r="S214" s="17"/>
      <c r="T214" s="17"/>
      <c r="U214" s="17"/>
      <c r="V214" s="17"/>
    </row>
    <row r="215">
      <c r="A215" s="327"/>
      <c r="B215" s="121"/>
      <c r="C215" s="327"/>
      <c r="D215" s="121"/>
      <c r="E215" s="327"/>
      <c r="F215" s="121"/>
      <c r="G215" s="327"/>
      <c r="H215" s="121"/>
      <c r="I215" s="358"/>
      <c r="J215" s="142"/>
      <c r="K215" s="358"/>
      <c r="L215" s="142"/>
      <c r="M215" s="327"/>
      <c r="N215" s="121"/>
      <c r="O215" s="327"/>
      <c r="P215" s="121"/>
      <c r="Q215" s="333"/>
      <c r="R215" s="177"/>
      <c r="S215" s="17"/>
      <c r="T215" s="17"/>
      <c r="U215" s="17"/>
      <c r="V215" s="17"/>
    </row>
    <row r="216">
      <c r="A216" s="327"/>
      <c r="B216" s="121"/>
      <c r="C216" s="327"/>
      <c r="D216" s="121"/>
      <c r="E216" s="327"/>
      <c r="F216" s="121"/>
      <c r="G216" s="327"/>
      <c r="H216" s="121"/>
      <c r="I216" s="358"/>
      <c r="J216" s="142"/>
      <c r="K216" s="358"/>
      <c r="L216" s="142"/>
      <c r="M216" s="327"/>
      <c r="N216" s="121"/>
      <c r="O216" s="327"/>
      <c r="P216" s="121"/>
      <c r="Q216" s="333"/>
      <c r="R216" s="177"/>
      <c r="S216" s="17"/>
      <c r="T216" s="17"/>
      <c r="U216" s="17"/>
      <c r="V216" s="17"/>
    </row>
    <row r="217">
      <c r="A217" s="327"/>
      <c r="B217" s="121"/>
      <c r="C217" s="327"/>
      <c r="D217" s="121"/>
      <c r="E217" s="327"/>
      <c r="F217" s="121"/>
      <c r="G217" s="327"/>
      <c r="H217" s="121"/>
      <c r="I217" s="358"/>
      <c r="J217" s="142"/>
      <c r="K217" s="358"/>
      <c r="L217" s="142"/>
      <c r="M217" s="327"/>
      <c r="N217" s="121"/>
      <c r="O217" s="327"/>
      <c r="P217" s="121"/>
      <c r="Q217" s="333"/>
      <c r="R217" s="177"/>
      <c r="S217" s="17"/>
      <c r="T217" s="17"/>
      <c r="U217" s="17"/>
      <c r="V217" s="17"/>
    </row>
    <row r="218">
      <c r="A218" s="327"/>
      <c r="B218" s="121"/>
      <c r="C218" s="327"/>
      <c r="D218" s="121"/>
      <c r="E218" s="327"/>
      <c r="F218" s="121"/>
      <c r="G218" s="327"/>
      <c r="H218" s="121"/>
      <c r="I218" s="358"/>
      <c r="J218" s="142"/>
      <c r="K218" s="358"/>
      <c r="L218" s="142"/>
      <c r="M218" s="327"/>
      <c r="N218" s="121"/>
      <c r="O218" s="327"/>
      <c r="P218" s="121"/>
      <c r="Q218" s="333"/>
      <c r="R218" s="177"/>
      <c r="S218" s="17"/>
      <c r="T218" s="17"/>
      <c r="U218" s="17"/>
      <c r="V218" s="17"/>
    </row>
    <row r="219">
      <c r="A219" s="327"/>
      <c r="B219" s="121"/>
      <c r="C219" s="327"/>
      <c r="D219" s="121"/>
      <c r="E219" s="327"/>
      <c r="F219" s="121"/>
      <c r="G219" s="327"/>
      <c r="H219" s="121"/>
      <c r="I219" s="358"/>
      <c r="J219" s="142"/>
      <c r="K219" s="358"/>
      <c r="L219" s="142"/>
      <c r="M219" s="327"/>
      <c r="N219" s="121"/>
      <c r="O219" s="327"/>
      <c r="P219" s="121"/>
      <c r="Q219" s="333"/>
      <c r="R219" s="177"/>
      <c r="S219" s="17"/>
      <c r="T219" s="17"/>
      <c r="U219" s="17"/>
      <c r="V219" s="17"/>
    </row>
    <row r="220">
      <c r="A220" s="327"/>
      <c r="B220" s="121"/>
      <c r="C220" s="327"/>
      <c r="D220" s="121"/>
      <c r="E220" s="327"/>
      <c r="F220" s="121"/>
      <c r="G220" s="327"/>
      <c r="H220" s="121"/>
      <c r="I220" s="358"/>
      <c r="J220" s="142"/>
      <c r="K220" s="358"/>
      <c r="L220" s="142"/>
      <c r="M220" s="327"/>
      <c r="N220" s="121"/>
      <c r="O220" s="327"/>
      <c r="P220" s="121"/>
      <c r="Q220" s="333"/>
      <c r="R220" s="177"/>
      <c r="S220" s="17"/>
      <c r="T220" s="17"/>
      <c r="U220" s="17"/>
      <c r="V220" s="17"/>
    </row>
    <row r="221">
      <c r="A221" s="327"/>
      <c r="B221" s="121"/>
      <c r="C221" s="327"/>
      <c r="D221" s="121"/>
      <c r="E221" s="327"/>
      <c r="F221" s="121"/>
      <c r="G221" s="327"/>
      <c r="H221" s="121"/>
      <c r="I221" s="358"/>
      <c r="J221" s="142"/>
      <c r="K221" s="358"/>
      <c r="L221" s="142"/>
      <c r="M221" s="327"/>
      <c r="N221" s="121"/>
      <c r="O221" s="327"/>
      <c r="P221" s="121"/>
      <c r="Q221" s="333"/>
      <c r="R221" s="177"/>
      <c r="S221" s="17"/>
      <c r="T221" s="17"/>
      <c r="U221" s="17"/>
      <c r="V221" s="17"/>
    </row>
    <row r="222">
      <c r="A222" s="327"/>
      <c r="B222" s="121"/>
      <c r="C222" s="327"/>
      <c r="D222" s="121"/>
      <c r="E222" s="327"/>
      <c r="F222" s="121"/>
      <c r="G222" s="327"/>
      <c r="H222" s="121"/>
      <c r="I222" s="358"/>
      <c r="J222" s="142"/>
      <c r="K222" s="358"/>
      <c r="L222" s="142"/>
      <c r="M222" s="327"/>
      <c r="N222" s="121"/>
      <c r="O222" s="327"/>
      <c r="P222" s="121"/>
      <c r="Q222" s="333"/>
      <c r="R222" s="177"/>
      <c r="S222" s="17"/>
      <c r="T222" s="17"/>
      <c r="U222" s="17"/>
      <c r="V222" s="17"/>
    </row>
    <row r="223">
      <c r="A223" s="327"/>
      <c r="B223" s="121"/>
      <c r="C223" s="327"/>
      <c r="D223" s="121"/>
      <c r="E223" s="327"/>
      <c r="F223" s="121"/>
      <c r="G223" s="327"/>
      <c r="H223" s="121"/>
      <c r="I223" s="358"/>
      <c r="J223" s="142"/>
      <c r="K223" s="358"/>
      <c r="L223" s="142"/>
      <c r="M223" s="327"/>
      <c r="N223" s="121"/>
      <c r="O223" s="327"/>
      <c r="P223" s="121"/>
      <c r="Q223" s="333"/>
      <c r="R223" s="177"/>
      <c r="S223" s="17"/>
      <c r="T223" s="17"/>
      <c r="U223" s="17"/>
      <c r="V223" s="17"/>
    </row>
    <row r="224">
      <c r="A224" s="327"/>
      <c r="B224" s="121"/>
      <c r="C224" s="327"/>
      <c r="D224" s="121"/>
      <c r="E224" s="327"/>
      <c r="F224" s="121"/>
      <c r="G224" s="327"/>
      <c r="H224" s="121"/>
      <c r="I224" s="358"/>
      <c r="J224" s="142"/>
      <c r="K224" s="358"/>
      <c r="L224" s="142"/>
      <c r="M224" s="327"/>
      <c r="N224" s="121"/>
      <c r="O224" s="327"/>
      <c r="P224" s="121"/>
      <c r="Q224" s="333"/>
      <c r="R224" s="177"/>
      <c r="S224" s="17"/>
      <c r="T224" s="17"/>
      <c r="U224" s="17"/>
      <c r="V224" s="17"/>
    </row>
    <row r="225">
      <c r="A225" s="327"/>
      <c r="B225" s="121"/>
      <c r="C225" s="327"/>
      <c r="D225" s="121"/>
      <c r="E225" s="327"/>
      <c r="F225" s="121"/>
      <c r="G225" s="327"/>
      <c r="H225" s="121"/>
      <c r="I225" s="358"/>
      <c r="J225" s="142"/>
      <c r="K225" s="358"/>
      <c r="L225" s="142"/>
      <c r="M225" s="327"/>
      <c r="N225" s="121"/>
      <c r="O225" s="327"/>
      <c r="P225" s="121"/>
      <c r="Q225" s="333"/>
      <c r="R225" s="177"/>
      <c r="S225" s="17"/>
      <c r="T225" s="17"/>
      <c r="U225" s="17"/>
      <c r="V225" s="17"/>
    </row>
    <row r="226">
      <c r="A226" s="327"/>
      <c r="B226" s="121"/>
      <c r="C226" s="327"/>
      <c r="D226" s="121"/>
      <c r="E226" s="327"/>
      <c r="F226" s="121"/>
      <c r="G226" s="327"/>
      <c r="H226" s="121"/>
      <c r="I226" s="358"/>
      <c r="J226" s="142"/>
      <c r="K226" s="358"/>
      <c r="L226" s="142"/>
      <c r="M226" s="327"/>
      <c r="N226" s="121"/>
      <c r="O226" s="327"/>
      <c r="P226" s="121"/>
      <c r="Q226" s="333"/>
      <c r="R226" s="177"/>
      <c r="S226" s="17"/>
      <c r="T226" s="17"/>
      <c r="U226" s="17"/>
      <c r="V226" s="17"/>
    </row>
    <row r="227">
      <c r="A227" s="327"/>
      <c r="B227" s="121"/>
      <c r="C227" s="327"/>
      <c r="D227" s="121"/>
      <c r="E227" s="327"/>
      <c r="F227" s="121"/>
      <c r="G227" s="327"/>
      <c r="H227" s="121"/>
      <c r="I227" s="358"/>
      <c r="J227" s="142"/>
      <c r="K227" s="358"/>
      <c r="L227" s="142"/>
      <c r="M227" s="327"/>
      <c r="N227" s="121"/>
      <c r="O227" s="327"/>
      <c r="P227" s="121"/>
      <c r="Q227" s="333"/>
      <c r="R227" s="177"/>
      <c r="S227" s="17"/>
      <c r="T227" s="17"/>
      <c r="U227" s="17"/>
      <c r="V227" s="17"/>
    </row>
    <row r="228">
      <c r="A228" s="327"/>
      <c r="B228" s="121"/>
      <c r="C228" s="327"/>
      <c r="D228" s="121"/>
      <c r="E228" s="327"/>
      <c r="F228" s="121"/>
      <c r="G228" s="327"/>
      <c r="H228" s="121"/>
      <c r="I228" s="358"/>
      <c r="J228" s="142"/>
      <c r="K228" s="358"/>
      <c r="L228" s="142"/>
      <c r="M228" s="327"/>
      <c r="N228" s="121"/>
      <c r="O228" s="327"/>
      <c r="P228" s="121"/>
      <c r="Q228" s="333"/>
      <c r="R228" s="177"/>
      <c r="S228" s="17"/>
      <c r="T228" s="17"/>
      <c r="U228" s="17"/>
      <c r="V228" s="17"/>
    </row>
    <row r="229">
      <c r="A229" s="327"/>
      <c r="B229" s="121"/>
      <c r="C229" s="327"/>
      <c r="D229" s="121"/>
      <c r="E229" s="327"/>
      <c r="F229" s="121"/>
      <c r="G229" s="327"/>
      <c r="H229" s="121"/>
      <c r="I229" s="358"/>
      <c r="J229" s="142"/>
      <c r="K229" s="358"/>
      <c r="L229" s="142"/>
      <c r="M229" s="327"/>
      <c r="N229" s="121"/>
      <c r="O229" s="327"/>
      <c r="P229" s="121"/>
      <c r="Q229" s="333"/>
      <c r="R229" s="177"/>
      <c r="S229" s="17"/>
      <c r="T229" s="17"/>
      <c r="U229" s="17"/>
      <c r="V229" s="17"/>
    </row>
    <row r="230">
      <c r="A230" s="327"/>
      <c r="B230" s="121"/>
      <c r="C230" s="327"/>
      <c r="D230" s="121"/>
      <c r="E230" s="327"/>
      <c r="F230" s="121"/>
      <c r="G230" s="327"/>
      <c r="H230" s="121"/>
      <c r="I230" s="358"/>
      <c r="J230" s="142"/>
      <c r="K230" s="358"/>
      <c r="L230" s="142"/>
      <c r="M230" s="327"/>
      <c r="N230" s="121"/>
      <c r="O230" s="327"/>
      <c r="P230" s="121"/>
      <c r="Q230" s="333"/>
      <c r="R230" s="177"/>
      <c r="S230" s="17"/>
      <c r="T230" s="17"/>
      <c r="U230" s="17"/>
      <c r="V230" s="17"/>
    </row>
    <row r="231">
      <c r="A231" s="327"/>
      <c r="B231" s="121"/>
      <c r="C231" s="327"/>
      <c r="D231" s="121"/>
      <c r="E231" s="327"/>
      <c r="F231" s="121"/>
      <c r="G231" s="327"/>
      <c r="H231" s="121"/>
      <c r="I231" s="358"/>
      <c r="J231" s="142"/>
      <c r="K231" s="358"/>
      <c r="L231" s="142"/>
      <c r="M231" s="327"/>
      <c r="N231" s="121"/>
      <c r="O231" s="327"/>
      <c r="P231" s="121"/>
      <c r="Q231" s="333"/>
      <c r="R231" s="177"/>
      <c r="S231" s="17"/>
      <c r="T231" s="17"/>
      <c r="U231" s="17"/>
      <c r="V231" s="17"/>
    </row>
    <row r="232">
      <c r="A232" s="327"/>
      <c r="B232" s="121"/>
      <c r="C232" s="327"/>
      <c r="D232" s="121"/>
      <c r="E232" s="327"/>
      <c r="F232" s="121"/>
      <c r="G232" s="327"/>
      <c r="H232" s="121"/>
      <c r="I232" s="358"/>
      <c r="J232" s="142"/>
      <c r="K232" s="358"/>
      <c r="L232" s="142"/>
      <c r="M232" s="327"/>
      <c r="N232" s="121"/>
      <c r="O232" s="327"/>
      <c r="P232" s="121"/>
      <c r="Q232" s="333"/>
      <c r="R232" s="177"/>
      <c r="S232" s="17"/>
      <c r="T232" s="17"/>
      <c r="U232" s="17"/>
      <c r="V232" s="17"/>
    </row>
    <row r="233">
      <c r="A233" s="327"/>
      <c r="B233" s="121"/>
      <c r="C233" s="327"/>
      <c r="D233" s="121"/>
      <c r="E233" s="327"/>
      <c r="F233" s="121"/>
      <c r="G233" s="327"/>
      <c r="H233" s="121"/>
      <c r="I233" s="358"/>
      <c r="J233" s="142"/>
      <c r="K233" s="358"/>
      <c r="L233" s="142"/>
      <c r="M233" s="327"/>
      <c r="N233" s="121"/>
      <c r="O233" s="327"/>
      <c r="P233" s="121"/>
      <c r="Q233" s="333"/>
      <c r="R233" s="177"/>
      <c r="S233" s="17"/>
      <c r="T233" s="17"/>
      <c r="U233" s="17"/>
      <c r="V233" s="17"/>
    </row>
    <row r="234">
      <c r="A234" s="327"/>
      <c r="B234" s="121"/>
      <c r="C234" s="327"/>
      <c r="D234" s="121"/>
      <c r="E234" s="327"/>
      <c r="F234" s="121"/>
      <c r="G234" s="327"/>
      <c r="H234" s="121"/>
      <c r="I234" s="358"/>
      <c r="J234" s="142"/>
      <c r="K234" s="358"/>
      <c r="L234" s="142"/>
      <c r="M234" s="327"/>
      <c r="N234" s="121"/>
      <c r="O234" s="327"/>
      <c r="P234" s="121"/>
      <c r="Q234" s="333"/>
      <c r="R234" s="177"/>
      <c r="S234" s="17"/>
      <c r="T234" s="17"/>
      <c r="U234" s="17"/>
      <c r="V234" s="17"/>
    </row>
    <row r="235">
      <c r="A235" s="327"/>
      <c r="B235" s="121"/>
      <c r="C235" s="327"/>
      <c r="D235" s="121"/>
      <c r="E235" s="327"/>
      <c r="F235" s="121"/>
      <c r="G235" s="327"/>
      <c r="H235" s="121"/>
      <c r="I235" s="358"/>
      <c r="J235" s="142"/>
      <c r="K235" s="358"/>
      <c r="L235" s="142"/>
      <c r="M235" s="327"/>
      <c r="N235" s="121"/>
      <c r="O235" s="327"/>
      <c r="P235" s="121"/>
      <c r="Q235" s="333"/>
      <c r="R235" s="177"/>
      <c r="S235" s="17"/>
      <c r="T235" s="17"/>
      <c r="U235" s="17"/>
      <c r="V235" s="17"/>
    </row>
    <row r="236">
      <c r="A236" s="327"/>
      <c r="B236" s="121"/>
      <c r="C236" s="327"/>
      <c r="D236" s="121"/>
      <c r="E236" s="327"/>
      <c r="F236" s="121"/>
      <c r="G236" s="327"/>
      <c r="H236" s="121"/>
      <c r="I236" s="358"/>
      <c r="J236" s="142"/>
      <c r="K236" s="358"/>
      <c r="L236" s="142"/>
      <c r="M236" s="327"/>
      <c r="N236" s="121"/>
      <c r="O236" s="327"/>
      <c r="P236" s="121"/>
      <c r="Q236" s="333"/>
      <c r="R236" s="177"/>
      <c r="S236" s="17"/>
      <c r="T236" s="17"/>
      <c r="U236" s="17"/>
      <c r="V236" s="17"/>
    </row>
    <row r="237">
      <c r="A237" s="327"/>
      <c r="B237" s="121"/>
      <c r="C237" s="327"/>
      <c r="D237" s="121"/>
      <c r="E237" s="327"/>
      <c r="F237" s="121"/>
      <c r="G237" s="327"/>
      <c r="H237" s="121"/>
      <c r="I237" s="358"/>
      <c r="J237" s="142"/>
      <c r="K237" s="358"/>
      <c r="L237" s="142"/>
      <c r="M237" s="327"/>
      <c r="N237" s="121"/>
      <c r="O237" s="327"/>
      <c r="P237" s="121"/>
      <c r="Q237" s="333"/>
      <c r="R237" s="177"/>
      <c r="S237" s="17"/>
      <c r="T237" s="17"/>
      <c r="U237" s="17"/>
      <c r="V237" s="17"/>
    </row>
    <row r="238">
      <c r="A238" s="327"/>
      <c r="B238" s="121"/>
      <c r="C238" s="327"/>
      <c r="D238" s="121"/>
      <c r="E238" s="327"/>
      <c r="F238" s="121"/>
      <c r="G238" s="327"/>
      <c r="H238" s="121"/>
      <c r="I238" s="358"/>
      <c r="J238" s="142"/>
      <c r="K238" s="358"/>
      <c r="L238" s="142"/>
      <c r="M238" s="327"/>
      <c r="N238" s="121"/>
      <c r="O238" s="327"/>
      <c r="P238" s="121"/>
      <c r="Q238" s="333"/>
      <c r="R238" s="177"/>
      <c r="S238" s="17"/>
      <c r="T238" s="17"/>
      <c r="U238" s="17"/>
      <c r="V238" s="17"/>
    </row>
    <row r="239">
      <c r="A239" s="327"/>
      <c r="B239" s="121"/>
      <c r="C239" s="327"/>
      <c r="D239" s="121"/>
      <c r="E239" s="327"/>
      <c r="F239" s="121"/>
      <c r="G239" s="327"/>
      <c r="H239" s="121"/>
      <c r="I239" s="358"/>
      <c r="J239" s="142"/>
      <c r="K239" s="358"/>
      <c r="L239" s="142"/>
      <c r="M239" s="327"/>
      <c r="N239" s="121"/>
      <c r="O239" s="327"/>
      <c r="P239" s="121"/>
      <c r="Q239" s="333"/>
      <c r="R239" s="177"/>
      <c r="S239" s="17"/>
      <c r="T239" s="17"/>
      <c r="U239" s="17"/>
      <c r="V239" s="17"/>
    </row>
    <row r="240">
      <c r="A240" s="327"/>
      <c r="B240" s="121"/>
      <c r="C240" s="327"/>
      <c r="D240" s="121"/>
      <c r="E240" s="327"/>
      <c r="F240" s="121"/>
      <c r="G240" s="327"/>
      <c r="H240" s="121"/>
      <c r="I240" s="358"/>
      <c r="J240" s="142"/>
      <c r="K240" s="358"/>
      <c r="L240" s="142"/>
      <c r="M240" s="327"/>
      <c r="N240" s="121"/>
      <c r="O240" s="327"/>
      <c r="P240" s="121"/>
      <c r="Q240" s="333"/>
      <c r="R240" s="177"/>
      <c r="S240" s="17"/>
      <c r="T240" s="17"/>
      <c r="U240" s="17"/>
      <c r="V240" s="17"/>
    </row>
    <row r="241">
      <c r="A241" s="327"/>
      <c r="B241" s="121"/>
      <c r="C241" s="327"/>
      <c r="D241" s="121"/>
      <c r="E241" s="327"/>
      <c r="F241" s="121"/>
      <c r="G241" s="327"/>
      <c r="H241" s="121"/>
      <c r="I241" s="358"/>
      <c r="J241" s="142"/>
      <c r="K241" s="358"/>
      <c r="L241" s="142"/>
      <c r="M241" s="327"/>
      <c r="N241" s="121"/>
      <c r="O241" s="327"/>
      <c r="P241" s="121"/>
      <c r="Q241" s="333"/>
      <c r="R241" s="177"/>
      <c r="S241" s="17"/>
      <c r="T241" s="17"/>
      <c r="U241" s="17"/>
      <c r="V241" s="17"/>
    </row>
    <row r="242">
      <c r="A242" s="327"/>
      <c r="B242" s="121"/>
      <c r="C242" s="327"/>
      <c r="D242" s="121"/>
      <c r="E242" s="327"/>
      <c r="F242" s="121"/>
      <c r="G242" s="327"/>
      <c r="H242" s="121"/>
      <c r="I242" s="358"/>
      <c r="J242" s="142"/>
      <c r="K242" s="358"/>
      <c r="L242" s="142"/>
      <c r="M242" s="327"/>
      <c r="N242" s="121"/>
      <c r="O242" s="327"/>
      <c r="P242" s="121"/>
      <c r="Q242" s="333"/>
      <c r="R242" s="177"/>
      <c r="S242" s="17"/>
      <c r="T242" s="17"/>
      <c r="U242" s="17"/>
      <c r="V242" s="17"/>
    </row>
    <row r="243">
      <c r="A243" s="327"/>
      <c r="B243" s="121"/>
      <c r="C243" s="327"/>
      <c r="D243" s="121"/>
      <c r="E243" s="327"/>
      <c r="F243" s="121"/>
      <c r="G243" s="327"/>
      <c r="H243" s="121"/>
      <c r="I243" s="358"/>
      <c r="J243" s="142"/>
      <c r="K243" s="358"/>
      <c r="L243" s="142"/>
      <c r="M243" s="327"/>
      <c r="N243" s="121"/>
      <c r="O243" s="327"/>
      <c r="P243" s="121"/>
      <c r="Q243" s="333"/>
      <c r="R243" s="177"/>
      <c r="S243" s="17"/>
      <c r="T243" s="17"/>
      <c r="U243" s="17"/>
      <c r="V243" s="17"/>
    </row>
    <row r="244">
      <c r="A244" s="327"/>
      <c r="B244" s="121"/>
      <c r="C244" s="327"/>
      <c r="D244" s="121"/>
      <c r="E244" s="327"/>
      <c r="F244" s="121"/>
      <c r="G244" s="327"/>
      <c r="H244" s="121"/>
      <c r="I244" s="358"/>
      <c r="J244" s="142"/>
      <c r="K244" s="358"/>
      <c r="L244" s="142"/>
      <c r="M244" s="327"/>
      <c r="N244" s="121"/>
      <c r="O244" s="327"/>
      <c r="P244" s="121"/>
      <c r="Q244" s="333"/>
      <c r="R244" s="177"/>
      <c r="S244" s="17"/>
      <c r="T244" s="17"/>
      <c r="U244" s="17"/>
      <c r="V244" s="17"/>
    </row>
    <row r="245">
      <c r="A245" s="327"/>
      <c r="B245" s="121"/>
      <c r="C245" s="327"/>
      <c r="D245" s="121"/>
      <c r="E245" s="327"/>
      <c r="F245" s="121"/>
      <c r="G245" s="327"/>
      <c r="H245" s="121"/>
      <c r="I245" s="358"/>
      <c r="J245" s="142"/>
      <c r="K245" s="358"/>
      <c r="L245" s="142"/>
      <c r="M245" s="327"/>
      <c r="N245" s="121"/>
      <c r="O245" s="327"/>
      <c r="P245" s="121"/>
      <c r="Q245" s="333"/>
      <c r="R245" s="177"/>
      <c r="S245" s="17"/>
      <c r="T245" s="17"/>
      <c r="U245" s="17"/>
      <c r="V245" s="17"/>
    </row>
    <row r="246">
      <c r="A246" s="327"/>
      <c r="B246" s="121"/>
      <c r="C246" s="327"/>
      <c r="D246" s="121"/>
      <c r="E246" s="327"/>
      <c r="F246" s="121"/>
      <c r="G246" s="327"/>
      <c r="H246" s="121"/>
      <c r="I246" s="358"/>
      <c r="J246" s="142"/>
      <c r="K246" s="358"/>
      <c r="L246" s="142"/>
      <c r="M246" s="327"/>
      <c r="N246" s="121"/>
      <c r="O246" s="327"/>
      <c r="P246" s="121"/>
      <c r="Q246" s="333"/>
      <c r="R246" s="177"/>
      <c r="S246" s="17"/>
      <c r="T246" s="17"/>
      <c r="U246" s="17"/>
      <c r="V246" s="17"/>
    </row>
    <row r="247">
      <c r="A247" s="327"/>
      <c r="B247" s="121"/>
      <c r="C247" s="327"/>
      <c r="D247" s="121"/>
      <c r="E247" s="327"/>
      <c r="F247" s="121"/>
      <c r="G247" s="327"/>
      <c r="H247" s="121"/>
      <c r="I247" s="358"/>
      <c r="J247" s="142"/>
      <c r="K247" s="358"/>
      <c r="L247" s="142"/>
      <c r="M247" s="327"/>
      <c r="N247" s="121"/>
      <c r="O247" s="327"/>
      <c r="P247" s="121"/>
      <c r="Q247" s="333"/>
      <c r="R247" s="177"/>
      <c r="S247" s="17"/>
      <c r="T247" s="17"/>
      <c r="U247" s="17"/>
      <c r="V247" s="17"/>
    </row>
    <row r="248">
      <c r="A248" s="327"/>
      <c r="B248" s="121"/>
      <c r="C248" s="327"/>
      <c r="D248" s="121"/>
      <c r="E248" s="327"/>
      <c r="F248" s="121"/>
      <c r="G248" s="327"/>
      <c r="H248" s="121"/>
      <c r="I248" s="358"/>
      <c r="J248" s="142"/>
      <c r="K248" s="358"/>
      <c r="L248" s="142"/>
      <c r="M248" s="327"/>
      <c r="N248" s="121"/>
      <c r="O248" s="327"/>
      <c r="P248" s="121"/>
      <c r="Q248" s="333"/>
      <c r="R248" s="177"/>
      <c r="S248" s="17"/>
      <c r="T248" s="17"/>
      <c r="U248" s="17"/>
      <c r="V248" s="17"/>
    </row>
    <row r="249">
      <c r="A249" s="327"/>
      <c r="B249" s="121"/>
      <c r="C249" s="327"/>
      <c r="D249" s="121"/>
      <c r="E249" s="327"/>
      <c r="F249" s="121"/>
      <c r="G249" s="327"/>
      <c r="H249" s="121"/>
      <c r="I249" s="358"/>
      <c r="J249" s="142"/>
      <c r="K249" s="358"/>
      <c r="L249" s="142"/>
      <c r="M249" s="327"/>
      <c r="N249" s="121"/>
      <c r="O249" s="327"/>
      <c r="P249" s="121"/>
      <c r="Q249" s="333"/>
      <c r="R249" s="177"/>
      <c r="S249" s="17"/>
      <c r="T249" s="17"/>
      <c r="U249" s="17"/>
      <c r="V249" s="17"/>
    </row>
    <row r="250">
      <c r="A250" s="327"/>
      <c r="B250" s="121"/>
      <c r="C250" s="327"/>
      <c r="D250" s="121"/>
      <c r="E250" s="327"/>
      <c r="F250" s="121"/>
      <c r="G250" s="327"/>
      <c r="H250" s="121"/>
      <c r="I250" s="358"/>
      <c r="J250" s="142"/>
      <c r="K250" s="358"/>
      <c r="L250" s="142"/>
      <c r="M250" s="327"/>
      <c r="N250" s="121"/>
      <c r="O250" s="327"/>
      <c r="P250" s="121"/>
      <c r="Q250" s="333"/>
      <c r="R250" s="177"/>
      <c r="S250" s="17"/>
      <c r="T250" s="17"/>
      <c r="U250" s="17"/>
      <c r="V250" s="17"/>
    </row>
    <row r="251">
      <c r="A251" s="327"/>
      <c r="B251" s="121"/>
      <c r="C251" s="327"/>
      <c r="D251" s="121"/>
      <c r="E251" s="327"/>
      <c r="F251" s="121"/>
      <c r="G251" s="327"/>
      <c r="H251" s="121"/>
      <c r="I251" s="358"/>
      <c r="J251" s="142"/>
      <c r="K251" s="358"/>
      <c r="L251" s="142"/>
      <c r="M251" s="327"/>
      <c r="N251" s="121"/>
      <c r="O251" s="327"/>
      <c r="P251" s="121"/>
      <c r="Q251" s="333"/>
      <c r="R251" s="177"/>
      <c r="S251" s="17"/>
      <c r="T251" s="17"/>
      <c r="U251" s="17"/>
      <c r="V251" s="17"/>
    </row>
    <row r="252">
      <c r="A252" s="327"/>
      <c r="B252" s="121"/>
      <c r="C252" s="327"/>
      <c r="D252" s="121"/>
      <c r="E252" s="327"/>
      <c r="F252" s="121"/>
      <c r="G252" s="327"/>
      <c r="H252" s="121"/>
      <c r="I252" s="358"/>
      <c r="J252" s="142"/>
      <c r="K252" s="358"/>
      <c r="L252" s="142"/>
      <c r="M252" s="327"/>
      <c r="N252" s="121"/>
      <c r="O252" s="327"/>
      <c r="P252" s="121"/>
      <c r="Q252" s="333"/>
      <c r="R252" s="177"/>
      <c r="S252" s="17"/>
      <c r="T252" s="17"/>
      <c r="U252" s="17"/>
      <c r="V252" s="17"/>
    </row>
    <row r="253">
      <c r="A253" s="327"/>
      <c r="B253" s="121"/>
      <c r="C253" s="327"/>
      <c r="D253" s="121"/>
      <c r="E253" s="327"/>
      <c r="F253" s="121"/>
      <c r="G253" s="327"/>
      <c r="H253" s="121"/>
      <c r="I253" s="358"/>
      <c r="J253" s="142"/>
      <c r="K253" s="358"/>
      <c r="L253" s="142"/>
      <c r="M253" s="327"/>
      <c r="N253" s="121"/>
      <c r="O253" s="327"/>
      <c r="P253" s="121"/>
      <c r="Q253" s="333"/>
      <c r="R253" s="177"/>
      <c r="S253" s="17"/>
      <c r="T253" s="17"/>
      <c r="U253" s="17"/>
      <c r="V253" s="17"/>
    </row>
    <row r="254">
      <c r="A254" s="327"/>
      <c r="B254" s="121"/>
      <c r="C254" s="327"/>
      <c r="D254" s="121"/>
      <c r="E254" s="327"/>
      <c r="F254" s="121"/>
      <c r="G254" s="327"/>
      <c r="H254" s="121"/>
      <c r="I254" s="358"/>
      <c r="J254" s="142"/>
      <c r="K254" s="358"/>
      <c r="L254" s="142"/>
      <c r="M254" s="327"/>
      <c r="N254" s="121"/>
      <c r="O254" s="327"/>
      <c r="P254" s="121"/>
      <c r="Q254" s="333"/>
      <c r="R254" s="177"/>
      <c r="S254" s="17"/>
      <c r="T254" s="17"/>
      <c r="U254" s="17"/>
      <c r="V254" s="17"/>
    </row>
    <row r="255">
      <c r="A255" s="327"/>
      <c r="B255" s="121"/>
      <c r="C255" s="327"/>
      <c r="D255" s="121"/>
      <c r="E255" s="327"/>
      <c r="F255" s="121"/>
      <c r="G255" s="327"/>
      <c r="H255" s="121"/>
      <c r="I255" s="358"/>
      <c r="J255" s="142"/>
      <c r="K255" s="358"/>
      <c r="L255" s="142"/>
      <c r="M255" s="327"/>
      <c r="N255" s="121"/>
      <c r="O255" s="327"/>
      <c r="P255" s="121"/>
      <c r="Q255" s="333"/>
      <c r="R255" s="177"/>
      <c r="S255" s="17"/>
      <c r="T255" s="17"/>
      <c r="U255" s="17"/>
      <c r="V255" s="17"/>
    </row>
    <row r="256">
      <c r="A256" s="327"/>
      <c r="B256" s="121"/>
      <c r="C256" s="327"/>
      <c r="D256" s="121"/>
      <c r="E256" s="327"/>
      <c r="F256" s="121"/>
      <c r="G256" s="327"/>
      <c r="H256" s="121"/>
      <c r="I256" s="358"/>
      <c r="J256" s="142"/>
      <c r="K256" s="358"/>
      <c r="L256" s="142"/>
      <c r="M256" s="327"/>
      <c r="N256" s="121"/>
      <c r="O256" s="327"/>
      <c r="P256" s="121"/>
      <c r="Q256" s="333"/>
      <c r="R256" s="177"/>
      <c r="S256" s="17"/>
      <c r="T256" s="17"/>
      <c r="U256" s="17"/>
      <c r="V256" s="17"/>
    </row>
    <row r="257">
      <c r="A257" s="327"/>
      <c r="B257" s="121"/>
      <c r="C257" s="327"/>
      <c r="D257" s="121"/>
      <c r="E257" s="327"/>
      <c r="F257" s="121"/>
      <c r="G257" s="327"/>
      <c r="H257" s="121"/>
      <c r="I257" s="358"/>
      <c r="J257" s="142"/>
      <c r="K257" s="358"/>
      <c r="L257" s="142"/>
      <c r="M257" s="327"/>
      <c r="N257" s="121"/>
      <c r="O257" s="327"/>
      <c r="P257" s="121"/>
      <c r="Q257" s="333"/>
      <c r="R257" s="177"/>
      <c r="S257" s="17"/>
      <c r="T257" s="17"/>
      <c r="U257" s="17"/>
      <c r="V257" s="17"/>
    </row>
    <row r="258">
      <c r="A258" s="327"/>
      <c r="B258" s="121"/>
      <c r="C258" s="327"/>
      <c r="D258" s="121"/>
      <c r="E258" s="327"/>
      <c r="F258" s="121"/>
      <c r="G258" s="327"/>
      <c r="H258" s="121"/>
      <c r="I258" s="358"/>
      <c r="J258" s="142"/>
      <c r="K258" s="358"/>
      <c r="L258" s="142"/>
      <c r="M258" s="327"/>
      <c r="N258" s="121"/>
      <c r="O258" s="327"/>
      <c r="P258" s="121"/>
      <c r="Q258" s="333"/>
      <c r="R258" s="177"/>
      <c r="S258" s="17"/>
      <c r="T258" s="17"/>
      <c r="U258" s="17"/>
      <c r="V258" s="17"/>
    </row>
    <row r="259">
      <c r="A259" s="327"/>
      <c r="B259" s="121"/>
      <c r="C259" s="327"/>
      <c r="D259" s="121"/>
      <c r="E259" s="327"/>
      <c r="F259" s="121"/>
      <c r="G259" s="327"/>
      <c r="H259" s="121"/>
      <c r="I259" s="358"/>
      <c r="J259" s="142"/>
      <c r="K259" s="358"/>
      <c r="L259" s="142"/>
      <c r="M259" s="327"/>
      <c r="N259" s="121"/>
      <c r="O259" s="327"/>
      <c r="P259" s="121"/>
      <c r="Q259" s="333"/>
      <c r="R259" s="177"/>
      <c r="S259" s="17"/>
      <c r="T259" s="17"/>
      <c r="U259" s="17"/>
      <c r="V259" s="17"/>
    </row>
    <row r="260">
      <c r="A260" s="327"/>
      <c r="B260" s="121"/>
      <c r="C260" s="327"/>
      <c r="D260" s="121"/>
      <c r="E260" s="327"/>
      <c r="F260" s="121"/>
      <c r="G260" s="327"/>
      <c r="H260" s="121"/>
      <c r="I260" s="358"/>
      <c r="J260" s="142"/>
      <c r="K260" s="358"/>
      <c r="L260" s="142"/>
      <c r="M260" s="327"/>
      <c r="N260" s="121"/>
      <c r="O260" s="327"/>
      <c r="P260" s="121"/>
      <c r="Q260" s="333"/>
      <c r="R260" s="177"/>
      <c r="S260" s="17"/>
      <c r="T260" s="17"/>
      <c r="U260" s="17"/>
      <c r="V260" s="17"/>
    </row>
    <row r="261">
      <c r="A261" s="327"/>
      <c r="B261" s="121"/>
      <c r="C261" s="327"/>
      <c r="D261" s="121"/>
      <c r="E261" s="327"/>
      <c r="F261" s="121"/>
      <c r="G261" s="327"/>
      <c r="H261" s="121"/>
      <c r="I261" s="358"/>
      <c r="J261" s="142"/>
      <c r="K261" s="358"/>
      <c r="L261" s="142"/>
      <c r="M261" s="327"/>
      <c r="N261" s="121"/>
      <c r="O261" s="327"/>
      <c r="P261" s="121"/>
      <c r="Q261" s="333"/>
      <c r="R261" s="177"/>
      <c r="S261" s="17"/>
      <c r="T261" s="17"/>
      <c r="U261" s="17"/>
      <c r="V261" s="17"/>
    </row>
    <row r="262">
      <c r="A262" s="327"/>
      <c r="B262" s="121"/>
      <c r="C262" s="327"/>
      <c r="D262" s="121"/>
      <c r="E262" s="327"/>
      <c r="F262" s="121"/>
      <c r="G262" s="327"/>
      <c r="H262" s="121"/>
      <c r="I262" s="358"/>
      <c r="J262" s="142"/>
      <c r="K262" s="358"/>
      <c r="L262" s="142"/>
      <c r="M262" s="327"/>
      <c r="N262" s="121"/>
      <c r="O262" s="327"/>
      <c r="P262" s="121"/>
      <c r="Q262" s="333"/>
      <c r="R262" s="177"/>
      <c r="S262" s="17"/>
      <c r="T262" s="17"/>
      <c r="U262" s="17"/>
      <c r="V262" s="17"/>
    </row>
    <row r="263">
      <c r="A263" s="327"/>
      <c r="B263" s="121"/>
      <c r="C263" s="327"/>
      <c r="D263" s="121"/>
      <c r="E263" s="327"/>
      <c r="F263" s="121"/>
      <c r="G263" s="327"/>
      <c r="H263" s="121"/>
      <c r="I263" s="358"/>
      <c r="J263" s="142"/>
      <c r="K263" s="358"/>
      <c r="L263" s="142"/>
      <c r="M263" s="327"/>
      <c r="N263" s="121"/>
      <c r="O263" s="327"/>
      <c r="P263" s="121"/>
      <c r="Q263" s="333"/>
      <c r="R263" s="177"/>
      <c r="S263" s="17"/>
      <c r="T263" s="17"/>
      <c r="U263" s="17"/>
      <c r="V263" s="17"/>
    </row>
    <row r="264">
      <c r="A264" s="327"/>
      <c r="B264" s="121"/>
      <c r="C264" s="327"/>
      <c r="D264" s="121"/>
      <c r="E264" s="327"/>
      <c r="F264" s="121"/>
      <c r="G264" s="327"/>
      <c r="H264" s="121"/>
      <c r="I264" s="358"/>
      <c r="J264" s="142"/>
      <c r="K264" s="358"/>
      <c r="L264" s="142"/>
      <c r="M264" s="327"/>
      <c r="N264" s="121"/>
      <c r="O264" s="327"/>
      <c r="P264" s="121"/>
      <c r="Q264" s="333"/>
      <c r="R264" s="177"/>
      <c r="S264" s="17"/>
      <c r="T264" s="17"/>
      <c r="U264" s="17"/>
      <c r="V264" s="17"/>
    </row>
    <row r="265">
      <c r="A265" s="327"/>
      <c r="B265" s="121"/>
      <c r="C265" s="327"/>
      <c r="D265" s="121"/>
      <c r="E265" s="327"/>
      <c r="F265" s="121"/>
      <c r="G265" s="327"/>
      <c r="H265" s="121"/>
      <c r="I265" s="358"/>
      <c r="J265" s="142"/>
      <c r="K265" s="358"/>
      <c r="L265" s="142"/>
      <c r="M265" s="327"/>
      <c r="N265" s="121"/>
      <c r="O265" s="327"/>
      <c r="P265" s="121"/>
      <c r="Q265" s="333"/>
      <c r="R265" s="177"/>
      <c r="S265" s="17"/>
      <c r="T265" s="17"/>
      <c r="U265" s="17"/>
      <c r="V265" s="17"/>
    </row>
    <row r="266">
      <c r="A266" s="327"/>
      <c r="B266" s="121"/>
      <c r="C266" s="327"/>
      <c r="D266" s="121"/>
      <c r="E266" s="327"/>
      <c r="F266" s="121"/>
      <c r="G266" s="327"/>
      <c r="H266" s="121"/>
      <c r="I266" s="358"/>
      <c r="J266" s="142"/>
      <c r="K266" s="358"/>
      <c r="L266" s="142"/>
      <c r="M266" s="327"/>
      <c r="N266" s="121"/>
      <c r="O266" s="327"/>
      <c r="P266" s="121"/>
      <c r="Q266" s="333"/>
      <c r="R266" s="177"/>
      <c r="S266" s="17"/>
      <c r="T266" s="17"/>
      <c r="U266" s="17"/>
      <c r="V266" s="17"/>
    </row>
    <row r="267">
      <c r="A267" s="327"/>
      <c r="B267" s="121"/>
      <c r="C267" s="327"/>
      <c r="D267" s="121"/>
      <c r="E267" s="327"/>
      <c r="F267" s="121"/>
      <c r="G267" s="327"/>
      <c r="H267" s="121"/>
      <c r="I267" s="358"/>
      <c r="J267" s="142"/>
      <c r="K267" s="358"/>
      <c r="L267" s="142"/>
      <c r="M267" s="327"/>
      <c r="N267" s="121"/>
      <c r="O267" s="327"/>
      <c r="P267" s="121"/>
      <c r="Q267" s="333"/>
      <c r="R267" s="177"/>
      <c r="S267" s="17"/>
      <c r="T267" s="17"/>
      <c r="U267" s="17"/>
      <c r="V267" s="17"/>
    </row>
    <row r="268">
      <c r="A268" s="327"/>
      <c r="B268" s="121"/>
      <c r="C268" s="327"/>
      <c r="D268" s="121"/>
      <c r="E268" s="327"/>
      <c r="F268" s="121"/>
      <c r="G268" s="327"/>
      <c r="H268" s="121"/>
      <c r="I268" s="358"/>
      <c r="J268" s="142"/>
      <c r="K268" s="358"/>
      <c r="L268" s="142"/>
      <c r="M268" s="327"/>
      <c r="N268" s="121"/>
      <c r="O268" s="327"/>
      <c r="P268" s="121"/>
      <c r="Q268" s="333"/>
      <c r="R268" s="177"/>
      <c r="S268" s="17"/>
      <c r="T268" s="17"/>
      <c r="U268" s="17"/>
      <c r="V268" s="17"/>
    </row>
    <row r="269">
      <c r="A269" s="327"/>
      <c r="B269" s="121"/>
      <c r="C269" s="327"/>
      <c r="D269" s="121"/>
      <c r="E269" s="327"/>
      <c r="F269" s="121"/>
      <c r="G269" s="327"/>
      <c r="H269" s="121"/>
      <c r="I269" s="358"/>
      <c r="J269" s="142"/>
      <c r="K269" s="358"/>
      <c r="L269" s="142"/>
      <c r="M269" s="327"/>
      <c r="N269" s="121"/>
      <c r="O269" s="327"/>
      <c r="P269" s="121"/>
      <c r="Q269" s="333"/>
      <c r="R269" s="177"/>
      <c r="S269" s="17"/>
      <c r="T269" s="17"/>
      <c r="U269" s="17"/>
      <c r="V269" s="17"/>
    </row>
    <row r="270">
      <c r="A270" s="327"/>
      <c r="B270" s="121"/>
      <c r="C270" s="327"/>
      <c r="D270" s="121"/>
      <c r="E270" s="327"/>
      <c r="F270" s="121"/>
      <c r="G270" s="327"/>
      <c r="H270" s="121"/>
      <c r="I270" s="358"/>
      <c r="J270" s="142"/>
      <c r="K270" s="358"/>
      <c r="L270" s="142"/>
      <c r="M270" s="327"/>
      <c r="N270" s="121"/>
      <c r="O270" s="327"/>
      <c r="P270" s="121"/>
      <c r="Q270" s="333"/>
      <c r="R270" s="177"/>
      <c r="S270" s="17"/>
      <c r="T270" s="17"/>
      <c r="U270" s="17"/>
      <c r="V270" s="17"/>
    </row>
    <row r="271">
      <c r="A271" s="327"/>
      <c r="B271" s="121"/>
      <c r="C271" s="327"/>
      <c r="D271" s="121"/>
      <c r="E271" s="327"/>
      <c r="F271" s="121"/>
      <c r="G271" s="327"/>
      <c r="H271" s="121"/>
      <c r="I271" s="358"/>
      <c r="J271" s="142"/>
      <c r="K271" s="358"/>
      <c r="L271" s="142"/>
      <c r="M271" s="327"/>
      <c r="N271" s="121"/>
      <c r="O271" s="327"/>
      <c r="P271" s="121"/>
      <c r="Q271" s="333"/>
      <c r="R271" s="177"/>
      <c r="S271" s="17"/>
      <c r="T271" s="17"/>
      <c r="U271" s="17"/>
      <c r="V271" s="17"/>
    </row>
    <row r="272">
      <c r="A272" s="327"/>
      <c r="B272" s="121"/>
      <c r="C272" s="327"/>
      <c r="D272" s="121"/>
      <c r="E272" s="327"/>
      <c r="F272" s="121"/>
      <c r="G272" s="327"/>
      <c r="H272" s="121"/>
      <c r="I272" s="358"/>
      <c r="J272" s="142"/>
      <c r="K272" s="358"/>
      <c r="L272" s="142"/>
      <c r="M272" s="327"/>
      <c r="N272" s="121"/>
      <c r="O272" s="327"/>
      <c r="P272" s="121"/>
      <c r="Q272" s="333"/>
      <c r="R272" s="177"/>
      <c r="S272" s="17"/>
      <c r="T272" s="17"/>
      <c r="U272" s="17"/>
      <c r="V272" s="17"/>
    </row>
    <row r="273">
      <c r="A273" s="327"/>
      <c r="B273" s="121"/>
      <c r="C273" s="327"/>
      <c r="D273" s="121"/>
      <c r="E273" s="327"/>
      <c r="F273" s="121"/>
      <c r="G273" s="327"/>
      <c r="H273" s="121"/>
      <c r="I273" s="358"/>
      <c r="J273" s="142"/>
      <c r="K273" s="358"/>
      <c r="L273" s="142"/>
      <c r="M273" s="327"/>
      <c r="N273" s="121"/>
      <c r="O273" s="327"/>
      <c r="P273" s="121"/>
      <c r="Q273" s="333"/>
      <c r="R273" s="177"/>
      <c r="S273" s="17"/>
      <c r="T273" s="17"/>
      <c r="U273" s="17"/>
      <c r="V273" s="17"/>
    </row>
    <row r="274">
      <c r="A274" s="327"/>
      <c r="B274" s="121"/>
      <c r="C274" s="327"/>
      <c r="D274" s="121"/>
      <c r="E274" s="327"/>
      <c r="F274" s="121"/>
      <c r="G274" s="327"/>
      <c r="H274" s="121"/>
      <c r="I274" s="358"/>
      <c r="J274" s="142"/>
      <c r="K274" s="358"/>
      <c r="L274" s="142"/>
      <c r="M274" s="327"/>
      <c r="N274" s="121"/>
      <c r="O274" s="327"/>
      <c r="P274" s="121"/>
      <c r="Q274" s="333"/>
      <c r="R274" s="177"/>
      <c r="S274" s="17"/>
      <c r="T274" s="17"/>
      <c r="U274" s="17"/>
      <c r="V274" s="17"/>
    </row>
    <row r="275">
      <c r="A275" s="327"/>
      <c r="B275" s="121"/>
      <c r="C275" s="327"/>
      <c r="D275" s="121"/>
      <c r="E275" s="327"/>
      <c r="F275" s="121"/>
      <c r="G275" s="327"/>
      <c r="H275" s="121"/>
      <c r="I275" s="358"/>
      <c r="J275" s="142"/>
      <c r="K275" s="358"/>
      <c r="L275" s="142"/>
      <c r="M275" s="327"/>
      <c r="N275" s="121"/>
      <c r="O275" s="327"/>
      <c r="P275" s="121"/>
      <c r="Q275" s="333"/>
      <c r="R275" s="177"/>
      <c r="S275" s="17"/>
      <c r="T275" s="17"/>
      <c r="U275" s="17"/>
      <c r="V275" s="17"/>
    </row>
    <row r="276">
      <c r="A276" s="327"/>
      <c r="B276" s="121"/>
      <c r="C276" s="327"/>
      <c r="D276" s="121"/>
      <c r="E276" s="327"/>
      <c r="F276" s="121"/>
      <c r="G276" s="327"/>
      <c r="H276" s="121"/>
      <c r="I276" s="358"/>
      <c r="J276" s="142"/>
      <c r="K276" s="358"/>
      <c r="L276" s="142"/>
      <c r="M276" s="327"/>
      <c r="N276" s="121"/>
      <c r="O276" s="327"/>
      <c r="P276" s="121"/>
      <c r="Q276" s="333"/>
      <c r="R276" s="177"/>
      <c r="S276" s="17"/>
      <c r="T276" s="17"/>
      <c r="U276" s="17"/>
      <c r="V276" s="17"/>
    </row>
    <row r="277">
      <c r="A277" s="327"/>
      <c r="B277" s="121"/>
      <c r="C277" s="327"/>
      <c r="D277" s="121"/>
      <c r="E277" s="327"/>
      <c r="F277" s="121"/>
      <c r="G277" s="327"/>
      <c r="H277" s="121"/>
      <c r="I277" s="358"/>
      <c r="J277" s="142"/>
      <c r="K277" s="358"/>
      <c r="L277" s="142"/>
      <c r="M277" s="327"/>
      <c r="N277" s="121"/>
      <c r="O277" s="327"/>
      <c r="P277" s="121"/>
      <c r="Q277" s="333"/>
      <c r="R277" s="177"/>
      <c r="S277" s="17"/>
      <c r="T277" s="17"/>
      <c r="U277" s="17"/>
      <c r="V277" s="17"/>
    </row>
    <row r="278">
      <c r="A278" s="327"/>
      <c r="B278" s="121"/>
      <c r="C278" s="327"/>
      <c r="D278" s="121"/>
      <c r="E278" s="327"/>
      <c r="F278" s="121"/>
      <c r="G278" s="327"/>
      <c r="H278" s="121"/>
      <c r="I278" s="358"/>
      <c r="J278" s="142"/>
      <c r="K278" s="358"/>
      <c r="L278" s="142"/>
      <c r="M278" s="327"/>
      <c r="N278" s="121"/>
      <c r="O278" s="327"/>
      <c r="P278" s="121"/>
      <c r="Q278" s="333"/>
      <c r="R278" s="177"/>
      <c r="S278" s="17"/>
      <c r="T278" s="17"/>
      <c r="U278" s="17"/>
      <c r="V278" s="17"/>
    </row>
    <row r="279">
      <c r="A279" s="327"/>
      <c r="B279" s="121"/>
      <c r="C279" s="327"/>
      <c r="D279" s="121"/>
      <c r="E279" s="327"/>
      <c r="F279" s="121"/>
      <c r="G279" s="327"/>
      <c r="H279" s="121"/>
      <c r="I279" s="358"/>
      <c r="J279" s="142"/>
      <c r="K279" s="358"/>
      <c r="L279" s="142"/>
      <c r="M279" s="327"/>
      <c r="N279" s="121"/>
      <c r="O279" s="327"/>
      <c r="P279" s="121"/>
      <c r="Q279" s="333"/>
      <c r="R279" s="177"/>
      <c r="S279" s="17"/>
      <c r="T279" s="17"/>
      <c r="U279" s="17"/>
      <c r="V279" s="17"/>
    </row>
    <row r="280">
      <c r="A280" s="327"/>
      <c r="B280" s="121"/>
      <c r="C280" s="327"/>
      <c r="D280" s="121"/>
      <c r="E280" s="327"/>
      <c r="F280" s="121"/>
      <c r="G280" s="327"/>
      <c r="H280" s="121"/>
      <c r="I280" s="358"/>
      <c r="J280" s="142"/>
      <c r="K280" s="358"/>
      <c r="L280" s="142"/>
      <c r="M280" s="327"/>
      <c r="N280" s="121"/>
      <c r="O280" s="327"/>
      <c r="P280" s="121"/>
      <c r="Q280" s="333"/>
      <c r="R280" s="177"/>
      <c r="S280" s="17"/>
      <c r="T280" s="17"/>
      <c r="U280" s="17"/>
      <c r="V280" s="17"/>
    </row>
    <row r="281">
      <c r="A281" s="327"/>
      <c r="B281" s="121"/>
      <c r="C281" s="327"/>
      <c r="D281" s="121"/>
      <c r="E281" s="327"/>
      <c r="F281" s="121"/>
      <c r="G281" s="327"/>
      <c r="H281" s="121"/>
      <c r="I281" s="358"/>
      <c r="J281" s="142"/>
      <c r="K281" s="358"/>
      <c r="L281" s="142"/>
      <c r="M281" s="327"/>
      <c r="N281" s="121"/>
      <c r="O281" s="327"/>
      <c r="P281" s="121"/>
      <c r="Q281" s="333"/>
      <c r="R281" s="177"/>
      <c r="S281" s="17"/>
      <c r="T281" s="17"/>
      <c r="U281" s="17"/>
      <c r="V281" s="17"/>
    </row>
    <row r="282">
      <c r="A282" s="327"/>
      <c r="B282" s="121"/>
      <c r="C282" s="327"/>
      <c r="D282" s="121"/>
      <c r="E282" s="327"/>
      <c r="F282" s="121"/>
      <c r="G282" s="327"/>
      <c r="H282" s="121"/>
      <c r="I282" s="358"/>
      <c r="J282" s="142"/>
      <c r="K282" s="358"/>
      <c r="L282" s="142"/>
      <c r="M282" s="327"/>
      <c r="N282" s="121"/>
      <c r="O282" s="327"/>
      <c r="P282" s="121"/>
      <c r="Q282" s="333"/>
      <c r="R282" s="177"/>
      <c r="S282" s="17"/>
      <c r="T282" s="17"/>
      <c r="U282" s="17"/>
      <c r="V282" s="17"/>
    </row>
    <row r="283">
      <c r="A283" s="327"/>
      <c r="B283" s="121"/>
      <c r="C283" s="327"/>
      <c r="D283" s="121"/>
      <c r="E283" s="327"/>
      <c r="F283" s="121"/>
      <c r="G283" s="327"/>
      <c r="H283" s="121"/>
      <c r="I283" s="358"/>
      <c r="J283" s="142"/>
      <c r="K283" s="358"/>
      <c r="L283" s="142"/>
      <c r="M283" s="327"/>
      <c r="N283" s="121"/>
      <c r="O283" s="327"/>
      <c r="P283" s="121"/>
      <c r="Q283" s="333"/>
      <c r="R283" s="177"/>
      <c r="S283" s="17"/>
      <c r="T283" s="17"/>
      <c r="U283" s="17"/>
      <c r="V283" s="17"/>
    </row>
    <row r="284">
      <c r="A284" s="327"/>
      <c r="B284" s="121"/>
      <c r="C284" s="327"/>
      <c r="D284" s="121"/>
      <c r="E284" s="327"/>
      <c r="F284" s="121"/>
      <c r="G284" s="327"/>
      <c r="H284" s="121"/>
      <c r="I284" s="358"/>
      <c r="J284" s="142"/>
      <c r="K284" s="358"/>
      <c r="L284" s="142"/>
      <c r="M284" s="327"/>
      <c r="N284" s="121"/>
      <c r="O284" s="327"/>
      <c r="P284" s="121"/>
      <c r="Q284" s="333"/>
      <c r="R284" s="177"/>
      <c r="S284" s="17"/>
      <c r="T284" s="17"/>
      <c r="U284" s="17"/>
      <c r="V284" s="17"/>
    </row>
    <row r="285">
      <c r="A285" s="327"/>
      <c r="B285" s="121"/>
      <c r="C285" s="327"/>
      <c r="D285" s="121"/>
      <c r="E285" s="327"/>
      <c r="F285" s="121"/>
      <c r="G285" s="327"/>
      <c r="H285" s="121"/>
      <c r="I285" s="358"/>
      <c r="J285" s="142"/>
      <c r="K285" s="358"/>
      <c r="L285" s="142"/>
      <c r="M285" s="327"/>
      <c r="N285" s="121"/>
      <c r="O285" s="327"/>
      <c r="P285" s="121"/>
      <c r="Q285" s="333"/>
      <c r="R285" s="177"/>
      <c r="S285" s="17"/>
      <c r="T285" s="17"/>
      <c r="U285" s="17"/>
      <c r="V285" s="17"/>
    </row>
    <row r="286">
      <c r="A286" s="327"/>
      <c r="B286" s="121"/>
      <c r="C286" s="327"/>
      <c r="D286" s="121"/>
      <c r="E286" s="327"/>
      <c r="F286" s="121"/>
      <c r="G286" s="327"/>
      <c r="H286" s="121"/>
      <c r="I286" s="358"/>
      <c r="J286" s="142"/>
      <c r="K286" s="358"/>
      <c r="L286" s="142"/>
      <c r="M286" s="327"/>
      <c r="N286" s="121"/>
      <c r="O286" s="327"/>
      <c r="P286" s="121"/>
      <c r="Q286" s="358"/>
      <c r="R286" s="142"/>
      <c r="S286" s="17"/>
      <c r="T286" s="17"/>
      <c r="U286" s="17"/>
      <c r="V286" s="17"/>
    </row>
    <row r="287">
      <c r="A287" s="327"/>
      <c r="B287" s="121"/>
      <c r="C287" s="327"/>
      <c r="D287" s="121"/>
      <c r="E287" s="327"/>
      <c r="F287" s="121"/>
      <c r="G287" s="327"/>
      <c r="H287" s="121"/>
      <c r="I287" s="358"/>
      <c r="J287" s="142"/>
      <c r="K287" s="358"/>
      <c r="L287" s="142"/>
      <c r="M287" s="327"/>
      <c r="N287" s="121"/>
      <c r="O287" s="327"/>
      <c r="P287" s="121"/>
      <c r="Q287" s="358"/>
      <c r="R287" s="142"/>
      <c r="S287" s="17"/>
      <c r="T287" s="17"/>
      <c r="U287" s="17"/>
      <c r="V287" s="17"/>
    </row>
    <row r="288">
      <c r="A288" s="327"/>
      <c r="B288" s="121"/>
      <c r="C288" s="327"/>
      <c r="D288" s="121"/>
      <c r="E288" s="327"/>
      <c r="F288" s="121"/>
      <c r="G288" s="327"/>
      <c r="H288" s="121"/>
      <c r="I288" s="358"/>
      <c r="J288" s="142"/>
      <c r="K288" s="358"/>
      <c r="L288" s="142"/>
      <c r="M288" s="327"/>
      <c r="N288" s="121"/>
      <c r="O288" s="327"/>
      <c r="P288" s="121"/>
      <c r="Q288" s="358"/>
      <c r="R288" s="142"/>
      <c r="S288" s="17"/>
      <c r="T288" s="17"/>
      <c r="U288" s="17"/>
      <c r="V288" s="17"/>
    </row>
    <row r="289">
      <c r="A289" s="327"/>
      <c r="B289" s="121"/>
      <c r="C289" s="327"/>
      <c r="D289" s="121"/>
      <c r="E289" s="327"/>
      <c r="F289" s="121"/>
      <c r="G289" s="327"/>
      <c r="H289" s="121"/>
      <c r="I289" s="358"/>
      <c r="J289" s="142"/>
      <c r="K289" s="358"/>
      <c r="L289" s="142"/>
      <c r="M289" s="327"/>
      <c r="N289" s="121"/>
      <c r="O289" s="327"/>
      <c r="P289" s="121"/>
      <c r="Q289" s="358"/>
      <c r="R289" s="142"/>
      <c r="S289" s="17"/>
      <c r="T289" s="17"/>
      <c r="U289" s="17"/>
      <c r="V289" s="17"/>
    </row>
    <row r="290">
      <c r="A290" s="327"/>
      <c r="B290" s="121"/>
      <c r="C290" s="327"/>
      <c r="D290" s="121"/>
      <c r="E290" s="327"/>
      <c r="F290" s="121"/>
      <c r="G290" s="327"/>
      <c r="H290" s="121"/>
      <c r="I290" s="358"/>
      <c r="J290" s="142"/>
      <c r="K290" s="358"/>
      <c r="L290" s="142"/>
      <c r="M290" s="327"/>
      <c r="N290" s="121"/>
      <c r="O290" s="327"/>
      <c r="P290" s="121"/>
      <c r="Q290" s="358"/>
      <c r="R290" s="142"/>
      <c r="S290" s="17"/>
      <c r="T290" s="17"/>
      <c r="U290" s="17"/>
      <c r="V290" s="17"/>
    </row>
    <row r="291">
      <c r="A291" s="327"/>
      <c r="B291" s="121"/>
      <c r="C291" s="327"/>
      <c r="D291" s="121"/>
      <c r="E291" s="327"/>
      <c r="F291" s="121"/>
      <c r="G291" s="327"/>
      <c r="H291" s="121"/>
      <c r="I291" s="358"/>
      <c r="J291" s="142"/>
      <c r="K291" s="358"/>
      <c r="L291" s="142"/>
      <c r="M291" s="327"/>
      <c r="N291" s="121"/>
      <c r="O291" s="327"/>
      <c r="P291" s="121"/>
      <c r="Q291" s="358"/>
      <c r="R291" s="142"/>
      <c r="S291" s="17"/>
      <c r="T291" s="17"/>
      <c r="U291" s="17"/>
      <c r="V291" s="17"/>
    </row>
    <row r="292">
      <c r="A292" s="327"/>
      <c r="B292" s="121"/>
      <c r="C292" s="327"/>
      <c r="D292" s="121"/>
      <c r="E292" s="327"/>
      <c r="F292" s="121"/>
      <c r="G292" s="327"/>
      <c r="H292" s="121"/>
      <c r="I292" s="358"/>
      <c r="J292" s="142"/>
      <c r="K292" s="358"/>
      <c r="L292" s="142"/>
      <c r="M292" s="327"/>
      <c r="N292" s="121"/>
      <c r="O292" s="327"/>
      <c r="P292" s="121"/>
      <c r="Q292" s="358"/>
      <c r="R292" s="142"/>
      <c r="S292" s="17"/>
      <c r="T292" s="17"/>
      <c r="U292" s="17"/>
      <c r="V292" s="17"/>
    </row>
    <row r="293">
      <c r="A293" s="327"/>
      <c r="B293" s="121"/>
      <c r="C293" s="327"/>
      <c r="D293" s="121"/>
      <c r="E293" s="327"/>
      <c r="F293" s="121"/>
      <c r="G293" s="327"/>
      <c r="H293" s="121"/>
      <c r="I293" s="358"/>
      <c r="J293" s="142"/>
      <c r="K293" s="358"/>
      <c r="L293" s="142"/>
      <c r="M293" s="327"/>
      <c r="N293" s="121"/>
      <c r="O293" s="327"/>
      <c r="P293" s="121"/>
      <c r="Q293" s="358"/>
      <c r="R293" s="142"/>
      <c r="S293" s="17"/>
      <c r="T293" s="17"/>
      <c r="U293" s="17"/>
      <c r="V293" s="17"/>
    </row>
    <row r="294">
      <c r="A294" s="327"/>
      <c r="B294" s="121"/>
      <c r="C294" s="327"/>
      <c r="D294" s="121"/>
      <c r="E294" s="327"/>
      <c r="F294" s="121"/>
      <c r="G294" s="327"/>
      <c r="H294" s="121"/>
      <c r="I294" s="358"/>
      <c r="J294" s="142"/>
      <c r="K294" s="358"/>
      <c r="L294" s="142"/>
      <c r="M294" s="327"/>
      <c r="N294" s="121"/>
      <c r="O294" s="327"/>
      <c r="P294" s="121"/>
      <c r="Q294" s="358"/>
      <c r="R294" s="142"/>
      <c r="S294" s="17"/>
      <c r="T294" s="17"/>
      <c r="U294" s="17"/>
      <c r="V294" s="17"/>
    </row>
    <row r="295">
      <c r="A295" s="327"/>
      <c r="B295" s="121"/>
      <c r="C295" s="327"/>
      <c r="D295" s="121"/>
      <c r="E295" s="327"/>
      <c r="F295" s="121"/>
      <c r="G295" s="327"/>
      <c r="H295" s="121"/>
      <c r="I295" s="358"/>
      <c r="J295" s="142"/>
      <c r="K295" s="358"/>
      <c r="L295" s="142"/>
      <c r="M295" s="327"/>
      <c r="N295" s="121"/>
      <c r="O295" s="327"/>
      <c r="P295" s="121"/>
      <c r="Q295" s="358"/>
      <c r="R295" s="142"/>
      <c r="S295" s="17"/>
      <c r="T295" s="17"/>
      <c r="U295" s="17"/>
      <c r="V295" s="17"/>
    </row>
    <row r="296">
      <c r="A296" s="327"/>
      <c r="B296" s="121"/>
      <c r="C296" s="327"/>
      <c r="D296" s="121"/>
      <c r="E296" s="327"/>
      <c r="F296" s="121"/>
      <c r="G296" s="327"/>
      <c r="H296" s="121"/>
      <c r="I296" s="358"/>
      <c r="J296" s="142"/>
      <c r="K296" s="358"/>
      <c r="L296" s="142"/>
      <c r="M296" s="327"/>
      <c r="N296" s="121"/>
      <c r="O296" s="327"/>
      <c r="P296" s="121"/>
      <c r="Q296" s="358"/>
      <c r="R296" s="142"/>
      <c r="S296" s="17"/>
      <c r="T296" s="17"/>
      <c r="U296" s="17"/>
      <c r="V296" s="17"/>
    </row>
    <row r="297">
      <c r="A297" s="327"/>
      <c r="B297" s="121"/>
      <c r="C297" s="327"/>
      <c r="D297" s="121"/>
      <c r="E297" s="327"/>
      <c r="F297" s="121"/>
      <c r="G297" s="327"/>
      <c r="H297" s="121"/>
      <c r="I297" s="358"/>
      <c r="J297" s="142"/>
      <c r="K297" s="358"/>
      <c r="L297" s="142"/>
      <c r="M297" s="327"/>
      <c r="N297" s="121"/>
      <c r="O297" s="327"/>
      <c r="P297" s="121"/>
      <c r="Q297" s="358"/>
      <c r="R297" s="142"/>
      <c r="S297" s="17"/>
      <c r="T297" s="17"/>
      <c r="U297" s="17"/>
      <c r="V297" s="17"/>
    </row>
    <row r="298">
      <c r="A298" s="327"/>
      <c r="B298" s="121"/>
      <c r="C298" s="327"/>
      <c r="D298" s="121"/>
      <c r="E298" s="327"/>
      <c r="F298" s="121"/>
      <c r="G298" s="327"/>
      <c r="H298" s="121"/>
      <c r="I298" s="358"/>
      <c r="J298" s="142"/>
      <c r="K298" s="358"/>
      <c r="L298" s="142"/>
      <c r="M298" s="327"/>
      <c r="N298" s="121"/>
      <c r="O298" s="327"/>
      <c r="P298" s="121"/>
      <c r="Q298" s="358"/>
      <c r="R298" s="142"/>
      <c r="S298" s="17"/>
      <c r="T298" s="17"/>
      <c r="U298" s="17"/>
      <c r="V298" s="17"/>
    </row>
    <row r="299">
      <c r="A299" s="327"/>
      <c r="B299" s="121"/>
      <c r="C299" s="327"/>
      <c r="D299" s="121"/>
      <c r="E299" s="327"/>
      <c r="F299" s="121"/>
      <c r="G299" s="327"/>
      <c r="H299" s="121"/>
      <c r="I299" s="358"/>
      <c r="J299" s="142"/>
      <c r="K299" s="358"/>
      <c r="L299" s="142"/>
      <c r="M299" s="327"/>
      <c r="N299" s="121"/>
      <c r="O299" s="327"/>
      <c r="P299" s="121"/>
      <c r="Q299" s="358"/>
      <c r="R299" s="142"/>
      <c r="S299" s="17"/>
      <c r="T299" s="17"/>
      <c r="U299" s="17"/>
      <c r="V299" s="17"/>
    </row>
    <row r="300">
      <c r="A300" s="327"/>
      <c r="B300" s="121"/>
      <c r="C300" s="327"/>
      <c r="D300" s="121"/>
      <c r="E300" s="327"/>
      <c r="F300" s="121"/>
      <c r="G300" s="327"/>
      <c r="H300" s="121"/>
      <c r="I300" s="358"/>
      <c r="J300" s="142"/>
      <c r="K300" s="358"/>
      <c r="L300" s="142"/>
      <c r="M300" s="327"/>
      <c r="N300" s="121"/>
      <c r="O300" s="327"/>
      <c r="P300" s="121"/>
      <c r="Q300" s="358"/>
      <c r="R300" s="142"/>
      <c r="S300" s="17"/>
      <c r="T300" s="17"/>
      <c r="U300" s="17"/>
      <c r="V300" s="17"/>
    </row>
    <row r="301">
      <c r="A301" s="327"/>
      <c r="B301" s="121"/>
      <c r="C301" s="327"/>
      <c r="D301" s="121"/>
      <c r="E301" s="327"/>
      <c r="F301" s="121"/>
      <c r="G301" s="327"/>
      <c r="H301" s="121"/>
      <c r="I301" s="358"/>
      <c r="J301" s="142"/>
      <c r="K301" s="358"/>
      <c r="L301" s="142"/>
      <c r="M301" s="327"/>
      <c r="N301" s="121"/>
      <c r="O301" s="327"/>
      <c r="P301" s="121"/>
      <c r="Q301" s="358"/>
      <c r="R301" s="142"/>
      <c r="S301" s="17"/>
      <c r="T301" s="17"/>
      <c r="U301" s="17"/>
      <c r="V301" s="17"/>
    </row>
    <row r="302">
      <c r="A302" s="327"/>
      <c r="B302" s="121"/>
      <c r="C302" s="327"/>
      <c r="D302" s="121"/>
      <c r="E302" s="327"/>
      <c r="F302" s="121"/>
      <c r="G302" s="327"/>
      <c r="H302" s="121"/>
      <c r="I302" s="358"/>
      <c r="J302" s="142"/>
      <c r="K302" s="358"/>
      <c r="L302" s="142"/>
      <c r="M302" s="327"/>
      <c r="N302" s="121"/>
      <c r="O302" s="327"/>
      <c r="P302" s="121"/>
      <c r="Q302" s="358"/>
      <c r="R302" s="142"/>
      <c r="S302" s="17"/>
      <c r="T302" s="17"/>
      <c r="U302" s="17"/>
      <c r="V302" s="17"/>
    </row>
    <row r="303">
      <c r="A303" s="327"/>
      <c r="B303" s="121"/>
      <c r="C303" s="327"/>
      <c r="D303" s="121"/>
      <c r="E303" s="327"/>
      <c r="F303" s="121"/>
      <c r="G303" s="327"/>
      <c r="H303" s="121"/>
      <c r="I303" s="358"/>
      <c r="J303" s="142"/>
      <c r="K303" s="358"/>
      <c r="L303" s="142"/>
      <c r="M303" s="327"/>
      <c r="N303" s="121"/>
      <c r="O303" s="327"/>
      <c r="P303" s="121"/>
      <c r="Q303" s="358"/>
      <c r="R303" s="142"/>
      <c r="S303" s="17"/>
      <c r="T303" s="17"/>
      <c r="U303" s="17"/>
      <c r="V303" s="17"/>
    </row>
    <row r="304">
      <c r="A304" s="327"/>
      <c r="B304" s="121"/>
      <c r="C304" s="327"/>
      <c r="D304" s="121"/>
      <c r="E304" s="327"/>
      <c r="F304" s="121"/>
      <c r="G304" s="327"/>
      <c r="H304" s="121"/>
      <c r="I304" s="358"/>
      <c r="J304" s="142"/>
      <c r="K304" s="358"/>
      <c r="L304" s="142"/>
      <c r="M304" s="327"/>
      <c r="N304" s="121"/>
      <c r="O304" s="327"/>
      <c r="P304" s="121"/>
      <c r="Q304" s="358"/>
      <c r="R304" s="142"/>
      <c r="S304" s="17"/>
      <c r="T304" s="17"/>
      <c r="U304" s="17"/>
      <c r="V304" s="17"/>
    </row>
    <row r="305">
      <c r="A305" s="327"/>
      <c r="B305" s="121"/>
      <c r="C305" s="327"/>
      <c r="D305" s="121"/>
      <c r="E305" s="327"/>
      <c r="F305" s="121"/>
      <c r="G305" s="327"/>
      <c r="H305" s="121"/>
      <c r="I305" s="358"/>
      <c r="J305" s="142"/>
      <c r="K305" s="358"/>
      <c r="L305" s="142"/>
      <c r="M305" s="327"/>
      <c r="N305" s="121"/>
      <c r="O305" s="327"/>
      <c r="P305" s="121"/>
      <c r="Q305" s="358"/>
      <c r="R305" s="142"/>
      <c r="S305" s="17"/>
      <c r="T305" s="17"/>
      <c r="U305" s="17"/>
      <c r="V305" s="17"/>
    </row>
    <row r="306">
      <c r="A306" s="327"/>
      <c r="B306" s="121"/>
      <c r="C306" s="327"/>
      <c r="D306" s="121"/>
      <c r="E306" s="327"/>
      <c r="F306" s="121"/>
      <c r="G306" s="327"/>
      <c r="H306" s="121"/>
      <c r="I306" s="358"/>
      <c r="J306" s="142"/>
      <c r="K306" s="358"/>
      <c r="L306" s="142"/>
      <c r="M306" s="327"/>
      <c r="N306" s="121"/>
      <c r="O306" s="327"/>
      <c r="P306" s="121"/>
      <c r="Q306" s="358"/>
      <c r="R306" s="142"/>
      <c r="S306" s="17"/>
      <c r="T306" s="17"/>
      <c r="U306" s="17"/>
      <c r="V306" s="17"/>
    </row>
    <row r="307">
      <c r="A307" s="327"/>
      <c r="B307" s="121"/>
      <c r="C307" s="327"/>
      <c r="D307" s="121"/>
      <c r="E307" s="327"/>
      <c r="F307" s="121"/>
      <c r="G307" s="327"/>
      <c r="H307" s="121"/>
      <c r="I307" s="358"/>
      <c r="J307" s="142"/>
      <c r="K307" s="358"/>
      <c r="L307" s="142"/>
      <c r="M307" s="327"/>
      <c r="N307" s="121"/>
      <c r="O307" s="327"/>
      <c r="P307" s="121"/>
      <c r="Q307" s="358"/>
      <c r="R307" s="142"/>
      <c r="S307" s="17"/>
      <c r="T307" s="17"/>
      <c r="U307" s="17"/>
      <c r="V307" s="17"/>
    </row>
    <row r="308">
      <c r="A308" s="327"/>
      <c r="B308" s="121"/>
      <c r="C308" s="327"/>
      <c r="D308" s="121"/>
      <c r="E308" s="327"/>
      <c r="F308" s="121"/>
      <c r="G308" s="327"/>
      <c r="H308" s="121"/>
      <c r="I308" s="358"/>
      <c r="J308" s="142"/>
      <c r="K308" s="358"/>
      <c r="L308" s="142"/>
      <c r="M308" s="327"/>
      <c r="N308" s="121"/>
      <c r="O308" s="327"/>
      <c r="P308" s="121"/>
      <c r="Q308" s="358"/>
      <c r="R308" s="142"/>
      <c r="S308" s="17"/>
      <c r="T308" s="17"/>
      <c r="U308" s="17"/>
      <c r="V308" s="17"/>
    </row>
    <row r="309">
      <c r="A309" s="327"/>
      <c r="B309" s="121"/>
      <c r="C309" s="327"/>
      <c r="D309" s="121"/>
      <c r="E309" s="327"/>
      <c r="F309" s="121"/>
      <c r="G309" s="327"/>
      <c r="H309" s="121"/>
      <c r="I309" s="358"/>
      <c r="J309" s="142"/>
      <c r="K309" s="358"/>
      <c r="L309" s="142"/>
      <c r="M309" s="327"/>
      <c r="N309" s="121"/>
      <c r="O309" s="327"/>
      <c r="P309" s="121"/>
      <c r="Q309" s="358"/>
      <c r="R309" s="142"/>
      <c r="S309" s="17"/>
      <c r="T309" s="17"/>
      <c r="U309" s="17"/>
      <c r="V309" s="17"/>
    </row>
    <row r="310">
      <c r="A310" s="327"/>
      <c r="B310" s="121"/>
      <c r="C310" s="327"/>
      <c r="D310" s="121"/>
      <c r="E310" s="327"/>
      <c r="F310" s="121"/>
      <c r="G310" s="327"/>
      <c r="H310" s="121"/>
      <c r="I310" s="358"/>
      <c r="J310" s="142"/>
      <c r="K310" s="358"/>
      <c r="L310" s="142"/>
      <c r="M310" s="327"/>
      <c r="N310" s="121"/>
      <c r="O310" s="327"/>
      <c r="P310" s="121"/>
      <c r="Q310" s="358"/>
      <c r="R310" s="142"/>
      <c r="S310" s="17"/>
      <c r="T310" s="17"/>
      <c r="U310" s="17"/>
      <c r="V310" s="17"/>
    </row>
    <row r="311">
      <c r="A311" s="327"/>
      <c r="B311" s="121"/>
      <c r="C311" s="327"/>
      <c r="D311" s="121"/>
      <c r="E311" s="327"/>
      <c r="F311" s="121"/>
      <c r="G311" s="327"/>
      <c r="H311" s="121"/>
      <c r="I311" s="358"/>
      <c r="J311" s="142"/>
      <c r="K311" s="358"/>
      <c r="L311" s="142"/>
      <c r="M311" s="327"/>
      <c r="N311" s="121"/>
      <c r="O311" s="327"/>
      <c r="P311" s="121"/>
      <c r="Q311" s="358"/>
      <c r="R311" s="142"/>
      <c r="S311" s="17"/>
      <c r="T311" s="17"/>
      <c r="U311" s="17"/>
      <c r="V311" s="17"/>
    </row>
    <row r="312">
      <c r="A312" s="327"/>
      <c r="B312" s="121"/>
      <c r="C312" s="327"/>
      <c r="D312" s="121"/>
      <c r="E312" s="327"/>
      <c r="F312" s="121"/>
      <c r="G312" s="327"/>
      <c r="H312" s="121"/>
      <c r="I312" s="358"/>
      <c r="J312" s="142"/>
      <c r="K312" s="358"/>
      <c r="L312" s="142"/>
      <c r="M312" s="327"/>
      <c r="N312" s="121"/>
      <c r="O312" s="327"/>
      <c r="P312" s="121"/>
      <c r="Q312" s="358"/>
      <c r="R312" s="142"/>
      <c r="S312" s="17"/>
      <c r="T312" s="17"/>
      <c r="U312" s="17"/>
      <c r="V312" s="17"/>
    </row>
    <row r="313">
      <c r="A313" s="327"/>
      <c r="B313" s="121"/>
      <c r="C313" s="327"/>
      <c r="D313" s="121"/>
      <c r="E313" s="327"/>
      <c r="F313" s="121"/>
      <c r="G313" s="327"/>
      <c r="H313" s="121"/>
      <c r="I313" s="358"/>
      <c r="J313" s="142"/>
      <c r="K313" s="358"/>
      <c r="L313" s="142"/>
      <c r="M313" s="327"/>
      <c r="N313" s="121"/>
      <c r="O313" s="327"/>
      <c r="P313" s="121"/>
      <c r="Q313" s="358"/>
      <c r="R313" s="142"/>
      <c r="S313" s="17"/>
      <c r="T313" s="17"/>
      <c r="U313" s="17"/>
      <c r="V313" s="17"/>
    </row>
    <row r="314">
      <c r="A314" s="327"/>
      <c r="B314" s="121"/>
      <c r="C314" s="327"/>
      <c r="D314" s="121"/>
      <c r="E314" s="327"/>
      <c r="F314" s="121"/>
      <c r="G314" s="327"/>
      <c r="H314" s="121"/>
      <c r="I314" s="358"/>
      <c r="J314" s="142"/>
      <c r="K314" s="358"/>
      <c r="L314" s="142"/>
      <c r="M314" s="327"/>
      <c r="N314" s="121"/>
      <c r="O314" s="327"/>
      <c r="P314" s="121"/>
      <c r="Q314" s="358"/>
      <c r="R314" s="142"/>
      <c r="S314" s="17"/>
      <c r="T314" s="17"/>
      <c r="U314" s="17"/>
      <c r="V314" s="17"/>
    </row>
    <row r="315">
      <c r="A315" s="327"/>
      <c r="B315" s="121"/>
      <c r="C315" s="327"/>
      <c r="D315" s="121"/>
      <c r="E315" s="327"/>
      <c r="F315" s="121"/>
      <c r="G315" s="327"/>
      <c r="H315" s="121"/>
      <c r="I315" s="358"/>
      <c r="J315" s="142"/>
      <c r="K315" s="358"/>
      <c r="L315" s="142"/>
      <c r="M315" s="327"/>
      <c r="N315" s="121"/>
      <c r="O315" s="327"/>
      <c r="P315" s="121"/>
      <c r="Q315" s="358"/>
      <c r="R315" s="142"/>
      <c r="S315" s="17"/>
      <c r="T315" s="17"/>
      <c r="U315" s="17"/>
      <c r="V315" s="17"/>
    </row>
    <row r="316">
      <c r="A316" s="327"/>
      <c r="B316" s="121"/>
      <c r="C316" s="327"/>
      <c r="D316" s="121"/>
      <c r="E316" s="327"/>
      <c r="F316" s="121"/>
      <c r="G316" s="327"/>
      <c r="H316" s="121"/>
      <c r="I316" s="358"/>
      <c r="J316" s="142"/>
      <c r="K316" s="358"/>
      <c r="L316" s="142"/>
      <c r="M316" s="327"/>
      <c r="N316" s="121"/>
      <c r="O316" s="327"/>
      <c r="P316" s="121"/>
      <c r="Q316" s="358"/>
      <c r="R316" s="142"/>
      <c r="S316" s="17"/>
      <c r="T316" s="17"/>
      <c r="U316" s="17"/>
      <c r="V316" s="17"/>
    </row>
    <row r="317">
      <c r="A317" s="327"/>
      <c r="B317" s="121"/>
      <c r="C317" s="327"/>
      <c r="D317" s="121"/>
      <c r="E317" s="327"/>
      <c r="F317" s="121"/>
      <c r="G317" s="327"/>
      <c r="H317" s="121"/>
      <c r="I317" s="358"/>
      <c r="J317" s="142"/>
      <c r="K317" s="358"/>
      <c r="L317" s="142"/>
      <c r="M317" s="327"/>
      <c r="N317" s="121"/>
      <c r="O317" s="327"/>
      <c r="P317" s="121"/>
      <c r="Q317" s="358"/>
      <c r="R317" s="142"/>
      <c r="S317" s="17"/>
      <c r="T317" s="17"/>
      <c r="U317" s="17"/>
      <c r="V317" s="17"/>
    </row>
    <row r="318">
      <c r="A318" s="327"/>
      <c r="B318" s="121"/>
      <c r="C318" s="327"/>
      <c r="D318" s="121"/>
      <c r="E318" s="327"/>
      <c r="F318" s="121"/>
      <c r="G318" s="327"/>
      <c r="H318" s="121"/>
      <c r="I318" s="358"/>
      <c r="J318" s="142"/>
      <c r="K318" s="358"/>
      <c r="L318" s="142"/>
      <c r="M318" s="327"/>
      <c r="N318" s="121"/>
      <c r="O318" s="327"/>
      <c r="P318" s="121"/>
      <c r="Q318" s="358"/>
      <c r="R318" s="142"/>
      <c r="S318" s="17"/>
      <c r="T318" s="17"/>
      <c r="U318" s="17"/>
      <c r="V318" s="17"/>
    </row>
    <row r="319">
      <c r="A319" s="327"/>
      <c r="B319" s="121"/>
      <c r="C319" s="327"/>
      <c r="D319" s="121"/>
      <c r="E319" s="327"/>
      <c r="F319" s="121"/>
      <c r="G319" s="327"/>
      <c r="H319" s="121"/>
      <c r="I319" s="358"/>
      <c r="J319" s="142"/>
      <c r="K319" s="358"/>
      <c r="L319" s="142"/>
      <c r="M319" s="327"/>
      <c r="N319" s="121"/>
      <c r="O319" s="327"/>
      <c r="P319" s="121"/>
      <c r="Q319" s="358"/>
      <c r="R319" s="142"/>
      <c r="S319" s="17"/>
      <c r="T319" s="17"/>
      <c r="U319" s="17"/>
      <c r="V319" s="17"/>
    </row>
    <row r="320">
      <c r="A320" s="327"/>
      <c r="B320" s="121"/>
      <c r="C320" s="327"/>
      <c r="D320" s="121"/>
      <c r="E320" s="327"/>
      <c r="F320" s="121"/>
      <c r="G320" s="327"/>
      <c r="H320" s="121"/>
      <c r="I320" s="358"/>
      <c r="J320" s="142"/>
      <c r="K320" s="358"/>
      <c r="L320" s="142"/>
      <c r="M320" s="327"/>
      <c r="N320" s="121"/>
      <c r="O320" s="327"/>
      <c r="P320" s="121"/>
      <c r="Q320" s="358"/>
      <c r="R320" s="142"/>
      <c r="S320" s="17"/>
      <c r="T320" s="17"/>
      <c r="U320" s="17"/>
      <c r="V320" s="17"/>
    </row>
    <row r="321">
      <c r="A321" s="327"/>
      <c r="B321" s="121"/>
      <c r="C321" s="327"/>
      <c r="D321" s="121"/>
      <c r="E321" s="327"/>
      <c r="F321" s="121"/>
      <c r="G321" s="327"/>
      <c r="H321" s="121"/>
      <c r="I321" s="358"/>
      <c r="J321" s="142"/>
      <c r="K321" s="358"/>
      <c r="L321" s="142"/>
      <c r="M321" s="327"/>
      <c r="N321" s="121"/>
      <c r="O321" s="327"/>
      <c r="P321" s="121"/>
      <c r="Q321" s="358"/>
      <c r="R321" s="142"/>
      <c r="S321" s="17"/>
      <c r="T321" s="17"/>
      <c r="U321" s="17"/>
      <c r="V321" s="17"/>
    </row>
    <row r="322">
      <c r="A322" s="327"/>
      <c r="B322" s="121"/>
      <c r="C322" s="327"/>
      <c r="D322" s="121"/>
      <c r="E322" s="327"/>
      <c r="F322" s="121"/>
      <c r="G322" s="327"/>
      <c r="H322" s="121"/>
      <c r="I322" s="358"/>
      <c r="J322" s="142"/>
      <c r="K322" s="358"/>
      <c r="L322" s="142"/>
      <c r="M322" s="327"/>
      <c r="N322" s="121"/>
      <c r="O322" s="327"/>
      <c r="P322" s="121"/>
      <c r="Q322" s="358"/>
      <c r="R322" s="142"/>
      <c r="S322" s="17"/>
      <c r="T322" s="17"/>
      <c r="U322" s="17"/>
      <c r="V322" s="17"/>
    </row>
    <row r="323">
      <c r="A323" s="327"/>
      <c r="B323" s="121"/>
      <c r="C323" s="327"/>
      <c r="D323" s="121"/>
      <c r="E323" s="327"/>
      <c r="F323" s="121"/>
      <c r="G323" s="327"/>
      <c r="H323" s="121"/>
      <c r="I323" s="358"/>
      <c r="J323" s="142"/>
      <c r="K323" s="358"/>
      <c r="L323" s="142"/>
      <c r="M323" s="327"/>
      <c r="N323" s="121"/>
      <c r="O323" s="327"/>
      <c r="P323" s="121"/>
      <c r="Q323" s="358"/>
      <c r="R323" s="142"/>
      <c r="S323" s="17"/>
      <c r="T323" s="17"/>
      <c r="U323" s="17"/>
      <c r="V323" s="17"/>
    </row>
    <row r="324">
      <c r="A324" s="327"/>
      <c r="B324" s="121"/>
      <c r="C324" s="327"/>
      <c r="D324" s="121"/>
      <c r="E324" s="327"/>
      <c r="F324" s="121"/>
      <c r="G324" s="327"/>
      <c r="H324" s="121"/>
      <c r="I324" s="358"/>
      <c r="J324" s="142"/>
      <c r="K324" s="358"/>
      <c r="L324" s="142"/>
      <c r="M324" s="327"/>
      <c r="N324" s="121"/>
      <c r="O324" s="327"/>
      <c r="P324" s="121"/>
      <c r="Q324" s="358"/>
      <c r="R324" s="142"/>
      <c r="S324" s="17"/>
      <c r="T324" s="17"/>
      <c r="U324" s="17"/>
      <c r="V324" s="17"/>
    </row>
    <row r="325">
      <c r="A325" s="327"/>
      <c r="B325" s="121"/>
      <c r="C325" s="327"/>
      <c r="D325" s="121"/>
      <c r="E325" s="327"/>
      <c r="F325" s="121"/>
      <c r="G325" s="327"/>
      <c r="H325" s="121"/>
      <c r="I325" s="358"/>
      <c r="J325" s="142"/>
      <c r="K325" s="358"/>
      <c r="L325" s="142"/>
      <c r="M325" s="327"/>
      <c r="N325" s="121"/>
      <c r="O325" s="327"/>
      <c r="P325" s="121"/>
      <c r="Q325" s="358"/>
      <c r="R325" s="142"/>
      <c r="S325" s="17"/>
      <c r="T325" s="17"/>
      <c r="U325" s="17"/>
      <c r="V325" s="17"/>
    </row>
    <row r="326">
      <c r="A326" s="327"/>
      <c r="B326" s="121"/>
      <c r="C326" s="327"/>
      <c r="D326" s="121"/>
      <c r="E326" s="327"/>
      <c r="F326" s="121"/>
      <c r="G326" s="327"/>
      <c r="H326" s="121"/>
      <c r="I326" s="358"/>
      <c r="J326" s="142"/>
      <c r="K326" s="358"/>
      <c r="L326" s="142"/>
      <c r="M326" s="327"/>
      <c r="N326" s="121"/>
      <c r="O326" s="327"/>
      <c r="P326" s="121"/>
      <c r="Q326" s="358"/>
      <c r="R326" s="142"/>
      <c r="S326" s="17"/>
      <c r="T326" s="17"/>
      <c r="U326" s="17"/>
      <c r="V326" s="17"/>
    </row>
    <row r="327">
      <c r="A327" s="327"/>
      <c r="B327" s="121"/>
      <c r="C327" s="327"/>
      <c r="D327" s="121"/>
      <c r="E327" s="327"/>
      <c r="F327" s="121"/>
      <c r="G327" s="327"/>
      <c r="H327" s="121"/>
      <c r="I327" s="358"/>
      <c r="J327" s="142"/>
      <c r="K327" s="358"/>
      <c r="L327" s="142"/>
      <c r="M327" s="327"/>
      <c r="N327" s="121"/>
      <c r="O327" s="327"/>
      <c r="P327" s="121"/>
      <c r="Q327" s="358"/>
      <c r="R327" s="142"/>
      <c r="S327" s="17"/>
      <c r="T327" s="17"/>
      <c r="U327" s="17"/>
      <c r="V327" s="17"/>
    </row>
    <row r="328">
      <c r="A328" s="327"/>
      <c r="B328" s="121"/>
      <c r="C328" s="327"/>
      <c r="D328" s="121"/>
      <c r="E328" s="327"/>
      <c r="F328" s="121"/>
      <c r="G328" s="327"/>
      <c r="H328" s="121"/>
      <c r="I328" s="358"/>
      <c r="J328" s="142"/>
      <c r="K328" s="358"/>
      <c r="L328" s="142"/>
      <c r="M328" s="327"/>
      <c r="N328" s="121"/>
      <c r="O328" s="327"/>
      <c r="P328" s="121"/>
      <c r="Q328" s="358"/>
      <c r="R328" s="142"/>
      <c r="S328" s="17"/>
      <c r="T328" s="17"/>
      <c r="U328" s="17"/>
      <c r="V328" s="17"/>
    </row>
    <row r="329">
      <c r="A329" s="327"/>
      <c r="B329" s="121"/>
      <c r="C329" s="327"/>
      <c r="D329" s="121"/>
      <c r="E329" s="327"/>
      <c r="F329" s="121"/>
      <c r="G329" s="327"/>
      <c r="H329" s="121"/>
      <c r="I329" s="358"/>
      <c r="J329" s="142"/>
      <c r="K329" s="358"/>
      <c r="L329" s="142"/>
      <c r="M329" s="327"/>
      <c r="N329" s="121"/>
      <c r="O329" s="327"/>
      <c r="P329" s="121"/>
      <c r="Q329" s="358"/>
      <c r="R329" s="142"/>
      <c r="S329" s="17"/>
      <c r="T329" s="17"/>
      <c r="U329" s="17"/>
      <c r="V329" s="17"/>
    </row>
    <row r="330">
      <c r="A330" s="327"/>
      <c r="B330" s="121"/>
      <c r="C330" s="327"/>
      <c r="D330" s="121"/>
      <c r="E330" s="327"/>
      <c r="F330" s="121"/>
      <c r="G330" s="327"/>
      <c r="H330" s="121"/>
      <c r="I330" s="358"/>
      <c r="J330" s="142"/>
      <c r="K330" s="358"/>
      <c r="L330" s="142"/>
      <c r="M330" s="327"/>
      <c r="N330" s="121"/>
      <c r="O330" s="327"/>
      <c r="P330" s="121"/>
      <c r="Q330" s="358"/>
      <c r="R330" s="142"/>
      <c r="S330" s="17"/>
      <c r="T330" s="17"/>
      <c r="U330" s="17"/>
      <c r="V330" s="17"/>
    </row>
    <row r="331">
      <c r="A331" s="327"/>
      <c r="B331" s="121"/>
      <c r="C331" s="327"/>
      <c r="D331" s="121"/>
      <c r="E331" s="327"/>
      <c r="F331" s="121"/>
      <c r="G331" s="327"/>
      <c r="H331" s="121"/>
      <c r="I331" s="358"/>
      <c r="J331" s="142"/>
      <c r="K331" s="358"/>
      <c r="L331" s="142"/>
      <c r="M331" s="327"/>
      <c r="N331" s="121"/>
      <c r="O331" s="327"/>
      <c r="P331" s="121"/>
      <c r="Q331" s="358"/>
      <c r="R331" s="142"/>
      <c r="S331" s="17"/>
      <c r="T331" s="17"/>
      <c r="U331" s="17"/>
      <c r="V331" s="17"/>
    </row>
    <row r="332">
      <c r="A332" s="327"/>
      <c r="B332" s="121"/>
      <c r="C332" s="327"/>
      <c r="D332" s="121"/>
      <c r="E332" s="327"/>
      <c r="F332" s="121"/>
      <c r="G332" s="327"/>
      <c r="H332" s="121"/>
      <c r="I332" s="358"/>
      <c r="J332" s="142"/>
      <c r="K332" s="358"/>
      <c r="L332" s="142"/>
      <c r="M332" s="327"/>
      <c r="N332" s="121"/>
      <c r="O332" s="327"/>
      <c r="P332" s="121"/>
      <c r="Q332" s="358"/>
      <c r="R332" s="142"/>
      <c r="S332" s="17"/>
      <c r="T332" s="17"/>
      <c r="U332" s="17"/>
      <c r="V332" s="17"/>
    </row>
    <row r="333">
      <c r="A333" s="327"/>
      <c r="B333" s="121"/>
      <c r="C333" s="327"/>
      <c r="D333" s="121"/>
      <c r="E333" s="327"/>
      <c r="F333" s="121"/>
      <c r="G333" s="327"/>
      <c r="H333" s="121"/>
      <c r="I333" s="358"/>
      <c r="J333" s="142"/>
      <c r="K333" s="358"/>
      <c r="L333" s="142"/>
      <c r="M333" s="327"/>
      <c r="N333" s="121"/>
      <c r="O333" s="327"/>
      <c r="P333" s="121"/>
      <c r="Q333" s="358"/>
      <c r="R333" s="142"/>
      <c r="S333" s="17"/>
      <c r="T333" s="17"/>
      <c r="U333" s="17"/>
      <c r="V333" s="17"/>
    </row>
    <row r="334">
      <c r="A334" s="327"/>
      <c r="B334" s="121"/>
      <c r="C334" s="327"/>
      <c r="D334" s="121"/>
      <c r="E334" s="327"/>
      <c r="F334" s="121"/>
      <c r="G334" s="327"/>
      <c r="H334" s="121"/>
      <c r="I334" s="358"/>
      <c r="J334" s="142"/>
      <c r="K334" s="358"/>
      <c r="L334" s="142"/>
      <c r="M334" s="327"/>
      <c r="N334" s="121"/>
      <c r="O334" s="327"/>
      <c r="P334" s="121"/>
      <c r="Q334" s="358"/>
      <c r="R334" s="142"/>
      <c r="S334" s="17"/>
      <c r="T334" s="17"/>
      <c r="U334" s="17"/>
      <c r="V334" s="17"/>
    </row>
    <row r="335">
      <c r="A335" s="327"/>
      <c r="B335" s="121"/>
      <c r="C335" s="327"/>
      <c r="D335" s="121"/>
      <c r="E335" s="327"/>
      <c r="F335" s="121"/>
      <c r="G335" s="327"/>
      <c r="H335" s="121"/>
      <c r="I335" s="358"/>
      <c r="J335" s="142"/>
      <c r="K335" s="358"/>
      <c r="L335" s="142"/>
      <c r="M335" s="327"/>
      <c r="N335" s="121"/>
      <c r="O335" s="327"/>
      <c r="P335" s="121"/>
      <c r="Q335" s="358"/>
      <c r="R335" s="142"/>
      <c r="S335" s="17"/>
      <c r="T335" s="17"/>
      <c r="U335" s="17"/>
      <c r="V335" s="17"/>
    </row>
    <row r="336">
      <c r="A336" s="327"/>
      <c r="B336" s="121"/>
      <c r="C336" s="327"/>
      <c r="D336" s="121"/>
      <c r="E336" s="327"/>
      <c r="F336" s="121"/>
      <c r="G336" s="327"/>
      <c r="H336" s="121"/>
      <c r="I336" s="358"/>
      <c r="J336" s="142"/>
      <c r="K336" s="358"/>
      <c r="L336" s="142"/>
      <c r="M336" s="327"/>
      <c r="N336" s="121"/>
      <c r="O336" s="327"/>
      <c r="P336" s="121"/>
      <c r="Q336" s="358"/>
      <c r="R336" s="142"/>
      <c r="S336" s="17"/>
      <c r="T336" s="17"/>
      <c r="U336" s="17"/>
      <c r="V336" s="17"/>
    </row>
    <row r="337">
      <c r="A337" s="327"/>
      <c r="B337" s="121"/>
      <c r="C337" s="327"/>
      <c r="D337" s="121"/>
      <c r="E337" s="327"/>
      <c r="F337" s="121"/>
      <c r="G337" s="327"/>
      <c r="H337" s="121"/>
      <c r="I337" s="358"/>
      <c r="J337" s="142"/>
      <c r="K337" s="358"/>
      <c r="L337" s="142"/>
      <c r="M337" s="327"/>
      <c r="N337" s="121"/>
      <c r="O337" s="327"/>
      <c r="P337" s="121"/>
      <c r="Q337" s="358"/>
      <c r="R337" s="142"/>
      <c r="S337" s="17"/>
      <c r="T337" s="17"/>
      <c r="U337" s="17"/>
      <c r="V337" s="17"/>
    </row>
    <row r="338">
      <c r="A338" s="327"/>
      <c r="B338" s="121"/>
      <c r="C338" s="327"/>
      <c r="D338" s="121"/>
      <c r="E338" s="327"/>
      <c r="F338" s="121"/>
      <c r="G338" s="327"/>
      <c r="H338" s="121"/>
      <c r="I338" s="358"/>
      <c r="J338" s="142"/>
      <c r="K338" s="358"/>
      <c r="L338" s="142"/>
      <c r="M338" s="327"/>
      <c r="N338" s="121"/>
      <c r="O338" s="327"/>
      <c r="P338" s="121"/>
      <c r="Q338" s="358"/>
      <c r="R338" s="142"/>
      <c r="S338" s="17"/>
      <c r="T338" s="17"/>
      <c r="U338" s="17"/>
      <c r="V338" s="17"/>
    </row>
    <row r="339">
      <c r="A339" s="327"/>
      <c r="B339" s="121"/>
      <c r="C339" s="327"/>
      <c r="D339" s="121"/>
      <c r="E339" s="327"/>
      <c r="F339" s="121"/>
      <c r="G339" s="327"/>
      <c r="H339" s="121"/>
      <c r="I339" s="358"/>
      <c r="J339" s="142"/>
      <c r="K339" s="358"/>
      <c r="L339" s="142"/>
      <c r="M339" s="327"/>
      <c r="N339" s="121"/>
      <c r="O339" s="327"/>
      <c r="P339" s="121"/>
      <c r="Q339" s="358"/>
      <c r="R339" s="142"/>
      <c r="S339" s="17"/>
      <c r="T339" s="17"/>
      <c r="U339" s="17"/>
      <c r="V339" s="17"/>
    </row>
    <row r="340">
      <c r="A340" s="327"/>
      <c r="B340" s="121"/>
      <c r="C340" s="327"/>
      <c r="D340" s="121"/>
      <c r="E340" s="327"/>
      <c r="F340" s="121"/>
      <c r="G340" s="327"/>
      <c r="H340" s="121"/>
      <c r="I340" s="358"/>
      <c r="J340" s="142"/>
      <c r="K340" s="358"/>
      <c r="L340" s="142"/>
      <c r="M340" s="327"/>
      <c r="N340" s="121"/>
      <c r="O340" s="327"/>
      <c r="P340" s="121"/>
      <c r="Q340" s="358"/>
      <c r="R340" s="142"/>
      <c r="S340" s="17"/>
      <c r="T340" s="17"/>
      <c r="U340" s="17"/>
      <c r="V340" s="17"/>
    </row>
    <row r="341">
      <c r="A341" s="327"/>
      <c r="B341" s="121"/>
      <c r="C341" s="327"/>
      <c r="D341" s="121"/>
      <c r="E341" s="327"/>
      <c r="F341" s="121"/>
      <c r="G341" s="327"/>
      <c r="H341" s="121"/>
      <c r="I341" s="358"/>
      <c r="J341" s="142"/>
      <c r="K341" s="358"/>
      <c r="L341" s="142"/>
      <c r="M341" s="327"/>
      <c r="N341" s="121"/>
      <c r="O341" s="327"/>
      <c r="P341" s="121"/>
      <c r="Q341" s="358"/>
      <c r="R341" s="142"/>
      <c r="S341" s="17"/>
      <c r="T341" s="17"/>
      <c r="U341" s="17"/>
      <c r="V341" s="17"/>
    </row>
    <row r="342">
      <c r="A342" s="327"/>
      <c r="B342" s="121"/>
      <c r="C342" s="327"/>
      <c r="D342" s="121"/>
      <c r="E342" s="327"/>
      <c r="F342" s="121"/>
      <c r="G342" s="327"/>
      <c r="H342" s="121"/>
      <c r="I342" s="358"/>
      <c r="J342" s="142"/>
      <c r="K342" s="358"/>
      <c r="L342" s="142"/>
      <c r="M342" s="327"/>
      <c r="N342" s="121"/>
      <c r="O342" s="327"/>
      <c r="P342" s="121"/>
      <c r="Q342" s="358"/>
      <c r="R342" s="142"/>
      <c r="S342" s="17"/>
      <c r="T342" s="17"/>
      <c r="U342" s="17"/>
      <c r="V342" s="17"/>
    </row>
    <row r="343">
      <c r="A343" s="327"/>
      <c r="B343" s="121"/>
      <c r="C343" s="327"/>
      <c r="D343" s="121"/>
      <c r="E343" s="327"/>
      <c r="F343" s="121"/>
      <c r="G343" s="327"/>
      <c r="H343" s="121"/>
      <c r="I343" s="358"/>
      <c r="J343" s="142"/>
      <c r="K343" s="358"/>
      <c r="L343" s="142"/>
      <c r="M343" s="327"/>
      <c r="N343" s="121"/>
      <c r="O343" s="327"/>
      <c r="P343" s="121"/>
      <c r="Q343" s="358"/>
      <c r="R343" s="142"/>
      <c r="S343" s="17"/>
      <c r="T343" s="17"/>
      <c r="U343" s="17"/>
      <c r="V343" s="17"/>
    </row>
    <row r="344">
      <c r="A344" s="327"/>
      <c r="B344" s="121"/>
      <c r="C344" s="327"/>
      <c r="D344" s="121"/>
      <c r="E344" s="327"/>
      <c r="F344" s="121"/>
      <c r="G344" s="327"/>
      <c r="H344" s="121"/>
      <c r="I344" s="358"/>
      <c r="J344" s="142"/>
      <c r="K344" s="358"/>
      <c r="L344" s="142"/>
      <c r="M344" s="327"/>
      <c r="N344" s="121"/>
      <c r="O344" s="327"/>
      <c r="P344" s="121"/>
      <c r="Q344" s="358"/>
      <c r="R344" s="142"/>
      <c r="S344" s="17"/>
      <c r="T344" s="17"/>
      <c r="U344" s="17"/>
      <c r="V344" s="17"/>
    </row>
    <row r="345">
      <c r="A345" s="327"/>
      <c r="B345" s="121"/>
      <c r="C345" s="327"/>
      <c r="D345" s="121"/>
      <c r="E345" s="327"/>
      <c r="F345" s="121"/>
      <c r="G345" s="327"/>
      <c r="H345" s="121"/>
      <c r="I345" s="358"/>
      <c r="J345" s="142"/>
      <c r="K345" s="358"/>
      <c r="L345" s="142"/>
      <c r="M345" s="327"/>
      <c r="N345" s="121"/>
      <c r="O345" s="327"/>
      <c r="P345" s="121"/>
      <c r="Q345" s="358"/>
      <c r="R345" s="142"/>
      <c r="S345" s="17"/>
      <c r="T345" s="17"/>
      <c r="U345" s="17"/>
      <c r="V345" s="17"/>
    </row>
    <row r="346">
      <c r="A346" s="327"/>
      <c r="B346" s="121"/>
      <c r="C346" s="327"/>
      <c r="D346" s="121"/>
      <c r="E346" s="327"/>
      <c r="F346" s="121"/>
      <c r="G346" s="327"/>
      <c r="H346" s="121"/>
      <c r="I346" s="358"/>
      <c r="J346" s="142"/>
      <c r="K346" s="358"/>
      <c r="L346" s="142"/>
      <c r="M346" s="327"/>
      <c r="N346" s="121"/>
      <c r="O346" s="327"/>
      <c r="P346" s="121"/>
      <c r="Q346" s="358"/>
      <c r="R346" s="142"/>
      <c r="S346" s="17"/>
      <c r="T346" s="17"/>
      <c r="U346" s="17"/>
      <c r="V346" s="17"/>
    </row>
    <row r="347">
      <c r="A347" s="327"/>
      <c r="B347" s="121"/>
      <c r="C347" s="327"/>
      <c r="D347" s="121"/>
      <c r="E347" s="327"/>
      <c r="F347" s="121"/>
      <c r="G347" s="327"/>
      <c r="H347" s="121"/>
      <c r="I347" s="358"/>
      <c r="J347" s="142"/>
      <c r="K347" s="358"/>
      <c r="L347" s="142"/>
      <c r="M347" s="327"/>
      <c r="N347" s="121"/>
      <c r="O347" s="327"/>
      <c r="P347" s="121"/>
      <c r="Q347" s="358"/>
      <c r="R347" s="142"/>
      <c r="S347" s="17"/>
      <c r="T347" s="17"/>
      <c r="U347" s="17"/>
      <c r="V347" s="17"/>
    </row>
    <row r="348">
      <c r="A348" s="327"/>
      <c r="B348" s="121"/>
      <c r="C348" s="327"/>
      <c r="D348" s="121"/>
      <c r="E348" s="327"/>
      <c r="F348" s="121"/>
      <c r="G348" s="327"/>
      <c r="H348" s="121"/>
      <c r="I348" s="358"/>
      <c r="J348" s="142"/>
      <c r="K348" s="358"/>
      <c r="L348" s="142"/>
      <c r="M348" s="327"/>
      <c r="N348" s="121"/>
      <c r="O348" s="327"/>
      <c r="P348" s="121"/>
      <c r="Q348" s="358"/>
      <c r="R348" s="142"/>
      <c r="S348" s="17"/>
      <c r="T348" s="17"/>
      <c r="U348" s="17"/>
      <c r="V348" s="17"/>
    </row>
    <row r="349">
      <c r="A349" s="327"/>
      <c r="B349" s="121"/>
      <c r="C349" s="327"/>
      <c r="D349" s="121"/>
      <c r="E349" s="327"/>
      <c r="F349" s="121"/>
      <c r="G349" s="327"/>
      <c r="H349" s="121"/>
      <c r="I349" s="358"/>
      <c r="J349" s="142"/>
      <c r="K349" s="358"/>
      <c r="L349" s="142"/>
      <c r="M349" s="327"/>
      <c r="N349" s="121"/>
      <c r="O349" s="327"/>
      <c r="P349" s="121"/>
      <c r="Q349" s="358"/>
      <c r="R349" s="142"/>
      <c r="S349" s="17"/>
      <c r="T349" s="17"/>
      <c r="U349" s="17"/>
      <c r="V349" s="17"/>
    </row>
    <row r="350">
      <c r="A350" s="327"/>
      <c r="B350" s="121"/>
      <c r="C350" s="327"/>
      <c r="D350" s="121"/>
      <c r="E350" s="327"/>
      <c r="F350" s="121"/>
      <c r="G350" s="327"/>
      <c r="H350" s="121"/>
      <c r="I350" s="358"/>
      <c r="J350" s="142"/>
      <c r="K350" s="358"/>
      <c r="L350" s="142"/>
      <c r="M350" s="327"/>
      <c r="N350" s="121"/>
      <c r="O350" s="327"/>
      <c r="P350" s="121"/>
      <c r="Q350" s="358"/>
      <c r="R350" s="142"/>
      <c r="S350" s="17"/>
      <c r="T350" s="17"/>
      <c r="U350" s="17"/>
      <c r="V350" s="17"/>
    </row>
    <row r="351">
      <c r="A351" s="327"/>
      <c r="B351" s="121"/>
      <c r="C351" s="327"/>
      <c r="D351" s="121"/>
      <c r="E351" s="327"/>
      <c r="F351" s="121"/>
      <c r="G351" s="327"/>
      <c r="H351" s="121"/>
      <c r="I351" s="358"/>
      <c r="J351" s="142"/>
      <c r="K351" s="358"/>
      <c r="L351" s="142"/>
      <c r="M351" s="327"/>
      <c r="N351" s="121"/>
      <c r="O351" s="327"/>
      <c r="P351" s="121"/>
      <c r="Q351" s="358"/>
      <c r="R351" s="142"/>
      <c r="S351" s="17"/>
      <c r="T351" s="17"/>
      <c r="U351" s="17"/>
      <c r="V351" s="17"/>
    </row>
    <row r="352">
      <c r="A352" s="327"/>
      <c r="B352" s="121"/>
      <c r="C352" s="327"/>
      <c r="D352" s="121"/>
      <c r="E352" s="327"/>
      <c r="F352" s="121"/>
      <c r="G352" s="327"/>
      <c r="H352" s="121"/>
      <c r="I352" s="358"/>
      <c r="J352" s="142"/>
      <c r="K352" s="358"/>
      <c r="L352" s="142"/>
      <c r="M352" s="327"/>
      <c r="N352" s="121"/>
      <c r="O352" s="327"/>
      <c r="P352" s="121"/>
      <c r="Q352" s="358"/>
      <c r="R352" s="142"/>
      <c r="S352" s="17"/>
      <c r="T352" s="17"/>
      <c r="U352" s="17"/>
      <c r="V352" s="17"/>
    </row>
    <row r="353">
      <c r="A353" s="327"/>
      <c r="B353" s="121"/>
      <c r="C353" s="327"/>
      <c r="D353" s="121"/>
      <c r="E353" s="327"/>
      <c r="F353" s="121"/>
      <c r="G353" s="327"/>
      <c r="H353" s="121"/>
      <c r="I353" s="358"/>
      <c r="J353" s="142"/>
      <c r="K353" s="358"/>
      <c r="L353" s="142"/>
      <c r="M353" s="327"/>
      <c r="N353" s="121"/>
      <c r="O353" s="327"/>
      <c r="P353" s="121"/>
      <c r="Q353" s="358"/>
      <c r="R353" s="142"/>
      <c r="S353" s="17"/>
      <c r="T353" s="17"/>
      <c r="U353" s="17"/>
      <c r="V353" s="17"/>
    </row>
    <row r="354">
      <c r="A354" s="327"/>
      <c r="B354" s="121"/>
      <c r="C354" s="327"/>
      <c r="D354" s="121"/>
      <c r="E354" s="327"/>
      <c r="F354" s="121"/>
      <c r="G354" s="327"/>
      <c r="H354" s="121"/>
      <c r="I354" s="358"/>
      <c r="J354" s="142"/>
      <c r="K354" s="358"/>
      <c r="L354" s="142"/>
      <c r="M354" s="327"/>
      <c r="N354" s="121"/>
      <c r="O354" s="327"/>
      <c r="P354" s="121"/>
      <c r="Q354" s="358"/>
      <c r="R354" s="142"/>
      <c r="S354" s="17"/>
      <c r="T354" s="17"/>
      <c r="U354" s="17"/>
      <c r="V354" s="17"/>
    </row>
    <row r="355">
      <c r="A355" s="327"/>
      <c r="B355" s="121"/>
      <c r="C355" s="327"/>
      <c r="D355" s="121"/>
      <c r="E355" s="327"/>
      <c r="F355" s="121"/>
      <c r="G355" s="327"/>
      <c r="H355" s="121"/>
      <c r="I355" s="358"/>
      <c r="J355" s="142"/>
      <c r="K355" s="358"/>
      <c r="L355" s="142"/>
      <c r="M355" s="327"/>
      <c r="N355" s="121"/>
      <c r="O355" s="327"/>
      <c r="P355" s="121"/>
      <c r="Q355" s="358"/>
      <c r="R355" s="142"/>
      <c r="S355" s="17"/>
      <c r="T355" s="17"/>
      <c r="U355" s="17"/>
      <c r="V355" s="17"/>
    </row>
    <row r="356">
      <c r="A356" s="327"/>
      <c r="B356" s="121"/>
      <c r="C356" s="327"/>
      <c r="D356" s="121"/>
      <c r="E356" s="327"/>
      <c r="F356" s="121"/>
      <c r="G356" s="327"/>
      <c r="H356" s="121"/>
      <c r="I356" s="358"/>
      <c r="J356" s="142"/>
      <c r="K356" s="358"/>
      <c r="L356" s="142"/>
      <c r="M356" s="327"/>
      <c r="N356" s="121"/>
      <c r="O356" s="327"/>
      <c r="P356" s="121"/>
      <c r="Q356" s="358"/>
      <c r="R356" s="142"/>
      <c r="S356" s="17"/>
      <c r="T356" s="17"/>
      <c r="U356" s="17"/>
      <c r="V356" s="17"/>
    </row>
    <row r="357">
      <c r="A357" s="327"/>
      <c r="B357" s="121"/>
      <c r="C357" s="327"/>
      <c r="D357" s="121"/>
      <c r="E357" s="327"/>
      <c r="F357" s="121"/>
      <c r="G357" s="327"/>
      <c r="H357" s="121"/>
      <c r="I357" s="358"/>
      <c r="J357" s="142"/>
      <c r="K357" s="358"/>
      <c r="L357" s="142"/>
      <c r="M357" s="327"/>
      <c r="N357" s="121"/>
      <c r="O357" s="327"/>
      <c r="P357" s="121"/>
      <c r="Q357" s="358"/>
      <c r="R357" s="142"/>
      <c r="S357" s="17"/>
      <c r="T357" s="17"/>
      <c r="U357" s="17"/>
      <c r="V357" s="17"/>
    </row>
    <row r="358">
      <c r="A358" s="327"/>
      <c r="B358" s="121"/>
      <c r="C358" s="327"/>
      <c r="D358" s="121"/>
      <c r="E358" s="327"/>
      <c r="F358" s="121"/>
      <c r="G358" s="327"/>
      <c r="H358" s="121"/>
      <c r="I358" s="358"/>
      <c r="J358" s="142"/>
      <c r="K358" s="358"/>
      <c r="L358" s="142"/>
      <c r="M358" s="327"/>
      <c r="N358" s="121"/>
      <c r="O358" s="327"/>
      <c r="P358" s="121"/>
      <c r="Q358" s="358"/>
      <c r="R358" s="142"/>
      <c r="S358" s="17"/>
      <c r="T358" s="17"/>
      <c r="U358" s="17"/>
      <c r="V358" s="17"/>
    </row>
    <row r="359">
      <c r="A359" s="327"/>
      <c r="B359" s="121"/>
      <c r="C359" s="327"/>
      <c r="D359" s="121"/>
      <c r="E359" s="327"/>
      <c r="F359" s="121"/>
      <c r="G359" s="327"/>
      <c r="H359" s="121"/>
      <c r="I359" s="358"/>
      <c r="J359" s="142"/>
      <c r="K359" s="358"/>
      <c r="L359" s="142"/>
      <c r="M359" s="327"/>
      <c r="N359" s="121"/>
      <c r="O359" s="327"/>
      <c r="P359" s="121"/>
      <c r="Q359" s="358"/>
      <c r="R359" s="142"/>
      <c r="S359" s="17"/>
      <c r="T359" s="17"/>
      <c r="U359" s="17"/>
      <c r="V359" s="17"/>
    </row>
    <row r="360">
      <c r="A360" s="327"/>
      <c r="B360" s="121"/>
      <c r="C360" s="327"/>
      <c r="D360" s="121"/>
      <c r="E360" s="327"/>
      <c r="F360" s="121"/>
      <c r="G360" s="327"/>
      <c r="H360" s="121"/>
      <c r="I360" s="358"/>
      <c r="J360" s="142"/>
      <c r="K360" s="358"/>
      <c r="L360" s="142"/>
      <c r="M360" s="327"/>
      <c r="N360" s="121"/>
      <c r="O360" s="327"/>
      <c r="P360" s="121"/>
      <c r="Q360" s="358"/>
      <c r="R360" s="142"/>
      <c r="S360" s="17"/>
      <c r="T360" s="17"/>
      <c r="U360" s="17"/>
      <c r="V360" s="17"/>
    </row>
    <row r="361">
      <c r="A361" s="327"/>
      <c r="B361" s="121"/>
      <c r="C361" s="327"/>
      <c r="D361" s="121"/>
      <c r="E361" s="327"/>
      <c r="F361" s="121"/>
      <c r="G361" s="327"/>
      <c r="H361" s="121"/>
      <c r="I361" s="358"/>
      <c r="J361" s="142"/>
      <c r="K361" s="358"/>
      <c r="L361" s="142"/>
      <c r="M361" s="327"/>
      <c r="N361" s="121"/>
      <c r="O361" s="327"/>
      <c r="P361" s="121"/>
      <c r="Q361" s="358"/>
      <c r="R361" s="142"/>
      <c r="S361" s="17"/>
      <c r="T361" s="17"/>
      <c r="U361" s="17"/>
      <c r="V361" s="17"/>
    </row>
    <row r="362">
      <c r="A362" s="327"/>
      <c r="B362" s="121"/>
      <c r="C362" s="327"/>
      <c r="D362" s="121"/>
      <c r="E362" s="327"/>
      <c r="F362" s="121"/>
      <c r="G362" s="327"/>
      <c r="H362" s="121"/>
      <c r="I362" s="358"/>
      <c r="J362" s="142"/>
      <c r="K362" s="358"/>
      <c r="L362" s="142"/>
      <c r="M362" s="327"/>
      <c r="N362" s="121"/>
      <c r="O362" s="327"/>
      <c r="P362" s="121"/>
      <c r="Q362" s="358"/>
      <c r="R362" s="142"/>
      <c r="S362" s="17"/>
      <c r="T362" s="17"/>
      <c r="U362" s="17"/>
      <c r="V362" s="17"/>
    </row>
    <row r="363">
      <c r="A363" s="327"/>
      <c r="B363" s="121"/>
      <c r="C363" s="327"/>
      <c r="D363" s="121"/>
      <c r="E363" s="327"/>
      <c r="F363" s="121"/>
      <c r="G363" s="327"/>
      <c r="H363" s="121"/>
      <c r="I363" s="358"/>
      <c r="J363" s="142"/>
      <c r="K363" s="358"/>
      <c r="L363" s="142"/>
      <c r="M363" s="327"/>
      <c r="N363" s="121"/>
      <c r="O363" s="327"/>
      <c r="P363" s="121"/>
      <c r="Q363" s="358"/>
      <c r="R363" s="142"/>
      <c r="S363" s="17"/>
      <c r="T363" s="17"/>
      <c r="U363" s="17"/>
      <c r="V363" s="17"/>
    </row>
    <row r="364">
      <c r="A364" s="327"/>
      <c r="B364" s="121"/>
      <c r="C364" s="327"/>
      <c r="D364" s="121"/>
      <c r="E364" s="327"/>
      <c r="F364" s="121"/>
      <c r="G364" s="327"/>
      <c r="H364" s="121"/>
      <c r="I364" s="358"/>
      <c r="J364" s="142"/>
      <c r="K364" s="358"/>
      <c r="L364" s="142"/>
      <c r="M364" s="327"/>
      <c r="N364" s="121"/>
      <c r="O364" s="327"/>
      <c r="P364" s="121"/>
      <c r="Q364" s="358"/>
      <c r="R364" s="142"/>
      <c r="S364" s="17"/>
      <c r="T364" s="17"/>
      <c r="U364" s="17"/>
      <c r="V364" s="17"/>
    </row>
    <row r="365">
      <c r="A365" s="327"/>
      <c r="B365" s="121"/>
      <c r="C365" s="327"/>
      <c r="D365" s="121"/>
      <c r="E365" s="327"/>
      <c r="F365" s="121"/>
      <c r="G365" s="327"/>
      <c r="H365" s="121"/>
      <c r="I365" s="358"/>
      <c r="J365" s="142"/>
      <c r="K365" s="358"/>
      <c r="L365" s="142"/>
      <c r="M365" s="327"/>
      <c r="N365" s="121"/>
      <c r="O365" s="327"/>
      <c r="P365" s="121"/>
      <c r="Q365" s="358"/>
      <c r="R365" s="142"/>
      <c r="S365" s="17"/>
      <c r="T365" s="17"/>
      <c r="U365" s="17"/>
      <c r="V365" s="17"/>
    </row>
    <row r="366">
      <c r="A366" s="327"/>
      <c r="B366" s="121"/>
      <c r="C366" s="327"/>
      <c r="D366" s="121"/>
      <c r="E366" s="327"/>
      <c r="F366" s="121"/>
      <c r="G366" s="327"/>
      <c r="H366" s="121"/>
      <c r="I366" s="358"/>
      <c r="J366" s="142"/>
      <c r="K366" s="358"/>
      <c r="L366" s="142"/>
      <c r="M366" s="327"/>
      <c r="N366" s="121"/>
      <c r="O366" s="327"/>
      <c r="P366" s="121"/>
      <c r="Q366" s="358"/>
      <c r="R366" s="142"/>
      <c r="S366" s="17"/>
      <c r="T366" s="17"/>
      <c r="U366" s="17"/>
      <c r="V366" s="17"/>
    </row>
    <row r="367">
      <c r="A367" s="327"/>
      <c r="B367" s="121"/>
      <c r="C367" s="327"/>
      <c r="D367" s="121"/>
      <c r="E367" s="327"/>
      <c r="F367" s="121"/>
      <c r="G367" s="327"/>
      <c r="H367" s="121"/>
      <c r="I367" s="358"/>
      <c r="J367" s="142"/>
      <c r="K367" s="358"/>
      <c r="L367" s="142"/>
      <c r="M367" s="327"/>
      <c r="N367" s="121"/>
      <c r="O367" s="327"/>
      <c r="P367" s="121"/>
      <c r="Q367" s="358"/>
      <c r="R367" s="142"/>
      <c r="S367" s="17"/>
      <c r="T367" s="17"/>
      <c r="U367" s="17"/>
      <c r="V367" s="17"/>
    </row>
    <row r="368">
      <c r="A368" s="327"/>
      <c r="B368" s="121"/>
      <c r="C368" s="327"/>
      <c r="D368" s="121"/>
      <c r="E368" s="327"/>
      <c r="F368" s="121"/>
      <c r="G368" s="327"/>
      <c r="H368" s="121"/>
      <c r="I368" s="358"/>
      <c r="J368" s="142"/>
      <c r="K368" s="358"/>
      <c r="L368" s="142"/>
      <c r="M368" s="327"/>
      <c r="N368" s="121"/>
      <c r="O368" s="327"/>
      <c r="P368" s="121"/>
      <c r="Q368" s="358"/>
      <c r="R368" s="142"/>
      <c r="S368" s="17"/>
      <c r="T368" s="17"/>
      <c r="U368" s="17"/>
      <c r="V368" s="17"/>
    </row>
    <row r="369">
      <c r="A369" s="327"/>
      <c r="B369" s="121"/>
      <c r="C369" s="327"/>
      <c r="D369" s="121"/>
      <c r="E369" s="327"/>
      <c r="F369" s="121"/>
      <c r="G369" s="327"/>
      <c r="H369" s="121"/>
      <c r="I369" s="358"/>
      <c r="J369" s="142"/>
      <c r="K369" s="358"/>
      <c r="L369" s="142"/>
      <c r="M369" s="327"/>
      <c r="N369" s="121"/>
      <c r="O369" s="327"/>
      <c r="P369" s="121"/>
      <c r="Q369" s="358"/>
      <c r="R369" s="142"/>
      <c r="S369" s="17"/>
      <c r="T369" s="17"/>
      <c r="U369" s="17"/>
      <c r="V369" s="17"/>
    </row>
    <row r="370">
      <c r="A370" s="327"/>
      <c r="B370" s="121"/>
      <c r="C370" s="327"/>
      <c r="D370" s="121"/>
      <c r="E370" s="327"/>
      <c r="F370" s="121"/>
      <c r="G370" s="327"/>
      <c r="H370" s="121"/>
      <c r="I370" s="358"/>
      <c r="J370" s="142"/>
      <c r="K370" s="358"/>
      <c r="L370" s="142"/>
      <c r="M370" s="327"/>
      <c r="N370" s="121"/>
      <c r="O370" s="327"/>
      <c r="P370" s="121"/>
      <c r="Q370" s="358"/>
      <c r="R370" s="142"/>
      <c r="S370" s="17"/>
      <c r="T370" s="17"/>
      <c r="U370" s="17"/>
      <c r="V370" s="17"/>
    </row>
    <row r="371">
      <c r="A371" s="327"/>
      <c r="B371" s="121"/>
      <c r="C371" s="327"/>
      <c r="D371" s="121"/>
      <c r="E371" s="327"/>
      <c r="F371" s="121"/>
      <c r="G371" s="327"/>
      <c r="H371" s="121"/>
      <c r="I371" s="358"/>
      <c r="J371" s="142"/>
      <c r="K371" s="358"/>
      <c r="L371" s="142"/>
      <c r="M371" s="327"/>
      <c r="N371" s="121"/>
      <c r="O371" s="327"/>
      <c r="P371" s="121"/>
      <c r="Q371" s="358"/>
      <c r="R371" s="142"/>
      <c r="S371" s="17"/>
      <c r="T371" s="17"/>
      <c r="U371" s="17"/>
      <c r="V371" s="17"/>
    </row>
    <row r="372">
      <c r="A372" s="327"/>
      <c r="B372" s="121"/>
      <c r="C372" s="327"/>
      <c r="D372" s="121"/>
      <c r="E372" s="327"/>
      <c r="F372" s="121"/>
      <c r="G372" s="327"/>
      <c r="H372" s="121"/>
      <c r="I372" s="358"/>
      <c r="J372" s="142"/>
      <c r="K372" s="358"/>
      <c r="L372" s="142"/>
      <c r="M372" s="327"/>
      <c r="N372" s="121"/>
      <c r="O372" s="327"/>
      <c r="P372" s="121"/>
      <c r="Q372" s="358"/>
      <c r="R372" s="142"/>
      <c r="S372" s="17"/>
      <c r="T372" s="17"/>
      <c r="U372" s="17"/>
      <c r="V372" s="17"/>
    </row>
    <row r="373">
      <c r="A373" s="327"/>
      <c r="B373" s="121"/>
      <c r="C373" s="327"/>
      <c r="D373" s="121"/>
      <c r="E373" s="327"/>
      <c r="F373" s="121"/>
      <c r="G373" s="327"/>
      <c r="H373" s="121"/>
      <c r="I373" s="358"/>
      <c r="J373" s="142"/>
      <c r="K373" s="358"/>
      <c r="L373" s="142"/>
      <c r="M373" s="327"/>
      <c r="N373" s="121"/>
      <c r="O373" s="327"/>
      <c r="P373" s="121"/>
      <c r="Q373" s="358"/>
      <c r="R373" s="142"/>
      <c r="S373" s="17"/>
      <c r="T373" s="17"/>
      <c r="U373" s="17"/>
      <c r="V373" s="17"/>
    </row>
    <row r="374">
      <c r="A374" s="327"/>
      <c r="B374" s="121"/>
      <c r="C374" s="327"/>
      <c r="D374" s="121"/>
      <c r="E374" s="327"/>
      <c r="F374" s="121"/>
      <c r="G374" s="327"/>
      <c r="H374" s="121"/>
      <c r="I374" s="358"/>
      <c r="J374" s="142"/>
      <c r="K374" s="358"/>
      <c r="L374" s="142"/>
      <c r="M374" s="327"/>
      <c r="N374" s="121"/>
      <c r="O374" s="327"/>
      <c r="P374" s="121"/>
      <c r="Q374" s="358"/>
      <c r="R374" s="142"/>
      <c r="S374" s="17"/>
      <c r="T374" s="17"/>
      <c r="U374" s="17"/>
      <c r="V374" s="17"/>
    </row>
    <row r="375">
      <c r="A375" s="327"/>
      <c r="B375" s="121"/>
      <c r="C375" s="327"/>
      <c r="D375" s="121"/>
      <c r="E375" s="327"/>
      <c r="F375" s="121"/>
      <c r="G375" s="327"/>
      <c r="H375" s="121"/>
      <c r="I375" s="358"/>
      <c r="J375" s="142"/>
      <c r="K375" s="358"/>
      <c r="L375" s="142"/>
      <c r="M375" s="327"/>
      <c r="N375" s="121"/>
      <c r="O375" s="327"/>
      <c r="P375" s="121"/>
      <c r="Q375" s="358"/>
      <c r="R375" s="142"/>
      <c r="S375" s="17"/>
      <c r="T375" s="17"/>
      <c r="U375" s="17"/>
      <c r="V375" s="17"/>
    </row>
    <row r="376">
      <c r="A376" s="327"/>
      <c r="B376" s="121"/>
      <c r="C376" s="327"/>
      <c r="D376" s="121"/>
      <c r="E376" s="327"/>
      <c r="F376" s="121"/>
      <c r="G376" s="327"/>
      <c r="H376" s="121"/>
      <c r="I376" s="358"/>
      <c r="J376" s="142"/>
      <c r="K376" s="358"/>
      <c r="L376" s="142"/>
      <c r="M376" s="327"/>
      <c r="N376" s="121"/>
      <c r="O376" s="327"/>
      <c r="P376" s="121"/>
      <c r="Q376" s="358"/>
      <c r="R376" s="142"/>
      <c r="S376" s="17"/>
      <c r="T376" s="17"/>
      <c r="U376" s="17"/>
      <c r="V376" s="17"/>
    </row>
    <row r="377">
      <c r="A377" s="327"/>
      <c r="B377" s="121"/>
      <c r="C377" s="327"/>
      <c r="D377" s="121"/>
      <c r="E377" s="327"/>
      <c r="F377" s="121"/>
      <c r="G377" s="327"/>
      <c r="H377" s="121"/>
      <c r="I377" s="358"/>
      <c r="J377" s="142"/>
      <c r="K377" s="358"/>
      <c r="L377" s="142"/>
      <c r="M377" s="327"/>
      <c r="N377" s="121"/>
      <c r="O377" s="327"/>
      <c r="P377" s="121"/>
      <c r="Q377" s="358"/>
      <c r="R377" s="142"/>
      <c r="S377" s="17"/>
      <c r="T377" s="17"/>
      <c r="U377" s="17"/>
      <c r="V377" s="17"/>
    </row>
    <row r="378">
      <c r="A378" s="327"/>
      <c r="B378" s="121"/>
      <c r="C378" s="327"/>
      <c r="D378" s="121"/>
      <c r="E378" s="327"/>
      <c r="F378" s="121"/>
      <c r="G378" s="327"/>
      <c r="H378" s="121"/>
      <c r="I378" s="358"/>
      <c r="J378" s="142"/>
      <c r="K378" s="358"/>
      <c r="L378" s="142"/>
      <c r="M378" s="327"/>
      <c r="N378" s="121"/>
      <c r="O378" s="327"/>
      <c r="P378" s="121"/>
      <c r="Q378" s="358"/>
      <c r="R378" s="142"/>
      <c r="S378" s="17"/>
      <c r="T378" s="17"/>
      <c r="U378" s="17"/>
      <c r="V378" s="17"/>
    </row>
    <row r="379">
      <c r="A379" s="327"/>
      <c r="B379" s="121"/>
      <c r="C379" s="327"/>
      <c r="D379" s="121"/>
      <c r="E379" s="327"/>
      <c r="F379" s="121"/>
      <c r="G379" s="327"/>
      <c r="H379" s="121"/>
      <c r="I379" s="358"/>
      <c r="J379" s="142"/>
      <c r="K379" s="358"/>
      <c r="L379" s="142"/>
      <c r="M379" s="327"/>
      <c r="N379" s="121"/>
      <c r="O379" s="327"/>
      <c r="P379" s="121"/>
      <c r="Q379" s="358"/>
      <c r="R379" s="142"/>
      <c r="S379" s="17"/>
      <c r="T379" s="17"/>
      <c r="U379" s="17"/>
      <c r="V379" s="17"/>
    </row>
    <row r="380">
      <c r="A380" s="327"/>
      <c r="B380" s="121"/>
      <c r="C380" s="327"/>
      <c r="D380" s="121"/>
      <c r="E380" s="327"/>
      <c r="F380" s="121"/>
      <c r="G380" s="327"/>
      <c r="H380" s="121"/>
      <c r="I380" s="358"/>
      <c r="J380" s="142"/>
      <c r="K380" s="358"/>
      <c r="L380" s="142"/>
      <c r="M380" s="327"/>
      <c r="N380" s="121"/>
      <c r="O380" s="327"/>
      <c r="P380" s="121"/>
      <c r="Q380" s="358"/>
      <c r="R380" s="142"/>
      <c r="S380" s="17"/>
      <c r="T380" s="17"/>
      <c r="U380" s="17"/>
      <c r="V380" s="17"/>
    </row>
    <row r="381">
      <c r="A381" s="327"/>
      <c r="B381" s="121"/>
      <c r="C381" s="327"/>
      <c r="D381" s="121"/>
      <c r="E381" s="327"/>
      <c r="F381" s="121"/>
      <c r="G381" s="327"/>
      <c r="H381" s="121"/>
      <c r="I381" s="358"/>
      <c r="J381" s="142"/>
      <c r="K381" s="358"/>
      <c r="L381" s="142"/>
      <c r="M381" s="327"/>
      <c r="N381" s="121"/>
      <c r="O381" s="327"/>
      <c r="P381" s="121"/>
      <c r="Q381" s="358"/>
      <c r="R381" s="142"/>
      <c r="S381" s="17"/>
      <c r="T381" s="17"/>
      <c r="U381" s="17"/>
      <c r="V381" s="17"/>
    </row>
    <row r="382">
      <c r="A382" s="327"/>
      <c r="B382" s="121"/>
      <c r="C382" s="327"/>
      <c r="D382" s="121"/>
      <c r="E382" s="327"/>
      <c r="F382" s="121"/>
      <c r="G382" s="327"/>
      <c r="H382" s="121"/>
      <c r="I382" s="358"/>
      <c r="J382" s="142"/>
      <c r="K382" s="358"/>
      <c r="L382" s="142"/>
      <c r="M382" s="327"/>
      <c r="N382" s="121"/>
      <c r="O382" s="327"/>
      <c r="P382" s="121"/>
      <c r="Q382" s="358"/>
      <c r="R382" s="142"/>
      <c r="S382" s="17"/>
      <c r="T382" s="17"/>
      <c r="U382" s="17"/>
      <c r="V382" s="17"/>
    </row>
    <row r="383">
      <c r="A383" s="327"/>
      <c r="B383" s="121"/>
      <c r="C383" s="327"/>
      <c r="D383" s="121"/>
      <c r="E383" s="327"/>
      <c r="F383" s="121"/>
      <c r="G383" s="327"/>
      <c r="H383" s="121"/>
      <c r="I383" s="358"/>
      <c r="J383" s="142"/>
      <c r="K383" s="358"/>
      <c r="L383" s="142"/>
      <c r="M383" s="327"/>
      <c r="N383" s="121"/>
      <c r="O383" s="327"/>
      <c r="P383" s="121"/>
      <c r="Q383" s="358"/>
      <c r="R383" s="142"/>
      <c r="S383" s="17"/>
      <c r="T383" s="17"/>
      <c r="U383" s="17"/>
      <c r="V383" s="17"/>
    </row>
    <row r="384">
      <c r="A384" s="327"/>
      <c r="B384" s="121"/>
      <c r="C384" s="327"/>
      <c r="D384" s="121"/>
      <c r="E384" s="327"/>
      <c r="F384" s="121"/>
      <c r="G384" s="327"/>
      <c r="H384" s="121"/>
      <c r="I384" s="358"/>
      <c r="J384" s="142"/>
      <c r="K384" s="358"/>
      <c r="L384" s="142"/>
      <c r="M384" s="327"/>
      <c r="N384" s="121"/>
      <c r="O384" s="327"/>
      <c r="P384" s="121"/>
      <c r="Q384" s="358"/>
      <c r="R384" s="142"/>
      <c r="S384" s="17"/>
      <c r="T384" s="17"/>
      <c r="U384" s="17"/>
      <c r="V384" s="17"/>
    </row>
    <row r="385">
      <c r="A385" s="327"/>
      <c r="B385" s="121"/>
      <c r="C385" s="327"/>
      <c r="D385" s="121"/>
      <c r="E385" s="327"/>
      <c r="F385" s="121"/>
      <c r="G385" s="327"/>
      <c r="H385" s="121"/>
      <c r="I385" s="358"/>
      <c r="J385" s="142"/>
      <c r="K385" s="358"/>
      <c r="L385" s="142"/>
      <c r="M385" s="327"/>
      <c r="N385" s="121"/>
      <c r="O385" s="327"/>
      <c r="P385" s="121"/>
      <c r="Q385" s="358"/>
      <c r="R385" s="142"/>
      <c r="S385" s="17"/>
      <c r="T385" s="17"/>
      <c r="U385" s="17"/>
      <c r="V385" s="17"/>
    </row>
    <row r="386">
      <c r="A386" s="327"/>
      <c r="B386" s="121"/>
      <c r="C386" s="327"/>
      <c r="D386" s="121"/>
      <c r="E386" s="327"/>
      <c r="F386" s="121"/>
      <c r="G386" s="327"/>
      <c r="H386" s="121"/>
      <c r="I386" s="358"/>
      <c r="J386" s="142"/>
      <c r="K386" s="358"/>
      <c r="L386" s="142"/>
      <c r="M386" s="327"/>
      <c r="N386" s="121"/>
      <c r="O386" s="327"/>
      <c r="P386" s="121"/>
      <c r="Q386" s="358"/>
      <c r="R386" s="142"/>
      <c r="S386" s="17"/>
      <c r="T386" s="17"/>
      <c r="U386" s="17"/>
      <c r="V386" s="17"/>
    </row>
    <row r="387">
      <c r="A387" s="327"/>
      <c r="B387" s="121"/>
      <c r="C387" s="327"/>
      <c r="D387" s="121"/>
      <c r="E387" s="327"/>
      <c r="F387" s="121"/>
      <c r="G387" s="327"/>
      <c r="H387" s="121"/>
      <c r="I387" s="358"/>
      <c r="J387" s="142"/>
      <c r="K387" s="358"/>
      <c r="L387" s="142"/>
      <c r="M387" s="327"/>
      <c r="N387" s="121"/>
      <c r="O387" s="327"/>
      <c r="P387" s="121"/>
      <c r="Q387" s="358"/>
      <c r="R387" s="142"/>
      <c r="S387" s="17"/>
      <c r="T387" s="17"/>
      <c r="U387" s="17"/>
      <c r="V387" s="17"/>
    </row>
    <row r="388">
      <c r="A388" s="327"/>
      <c r="B388" s="121"/>
      <c r="C388" s="327"/>
      <c r="D388" s="121"/>
      <c r="E388" s="327"/>
      <c r="F388" s="121"/>
      <c r="G388" s="327"/>
      <c r="H388" s="121"/>
      <c r="I388" s="358"/>
      <c r="J388" s="142"/>
      <c r="K388" s="358"/>
      <c r="L388" s="142"/>
      <c r="M388" s="327"/>
      <c r="N388" s="121"/>
      <c r="O388" s="327"/>
      <c r="P388" s="121"/>
      <c r="Q388" s="358"/>
      <c r="R388" s="142"/>
      <c r="S388" s="17"/>
      <c r="T388" s="17"/>
      <c r="U388" s="17"/>
      <c r="V388" s="17"/>
    </row>
    <row r="389">
      <c r="A389" s="327"/>
      <c r="B389" s="121"/>
      <c r="C389" s="327"/>
      <c r="D389" s="121"/>
      <c r="E389" s="327"/>
      <c r="F389" s="121"/>
      <c r="G389" s="327"/>
      <c r="H389" s="121"/>
      <c r="I389" s="358"/>
      <c r="J389" s="142"/>
      <c r="K389" s="358"/>
      <c r="L389" s="142"/>
      <c r="M389" s="327"/>
      <c r="N389" s="121"/>
      <c r="O389" s="327"/>
      <c r="P389" s="121"/>
      <c r="Q389" s="358"/>
      <c r="R389" s="142"/>
      <c r="S389" s="17"/>
      <c r="T389" s="17"/>
      <c r="U389" s="17"/>
      <c r="V389" s="17"/>
    </row>
    <row r="390">
      <c r="A390" s="327"/>
      <c r="B390" s="121"/>
      <c r="C390" s="327"/>
      <c r="D390" s="121"/>
      <c r="E390" s="327"/>
      <c r="F390" s="121"/>
      <c r="G390" s="327"/>
      <c r="H390" s="121"/>
      <c r="I390" s="358"/>
      <c r="J390" s="142"/>
      <c r="K390" s="358"/>
      <c r="L390" s="142"/>
      <c r="M390" s="327"/>
      <c r="N390" s="121"/>
      <c r="O390" s="327"/>
      <c r="P390" s="121"/>
      <c r="Q390" s="358"/>
      <c r="R390" s="142"/>
      <c r="S390" s="17"/>
      <c r="T390" s="17"/>
      <c r="U390" s="17"/>
      <c r="V390" s="17"/>
    </row>
    <row r="391">
      <c r="A391" s="327"/>
      <c r="B391" s="121"/>
      <c r="C391" s="327"/>
      <c r="D391" s="121"/>
      <c r="E391" s="327"/>
      <c r="F391" s="121"/>
      <c r="G391" s="327"/>
      <c r="H391" s="121"/>
      <c r="I391" s="358"/>
      <c r="J391" s="142"/>
      <c r="K391" s="358"/>
      <c r="L391" s="142"/>
      <c r="M391" s="327"/>
      <c r="N391" s="121"/>
      <c r="O391" s="327"/>
      <c r="P391" s="121"/>
      <c r="Q391" s="358"/>
      <c r="R391" s="359"/>
      <c r="S391" s="17"/>
      <c r="T391" s="17"/>
      <c r="U391" s="17"/>
      <c r="V391" s="17"/>
    </row>
    <row r="392">
      <c r="A392" s="327"/>
      <c r="B392" s="121"/>
      <c r="C392" s="327"/>
      <c r="D392" s="121"/>
      <c r="E392" s="327"/>
      <c r="F392" s="121"/>
      <c r="G392" s="327"/>
      <c r="H392" s="121"/>
      <c r="I392" s="358"/>
      <c r="J392" s="142"/>
      <c r="K392" s="358"/>
      <c r="L392" s="142"/>
      <c r="M392" s="327"/>
      <c r="N392" s="121"/>
      <c r="O392" s="327"/>
      <c r="P392" s="121"/>
      <c r="Q392" s="358"/>
      <c r="R392" s="359"/>
      <c r="S392" s="17"/>
      <c r="T392" s="17"/>
      <c r="U392" s="17"/>
      <c r="V392" s="17"/>
    </row>
    <row r="393">
      <c r="A393" s="327"/>
      <c r="B393" s="121"/>
      <c r="C393" s="327"/>
      <c r="D393" s="121"/>
      <c r="E393" s="327"/>
      <c r="F393" s="121"/>
      <c r="G393" s="327"/>
      <c r="H393" s="121"/>
      <c r="I393" s="358"/>
      <c r="J393" s="142"/>
      <c r="K393" s="358"/>
      <c r="L393" s="142"/>
      <c r="M393" s="327"/>
      <c r="N393" s="121"/>
      <c r="O393" s="327"/>
      <c r="P393" s="121"/>
      <c r="Q393" s="358"/>
      <c r="R393" s="359"/>
      <c r="S393" s="17"/>
      <c r="T393" s="17"/>
      <c r="U393" s="17"/>
      <c r="V393" s="17"/>
    </row>
    <row r="394">
      <c r="A394" s="327"/>
      <c r="B394" s="121"/>
      <c r="C394" s="327"/>
      <c r="D394" s="121"/>
      <c r="E394" s="327"/>
      <c r="F394" s="121"/>
      <c r="G394" s="327"/>
      <c r="H394" s="121"/>
      <c r="I394" s="358"/>
      <c r="J394" s="142"/>
      <c r="K394" s="358"/>
      <c r="L394" s="142"/>
      <c r="M394" s="327"/>
      <c r="N394" s="121"/>
      <c r="O394" s="327"/>
      <c r="P394" s="121"/>
      <c r="Q394" s="358"/>
      <c r="R394" s="359"/>
      <c r="S394" s="17"/>
      <c r="T394" s="17"/>
      <c r="U394" s="17"/>
      <c r="V394" s="17"/>
    </row>
    <row r="395">
      <c r="A395" s="327"/>
      <c r="B395" s="121"/>
      <c r="C395" s="327"/>
      <c r="D395" s="121"/>
      <c r="E395" s="327"/>
      <c r="F395" s="121"/>
      <c r="G395" s="327"/>
      <c r="H395" s="121"/>
      <c r="I395" s="358"/>
      <c r="J395" s="142"/>
      <c r="K395" s="358"/>
      <c r="L395" s="142"/>
      <c r="M395" s="327"/>
      <c r="N395" s="121"/>
      <c r="O395" s="327"/>
      <c r="P395" s="121"/>
      <c r="Q395" s="358"/>
      <c r="R395" s="359"/>
      <c r="S395" s="17"/>
      <c r="T395" s="17"/>
      <c r="U395" s="17"/>
      <c r="V395" s="17"/>
    </row>
    <row r="396">
      <c r="A396" s="327"/>
      <c r="B396" s="121"/>
      <c r="C396" s="327"/>
      <c r="D396" s="121"/>
      <c r="E396" s="327"/>
      <c r="F396" s="121"/>
      <c r="G396" s="327"/>
      <c r="H396" s="121"/>
      <c r="I396" s="358"/>
      <c r="J396" s="142"/>
      <c r="K396" s="358"/>
      <c r="L396" s="142"/>
      <c r="M396" s="327"/>
      <c r="N396" s="121"/>
      <c r="O396" s="327"/>
      <c r="P396" s="121"/>
      <c r="Q396" s="358"/>
      <c r="R396" s="359"/>
      <c r="S396" s="17"/>
      <c r="T396" s="17"/>
      <c r="U396" s="17"/>
      <c r="V396" s="17"/>
    </row>
    <row r="397">
      <c r="A397" s="327"/>
      <c r="B397" s="121"/>
      <c r="C397" s="327"/>
      <c r="D397" s="121"/>
      <c r="E397" s="327"/>
      <c r="F397" s="121"/>
      <c r="G397" s="327"/>
      <c r="H397" s="121"/>
      <c r="I397" s="358"/>
      <c r="J397" s="142"/>
      <c r="K397" s="358"/>
      <c r="L397" s="142"/>
      <c r="M397" s="327"/>
      <c r="N397" s="121"/>
      <c r="O397" s="327"/>
      <c r="P397" s="121"/>
      <c r="Q397" s="358"/>
      <c r="R397" s="359"/>
      <c r="S397" s="17"/>
      <c r="T397" s="17"/>
      <c r="U397" s="17"/>
      <c r="V397" s="17"/>
    </row>
    <row r="398">
      <c r="A398" s="327"/>
      <c r="B398" s="121"/>
      <c r="C398" s="327"/>
      <c r="D398" s="121"/>
      <c r="E398" s="327"/>
      <c r="F398" s="121"/>
      <c r="G398" s="327"/>
      <c r="H398" s="121"/>
      <c r="I398" s="358"/>
      <c r="J398" s="142"/>
      <c r="K398" s="358"/>
      <c r="L398" s="142"/>
      <c r="M398" s="327"/>
      <c r="N398" s="121"/>
      <c r="O398" s="327"/>
      <c r="P398" s="121"/>
      <c r="Q398" s="358"/>
      <c r="R398" s="359"/>
      <c r="S398" s="17"/>
      <c r="T398" s="17"/>
      <c r="U398" s="17"/>
      <c r="V398" s="17"/>
    </row>
    <row r="399">
      <c r="A399" s="327"/>
      <c r="B399" s="121"/>
      <c r="C399" s="327"/>
      <c r="D399" s="121"/>
      <c r="E399" s="327"/>
      <c r="F399" s="121"/>
      <c r="G399" s="327"/>
      <c r="H399" s="121"/>
      <c r="I399" s="358"/>
      <c r="J399" s="142"/>
      <c r="K399" s="358"/>
      <c r="L399" s="142"/>
      <c r="M399" s="327"/>
      <c r="N399" s="121"/>
      <c r="O399" s="327"/>
      <c r="P399" s="121"/>
      <c r="Q399" s="358"/>
      <c r="R399" s="359"/>
      <c r="S399" s="17"/>
      <c r="T399" s="17"/>
      <c r="U399" s="17"/>
      <c r="V399" s="17"/>
    </row>
    <row r="400">
      <c r="A400" s="327"/>
      <c r="B400" s="121"/>
      <c r="C400" s="327"/>
      <c r="D400" s="121"/>
      <c r="E400" s="327"/>
      <c r="F400" s="121"/>
      <c r="G400" s="327"/>
      <c r="H400" s="121"/>
      <c r="I400" s="358"/>
      <c r="J400" s="142"/>
      <c r="K400" s="358"/>
      <c r="L400" s="142"/>
      <c r="M400" s="327"/>
      <c r="N400" s="121"/>
      <c r="O400" s="327"/>
      <c r="P400" s="121"/>
      <c r="Q400" s="358"/>
      <c r="R400" s="359"/>
      <c r="S400" s="17"/>
      <c r="T400" s="17"/>
      <c r="U400" s="17"/>
      <c r="V400" s="17"/>
    </row>
    <row r="401">
      <c r="A401" s="327"/>
      <c r="B401" s="121"/>
      <c r="C401" s="327"/>
      <c r="D401" s="121"/>
      <c r="E401" s="327"/>
      <c r="F401" s="121"/>
      <c r="G401" s="327"/>
      <c r="H401" s="121"/>
      <c r="I401" s="358"/>
      <c r="J401" s="142"/>
      <c r="K401" s="358"/>
      <c r="L401" s="142"/>
      <c r="M401" s="327"/>
      <c r="N401" s="121"/>
      <c r="O401" s="327"/>
      <c r="P401" s="121"/>
      <c r="Q401" s="358"/>
      <c r="R401" s="359"/>
      <c r="S401" s="17"/>
      <c r="T401" s="17"/>
      <c r="U401" s="17"/>
      <c r="V401" s="17"/>
    </row>
    <row r="402">
      <c r="A402" s="327"/>
      <c r="B402" s="121"/>
      <c r="C402" s="327"/>
      <c r="D402" s="121"/>
      <c r="E402" s="327"/>
      <c r="F402" s="121"/>
      <c r="G402" s="327"/>
      <c r="H402" s="121"/>
      <c r="I402" s="358"/>
      <c r="J402" s="142"/>
      <c r="K402" s="358"/>
      <c r="L402" s="142"/>
      <c r="M402" s="327"/>
      <c r="N402" s="121"/>
      <c r="O402" s="327"/>
      <c r="P402" s="121"/>
      <c r="Q402" s="358"/>
      <c r="R402" s="359"/>
      <c r="S402" s="17"/>
      <c r="T402" s="17"/>
      <c r="U402" s="17"/>
      <c r="V402" s="17"/>
    </row>
    <row r="403">
      <c r="A403" s="327"/>
      <c r="B403" s="121"/>
      <c r="C403" s="327"/>
      <c r="D403" s="121"/>
      <c r="E403" s="327"/>
      <c r="F403" s="121"/>
      <c r="G403" s="327"/>
      <c r="H403" s="121"/>
      <c r="I403" s="358"/>
      <c r="J403" s="142"/>
      <c r="K403" s="358"/>
      <c r="L403" s="142"/>
      <c r="M403" s="327"/>
      <c r="N403" s="121"/>
      <c r="O403" s="327"/>
      <c r="P403" s="121"/>
      <c r="Q403" s="358"/>
      <c r="R403" s="359"/>
      <c r="S403" s="17"/>
      <c r="T403" s="17"/>
      <c r="U403" s="17"/>
      <c r="V403" s="17"/>
    </row>
    <row r="404">
      <c r="A404" s="327"/>
      <c r="B404" s="121"/>
      <c r="C404" s="327"/>
      <c r="D404" s="121"/>
      <c r="E404" s="327"/>
      <c r="F404" s="121"/>
      <c r="G404" s="327"/>
      <c r="H404" s="121"/>
      <c r="I404" s="358"/>
      <c r="J404" s="142"/>
      <c r="K404" s="358"/>
      <c r="L404" s="142"/>
      <c r="M404" s="327"/>
      <c r="N404" s="121"/>
      <c r="O404" s="327"/>
      <c r="P404" s="121"/>
      <c r="Q404" s="358"/>
      <c r="R404" s="359"/>
      <c r="S404" s="17"/>
      <c r="T404" s="17"/>
      <c r="U404" s="17"/>
      <c r="V404" s="17"/>
    </row>
    <row r="405">
      <c r="A405" s="327"/>
      <c r="B405" s="121"/>
      <c r="C405" s="327"/>
      <c r="D405" s="121"/>
      <c r="E405" s="327"/>
      <c r="F405" s="121"/>
      <c r="G405" s="327"/>
      <c r="H405" s="121"/>
      <c r="I405" s="358"/>
      <c r="J405" s="142"/>
      <c r="K405" s="358"/>
      <c r="L405" s="142"/>
      <c r="M405" s="327"/>
      <c r="N405" s="121"/>
      <c r="O405" s="327"/>
      <c r="P405" s="121"/>
      <c r="Q405" s="358"/>
      <c r="R405" s="359"/>
      <c r="S405" s="17"/>
      <c r="T405" s="17"/>
      <c r="U405" s="17"/>
      <c r="V405" s="17"/>
    </row>
    <row r="406">
      <c r="A406" s="327"/>
      <c r="B406" s="121"/>
      <c r="C406" s="327"/>
      <c r="D406" s="121"/>
      <c r="E406" s="327"/>
      <c r="F406" s="121"/>
      <c r="G406" s="327"/>
      <c r="H406" s="121"/>
      <c r="I406" s="358"/>
      <c r="J406" s="142"/>
      <c r="K406" s="358"/>
      <c r="L406" s="142"/>
      <c r="M406" s="327"/>
      <c r="N406" s="121"/>
      <c r="O406" s="327"/>
      <c r="P406" s="121"/>
      <c r="Q406" s="358"/>
      <c r="R406" s="359"/>
      <c r="S406" s="17"/>
      <c r="T406" s="17"/>
      <c r="U406" s="17"/>
      <c r="V406" s="17"/>
    </row>
    <row r="407">
      <c r="A407" s="327"/>
      <c r="B407" s="121"/>
      <c r="C407" s="327"/>
      <c r="D407" s="121"/>
      <c r="E407" s="327"/>
      <c r="F407" s="121"/>
      <c r="G407" s="327"/>
      <c r="H407" s="121"/>
      <c r="I407" s="358"/>
      <c r="J407" s="142"/>
      <c r="K407" s="358"/>
      <c r="L407" s="142"/>
      <c r="M407" s="327"/>
      <c r="N407" s="121"/>
      <c r="O407" s="327"/>
      <c r="P407" s="121"/>
      <c r="Q407" s="358"/>
      <c r="R407" s="359"/>
      <c r="S407" s="17"/>
      <c r="T407" s="17"/>
      <c r="U407" s="17"/>
      <c r="V407" s="17"/>
    </row>
    <row r="408">
      <c r="A408" s="327"/>
      <c r="B408" s="121"/>
      <c r="C408" s="327"/>
      <c r="D408" s="121"/>
      <c r="E408" s="327"/>
      <c r="F408" s="121"/>
      <c r="G408" s="327"/>
      <c r="H408" s="121"/>
      <c r="I408" s="358"/>
      <c r="J408" s="142"/>
      <c r="K408" s="358"/>
      <c r="L408" s="142"/>
      <c r="M408" s="327"/>
      <c r="N408" s="121"/>
      <c r="O408" s="327"/>
      <c r="P408" s="121"/>
      <c r="Q408" s="358"/>
      <c r="R408" s="359"/>
      <c r="S408" s="17"/>
      <c r="T408" s="17"/>
      <c r="U408" s="17"/>
      <c r="V408" s="17"/>
    </row>
    <row r="409">
      <c r="A409" s="327"/>
      <c r="B409" s="121"/>
      <c r="C409" s="327"/>
      <c r="D409" s="121"/>
      <c r="E409" s="327"/>
      <c r="F409" s="121"/>
      <c r="G409" s="327"/>
      <c r="H409" s="121"/>
      <c r="I409" s="358"/>
      <c r="J409" s="142"/>
      <c r="K409" s="358"/>
      <c r="L409" s="142"/>
      <c r="M409" s="327"/>
      <c r="N409" s="121"/>
      <c r="O409" s="327"/>
      <c r="P409" s="121"/>
      <c r="Q409" s="358"/>
      <c r="R409" s="359"/>
      <c r="S409" s="17"/>
      <c r="T409" s="17"/>
      <c r="U409" s="17"/>
      <c r="V409" s="17"/>
    </row>
    <row r="410">
      <c r="A410" s="327"/>
      <c r="B410" s="121"/>
      <c r="C410" s="327"/>
      <c r="D410" s="121"/>
      <c r="E410" s="327"/>
      <c r="F410" s="121"/>
      <c r="G410" s="327"/>
      <c r="H410" s="121"/>
      <c r="I410" s="358"/>
      <c r="J410" s="142"/>
      <c r="K410" s="358"/>
      <c r="L410" s="142"/>
      <c r="M410" s="327"/>
      <c r="N410" s="121"/>
      <c r="O410" s="327"/>
      <c r="P410" s="121"/>
      <c r="Q410" s="358"/>
      <c r="R410" s="359"/>
      <c r="S410" s="17"/>
      <c r="T410" s="17"/>
      <c r="U410" s="17"/>
      <c r="V410" s="17"/>
    </row>
    <row r="411">
      <c r="A411" s="327"/>
      <c r="B411" s="121"/>
      <c r="C411" s="327"/>
      <c r="D411" s="121"/>
      <c r="E411" s="327"/>
      <c r="F411" s="121"/>
      <c r="G411" s="327"/>
      <c r="H411" s="121"/>
      <c r="I411" s="358"/>
      <c r="J411" s="142"/>
      <c r="K411" s="358"/>
      <c r="L411" s="142"/>
      <c r="M411" s="327"/>
      <c r="N411" s="121"/>
      <c r="O411" s="327"/>
      <c r="P411" s="121"/>
      <c r="Q411" s="358"/>
      <c r="R411" s="359"/>
      <c r="S411" s="17"/>
      <c r="T411" s="17"/>
      <c r="U411" s="17"/>
      <c r="V411" s="17"/>
    </row>
    <row r="412">
      <c r="A412" s="327"/>
      <c r="B412" s="121"/>
      <c r="C412" s="327"/>
      <c r="D412" s="121"/>
      <c r="E412" s="327"/>
      <c r="F412" s="121"/>
      <c r="G412" s="327"/>
      <c r="H412" s="121"/>
      <c r="I412" s="358"/>
      <c r="J412" s="142"/>
      <c r="K412" s="358"/>
      <c r="L412" s="142"/>
      <c r="M412" s="327"/>
      <c r="N412" s="121"/>
      <c r="O412" s="327"/>
      <c r="P412" s="121"/>
      <c r="Q412" s="358"/>
      <c r="R412" s="359"/>
      <c r="S412" s="17"/>
      <c r="T412" s="17"/>
      <c r="U412" s="17"/>
      <c r="V412" s="17"/>
    </row>
    <row r="413">
      <c r="A413" s="327"/>
      <c r="B413" s="121"/>
      <c r="C413" s="327"/>
      <c r="D413" s="121"/>
      <c r="E413" s="327"/>
      <c r="F413" s="121"/>
      <c r="G413" s="327"/>
      <c r="H413" s="121"/>
      <c r="I413" s="358"/>
      <c r="J413" s="142"/>
      <c r="K413" s="358"/>
      <c r="L413" s="142"/>
      <c r="M413" s="327"/>
      <c r="N413" s="121"/>
      <c r="O413" s="327"/>
      <c r="P413" s="121"/>
      <c r="Q413" s="358"/>
      <c r="R413" s="359"/>
      <c r="S413" s="17"/>
      <c r="T413" s="17"/>
      <c r="U413" s="17"/>
      <c r="V413" s="17"/>
    </row>
    <row r="414">
      <c r="A414" s="327"/>
      <c r="B414" s="121"/>
      <c r="C414" s="327"/>
      <c r="D414" s="121"/>
      <c r="E414" s="327"/>
      <c r="F414" s="121"/>
      <c r="G414" s="327"/>
      <c r="H414" s="121"/>
      <c r="I414" s="358"/>
      <c r="J414" s="142"/>
      <c r="K414" s="358"/>
      <c r="L414" s="142"/>
      <c r="M414" s="327"/>
      <c r="N414" s="121"/>
      <c r="O414" s="327"/>
      <c r="P414" s="121"/>
      <c r="Q414" s="358"/>
      <c r="R414" s="359"/>
      <c r="S414" s="17"/>
      <c r="T414" s="17"/>
      <c r="U414" s="17"/>
      <c r="V414" s="17"/>
    </row>
    <row r="415">
      <c r="A415" s="327"/>
      <c r="B415" s="121"/>
      <c r="C415" s="327"/>
      <c r="D415" s="121"/>
      <c r="E415" s="327"/>
      <c r="F415" s="121"/>
      <c r="G415" s="327"/>
      <c r="H415" s="121"/>
      <c r="I415" s="358"/>
      <c r="J415" s="142"/>
      <c r="K415" s="358"/>
      <c r="L415" s="142"/>
      <c r="M415" s="327"/>
      <c r="N415" s="121"/>
      <c r="O415" s="327"/>
      <c r="P415" s="121"/>
      <c r="Q415" s="358"/>
      <c r="R415" s="359"/>
      <c r="S415" s="17"/>
      <c r="T415" s="17"/>
      <c r="U415" s="17"/>
      <c r="V415" s="17"/>
    </row>
    <row r="416">
      <c r="A416" s="327"/>
      <c r="B416" s="121"/>
      <c r="C416" s="327"/>
      <c r="D416" s="121"/>
      <c r="E416" s="327"/>
      <c r="F416" s="121"/>
      <c r="G416" s="327"/>
      <c r="H416" s="121"/>
      <c r="I416" s="358"/>
      <c r="J416" s="142"/>
      <c r="K416" s="358"/>
      <c r="L416" s="142"/>
      <c r="M416" s="327"/>
      <c r="N416" s="121"/>
      <c r="O416" s="327"/>
      <c r="P416" s="121"/>
      <c r="Q416" s="358"/>
      <c r="R416" s="359"/>
      <c r="S416" s="17"/>
      <c r="T416" s="17"/>
      <c r="U416" s="17"/>
      <c r="V416" s="17"/>
    </row>
    <row r="417">
      <c r="A417" s="327"/>
      <c r="B417" s="121"/>
      <c r="C417" s="327"/>
      <c r="D417" s="121"/>
      <c r="E417" s="327"/>
      <c r="F417" s="121"/>
      <c r="G417" s="327"/>
      <c r="H417" s="121"/>
      <c r="I417" s="358"/>
      <c r="J417" s="142"/>
      <c r="K417" s="358"/>
      <c r="L417" s="142"/>
      <c r="M417" s="327"/>
      <c r="N417" s="121"/>
      <c r="O417" s="327"/>
      <c r="P417" s="121"/>
      <c r="Q417" s="358"/>
      <c r="R417" s="359"/>
      <c r="S417" s="17"/>
      <c r="T417" s="17"/>
      <c r="U417" s="17"/>
      <c r="V417" s="17"/>
    </row>
    <row r="418">
      <c r="A418" s="327"/>
      <c r="B418" s="121"/>
      <c r="C418" s="327"/>
      <c r="D418" s="121"/>
      <c r="E418" s="327"/>
      <c r="F418" s="121"/>
      <c r="G418" s="327"/>
      <c r="H418" s="121"/>
      <c r="I418" s="358"/>
      <c r="J418" s="142"/>
      <c r="K418" s="358"/>
      <c r="L418" s="142"/>
      <c r="M418" s="327"/>
      <c r="N418" s="121"/>
      <c r="O418" s="327"/>
      <c r="P418" s="121"/>
      <c r="Q418" s="358"/>
      <c r="R418" s="359"/>
      <c r="S418" s="17"/>
      <c r="T418" s="17"/>
      <c r="U418" s="17"/>
      <c r="V418" s="17"/>
    </row>
    <row r="419">
      <c r="A419" s="327"/>
      <c r="B419" s="121"/>
      <c r="C419" s="327"/>
      <c r="D419" s="121"/>
      <c r="E419" s="327"/>
      <c r="F419" s="121"/>
      <c r="G419" s="327"/>
      <c r="H419" s="121"/>
      <c r="I419" s="358"/>
      <c r="J419" s="142"/>
      <c r="K419" s="358"/>
      <c r="L419" s="142"/>
      <c r="M419" s="327"/>
      <c r="N419" s="121"/>
      <c r="O419" s="327"/>
      <c r="P419" s="121"/>
      <c r="Q419" s="358"/>
      <c r="R419" s="359"/>
      <c r="S419" s="17"/>
      <c r="T419" s="17"/>
      <c r="U419" s="17"/>
      <c r="V419" s="17"/>
    </row>
    <row r="420">
      <c r="A420" s="327"/>
      <c r="B420" s="121"/>
      <c r="C420" s="327"/>
      <c r="D420" s="121"/>
      <c r="E420" s="327"/>
      <c r="F420" s="121"/>
      <c r="G420" s="327"/>
      <c r="H420" s="121"/>
      <c r="I420" s="358"/>
      <c r="J420" s="142"/>
      <c r="K420" s="358"/>
      <c r="L420" s="142"/>
      <c r="M420" s="327"/>
      <c r="N420" s="121"/>
      <c r="O420" s="327"/>
      <c r="P420" s="121"/>
      <c r="Q420" s="358"/>
      <c r="R420" s="359"/>
      <c r="S420" s="17"/>
      <c r="T420" s="17"/>
      <c r="U420" s="17"/>
      <c r="V420" s="17"/>
    </row>
    <row r="421">
      <c r="A421" s="327"/>
      <c r="B421" s="121"/>
      <c r="C421" s="327"/>
      <c r="D421" s="121"/>
      <c r="E421" s="327"/>
      <c r="F421" s="121"/>
      <c r="G421" s="327"/>
      <c r="H421" s="121"/>
      <c r="I421" s="358"/>
      <c r="J421" s="142"/>
      <c r="K421" s="358"/>
      <c r="L421" s="142"/>
      <c r="M421" s="327"/>
      <c r="N421" s="121"/>
      <c r="O421" s="327"/>
      <c r="P421" s="121"/>
      <c r="Q421" s="358"/>
      <c r="R421" s="359"/>
      <c r="S421" s="17"/>
      <c r="T421" s="17"/>
      <c r="U421" s="17"/>
      <c r="V421" s="17"/>
    </row>
    <row r="422">
      <c r="A422" s="327"/>
      <c r="B422" s="121"/>
      <c r="C422" s="327"/>
      <c r="D422" s="121"/>
      <c r="E422" s="327"/>
      <c r="F422" s="121"/>
      <c r="G422" s="327"/>
      <c r="H422" s="121"/>
      <c r="I422" s="358"/>
      <c r="J422" s="142"/>
      <c r="K422" s="358"/>
      <c r="L422" s="142"/>
      <c r="M422" s="327"/>
      <c r="N422" s="121"/>
      <c r="O422" s="327"/>
      <c r="P422" s="121"/>
      <c r="Q422" s="358"/>
      <c r="R422" s="359"/>
      <c r="S422" s="17"/>
      <c r="T422" s="17"/>
      <c r="U422" s="17"/>
      <c r="V422" s="17"/>
    </row>
    <row r="423">
      <c r="A423" s="327"/>
      <c r="B423" s="121"/>
      <c r="C423" s="327"/>
      <c r="D423" s="121"/>
      <c r="E423" s="327"/>
      <c r="F423" s="121"/>
      <c r="G423" s="327"/>
      <c r="H423" s="121"/>
      <c r="I423" s="358"/>
      <c r="J423" s="142"/>
      <c r="K423" s="358"/>
      <c r="L423" s="142"/>
      <c r="M423" s="327"/>
      <c r="N423" s="121"/>
      <c r="O423" s="327"/>
      <c r="P423" s="121"/>
      <c r="Q423" s="358"/>
      <c r="R423" s="359"/>
      <c r="S423" s="17"/>
      <c r="T423" s="17"/>
      <c r="U423" s="17"/>
      <c r="V423" s="17"/>
    </row>
    <row r="424">
      <c r="A424" s="327"/>
      <c r="B424" s="121"/>
      <c r="C424" s="327"/>
      <c r="D424" s="121"/>
      <c r="E424" s="327"/>
      <c r="F424" s="121"/>
      <c r="G424" s="327"/>
      <c r="H424" s="121"/>
      <c r="I424" s="358"/>
      <c r="J424" s="142"/>
      <c r="K424" s="358"/>
      <c r="L424" s="142"/>
      <c r="M424" s="327"/>
      <c r="N424" s="121"/>
      <c r="O424" s="327"/>
      <c r="P424" s="121"/>
      <c r="Q424" s="358"/>
      <c r="R424" s="359"/>
      <c r="S424" s="17"/>
      <c r="T424" s="17"/>
      <c r="U424" s="17"/>
      <c r="V424" s="17"/>
    </row>
    <row r="425">
      <c r="A425" s="327"/>
      <c r="B425" s="121"/>
      <c r="C425" s="327"/>
      <c r="D425" s="121"/>
      <c r="E425" s="327"/>
      <c r="F425" s="121"/>
      <c r="G425" s="327"/>
      <c r="H425" s="121"/>
      <c r="I425" s="358"/>
      <c r="J425" s="142"/>
      <c r="K425" s="358"/>
      <c r="L425" s="142"/>
      <c r="M425" s="327"/>
      <c r="N425" s="121"/>
      <c r="O425" s="327"/>
      <c r="P425" s="121"/>
      <c r="Q425" s="358"/>
      <c r="R425" s="359"/>
      <c r="S425" s="17"/>
      <c r="T425" s="17"/>
      <c r="U425" s="17"/>
      <c r="V425" s="17"/>
    </row>
    <row r="426">
      <c r="A426" s="327"/>
      <c r="B426" s="121"/>
      <c r="C426" s="327"/>
      <c r="D426" s="121"/>
      <c r="E426" s="327"/>
      <c r="F426" s="121"/>
      <c r="G426" s="327"/>
      <c r="H426" s="121"/>
      <c r="I426" s="358"/>
      <c r="J426" s="142"/>
      <c r="K426" s="358"/>
      <c r="L426" s="142"/>
      <c r="M426" s="327"/>
      <c r="N426" s="121"/>
      <c r="O426" s="327"/>
      <c r="P426" s="121"/>
      <c r="Q426" s="358"/>
      <c r="R426" s="359"/>
      <c r="S426" s="17"/>
      <c r="T426" s="17"/>
      <c r="U426" s="17"/>
      <c r="V426" s="17"/>
    </row>
    <row r="427">
      <c r="A427" s="327"/>
      <c r="B427" s="121"/>
      <c r="C427" s="327"/>
      <c r="D427" s="121"/>
      <c r="E427" s="327"/>
      <c r="F427" s="121"/>
      <c r="G427" s="327"/>
      <c r="H427" s="121"/>
      <c r="I427" s="358"/>
      <c r="J427" s="142"/>
      <c r="K427" s="358"/>
      <c r="L427" s="142"/>
      <c r="M427" s="327"/>
      <c r="N427" s="121"/>
      <c r="O427" s="327"/>
      <c r="P427" s="121"/>
      <c r="Q427" s="358"/>
      <c r="R427" s="359"/>
      <c r="S427" s="17"/>
      <c r="T427" s="17"/>
      <c r="U427" s="17"/>
      <c r="V427" s="17"/>
    </row>
    <row r="428">
      <c r="A428" s="327"/>
      <c r="B428" s="121"/>
      <c r="C428" s="327"/>
      <c r="D428" s="121"/>
      <c r="E428" s="327"/>
      <c r="F428" s="121"/>
      <c r="G428" s="327"/>
      <c r="H428" s="121"/>
      <c r="I428" s="358"/>
      <c r="J428" s="142"/>
      <c r="K428" s="358"/>
      <c r="L428" s="142"/>
      <c r="M428" s="327"/>
      <c r="N428" s="121"/>
      <c r="O428" s="327"/>
      <c r="P428" s="121"/>
      <c r="Q428" s="358"/>
      <c r="R428" s="359"/>
      <c r="S428" s="17"/>
      <c r="T428" s="17"/>
      <c r="U428" s="17"/>
      <c r="V428" s="17"/>
    </row>
    <row r="429">
      <c r="A429" s="327"/>
      <c r="B429" s="121"/>
      <c r="C429" s="327"/>
      <c r="D429" s="121"/>
      <c r="E429" s="327"/>
      <c r="F429" s="121"/>
      <c r="G429" s="327"/>
      <c r="H429" s="121"/>
      <c r="I429" s="358"/>
      <c r="J429" s="142"/>
      <c r="K429" s="358"/>
      <c r="L429" s="142"/>
      <c r="M429" s="327"/>
      <c r="N429" s="121"/>
      <c r="O429" s="327"/>
      <c r="P429" s="121"/>
      <c r="Q429" s="358"/>
      <c r="R429" s="359"/>
      <c r="S429" s="17"/>
      <c r="T429" s="17"/>
      <c r="U429" s="17"/>
      <c r="V429" s="17"/>
    </row>
    <row r="430">
      <c r="A430" s="327"/>
      <c r="B430" s="121"/>
      <c r="C430" s="327"/>
      <c r="D430" s="121"/>
      <c r="E430" s="327"/>
      <c r="F430" s="121"/>
      <c r="G430" s="327"/>
      <c r="H430" s="121"/>
      <c r="I430" s="358"/>
      <c r="J430" s="142"/>
      <c r="K430" s="358"/>
      <c r="L430" s="142"/>
      <c r="M430" s="327"/>
      <c r="N430" s="121"/>
      <c r="O430" s="327"/>
      <c r="P430" s="121"/>
      <c r="Q430" s="358"/>
      <c r="R430" s="359"/>
      <c r="S430" s="17"/>
      <c r="T430" s="17"/>
      <c r="U430" s="17"/>
      <c r="V430" s="17"/>
    </row>
    <row r="431">
      <c r="A431" s="327"/>
      <c r="B431" s="121"/>
      <c r="C431" s="327"/>
      <c r="D431" s="121"/>
      <c r="E431" s="327"/>
      <c r="F431" s="121"/>
      <c r="G431" s="327"/>
      <c r="H431" s="121"/>
      <c r="I431" s="358"/>
      <c r="J431" s="142"/>
      <c r="K431" s="358"/>
      <c r="L431" s="142"/>
      <c r="M431" s="327"/>
      <c r="N431" s="121"/>
      <c r="O431" s="327"/>
      <c r="P431" s="121"/>
      <c r="Q431" s="358"/>
      <c r="R431" s="359"/>
      <c r="S431" s="17"/>
      <c r="T431" s="17"/>
      <c r="U431" s="17"/>
      <c r="V431" s="17"/>
    </row>
    <row r="432">
      <c r="A432" s="327"/>
      <c r="B432" s="121"/>
      <c r="C432" s="327"/>
      <c r="D432" s="121"/>
      <c r="E432" s="327"/>
      <c r="F432" s="121"/>
      <c r="G432" s="327"/>
      <c r="H432" s="121"/>
      <c r="I432" s="358"/>
      <c r="J432" s="142"/>
      <c r="K432" s="358"/>
      <c r="L432" s="142"/>
      <c r="M432" s="327"/>
      <c r="N432" s="121"/>
      <c r="O432" s="327"/>
      <c r="P432" s="121"/>
      <c r="Q432" s="358"/>
      <c r="R432" s="359"/>
      <c r="S432" s="17"/>
      <c r="T432" s="17"/>
      <c r="U432" s="17"/>
      <c r="V432" s="17"/>
    </row>
    <row r="433">
      <c r="A433" s="327"/>
      <c r="B433" s="121"/>
      <c r="C433" s="327"/>
      <c r="D433" s="121"/>
      <c r="E433" s="327"/>
      <c r="F433" s="121"/>
      <c r="G433" s="327"/>
      <c r="H433" s="121"/>
      <c r="I433" s="358"/>
      <c r="J433" s="142"/>
      <c r="K433" s="358"/>
      <c r="L433" s="142"/>
      <c r="M433" s="327"/>
      <c r="N433" s="121"/>
      <c r="O433" s="327"/>
      <c r="P433" s="121"/>
      <c r="Q433" s="358"/>
      <c r="R433" s="359"/>
      <c r="S433" s="17"/>
      <c r="T433" s="17"/>
      <c r="U433" s="17"/>
      <c r="V433" s="17"/>
    </row>
    <row r="434">
      <c r="A434" s="327"/>
      <c r="B434" s="121"/>
      <c r="C434" s="327"/>
      <c r="D434" s="121"/>
      <c r="E434" s="327"/>
      <c r="F434" s="121"/>
      <c r="G434" s="327"/>
      <c r="H434" s="121"/>
      <c r="I434" s="358"/>
      <c r="J434" s="142"/>
      <c r="K434" s="358"/>
      <c r="L434" s="142"/>
      <c r="M434" s="327"/>
      <c r="N434" s="121"/>
      <c r="O434" s="327"/>
      <c r="P434" s="121"/>
      <c r="Q434" s="358"/>
      <c r="R434" s="359"/>
      <c r="S434" s="17"/>
      <c r="T434" s="17"/>
      <c r="U434" s="17"/>
      <c r="V434" s="17"/>
    </row>
    <row r="435">
      <c r="A435" s="327"/>
      <c r="B435" s="121"/>
      <c r="C435" s="327"/>
      <c r="D435" s="121"/>
      <c r="E435" s="327"/>
      <c r="F435" s="121"/>
      <c r="G435" s="327"/>
      <c r="H435" s="121"/>
      <c r="I435" s="358"/>
      <c r="J435" s="142"/>
      <c r="K435" s="358"/>
      <c r="L435" s="142"/>
      <c r="M435" s="327"/>
      <c r="N435" s="121"/>
      <c r="O435" s="327"/>
      <c r="P435" s="121"/>
      <c r="Q435" s="358"/>
      <c r="R435" s="359"/>
      <c r="S435" s="17"/>
      <c r="T435" s="17"/>
      <c r="U435" s="17"/>
      <c r="V435" s="17"/>
    </row>
    <row r="436">
      <c r="A436" s="327"/>
      <c r="B436" s="121"/>
      <c r="C436" s="327"/>
      <c r="D436" s="121"/>
      <c r="E436" s="327"/>
      <c r="F436" s="121"/>
      <c r="G436" s="327"/>
      <c r="H436" s="121"/>
      <c r="I436" s="358"/>
      <c r="J436" s="142"/>
      <c r="K436" s="358"/>
      <c r="L436" s="142"/>
      <c r="M436" s="327"/>
      <c r="N436" s="121"/>
      <c r="O436" s="327"/>
      <c r="P436" s="121"/>
      <c r="Q436" s="358"/>
      <c r="R436" s="359"/>
      <c r="S436" s="17"/>
      <c r="T436" s="17"/>
      <c r="U436" s="17"/>
      <c r="V436" s="17"/>
    </row>
    <row r="437">
      <c r="A437" s="327"/>
      <c r="B437" s="121"/>
      <c r="C437" s="327"/>
      <c r="D437" s="121"/>
      <c r="E437" s="327"/>
      <c r="F437" s="121"/>
      <c r="G437" s="327"/>
      <c r="H437" s="121"/>
      <c r="I437" s="358"/>
      <c r="J437" s="142"/>
      <c r="K437" s="358"/>
      <c r="L437" s="142"/>
      <c r="M437" s="327"/>
      <c r="N437" s="121"/>
      <c r="O437" s="327"/>
      <c r="P437" s="121"/>
      <c r="Q437" s="358"/>
      <c r="R437" s="359"/>
      <c r="S437" s="17"/>
      <c r="T437" s="17"/>
      <c r="U437" s="17"/>
      <c r="V437" s="17"/>
    </row>
    <row r="438">
      <c r="A438" s="327"/>
      <c r="B438" s="121"/>
      <c r="C438" s="327"/>
      <c r="D438" s="121"/>
      <c r="E438" s="327"/>
      <c r="F438" s="121"/>
      <c r="G438" s="327"/>
      <c r="H438" s="121"/>
      <c r="I438" s="358"/>
      <c r="J438" s="142"/>
      <c r="K438" s="358"/>
      <c r="L438" s="142"/>
      <c r="M438" s="327"/>
      <c r="N438" s="121"/>
      <c r="O438" s="327"/>
      <c r="P438" s="121"/>
      <c r="Q438" s="358"/>
      <c r="R438" s="359"/>
      <c r="S438" s="17"/>
      <c r="T438" s="17"/>
      <c r="U438" s="17"/>
      <c r="V438" s="17"/>
    </row>
    <row r="439">
      <c r="A439" s="327"/>
      <c r="B439" s="121"/>
      <c r="C439" s="327"/>
      <c r="D439" s="121"/>
      <c r="E439" s="327"/>
      <c r="F439" s="121"/>
      <c r="G439" s="327"/>
      <c r="H439" s="121"/>
      <c r="I439" s="358"/>
      <c r="J439" s="142"/>
      <c r="K439" s="358"/>
      <c r="L439" s="142"/>
      <c r="M439" s="327"/>
      <c r="N439" s="121"/>
      <c r="O439" s="327"/>
      <c r="P439" s="121"/>
      <c r="Q439" s="358"/>
      <c r="R439" s="359"/>
      <c r="S439" s="17"/>
      <c r="T439" s="17"/>
      <c r="U439" s="17"/>
      <c r="V439" s="17"/>
    </row>
    <row r="440">
      <c r="A440" s="327"/>
      <c r="B440" s="121"/>
      <c r="C440" s="327"/>
      <c r="D440" s="121"/>
      <c r="E440" s="327"/>
      <c r="F440" s="121"/>
      <c r="G440" s="327"/>
      <c r="H440" s="121"/>
      <c r="I440" s="358"/>
      <c r="J440" s="142"/>
      <c r="K440" s="358"/>
      <c r="L440" s="142"/>
      <c r="M440" s="327"/>
      <c r="N440" s="121"/>
      <c r="O440" s="327"/>
      <c r="P440" s="121"/>
      <c r="Q440" s="358"/>
      <c r="R440" s="359"/>
      <c r="S440" s="17"/>
      <c r="T440" s="17"/>
      <c r="U440" s="17"/>
      <c r="V440" s="17"/>
    </row>
    <row r="441">
      <c r="A441" s="327"/>
      <c r="B441" s="121"/>
      <c r="C441" s="327"/>
      <c r="D441" s="121"/>
      <c r="E441" s="327"/>
      <c r="F441" s="121"/>
      <c r="G441" s="327"/>
      <c r="H441" s="121"/>
      <c r="I441" s="358"/>
      <c r="J441" s="142"/>
      <c r="K441" s="358"/>
      <c r="L441" s="142"/>
      <c r="M441" s="327"/>
      <c r="N441" s="121"/>
      <c r="O441" s="327"/>
      <c r="P441" s="121"/>
      <c r="Q441" s="358"/>
      <c r="R441" s="359"/>
      <c r="S441" s="17"/>
      <c r="T441" s="17"/>
      <c r="U441" s="17"/>
      <c r="V441" s="17"/>
    </row>
    <row r="442">
      <c r="A442" s="327"/>
      <c r="B442" s="121"/>
      <c r="C442" s="327"/>
      <c r="D442" s="121"/>
      <c r="E442" s="327"/>
      <c r="F442" s="121"/>
      <c r="G442" s="327"/>
      <c r="H442" s="121"/>
      <c r="I442" s="358"/>
      <c r="J442" s="142"/>
      <c r="K442" s="358"/>
      <c r="L442" s="142"/>
      <c r="M442" s="327"/>
      <c r="N442" s="121"/>
      <c r="O442" s="327"/>
      <c r="P442" s="121"/>
      <c r="Q442" s="358"/>
      <c r="R442" s="359"/>
      <c r="S442" s="17"/>
      <c r="T442" s="17"/>
      <c r="U442" s="17"/>
      <c r="V442" s="17"/>
    </row>
    <row r="443">
      <c r="A443" s="327"/>
      <c r="B443" s="121"/>
      <c r="C443" s="327"/>
      <c r="D443" s="121"/>
      <c r="E443" s="327"/>
      <c r="F443" s="121"/>
      <c r="G443" s="327"/>
      <c r="H443" s="121"/>
      <c r="I443" s="358"/>
      <c r="J443" s="142"/>
      <c r="K443" s="358"/>
      <c r="L443" s="142"/>
      <c r="M443" s="327"/>
      <c r="N443" s="121"/>
      <c r="O443" s="327"/>
      <c r="P443" s="121"/>
      <c r="Q443" s="358"/>
      <c r="R443" s="359"/>
      <c r="S443" s="17"/>
      <c r="T443" s="17"/>
      <c r="U443" s="17"/>
      <c r="V443" s="17"/>
    </row>
    <row r="444">
      <c r="A444" s="327"/>
      <c r="B444" s="121"/>
      <c r="C444" s="327"/>
      <c r="D444" s="121"/>
      <c r="E444" s="327"/>
      <c r="F444" s="121"/>
      <c r="G444" s="327"/>
      <c r="H444" s="121"/>
      <c r="I444" s="358"/>
      <c r="J444" s="142"/>
      <c r="K444" s="358"/>
      <c r="L444" s="142"/>
      <c r="M444" s="327"/>
      <c r="N444" s="121"/>
      <c r="O444" s="327"/>
      <c r="P444" s="121"/>
      <c r="Q444" s="358"/>
      <c r="R444" s="359"/>
      <c r="S444" s="17"/>
      <c r="T444" s="17"/>
      <c r="U444" s="17"/>
      <c r="V444" s="17"/>
    </row>
    <row r="445">
      <c r="A445" s="327"/>
      <c r="B445" s="121"/>
      <c r="C445" s="327"/>
      <c r="D445" s="121"/>
      <c r="E445" s="327"/>
      <c r="F445" s="121"/>
      <c r="G445" s="327"/>
      <c r="H445" s="121"/>
      <c r="I445" s="358"/>
      <c r="J445" s="142"/>
      <c r="K445" s="358"/>
      <c r="L445" s="142"/>
      <c r="M445" s="327"/>
      <c r="N445" s="121"/>
      <c r="O445" s="327"/>
      <c r="P445" s="121"/>
      <c r="Q445" s="358"/>
      <c r="R445" s="359"/>
      <c r="S445" s="17"/>
      <c r="T445" s="17"/>
      <c r="U445" s="17"/>
      <c r="V445" s="17"/>
    </row>
    <row r="446">
      <c r="A446" s="327"/>
      <c r="B446" s="121"/>
      <c r="C446" s="327"/>
      <c r="D446" s="121"/>
      <c r="E446" s="327"/>
      <c r="F446" s="121"/>
      <c r="G446" s="327"/>
      <c r="H446" s="121"/>
      <c r="I446" s="358"/>
      <c r="J446" s="142"/>
      <c r="K446" s="358"/>
      <c r="L446" s="142"/>
      <c r="M446" s="327"/>
      <c r="N446" s="121"/>
      <c r="O446" s="327"/>
      <c r="P446" s="121"/>
      <c r="Q446" s="359"/>
      <c r="R446" s="359"/>
      <c r="S446" s="17"/>
      <c r="T446" s="17"/>
      <c r="U446" s="17"/>
      <c r="V446" s="17"/>
    </row>
    <row r="447">
      <c r="A447" s="327"/>
      <c r="B447" s="121"/>
      <c r="C447" s="327"/>
      <c r="D447" s="121"/>
      <c r="E447" s="327"/>
      <c r="F447" s="121"/>
      <c r="G447" s="327"/>
      <c r="H447" s="121"/>
      <c r="I447" s="358"/>
      <c r="J447" s="142"/>
      <c r="K447" s="358"/>
      <c r="L447" s="142"/>
      <c r="M447" s="327"/>
      <c r="N447" s="121"/>
      <c r="O447" s="327"/>
      <c r="P447" s="121"/>
      <c r="Q447" s="359"/>
      <c r="R447" s="359"/>
      <c r="S447" s="17"/>
      <c r="T447" s="17"/>
      <c r="U447" s="17"/>
      <c r="V447" s="17"/>
    </row>
    <row r="448">
      <c r="A448" s="327"/>
      <c r="B448" s="121"/>
      <c r="C448" s="327"/>
      <c r="D448" s="121"/>
      <c r="E448" s="327"/>
      <c r="F448" s="121"/>
      <c r="G448" s="327"/>
      <c r="H448" s="121"/>
      <c r="I448" s="358"/>
      <c r="J448" s="142"/>
      <c r="K448" s="358"/>
      <c r="L448" s="142"/>
      <c r="M448" s="327"/>
      <c r="N448" s="121"/>
      <c r="O448" s="327"/>
      <c r="P448" s="121"/>
      <c r="Q448" s="359"/>
      <c r="R448" s="359"/>
      <c r="S448" s="17"/>
      <c r="T448" s="17"/>
      <c r="U448" s="17"/>
      <c r="V448" s="17"/>
    </row>
    <row r="449">
      <c r="A449" s="327"/>
      <c r="B449" s="121"/>
      <c r="C449" s="327"/>
      <c r="D449" s="121"/>
      <c r="E449" s="327"/>
      <c r="F449" s="121"/>
      <c r="G449" s="327"/>
      <c r="H449" s="121"/>
      <c r="I449" s="358"/>
      <c r="J449" s="142"/>
      <c r="K449" s="358"/>
      <c r="L449" s="142"/>
      <c r="M449" s="327"/>
      <c r="N449" s="121"/>
      <c r="O449" s="327"/>
      <c r="P449" s="121"/>
      <c r="Q449" s="359"/>
      <c r="R449" s="359"/>
      <c r="S449" s="17"/>
      <c r="T449" s="17"/>
      <c r="U449" s="17"/>
      <c r="V449" s="17"/>
    </row>
    <row r="450">
      <c r="A450" s="327"/>
      <c r="B450" s="121"/>
      <c r="C450" s="327"/>
      <c r="D450" s="121"/>
      <c r="E450" s="327"/>
      <c r="F450" s="121"/>
      <c r="G450" s="327"/>
      <c r="H450" s="121"/>
      <c r="I450" s="358"/>
      <c r="J450" s="142"/>
      <c r="K450" s="358"/>
      <c r="L450" s="142"/>
      <c r="M450" s="327"/>
      <c r="N450" s="121"/>
      <c r="O450" s="327"/>
      <c r="P450" s="121"/>
      <c r="Q450" s="359"/>
      <c r="R450" s="359"/>
      <c r="S450" s="17"/>
      <c r="T450" s="17"/>
      <c r="U450" s="17"/>
      <c r="V450" s="17"/>
    </row>
    <row r="451">
      <c r="A451" s="327"/>
      <c r="B451" s="121"/>
      <c r="C451" s="327"/>
      <c r="D451" s="121"/>
      <c r="E451" s="327"/>
      <c r="F451" s="121"/>
      <c r="G451" s="327"/>
      <c r="H451" s="121"/>
      <c r="I451" s="358"/>
      <c r="J451" s="142"/>
      <c r="K451" s="358"/>
      <c r="L451" s="142"/>
      <c r="M451" s="327"/>
      <c r="N451" s="121"/>
      <c r="O451" s="327"/>
      <c r="P451" s="121"/>
      <c r="Q451" s="359"/>
      <c r="R451" s="359"/>
      <c r="S451" s="17"/>
      <c r="T451" s="17"/>
      <c r="U451" s="17"/>
      <c r="V451" s="17"/>
    </row>
    <row r="452">
      <c r="A452" s="327"/>
      <c r="B452" s="121"/>
      <c r="C452" s="327"/>
      <c r="D452" s="121"/>
      <c r="E452" s="327"/>
      <c r="F452" s="121"/>
      <c r="G452" s="327"/>
      <c r="H452" s="121"/>
      <c r="I452" s="358"/>
      <c r="J452" s="142"/>
      <c r="K452" s="358"/>
      <c r="L452" s="142"/>
      <c r="M452" s="327"/>
      <c r="N452" s="121"/>
      <c r="O452" s="327"/>
      <c r="P452" s="121"/>
      <c r="Q452" s="359"/>
      <c r="R452" s="359"/>
      <c r="S452" s="17"/>
      <c r="T452" s="17"/>
      <c r="U452" s="17"/>
      <c r="V452" s="17"/>
    </row>
    <row r="453">
      <c r="A453" s="327"/>
      <c r="B453" s="121"/>
      <c r="C453" s="327"/>
      <c r="D453" s="121"/>
      <c r="E453" s="327"/>
      <c r="F453" s="121"/>
      <c r="G453" s="327"/>
      <c r="H453" s="121"/>
      <c r="I453" s="358"/>
      <c r="J453" s="142"/>
      <c r="K453" s="358"/>
      <c r="L453" s="142"/>
      <c r="M453" s="327"/>
      <c r="N453" s="121"/>
      <c r="O453" s="327"/>
      <c r="P453" s="121"/>
      <c r="Q453" s="359"/>
      <c r="R453" s="359"/>
      <c r="S453" s="17"/>
      <c r="T453" s="17"/>
      <c r="U453" s="17"/>
      <c r="V453" s="17"/>
    </row>
    <row r="454">
      <c r="A454" s="327"/>
      <c r="B454" s="121"/>
      <c r="C454" s="327"/>
      <c r="D454" s="121"/>
      <c r="E454" s="327"/>
      <c r="F454" s="121"/>
      <c r="G454" s="327"/>
      <c r="H454" s="121"/>
      <c r="I454" s="358"/>
      <c r="J454" s="142"/>
      <c r="K454" s="358"/>
      <c r="L454" s="142"/>
      <c r="M454" s="327"/>
      <c r="N454" s="121"/>
      <c r="O454" s="327"/>
      <c r="P454" s="121"/>
      <c r="Q454" s="359"/>
      <c r="R454" s="359"/>
      <c r="S454" s="17"/>
      <c r="T454" s="17"/>
      <c r="U454" s="17"/>
      <c r="V454" s="17"/>
    </row>
    <row r="455">
      <c r="A455" s="327"/>
      <c r="B455" s="121"/>
      <c r="C455" s="327"/>
      <c r="D455" s="121"/>
      <c r="E455" s="327"/>
      <c r="F455" s="121"/>
      <c r="G455" s="327"/>
      <c r="H455" s="121"/>
      <c r="I455" s="358"/>
      <c r="J455" s="142"/>
      <c r="K455" s="358"/>
      <c r="L455" s="142"/>
      <c r="M455" s="327"/>
      <c r="N455" s="121"/>
      <c r="O455" s="327"/>
      <c r="P455" s="121"/>
      <c r="Q455" s="359"/>
      <c r="R455" s="359"/>
      <c r="S455" s="17"/>
      <c r="T455" s="17"/>
      <c r="U455" s="17"/>
      <c r="V455" s="17"/>
    </row>
    <row r="456">
      <c r="A456" s="327"/>
      <c r="B456" s="121"/>
      <c r="C456" s="327"/>
      <c r="D456" s="121"/>
      <c r="E456" s="327"/>
      <c r="F456" s="121"/>
      <c r="G456" s="327"/>
      <c r="H456" s="121"/>
      <c r="I456" s="358"/>
      <c r="J456" s="142"/>
      <c r="K456" s="358"/>
      <c r="L456" s="142"/>
      <c r="M456" s="327"/>
      <c r="N456" s="121"/>
      <c r="O456" s="327"/>
      <c r="P456" s="121"/>
      <c r="Q456" s="359"/>
      <c r="R456" s="359"/>
      <c r="S456" s="17"/>
      <c r="T456" s="17"/>
      <c r="U456" s="17"/>
      <c r="V456" s="17"/>
    </row>
    <row r="457">
      <c r="A457" s="327"/>
      <c r="B457" s="121"/>
      <c r="C457" s="327"/>
      <c r="D457" s="121"/>
      <c r="E457" s="327"/>
      <c r="F457" s="121"/>
      <c r="G457" s="327"/>
      <c r="H457" s="121"/>
      <c r="I457" s="358"/>
      <c r="J457" s="142"/>
      <c r="K457" s="358"/>
      <c r="L457" s="142"/>
      <c r="M457" s="327"/>
      <c r="N457" s="121"/>
      <c r="O457" s="327"/>
      <c r="P457" s="121"/>
      <c r="Q457" s="359"/>
      <c r="R457" s="359"/>
      <c r="S457" s="17"/>
      <c r="T457" s="17"/>
      <c r="U457" s="17"/>
      <c r="V457" s="17"/>
    </row>
    <row r="458">
      <c r="A458" s="327"/>
      <c r="B458" s="121"/>
      <c r="C458" s="327"/>
      <c r="D458" s="121"/>
      <c r="E458" s="327"/>
      <c r="F458" s="121"/>
      <c r="G458" s="327"/>
      <c r="H458" s="121"/>
      <c r="I458" s="358"/>
      <c r="J458" s="142"/>
      <c r="K458" s="358"/>
      <c r="L458" s="142"/>
      <c r="M458" s="327"/>
      <c r="N458" s="121"/>
      <c r="O458" s="327"/>
      <c r="P458" s="121"/>
      <c r="Q458" s="359"/>
      <c r="R458" s="359"/>
      <c r="S458" s="17"/>
      <c r="T458" s="17"/>
      <c r="U458" s="17"/>
      <c r="V458" s="17"/>
    </row>
    <row r="459">
      <c r="A459" s="327"/>
      <c r="B459" s="121"/>
      <c r="C459" s="327"/>
      <c r="D459" s="121"/>
      <c r="E459" s="327"/>
      <c r="F459" s="121"/>
      <c r="G459" s="327"/>
      <c r="H459" s="121"/>
      <c r="I459" s="358"/>
      <c r="J459" s="142"/>
      <c r="K459" s="358"/>
      <c r="L459" s="142"/>
      <c r="M459" s="327"/>
      <c r="N459" s="121"/>
      <c r="O459" s="327"/>
      <c r="P459" s="121"/>
      <c r="Q459" s="359"/>
      <c r="R459" s="359"/>
      <c r="S459" s="17"/>
      <c r="T459" s="17"/>
      <c r="U459" s="17"/>
      <c r="V459" s="17"/>
    </row>
    <row r="460">
      <c r="A460" s="327"/>
      <c r="B460" s="121"/>
      <c r="C460" s="327"/>
      <c r="D460" s="121"/>
      <c r="E460" s="327"/>
      <c r="F460" s="121"/>
      <c r="G460" s="327"/>
      <c r="H460" s="121"/>
      <c r="I460" s="358"/>
      <c r="J460" s="142"/>
      <c r="K460" s="358"/>
      <c r="L460" s="142"/>
      <c r="M460" s="327"/>
      <c r="N460" s="121"/>
      <c r="O460" s="327"/>
      <c r="P460" s="121"/>
      <c r="Q460" s="359"/>
      <c r="R460" s="359"/>
      <c r="S460" s="17"/>
      <c r="T460" s="17"/>
      <c r="U460" s="17"/>
      <c r="V460" s="17"/>
    </row>
    <row r="461">
      <c r="A461" s="327"/>
      <c r="B461" s="121"/>
      <c r="C461" s="327"/>
      <c r="D461" s="121"/>
      <c r="E461" s="327"/>
      <c r="F461" s="121"/>
      <c r="G461" s="327"/>
      <c r="H461" s="121"/>
      <c r="I461" s="358"/>
      <c r="J461" s="142"/>
      <c r="K461" s="358"/>
      <c r="L461" s="142"/>
      <c r="M461" s="327"/>
      <c r="N461" s="121"/>
      <c r="O461" s="327"/>
      <c r="P461" s="121"/>
      <c r="Q461" s="359"/>
      <c r="R461" s="359"/>
      <c r="S461" s="17"/>
      <c r="T461" s="17"/>
      <c r="U461" s="17"/>
      <c r="V461" s="17"/>
    </row>
    <row r="462">
      <c r="A462" s="327"/>
      <c r="B462" s="121"/>
      <c r="C462" s="327"/>
      <c r="D462" s="121"/>
      <c r="E462" s="327"/>
      <c r="F462" s="121"/>
      <c r="G462" s="327"/>
      <c r="H462" s="121"/>
      <c r="I462" s="358"/>
      <c r="J462" s="142"/>
      <c r="K462" s="358"/>
      <c r="L462" s="142"/>
      <c r="M462" s="327"/>
      <c r="N462" s="121"/>
      <c r="O462" s="327"/>
      <c r="P462" s="121"/>
      <c r="Q462" s="359"/>
      <c r="R462" s="359"/>
      <c r="S462" s="17"/>
      <c r="T462" s="17"/>
      <c r="U462" s="17"/>
      <c r="V462" s="17"/>
    </row>
    <row r="463">
      <c r="A463" s="327"/>
      <c r="B463" s="121"/>
      <c r="C463" s="327"/>
      <c r="D463" s="121"/>
      <c r="E463" s="327"/>
      <c r="F463" s="121"/>
      <c r="G463" s="327"/>
      <c r="H463" s="121"/>
      <c r="I463" s="358"/>
      <c r="J463" s="142"/>
      <c r="K463" s="358"/>
      <c r="L463" s="142"/>
      <c r="M463" s="327"/>
      <c r="N463" s="121"/>
      <c r="O463" s="327"/>
      <c r="P463" s="121"/>
      <c r="Q463" s="359"/>
      <c r="R463" s="359"/>
      <c r="S463" s="17"/>
      <c r="T463" s="17"/>
      <c r="U463" s="17"/>
      <c r="V463" s="17"/>
    </row>
    <row r="464">
      <c r="A464" s="327"/>
      <c r="B464" s="121"/>
      <c r="C464" s="327"/>
      <c r="D464" s="121"/>
      <c r="E464" s="327"/>
      <c r="F464" s="121"/>
      <c r="G464" s="327"/>
      <c r="H464" s="121"/>
      <c r="I464" s="358"/>
      <c r="J464" s="142"/>
      <c r="K464" s="358"/>
      <c r="L464" s="142"/>
      <c r="M464" s="327"/>
      <c r="N464" s="121"/>
      <c r="O464" s="327"/>
      <c r="P464" s="121"/>
      <c r="Q464" s="359"/>
      <c r="R464" s="359"/>
      <c r="S464" s="17"/>
      <c r="T464" s="17"/>
      <c r="U464" s="17"/>
      <c r="V464" s="17"/>
    </row>
    <row r="465">
      <c r="A465" s="327"/>
      <c r="B465" s="121"/>
      <c r="C465" s="327"/>
      <c r="D465" s="121"/>
      <c r="E465" s="327"/>
      <c r="F465" s="121"/>
      <c r="G465" s="327"/>
      <c r="H465" s="121"/>
      <c r="I465" s="358"/>
      <c r="J465" s="142"/>
      <c r="K465" s="358"/>
      <c r="L465" s="142"/>
      <c r="M465" s="327"/>
      <c r="N465" s="121"/>
      <c r="O465" s="327"/>
      <c r="P465" s="121"/>
      <c r="Q465" s="359"/>
      <c r="R465" s="359"/>
      <c r="S465" s="17"/>
      <c r="T465" s="17"/>
      <c r="U465" s="17"/>
      <c r="V465" s="17"/>
    </row>
    <row r="466">
      <c r="A466" s="327"/>
      <c r="B466" s="121"/>
      <c r="C466" s="327"/>
      <c r="D466" s="121"/>
      <c r="E466" s="327"/>
      <c r="F466" s="121"/>
      <c r="G466" s="327"/>
      <c r="H466" s="121"/>
      <c r="I466" s="358"/>
      <c r="J466" s="142"/>
      <c r="K466" s="358"/>
      <c r="L466" s="142"/>
      <c r="M466" s="327"/>
      <c r="N466" s="121"/>
      <c r="O466" s="327"/>
      <c r="P466" s="121"/>
      <c r="Q466" s="359"/>
      <c r="R466" s="359"/>
      <c r="S466" s="17"/>
      <c r="T466" s="17"/>
      <c r="U466" s="17"/>
      <c r="V466" s="17"/>
    </row>
    <row r="467">
      <c r="A467" s="327"/>
      <c r="B467" s="121"/>
      <c r="C467" s="327"/>
      <c r="D467" s="121"/>
      <c r="E467" s="327"/>
      <c r="F467" s="121"/>
      <c r="G467" s="327"/>
      <c r="H467" s="121"/>
      <c r="I467" s="358"/>
      <c r="J467" s="142"/>
      <c r="K467" s="358"/>
      <c r="L467" s="142"/>
      <c r="M467" s="327"/>
      <c r="N467" s="121"/>
      <c r="O467" s="327"/>
      <c r="P467" s="121"/>
      <c r="Q467" s="359"/>
      <c r="R467" s="359"/>
      <c r="S467" s="17"/>
      <c r="T467" s="17"/>
      <c r="U467" s="17"/>
      <c r="V467" s="17"/>
    </row>
    <row r="468">
      <c r="A468" s="327"/>
      <c r="B468" s="121"/>
      <c r="C468" s="327"/>
      <c r="D468" s="121"/>
      <c r="E468" s="327"/>
      <c r="F468" s="121"/>
      <c r="G468" s="327"/>
      <c r="H468" s="121"/>
      <c r="I468" s="358"/>
      <c r="J468" s="142"/>
      <c r="K468" s="358"/>
      <c r="L468" s="142"/>
      <c r="M468" s="327"/>
      <c r="N468" s="121"/>
      <c r="O468" s="327"/>
      <c r="P468" s="121"/>
      <c r="Q468" s="359"/>
      <c r="R468" s="359"/>
      <c r="S468" s="17"/>
      <c r="T468" s="17"/>
      <c r="U468" s="17"/>
      <c r="V468" s="17"/>
    </row>
    <row r="469">
      <c r="A469" s="327"/>
      <c r="B469" s="121"/>
      <c r="C469" s="327"/>
      <c r="D469" s="121"/>
      <c r="E469" s="327"/>
      <c r="F469" s="121"/>
      <c r="G469" s="327"/>
      <c r="H469" s="121"/>
      <c r="I469" s="358"/>
      <c r="J469" s="142"/>
      <c r="K469" s="358"/>
      <c r="L469" s="142"/>
      <c r="M469" s="327"/>
      <c r="N469" s="121"/>
      <c r="O469" s="327"/>
      <c r="P469" s="121"/>
      <c r="Q469" s="359"/>
      <c r="R469" s="359"/>
      <c r="S469" s="17"/>
      <c r="T469" s="17"/>
      <c r="U469" s="17"/>
      <c r="V469" s="17"/>
    </row>
    <row r="470">
      <c r="A470" s="327"/>
      <c r="B470" s="121"/>
      <c r="C470" s="327"/>
      <c r="D470" s="121"/>
      <c r="E470" s="327"/>
      <c r="F470" s="121"/>
      <c r="G470" s="327"/>
      <c r="H470" s="121"/>
      <c r="I470" s="358"/>
      <c r="J470" s="142"/>
      <c r="K470" s="358"/>
      <c r="L470" s="142"/>
      <c r="M470" s="327"/>
      <c r="N470" s="121"/>
      <c r="O470" s="327"/>
      <c r="P470" s="121"/>
      <c r="Q470" s="359"/>
      <c r="R470" s="359"/>
      <c r="S470" s="17"/>
      <c r="T470" s="17"/>
      <c r="U470" s="17"/>
      <c r="V470" s="17"/>
    </row>
    <row r="471">
      <c r="A471" s="327"/>
      <c r="B471" s="121"/>
      <c r="C471" s="327"/>
      <c r="D471" s="121"/>
      <c r="E471" s="327"/>
      <c r="F471" s="121"/>
      <c r="G471" s="327"/>
      <c r="H471" s="121"/>
      <c r="I471" s="358"/>
      <c r="J471" s="142"/>
      <c r="K471" s="358"/>
      <c r="L471" s="142"/>
      <c r="M471" s="327"/>
      <c r="N471" s="121"/>
      <c r="O471" s="327"/>
      <c r="P471" s="121"/>
      <c r="Q471" s="359"/>
      <c r="R471" s="359"/>
      <c r="S471" s="17"/>
      <c r="T471" s="17"/>
      <c r="U471" s="17"/>
      <c r="V471" s="17"/>
    </row>
    <row r="472">
      <c r="A472" s="327"/>
      <c r="B472" s="121"/>
      <c r="C472" s="327"/>
      <c r="D472" s="121"/>
      <c r="E472" s="327"/>
      <c r="F472" s="121"/>
      <c r="G472" s="327"/>
      <c r="H472" s="121"/>
      <c r="I472" s="358"/>
      <c r="J472" s="142"/>
      <c r="K472" s="358"/>
      <c r="L472" s="142"/>
      <c r="M472" s="327"/>
      <c r="N472" s="121"/>
      <c r="O472" s="327"/>
      <c r="P472" s="121"/>
      <c r="Q472" s="359"/>
      <c r="R472" s="359"/>
      <c r="S472" s="17"/>
      <c r="T472" s="17"/>
      <c r="U472" s="17"/>
      <c r="V472" s="17"/>
    </row>
    <row r="473">
      <c r="A473" s="327"/>
      <c r="B473" s="121"/>
      <c r="C473" s="327"/>
      <c r="D473" s="121"/>
      <c r="E473" s="327"/>
      <c r="F473" s="121"/>
      <c r="G473" s="327"/>
      <c r="H473" s="121"/>
      <c r="I473" s="358"/>
      <c r="J473" s="142"/>
      <c r="K473" s="358"/>
      <c r="L473" s="142"/>
      <c r="M473" s="327"/>
      <c r="N473" s="121"/>
      <c r="O473" s="327"/>
      <c r="P473" s="121"/>
      <c r="Q473" s="359"/>
      <c r="R473" s="359"/>
      <c r="S473" s="17"/>
      <c r="T473" s="17"/>
      <c r="U473" s="17"/>
      <c r="V473" s="17"/>
    </row>
    <row r="474">
      <c r="A474" s="327"/>
      <c r="B474" s="121"/>
      <c r="C474" s="327"/>
      <c r="D474" s="121"/>
      <c r="E474" s="327"/>
      <c r="F474" s="121"/>
      <c r="G474" s="327"/>
      <c r="H474" s="121"/>
      <c r="I474" s="358"/>
      <c r="J474" s="142"/>
      <c r="K474" s="358"/>
      <c r="L474" s="142"/>
      <c r="M474" s="327"/>
      <c r="N474" s="121"/>
      <c r="O474" s="327"/>
      <c r="P474" s="121"/>
      <c r="Q474" s="359"/>
      <c r="R474" s="359"/>
      <c r="S474" s="17"/>
      <c r="T474" s="17"/>
      <c r="U474" s="17"/>
      <c r="V474" s="17"/>
    </row>
    <row r="475">
      <c r="A475" s="327"/>
      <c r="B475" s="121"/>
      <c r="C475" s="327"/>
      <c r="D475" s="121"/>
      <c r="E475" s="327"/>
      <c r="F475" s="121"/>
      <c r="G475" s="327"/>
      <c r="H475" s="121"/>
      <c r="I475" s="358"/>
      <c r="J475" s="142"/>
      <c r="K475" s="358"/>
      <c r="L475" s="142"/>
      <c r="M475" s="327"/>
      <c r="N475" s="121"/>
      <c r="O475" s="327"/>
      <c r="P475" s="121"/>
      <c r="Q475" s="359"/>
      <c r="R475" s="359"/>
      <c r="S475" s="17"/>
      <c r="T475" s="17"/>
      <c r="U475" s="17"/>
      <c r="V475" s="17"/>
    </row>
    <row r="476">
      <c r="A476" s="327"/>
      <c r="B476" s="121"/>
      <c r="C476" s="327"/>
      <c r="D476" s="121"/>
      <c r="E476" s="327"/>
      <c r="F476" s="121"/>
      <c r="G476" s="327"/>
      <c r="H476" s="121"/>
      <c r="I476" s="358"/>
      <c r="J476" s="142"/>
      <c r="K476" s="358"/>
      <c r="L476" s="142"/>
      <c r="M476" s="327"/>
      <c r="N476" s="121"/>
      <c r="O476" s="327"/>
      <c r="P476" s="121"/>
      <c r="Q476" s="359"/>
      <c r="R476" s="359"/>
      <c r="S476" s="17"/>
      <c r="T476" s="17"/>
      <c r="U476" s="17"/>
      <c r="V476" s="17"/>
    </row>
    <row r="477">
      <c r="A477" s="327"/>
      <c r="B477" s="121"/>
      <c r="C477" s="327"/>
      <c r="D477" s="121"/>
      <c r="E477" s="327"/>
      <c r="F477" s="121"/>
      <c r="G477" s="327"/>
      <c r="H477" s="121"/>
      <c r="I477" s="358"/>
      <c r="J477" s="142"/>
      <c r="K477" s="358"/>
      <c r="L477" s="142"/>
      <c r="M477" s="327"/>
      <c r="N477" s="121"/>
      <c r="O477" s="327"/>
      <c r="P477" s="121"/>
      <c r="Q477" s="359"/>
      <c r="R477" s="359"/>
      <c r="S477" s="17"/>
      <c r="T477" s="17"/>
      <c r="U477" s="17"/>
      <c r="V477" s="17"/>
    </row>
    <row r="478">
      <c r="A478" s="327"/>
      <c r="B478" s="121"/>
      <c r="C478" s="327"/>
      <c r="D478" s="121"/>
      <c r="E478" s="327"/>
      <c r="F478" s="121"/>
      <c r="G478" s="327"/>
      <c r="H478" s="121"/>
      <c r="I478" s="358"/>
      <c r="J478" s="142"/>
      <c r="K478" s="358"/>
      <c r="L478" s="142"/>
      <c r="M478" s="327"/>
      <c r="N478" s="121"/>
      <c r="O478" s="327"/>
      <c r="P478" s="121"/>
      <c r="Q478" s="359"/>
      <c r="R478" s="359"/>
      <c r="S478" s="17"/>
      <c r="T478" s="17"/>
      <c r="U478" s="17"/>
      <c r="V478" s="17"/>
    </row>
    <row r="479">
      <c r="A479" s="327"/>
      <c r="B479" s="121"/>
      <c r="C479" s="327"/>
      <c r="D479" s="121"/>
      <c r="E479" s="327"/>
      <c r="F479" s="121"/>
      <c r="G479" s="327"/>
      <c r="H479" s="121"/>
      <c r="I479" s="358"/>
      <c r="J479" s="142"/>
      <c r="K479" s="358"/>
      <c r="L479" s="142"/>
      <c r="M479" s="327"/>
      <c r="N479" s="121"/>
      <c r="O479" s="327"/>
      <c r="P479" s="121"/>
      <c r="Q479" s="359"/>
      <c r="R479" s="359"/>
      <c r="S479" s="17"/>
      <c r="T479" s="17"/>
      <c r="U479" s="17"/>
      <c r="V479" s="17"/>
    </row>
    <row r="480">
      <c r="A480" s="327"/>
      <c r="B480" s="121"/>
      <c r="C480" s="327"/>
      <c r="D480" s="121"/>
      <c r="E480" s="327"/>
      <c r="F480" s="121"/>
      <c r="G480" s="327"/>
      <c r="H480" s="121"/>
      <c r="I480" s="358"/>
      <c r="J480" s="142"/>
      <c r="K480" s="358"/>
      <c r="L480" s="142"/>
      <c r="M480" s="327"/>
      <c r="N480" s="121"/>
      <c r="O480" s="327"/>
      <c r="P480" s="121"/>
      <c r="Q480" s="359"/>
      <c r="R480" s="359"/>
      <c r="S480" s="17"/>
      <c r="T480" s="17"/>
      <c r="U480" s="17"/>
      <c r="V480" s="17"/>
    </row>
    <row r="481">
      <c r="A481" s="327"/>
      <c r="B481" s="121"/>
      <c r="C481" s="327"/>
      <c r="D481" s="121"/>
      <c r="E481" s="327"/>
      <c r="F481" s="121"/>
      <c r="G481" s="327"/>
      <c r="H481" s="121"/>
      <c r="I481" s="358"/>
      <c r="J481" s="142"/>
      <c r="K481" s="358"/>
      <c r="L481" s="142"/>
      <c r="M481" s="327"/>
      <c r="N481" s="121"/>
      <c r="O481" s="327"/>
      <c r="P481" s="121"/>
      <c r="Q481" s="359"/>
      <c r="R481" s="359"/>
      <c r="S481" s="17"/>
      <c r="T481" s="17"/>
      <c r="U481" s="17"/>
      <c r="V481" s="17"/>
    </row>
    <row r="482">
      <c r="A482" s="327"/>
      <c r="B482" s="121"/>
      <c r="C482" s="327"/>
      <c r="D482" s="121"/>
      <c r="E482" s="327"/>
      <c r="F482" s="121"/>
      <c r="G482" s="327"/>
      <c r="H482" s="121"/>
      <c r="I482" s="358"/>
      <c r="J482" s="142"/>
      <c r="K482" s="358"/>
      <c r="L482" s="142"/>
      <c r="M482" s="327"/>
      <c r="N482" s="121"/>
      <c r="O482" s="327"/>
      <c r="P482" s="121"/>
      <c r="Q482" s="359"/>
      <c r="R482" s="359"/>
      <c r="S482" s="17"/>
      <c r="T482" s="17"/>
      <c r="U482" s="17"/>
      <c r="V482" s="17"/>
    </row>
    <row r="483">
      <c r="A483" s="327"/>
      <c r="B483" s="121"/>
      <c r="C483" s="327"/>
      <c r="D483" s="121"/>
      <c r="E483" s="327"/>
      <c r="F483" s="121"/>
      <c r="G483" s="327"/>
      <c r="H483" s="121"/>
      <c r="I483" s="358"/>
      <c r="J483" s="142"/>
      <c r="K483" s="358"/>
      <c r="L483" s="142"/>
      <c r="M483" s="327"/>
      <c r="N483" s="121"/>
      <c r="O483" s="327"/>
      <c r="P483" s="121"/>
      <c r="Q483" s="359"/>
      <c r="R483" s="359"/>
      <c r="S483" s="17"/>
      <c r="T483" s="17"/>
      <c r="U483" s="17"/>
      <c r="V483" s="17"/>
    </row>
    <row r="484">
      <c r="A484" s="327"/>
      <c r="B484" s="121"/>
      <c r="C484" s="327"/>
      <c r="D484" s="121"/>
      <c r="E484" s="327"/>
      <c r="F484" s="121"/>
      <c r="G484" s="327"/>
      <c r="H484" s="121"/>
      <c r="I484" s="358"/>
      <c r="J484" s="142"/>
      <c r="K484" s="358"/>
      <c r="L484" s="142"/>
      <c r="M484" s="327"/>
      <c r="N484" s="121"/>
      <c r="O484" s="327"/>
      <c r="P484" s="121"/>
      <c r="Q484" s="359"/>
      <c r="R484" s="359"/>
      <c r="S484" s="17"/>
      <c r="T484" s="17"/>
      <c r="U484" s="17"/>
      <c r="V484" s="17"/>
    </row>
    <row r="485">
      <c r="A485" s="327"/>
      <c r="B485" s="121"/>
      <c r="C485" s="327"/>
      <c r="D485" s="121"/>
      <c r="E485" s="327"/>
      <c r="F485" s="121"/>
      <c r="G485" s="327"/>
      <c r="H485" s="121"/>
      <c r="I485" s="358"/>
      <c r="J485" s="142"/>
      <c r="K485" s="358"/>
      <c r="L485" s="142"/>
      <c r="M485" s="327"/>
      <c r="N485" s="121"/>
      <c r="O485" s="327"/>
      <c r="P485" s="121"/>
      <c r="Q485" s="359"/>
      <c r="R485" s="359"/>
      <c r="S485" s="17"/>
      <c r="T485" s="17"/>
      <c r="U485" s="17"/>
      <c r="V485" s="17"/>
    </row>
    <row r="486">
      <c r="A486" s="327"/>
      <c r="B486" s="121"/>
      <c r="C486" s="327"/>
      <c r="D486" s="121"/>
      <c r="E486" s="327"/>
      <c r="F486" s="121"/>
      <c r="G486" s="327"/>
      <c r="H486" s="121"/>
      <c r="I486" s="358"/>
      <c r="J486" s="142"/>
      <c r="K486" s="358"/>
      <c r="L486" s="142"/>
      <c r="M486" s="327"/>
      <c r="N486" s="121"/>
      <c r="O486" s="327"/>
      <c r="P486" s="121"/>
      <c r="Q486" s="359"/>
      <c r="R486" s="359"/>
      <c r="S486" s="17"/>
      <c r="T486" s="17"/>
      <c r="U486" s="17"/>
      <c r="V486" s="17"/>
    </row>
    <row r="487">
      <c r="A487" s="327"/>
      <c r="B487" s="121"/>
      <c r="C487" s="327"/>
      <c r="D487" s="121"/>
      <c r="E487" s="327"/>
      <c r="F487" s="121"/>
      <c r="G487" s="327"/>
      <c r="H487" s="121"/>
      <c r="I487" s="358"/>
      <c r="J487" s="142"/>
      <c r="K487" s="358"/>
      <c r="L487" s="142"/>
      <c r="M487" s="327"/>
      <c r="N487" s="121"/>
      <c r="O487" s="327"/>
      <c r="P487" s="121"/>
      <c r="Q487" s="359"/>
      <c r="R487" s="359"/>
      <c r="S487" s="17"/>
      <c r="T487" s="17"/>
      <c r="U487" s="17"/>
      <c r="V487" s="17"/>
    </row>
    <row r="488">
      <c r="A488" s="327"/>
      <c r="B488" s="121"/>
      <c r="C488" s="327"/>
      <c r="D488" s="121"/>
      <c r="E488" s="327"/>
      <c r="F488" s="121"/>
      <c r="G488" s="327"/>
      <c r="H488" s="121"/>
      <c r="I488" s="358"/>
      <c r="J488" s="142"/>
      <c r="K488" s="358"/>
      <c r="L488" s="142"/>
      <c r="M488" s="327"/>
      <c r="N488" s="121"/>
      <c r="O488" s="327"/>
      <c r="P488" s="121"/>
      <c r="Q488" s="359"/>
      <c r="R488" s="359"/>
      <c r="S488" s="17"/>
      <c r="T488" s="17"/>
      <c r="U488" s="17"/>
      <c r="V488" s="17"/>
    </row>
    <row r="489">
      <c r="A489" s="327"/>
      <c r="B489" s="121"/>
      <c r="C489" s="327"/>
      <c r="D489" s="121"/>
      <c r="E489" s="327"/>
      <c r="F489" s="121"/>
      <c r="G489" s="327"/>
      <c r="H489" s="121"/>
      <c r="I489" s="358"/>
      <c r="J489" s="142"/>
      <c r="K489" s="358"/>
      <c r="L489" s="142"/>
      <c r="M489" s="327"/>
      <c r="N489" s="121"/>
      <c r="O489" s="327"/>
      <c r="P489" s="121"/>
      <c r="Q489" s="359"/>
      <c r="R489" s="359"/>
      <c r="S489" s="17"/>
      <c r="T489" s="17"/>
      <c r="U489" s="17"/>
      <c r="V489" s="17"/>
    </row>
    <row r="490">
      <c r="A490" s="327"/>
      <c r="B490" s="121"/>
      <c r="C490" s="327"/>
      <c r="D490" s="121"/>
      <c r="E490" s="327"/>
      <c r="F490" s="121"/>
      <c r="G490" s="327"/>
      <c r="H490" s="121"/>
      <c r="I490" s="358"/>
      <c r="J490" s="142"/>
      <c r="K490" s="358"/>
      <c r="L490" s="142"/>
      <c r="M490" s="327"/>
      <c r="N490" s="121"/>
      <c r="O490" s="327"/>
      <c r="P490" s="121"/>
      <c r="Q490" s="359"/>
      <c r="R490" s="359"/>
      <c r="S490" s="17"/>
      <c r="T490" s="17"/>
      <c r="U490" s="17"/>
      <c r="V490" s="17"/>
    </row>
    <row r="491">
      <c r="A491" s="327"/>
      <c r="B491" s="121"/>
      <c r="C491" s="327"/>
      <c r="D491" s="121"/>
      <c r="E491" s="327"/>
      <c r="F491" s="121"/>
      <c r="G491" s="327"/>
      <c r="H491" s="121"/>
      <c r="I491" s="358"/>
      <c r="J491" s="142"/>
      <c r="K491" s="358"/>
      <c r="L491" s="142"/>
      <c r="M491" s="327"/>
      <c r="N491" s="121"/>
      <c r="O491" s="327"/>
      <c r="P491" s="121"/>
      <c r="Q491" s="359"/>
      <c r="R491" s="359"/>
      <c r="S491" s="17"/>
      <c r="T491" s="17"/>
      <c r="U491" s="17"/>
      <c r="V491" s="17"/>
    </row>
    <row r="492">
      <c r="A492" s="327"/>
      <c r="B492" s="121"/>
      <c r="C492" s="327"/>
      <c r="D492" s="121"/>
      <c r="E492" s="327"/>
      <c r="F492" s="121"/>
      <c r="G492" s="327"/>
      <c r="H492" s="121"/>
      <c r="I492" s="358"/>
      <c r="J492" s="142"/>
      <c r="K492" s="358"/>
      <c r="L492" s="142"/>
      <c r="M492" s="327"/>
      <c r="N492" s="121"/>
      <c r="O492" s="327"/>
      <c r="P492" s="121"/>
      <c r="Q492" s="359"/>
      <c r="R492" s="359"/>
      <c r="S492" s="17"/>
      <c r="T492" s="17"/>
      <c r="U492" s="17"/>
      <c r="V492" s="17"/>
    </row>
    <row r="493">
      <c r="A493" s="327"/>
      <c r="B493" s="121"/>
      <c r="C493" s="327"/>
      <c r="D493" s="121"/>
      <c r="E493" s="327"/>
      <c r="F493" s="121"/>
      <c r="G493" s="327"/>
      <c r="H493" s="121"/>
      <c r="I493" s="358"/>
      <c r="J493" s="142"/>
      <c r="K493" s="358"/>
      <c r="L493" s="142"/>
      <c r="M493" s="327"/>
      <c r="N493" s="121"/>
      <c r="O493" s="327"/>
      <c r="P493" s="121"/>
      <c r="Q493" s="359"/>
      <c r="R493" s="359"/>
      <c r="S493" s="17"/>
      <c r="T493" s="17"/>
      <c r="U493" s="17"/>
      <c r="V493" s="17"/>
    </row>
    <row r="494">
      <c r="A494" s="327"/>
      <c r="B494" s="121"/>
      <c r="C494" s="327"/>
      <c r="D494" s="121"/>
      <c r="E494" s="327"/>
      <c r="F494" s="121"/>
      <c r="G494" s="327"/>
      <c r="H494" s="121"/>
      <c r="I494" s="358"/>
      <c r="J494" s="142"/>
      <c r="K494" s="358"/>
      <c r="L494" s="142"/>
      <c r="M494" s="327"/>
      <c r="N494" s="121"/>
      <c r="O494" s="327"/>
      <c r="P494" s="121"/>
      <c r="Q494" s="359"/>
      <c r="R494" s="359"/>
      <c r="S494" s="17"/>
      <c r="T494" s="17"/>
      <c r="U494" s="17"/>
      <c r="V494" s="17"/>
    </row>
    <row r="495">
      <c r="A495" s="327"/>
      <c r="B495" s="121"/>
      <c r="C495" s="327"/>
      <c r="D495" s="121"/>
      <c r="E495" s="327"/>
      <c r="F495" s="121"/>
      <c r="G495" s="327"/>
      <c r="H495" s="121"/>
      <c r="I495" s="358"/>
      <c r="J495" s="142"/>
      <c r="K495" s="358"/>
      <c r="L495" s="142"/>
      <c r="M495" s="327"/>
      <c r="N495" s="121"/>
      <c r="O495" s="327"/>
      <c r="P495" s="121"/>
      <c r="Q495" s="359"/>
      <c r="R495" s="359"/>
      <c r="S495" s="17"/>
      <c r="T495" s="17"/>
      <c r="U495" s="17"/>
      <c r="V495" s="17"/>
    </row>
    <row r="496">
      <c r="A496" s="327"/>
      <c r="B496" s="121"/>
      <c r="C496" s="327"/>
      <c r="D496" s="121"/>
      <c r="E496" s="327"/>
      <c r="F496" s="121"/>
      <c r="G496" s="327"/>
      <c r="H496" s="121"/>
      <c r="I496" s="358"/>
      <c r="J496" s="142"/>
      <c r="K496" s="358"/>
      <c r="L496" s="142"/>
      <c r="M496" s="327"/>
      <c r="N496" s="121"/>
      <c r="O496" s="327"/>
      <c r="P496" s="121"/>
      <c r="Q496" s="359"/>
      <c r="R496" s="359"/>
      <c r="S496" s="17"/>
      <c r="T496" s="17"/>
      <c r="U496" s="17"/>
      <c r="V496" s="17"/>
    </row>
    <row r="497">
      <c r="A497" s="327"/>
      <c r="B497" s="121"/>
      <c r="C497" s="327"/>
      <c r="D497" s="121"/>
      <c r="E497" s="327"/>
      <c r="F497" s="121"/>
      <c r="G497" s="327"/>
      <c r="H497" s="121"/>
      <c r="I497" s="358"/>
      <c r="J497" s="142"/>
      <c r="K497" s="358"/>
      <c r="L497" s="142"/>
      <c r="M497" s="327"/>
      <c r="N497" s="121"/>
      <c r="O497" s="327"/>
      <c r="P497" s="121"/>
      <c r="Q497" s="359"/>
      <c r="R497" s="359"/>
      <c r="S497" s="17"/>
      <c r="T497" s="17"/>
      <c r="U497" s="17"/>
      <c r="V497" s="17"/>
    </row>
    <row r="498">
      <c r="A498" s="327"/>
      <c r="B498" s="121"/>
      <c r="C498" s="327"/>
      <c r="D498" s="121"/>
      <c r="E498" s="327"/>
      <c r="F498" s="121"/>
      <c r="G498" s="327"/>
      <c r="H498" s="121"/>
      <c r="I498" s="358"/>
      <c r="J498" s="142"/>
      <c r="K498" s="358"/>
      <c r="L498" s="142"/>
      <c r="M498" s="327"/>
      <c r="N498" s="121"/>
      <c r="O498" s="327"/>
      <c r="P498" s="121"/>
      <c r="Q498" s="359"/>
      <c r="R498" s="359"/>
      <c r="S498" s="17"/>
      <c r="T498" s="17"/>
      <c r="U498" s="17"/>
      <c r="V498" s="17"/>
    </row>
    <row r="499">
      <c r="A499" s="327"/>
      <c r="B499" s="121"/>
      <c r="C499" s="327"/>
      <c r="D499" s="121"/>
      <c r="E499" s="327"/>
      <c r="F499" s="121"/>
      <c r="G499" s="327"/>
      <c r="H499" s="121"/>
      <c r="I499" s="358"/>
      <c r="J499" s="142"/>
      <c r="K499" s="358"/>
      <c r="L499" s="142"/>
      <c r="M499" s="327"/>
      <c r="N499" s="121"/>
      <c r="O499" s="327"/>
      <c r="P499" s="121"/>
      <c r="Q499" s="359"/>
      <c r="R499" s="359"/>
      <c r="S499" s="17"/>
      <c r="T499" s="17"/>
      <c r="U499" s="17"/>
      <c r="V499" s="17"/>
    </row>
    <row r="500">
      <c r="A500" s="327"/>
      <c r="B500" s="121"/>
      <c r="C500" s="327"/>
      <c r="D500" s="121"/>
      <c r="E500" s="327"/>
      <c r="F500" s="121"/>
      <c r="G500" s="327"/>
      <c r="H500" s="121"/>
      <c r="I500" s="358"/>
      <c r="J500" s="142"/>
      <c r="K500" s="358"/>
      <c r="L500" s="142"/>
      <c r="M500" s="327"/>
      <c r="N500" s="121"/>
      <c r="O500" s="327"/>
      <c r="P500" s="121"/>
      <c r="Q500" s="359"/>
      <c r="R500" s="359"/>
      <c r="S500" s="17"/>
      <c r="T500" s="17"/>
      <c r="U500" s="17"/>
      <c r="V500" s="17"/>
    </row>
    <row r="501">
      <c r="A501" s="327"/>
      <c r="B501" s="121"/>
      <c r="C501" s="327"/>
      <c r="D501" s="121"/>
      <c r="E501" s="327"/>
      <c r="F501" s="121"/>
      <c r="G501" s="327"/>
      <c r="H501" s="121"/>
      <c r="I501" s="358"/>
      <c r="J501" s="142"/>
      <c r="K501" s="358"/>
      <c r="L501" s="142"/>
      <c r="M501" s="327"/>
      <c r="N501" s="121"/>
      <c r="O501" s="327"/>
      <c r="P501" s="121"/>
      <c r="Q501" s="359"/>
      <c r="R501" s="359"/>
      <c r="S501" s="17"/>
      <c r="T501" s="17"/>
      <c r="U501" s="17"/>
      <c r="V501" s="17"/>
    </row>
    <row r="502">
      <c r="A502" s="327"/>
      <c r="B502" s="121"/>
      <c r="C502" s="327"/>
      <c r="D502" s="121"/>
      <c r="E502" s="327"/>
      <c r="F502" s="121"/>
      <c r="G502" s="327"/>
      <c r="H502" s="121"/>
      <c r="I502" s="358"/>
      <c r="J502" s="142"/>
      <c r="K502" s="358"/>
      <c r="L502" s="142"/>
      <c r="M502" s="327"/>
      <c r="N502" s="121"/>
      <c r="O502" s="327"/>
      <c r="P502" s="121"/>
      <c r="Q502" s="359"/>
      <c r="R502" s="359"/>
      <c r="S502" s="17"/>
      <c r="T502" s="17"/>
      <c r="U502" s="17"/>
      <c r="V502" s="17"/>
    </row>
    <row r="503">
      <c r="A503" s="327"/>
      <c r="B503" s="121"/>
      <c r="C503" s="327"/>
      <c r="D503" s="121"/>
      <c r="E503" s="327"/>
      <c r="F503" s="121"/>
      <c r="G503" s="327"/>
      <c r="H503" s="121"/>
      <c r="I503" s="358"/>
      <c r="J503" s="142"/>
      <c r="K503" s="358"/>
      <c r="L503" s="142"/>
      <c r="M503" s="327"/>
      <c r="N503" s="121"/>
      <c r="O503" s="327"/>
      <c r="P503" s="121"/>
      <c r="Q503" s="359"/>
      <c r="R503" s="359"/>
      <c r="S503" s="17"/>
      <c r="T503" s="17"/>
      <c r="U503" s="17"/>
      <c r="V503" s="17"/>
    </row>
    <row r="504">
      <c r="A504" s="327"/>
      <c r="B504" s="121"/>
      <c r="C504" s="327"/>
      <c r="D504" s="121"/>
      <c r="E504" s="327"/>
      <c r="F504" s="121"/>
      <c r="G504" s="327"/>
      <c r="H504" s="121"/>
      <c r="I504" s="358"/>
      <c r="J504" s="142"/>
      <c r="K504" s="358"/>
      <c r="L504" s="142"/>
      <c r="M504" s="327"/>
      <c r="N504" s="121"/>
      <c r="O504" s="327"/>
      <c r="P504" s="121"/>
      <c r="Q504" s="359"/>
      <c r="R504" s="359"/>
      <c r="S504" s="17"/>
      <c r="T504" s="17"/>
      <c r="U504" s="17"/>
      <c r="V504" s="17"/>
    </row>
    <row r="505">
      <c r="A505" s="327"/>
      <c r="B505" s="121"/>
      <c r="C505" s="327"/>
      <c r="D505" s="121"/>
      <c r="E505" s="327"/>
      <c r="F505" s="121"/>
      <c r="G505" s="327"/>
      <c r="H505" s="121"/>
      <c r="I505" s="358"/>
      <c r="J505" s="142"/>
      <c r="K505" s="358"/>
      <c r="L505" s="142"/>
      <c r="M505" s="327"/>
      <c r="N505" s="121"/>
      <c r="O505" s="327"/>
      <c r="P505" s="121"/>
      <c r="Q505" s="359"/>
      <c r="R505" s="359"/>
      <c r="S505" s="17"/>
      <c r="T505" s="17"/>
      <c r="U505" s="17"/>
      <c r="V505" s="17"/>
    </row>
    <row r="506">
      <c r="A506" s="327"/>
      <c r="B506" s="121"/>
      <c r="C506" s="327"/>
      <c r="D506" s="121"/>
      <c r="E506" s="327"/>
      <c r="F506" s="121"/>
      <c r="G506" s="327"/>
      <c r="H506" s="121"/>
      <c r="I506" s="358"/>
      <c r="J506" s="142"/>
      <c r="K506" s="358"/>
      <c r="L506" s="142"/>
      <c r="M506" s="327"/>
      <c r="N506" s="121"/>
      <c r="O506" s="327"/>
      <c r="P506" s="121"/>
      <c r="Q506" s="359"/>
      <c r="R506" s="359"/>
      <c r="S506" s="17"/>
      <c r="T506" s="17"/>
      <c r="U506" s="17"/>
      <c r="V506" s="17"/>
    </row>
    <row r="507">
      <c r="A507" s="327"/>
      <c r="B507" s="121"/>
      <c r="C507" s="327"/>
      <c r="D507" s="121"/>
      <c r="E507" s="327"/>
      <c r="F507" s="121"/>
      <c r="G507" s="327"/>
      <c r="H507" s="121"/>
      <c r="I507" s="358"/>
      <c r="J507" s="142"/>
      <c r="K507" s="358"/>
      <c r="L507" s="142"/>
      <c r="M507" s="327"/>
      <c r="N507" s="121"/>
      <c r="O507" s="327"/>
      <c r="P507" s="121"/>
      <c r="Q507" s="359"/>
      <c r="R507" s="359"/>
      <c r="S507" s="17"/>
      <c r="T507" s="17"/>
      <c r="U507" s="17"/>
      <c r="V507" s="17"/>
    </row>
    <row r="508">
      <c r="A508" s="327"/>
      <c r="B508" s="121"/>
      <c r="C508" s="327"/>
      <c r="D508" s="121"/>
      <c r="E508" s="327"/>
      <c r="F508" s="121"/>
      <c r="G508" s="327"/>
      <c r="H508" s="121"/>
      <c r="I508" s="358"/>
      <c r="J508" s="142"/>
      <c r="K508" s="358"/>
      <c r="L508" s="142"/>
      <c r="M508" s="327"/>
      <c r="N508" s="121"/>
      <c r="O508" s="327"/>
      <c r="P508" s="121"/>
      <c r="Q508" s="359"/>
      <c r="R508" s="359"/>
      <c r="S508" s="17"/>
      <c r="T508" s="17"/>
      <c r="U508" s="17"/>
      <c r="V508" s="17"/>
    </row>
    <row r="509">
      <c r="A509" s="327"/>
      <c r="B509" s="121"/>
      <c r="C509" s="327"/>
      <c r="D509" s="121"/>
      <c r="E509" s="327"/>
      <c r="F509" s="121"/>
      <c r="G509" s="327"/>
      <c r="H509" s="121"/>
      <c r="I509" s="358"/>
      <c r="J509" s="142"/>
      <c r="K509" s="358"/>
      <c r="L509" s="142"/>
      <c r="M509" s="327"/>
      <c r="N509" s="121"/>
      <c r="O509" s="327"/>
      <c r="P509" s="121"/>
      <c r="Q509" s="359"/>
      <c r="R509" s="359"/>
      <c r="S509" s="17"/>
      <c r="T509" s="17"/>
      <c r="U509" s="17"/>
      <c r="V509" s="17"/>
    </row>
    <row r="510">
      <c r="A510" s="327"/>
      <c r="B510" s="121"/>
      <c r="C510" s="327"/>
      <c r="D510" s="121"/>
      <c r="E510" s="327"/>
      <c r="F510" s="121"/>
      <c r="G510" s="327"/>
      <c r="H510" s="121"/>
      <c r="I510" s="358"/>
      <c r="J510" s="142"/>
      <c r="K510" s="358"/>
      <c r="L510" s="142"/>
      <c r="M510" s="327"/>
      <c r="N510" s="121"/>
      <c r="O510" s="327"/>
      <c r="P510" s="121"/>
      <c r="Q510" s="359"/>
      <c r="R510" s="359"/>
      <c r="S510" s="17"/>
      <c r="T510" s="17"/>
      <c r="U510" s="17"/>
      <c r="V510" s="17"/>
    </row>
    <row r="511">
      <c r="A511" s="327"/>
      <c r="B511" s="121"/>
      <c r="C511" s="327"/>
      <c r="D511" s="121"/>
      <c r="E511" s="327"/>
      <c r="F511" s="121"/>
      <c r="G511" s="327"/>
      <c r="H511" s="121"/>
      <c r="I511" s="358"/>
      <c r="J511" s="142"/>
      <c r="K511" s="358"/>
      <c r="L511" s="142"/>
      <c r="M511" s="327"/>
      <c r="N511" s="121"/>
      <c r="O511" s="327"/>
      <c r="P511" s="121"/>
      <c r="Q511" s="359"/>
      <c r="R511" s="359"/>
      <c r="S511" s="17"/>
      <c r="T511" s="17"/>
      <c r="U511" s="17"/>
      <c r="V511" s="17"/>
    </row>
    <row r="512">
      <c r="A512" s="327"/>
      <c r="B512" s="121"/>
      <c r="C512" s="327"/>
      <c r="D512" s="121"/>
      <c r="E512" s="327"/>
      <c r="F512" s="121"/>
      <c r="G512" s="327"/>
      <c r="H512" s="121"/>
      <c r="I512" s="358"/>
      <c r="J512" s="142"/>
      <c r="K512" s="358"/>
      <c r="L512" s="142"/>
      <c r="M512" s="327"/>
      <c r="N512" s="121"/>
      <c r="O512" s="327"/>
      <c r="P512" s="121"/>
      <c r="Q512" s="359"/>
      <c r="R512" s="359"/>
      <c r="S512" s="17"/>
      <c r="T512" s="17"/>
      <c r="U512" s="17"/>
      <c r="V512" s="17"/>
    </row>
    <row r="513">
      <c r="A513" s="327"/>
      <c r="B513" s="121"/>
      <c r="C513" s="327"/>
      <c r="D513" s="121"/>
      <c r="E513" s="327"/>
      <c r="F513" s="121"/>
      <c r="G513" s="327"/>
      <c r="H513" s="121"/>
      <c r="I513" s="358"/>
      <c r="J513" s="142"/>
      <c r="K513" s="358"/>
      <c r="L513" s="142"/>
      <c r="M513" s="327"/>
      <c r="N513" s="121"/>
      <c r="O513" s="327"/>
      <c r="P513" s="121"/>
      <c r="Q513" s="359"/>
      <c r="R513" s="359"/>
      <c r="S513" s="17"/>
      <c r="T513" s="17"/>
      <c r="U513" s="17"/>
      <c r="V513" s="17"/>
    </row>
    <row r="514">
      <c r="A514" s="327"/>
      <c r="B514" s="121"/>
      <c r="C514" s="327"/>
      <c r="D514" s="121"/>
      <c r="E514" s="327"/>
      <c r="F514" s="121"/>
      <c r="G514" s="327"/>
      <c r="H514" s="121"/>
      <c r="I514" s="358"/>
      <c r="J514" s="142"/>
      <c r="K514" s="358"/>
      <c r="L514" s="142"/>
      <c r="M514" s="327"/>
      <c r="N514" s="121"/>
      <c r="O514" s="327"/>
      <c r="P514" s="121"/>
      <c r="Q514" s="359"/>
      <c r="R514" s="359"/>
      <c r="S514" s="17"/>
      <c r="T514" s="17"/>
      <c r="U514" s="17"/>
      <c r="V514" s="17"/>
    </row>
    <row r="515">
      <c r="A515" s="327"/>
      <c r="B515" s="121"/>
      <c r="C515" s="327"/>
      <c r="D515" s="121"/>
      <c r="E515" s="327"/>
      <c r="F515" s="121"/>
      <c r="G515" s="327"/>
      <c r="H515" s="121"/>
      <c r="I515" s="358"/>
      <c r="J515" s="142"/>
      <c r="K515" s="358"/>
      <c r="L515" s="142"/>
      <c r="M515" s="327"/>
      <c r="N515" s="121"/>
      <c r="O515" s="327"/>
      <c r="P515" s="121"/>
      <c r="Q515" s="359"/>
      <c r="R515" s="359"/>
      <c r="S515" s="17"/>
      <c r="T515" s="17"/>
      <c r="U515" s="17"/>
      <c r="V515" s="17"/>
    </row>
    <row r="516">
      <c r="A516" s="327"/>
      <c r="B516" s="121"/>
      <c r="C516" s="327"/>
      <c r="D516" s="121"/>
      <c r="E516" s="327"/>
      <c r="F516" s="121"/>
      <c r="G516" s="327"/>
      <c r="H516" s="121"/>
      <c r="I516" s="358"/>
      <c r="J516" s="142"/>
      <c r="K516" s="358"/>
      <c r="L516" s="142"/>
      <c r="M516" s="327"/>
      <c r="N516" s="121"/>
      <c r="O516" s="327"/>
      <c r="P516" s="121"/>
      <c r="Q516" s="359"/>
      <c r="R516" s="359"/>
      <c r="S516" s="17"/>
      <c r="T516" s="17"/>
      <c r="U516" s="17"/>
      <c r="V516" s="17"/>
    </row>
    <row r="517">
      <c r="A517" s="327"/>
      <c r="B517" s="121"/>
      <c r="C517" s="327"/>
      <c r="D517" s="121"/>
      <c r="E517" s="327"/>
      <c r="F517" s="121"/>
      <c r="G517" s="327"/>
      <c r="H517" s="121"/>
      <c r="I517" s="358"/>
      <c r="J517" s="142"/>
      <c r="K517" s="358"/>
      <c r="L517" s="142"/>
      <c r="M517" s="327"/>
      <c r="N517" s="121"/>
      <c r="O517" s="327"/>
      <c r="P517" s="121"/>
      <c r="Q517" s="359"/>
      <c r="R517" s="359"/>
      <c r="S517" s="17"/>
      <c r="T517" s="17"/>
      <c r="U517" s="17"/>
      <c r="V517" s="17"/>
    </row>
    <row r="518">
      <c r="A518" s="327"/>
      <c r="B518" s="121"/>
      <c r="C518" s="327"/>
      <c r="D518" s="121"/>
      <c r="E518" s="327"/>
      <c r="F518" s="121"/>
      <c r="G518" s="327"/>
      <c r="H518" s="121"/>
      <c r="I518" s="358"/>
      <c r="J518" s="142"/>
      <c r="K518" s="358"/>
      <c r="L518" s="142"/>
      <c r="M518" s="327"/>
      <c r="N518" s="121"/>
      <c r="O518" s="327"/>
      <c r="P518" s="121"/>
      <c r="Q518" s="359"/>
      <c r="R518" s="359"/>
      <c r="S518" s="17"/>
      <c r="T518" s="17"/>
      <c r="U518" s="17"/>
      <c r="V518" s="17"/>
    </row>
    <row r="519">
      <c r="A519" s="327"/>
      <c r="B519" s="121"/>
      <c r="C519" s="327"/>
      <c r="D519" s="121"/>
      <c r="E519" s="327"/>
      <c r="F519" s="121"/>
      <c r="G519" s="327"/>
      <c r="H519" s="121"/>
      <c r="I519" s="358"/>
      <c r="J519" s="142"/>
      <c r="K519" s="358"/>
      <c r="L519" s="142"/>
      <c r="M519" s="327"/>
      <c r="N519" s="121"/>
      <c r="O519" s="327"/>
      <c r="P519" s="121"/>
      <c r="Q519" s="359"/>
      <c r="R519" s="359"/>
      <c r="S519" s="17"/>
      <c r="T519" s="17"/>
      <c r="U519" s="17"/>
      <c r="V519" s="17"/>
    </row>
    <row r="520">
      <c r="A520" s="327"/>
      <c r="B520" s="121"/>
      <c r="C520" s="327"/>
      <c r="D520" s="121"/>
      <c r="E520" s="327"/>
      <c r="F520" s="121"/>
      <c r="G520" s="327"/>
      <c r="H520" s="121"/>
      <c r="I520" s="358"/>
      <c r="J520" s="142"/>
      <c r="K520" s="358"/>
      <c r="L520" s="142"/>
      <c r="M520" s="327"/>
      <c r="N520" s="121"/>
      <c r="O520" s="327"/>
      <c r="P520" s="121"/>
      <c r="Q520" s="359"/>
      <c r="R520" s="359"/>
      <c r="S520" s="17"/>
      <c r="T520" s="17"/>
      <c r="U520" s="17"/>
      <c r="V520" s="17"/>
    </row>
    <row r="521">
      <c r="A521" s="327"/>
      <c r="B521" s="121"/>
      <c r="C521" s="327"/>
      <c r="D521" s="121"/>
      <c r="E521" s="327"/>
      <c r="F521" s="121"/>
      <c r="G521" s="327"/>
      <c r="H521" s="121"/>
      <c r="I521" s="358"/>
      <c r="J521" s="142"/>
      <c r="K521" s="358"/>
      <c r="L521" s="142"/>
      <c r="M521" s="327"/>
      <c r="N521" s="121"/>
      <c r="O521" s="327"/>
      <c r="P521" s="121"/>
      <c r="Q521" s="359"/>
      <c r="R521" s="359"/>
      <c r="S521" s="17"/>
      <c r="T521" s="17"/>
      <c r="U521" s="17"/>
      <c r="V521" s="17"/>
    </row>
    <row r="522">
      <c r="A522" s="327"/>
      <c r="B522" s="121"/>
      <c r="C522" s="327"/>
      <c r="D522" s="121"/>
      <c r="E522" s="327"/>
      <c r="F522" s="121"/>
      <c r="G522" s="327"/>
      <c r="H522" s="121"/>
      <c r="I522" s="358"/>
      <c r="J522" s="142"/>
      <c r="K522" s="358"/>
      <c r="L522" s="142"/>
      <c r="M522" s="327"/>
      <c r="N522" s="121"/>
      <c r="O522" s="327"/>
      <c r="P522" s="121"/>
      <c r="Q522" s="359"/>
      <c r="R522" s="359"/>
      <c r="S522" s="17"/>
      <c r="T522" s="17"/>
      <c r="U522" s="17"/>
      <c r="V522" s="17"/>
    </row>
    <row r="523">
      <c r="A523" s="327"/>
      <c r="B523" s="121"/>
      <c r="C523" s="327"/>
      <c r="D523" s="121"/>
      <c r="E523" s="327"/>
      <c r="F523" s="121"/>
      <c r="G523" s="327"/>
      <c r="H523" s="121"/>
      <c r="I523" s="358"/>
      <c r="J523" s="142"/>
      <c r="K523" s="358"/>
      <c r="L523" s="142"/>
      <c r="M523" s="327"/>
      <c r="N523" s="121"/>
      <c r="O523" s="327"/>
      <c r="P523" s="121"/>
      <c r="Q523" s="359"/>
      <c r="R523" s="359"/>
      <c r="S523" s="17"/>
      <c r="T523" s="17"/>
      <c r="U523" s="17"/>
      <c r="V523" s="17"/>
    </row>
    <row r="524">
      <c r="A524" s="327"/>
      <c r="B524" s="121"/>
      <c r="C524" s="327"/>
      <c r="D524" s="121"/>
      <c r="E524" s="327"/>
      <c r="F524" s="121"/>
      <c r="G524" s="327"/>
      <c r="H524" s="121"/>
      <c r="I524" s="358"/>
      <c r="J524" s="142"/>
      <c r="K524" s="358"/>
      <c r="L524" s="142"/>
      <c r="M524" s="327"/>
      <c r="N524" s="121"/>
      <c r="O524" s="327"/>
      <c r="P524" s="121"/>
      <c r="Q524" s="359"/>
      <c r="R524" s="359"/>
      <c r="S524" s="17"/>
      <c r="T524" s="17"/>
      <c r="U524" s="17"/>
      <c r="V524" s="17"/>
    </row>
    <row r="525">
      <c r="A525" s="327"/>
      <c r="B525" s="121"/>
      <c r="C525" s="327"/>
      <c r="D525" s="121"/>
      <c r="E525" s="327"/>
      <c r="F525" s="121"/>
      <c r="G525" s="327"/>
      <c r="H525" s="121"/>
      <c r="I525" s="358"/>
      <c r="J525" s="142"/>
      <c r="K525" s="358"/>
      <c r="L525" s="142"/>
      <c r="M525" s="327"/>
      <c r="N525" s="121"/>
      <c r="O525" s="327"/>
      <c r="P525" s="121"/>
      <c r="Q525" s="359"/>
      <c r="R525" s="359"/>
      <c r="S525" s="17"/>
      <c r="T525" s="17"/>
      <c r="U525" s="17"/>
      <c r="V525" s="17"/>
    </row>
    <row r="526">
      <c r="A526" s="327"/>
      <c r="B526" s="121"/>
      <c r="C526" s="327"/>
      <c r="D526" s="121"/>
      <c r="E526" s="327"/>
      <c r="F526" s="121"/>
      <c r="G526" s="327"/>
      <c r="H526" s="121"/>
      <c r="I526" s="358"/>
      <c r="J526" s="142"/>
      <c r="K526" s="358"/>
      <c r="L526" s="142"/>
      <c r="M526" s="327"/>
      <c r="N526" s="121"/>
      <c r="O526" s="327"/>
      <c r="P526" s="121"/>
      <c r="Q526" s="359"/>
      <c r="R526" s="359"/>
      <c r="S526" s="17"/>
      <c r="T526" s="17"/>
      <c r="U526" s="17"/>
      <c r="V526" s="17"/>
    </row>
    <row r="527">
      <c r="A527" s="327"/>
      <c r="B527" s="121"/>
      <c r="C527" s="327"/>
      <c r="D527" s="121"/>
      <c r="E527" s="327"/>
      <c r="F527" s="121"/>
      <c r="G527" s="327"/>
      <c r="H527" s="121"/>
      <c r="I527" s="358"/>
      <c r="J527" s="142"/>
      <c r="K527" s="358"/>
      <c r="L527" s="142"/>
      <c r="M527" s="327"/>
      <c r="N527" s="121"/>
      <c r="O527" s="327"/>
      <c r="P527" s="121"/>
      <c r="Q527" s="359"/>
      <c r="R527" s="359"/>
      <c r="S527" s="17"/>
      <c r="T527" s="17"/>
      <c r="U527" s="17"/>
      <c r="V527" s="17"/>
    </row>
    <row r="528">
      <c r="A528" s="327"/>
      <c r="B528" s="121"/>
      <c r="C528" s="327"/>
      <c r="D528" s="121"/>
      <c r="E528" s="327"/>
      <c r="F528" s="121"/>
      <c r="G528" s="327"/>
      <c r="H528" s="121"/>
      <c r="I528" s="358"/>
      <c r="J528" s="142"/>
      <c r="K528" s="358"/>
      <c r="L528" s="142"/>
      <c r="M528" s="327"/>
      <c r="N528" s="121"/>
      <c r="O528" s="327"/>
      <c r="P528" s="121"/>
      <c r="Q528" s="359"/>
      <c r="R528" s="359"/>
      <c r="S528" s="17"/>
      <c r="T528" s="17"/>
      <c r="U528" s="17"/>
      <c r="V528" s="17"/>
    </row>
    <row r="529">
      <c r="A529" s="327"/>
      <c r="B529" s="121"/>
      <c r="C529" s="327"/>
      <c r="D529" s="121"/>
      <c r="E529" s="327"/>
      <c r="F529" s="121"/>
      <c r="G529" s="327"/>
      <c r="H529" s="121"/>
      <c r="I529" s="358"/>
      <c r="J529" s="142"/>
      <c r="K529" s="358"/>
      <c r="L529" s="142"/>
      <c r="M529" s="327"/>
      <c r="N529" s="121"/>
      <c r="O529" s="327"/>
      <c r="P529" s="121"/>
      <c r="Q529" s="359"/>
      <c r="R529" s="359"/>
      <c r="S529" s="17"/>
      <c r="T529" s="17"/>
      <c r="U529" s="17"/>
      <c r="V529" s="17"/>
    </row>
    <row r="530">
      <c r="A530" s="327"/>
      <c r="B530" s="121"/>
      <c r="C530" s="327"/>
      <c r="D530" s="121"/>
      <c r="E530" s="327"/>
      <c r="F530" s="121"/>
      <c r="G530" s="327"/>
      <c r="H530" s="121"/>
      <c r="I530" s="358"/>
      <c r="J530" s="142"/>
      <c r="K530" s="358"/>
      <c r="L530" s="142"/>
      <c r="M530" s="327"/>
      <c r="N530" s="121"/>
      <c r="O530" s="327"/>
      <c r="P530" s="121"/>
      <c r="Q530" s="359"/>
      <c r="R530" s="359"/>
      <c r="S530" s="17"/>
      <c r="T530" s="17"/>
      <c r="U530" s="17"/>
      <c r="V530" s="17"/>
    </row>
    <row r="531">
      <c r="A531" s="327"/>
      <c r="B531" s="121"/>
      <c r="C531" s="327"/>
      <c r="D531" s="121"/>
      <c r="E531" s="327"/>
      <c r="F531" s="121"/>
      <c r="G531" s="327"/>
      <c r="H531" s="121"/>
      <c r="I531" s="358"/>
      <c r="J531" s="142"/>
      <c r="K531" s="358"/>
      <c r="L531" s="142"/>
      <c r="M531" s="327"/>
      <c r="N531" s="121"/>
      <c r="O531" s="327"/>
      <c r="P531" s="121"/>
      <c r="Q531" s="359"/>
      <c r="R531" s="359"/>
      <c r="S531" s="17"/>
      <c r="T531" s="17"/>
      <c r="U531" s="17"/>
      <c r="V531" s="17"/>
    </row>
    <row r="532">
      <c r="A532" s="327"/>
      <c r="B532" s="121"/>
      <c r="C532" s="327"/>
      <c r="D532" s="121"/>
      <c r="E532" s="327"/>
      <c r="F532" s="121"/>
      <c r="G532" s="327"/>
      <c r="H532" s="121"/>
      <c r="I532" s="358"/>
      <c r="J532" s="142"/>
      <c r="K532" s="358"/>
      <c r="L532" s="142"/>
      <c r="M532" s="327"/>
      <c r="N532" s="121"/>
      <c r="O532" s="327"/>
      <c r="P532" s="121"/>
      <c r="Q532" s="359"/>
      <c r="R532" s="359"/>
      <c r="S532" s="17"/>
      <c r="T532" s="17"/>
      <c r="U532" s="17"/>
      <c r="V532" s="17"/>
    </row>
    <row r="533">
      <c r="A533" s="327"/>
      <c r="B533" s="121"/>
      <c r="C533" s="327"/>
      <c r="D533" s="121"/>
      <c r="E533" s="327"/>
      <c r="F533" s="121"/>
      <c r="G533" s="327"/>
      <c r="H533" s="121"/>
      <c r="I533" s="358"/>
      <c r="J533" s="142"/>
      <c r="K533" s="358"/>
      <c r="L533" s="142"/>
      <c r="M533" s="327"/>
      <c r="N533" s="121"/>
      <c r="O533" s="327"/>
      <c r="P533" s="121"/>
      <c r="Q533" s="359"/>
      <c r="R533" s="359"/>
      <c r="S533" s="17"/>
      <c r="T533" s="17"/>
      <c r="U533" s="17"/>
      <c r="V533" s="17"/>
    </row>
    <row r="534">
      <c r="A534" s="327"/>
      <c r="B534" s="121"/>
      <c r="C534" s="327"/>
      <c r="D534" s="121"/>
      <c r="E534" s="327"/>
      <c r="F534" s="121"/>
      <c r="G534" s="327"/>
      <c r="H534" s="121"/>
      <c r="I534" s="358"/>
      <c r="J534" s="142"/>
      <c r="K534" s="358"/>
      <c r="L534" s="142"/>
      <c r="M534" s="327"/>
      <c r="N534" s="121"/>
      <c r="O534" s="327"/>
      <c r="P534" s="121"/>
      <c r="Q534" s="359"/>
      <c r="R534" s="359"/>
      <c r="S534" s="17"/>
      <c r="T534" s="17"/>
      <c r="U534" s="17"/>
      <c r="V534" s="17"/>
    </row>
    <row r="535">
      <c r="A535" s="327"/>
      <c r="B535" s="121"/>
      <c r="C535" s="327"/>
      <c r="D535" s="121"/>
      <c r="E535" s="327"/>
      <c r="F535" s="121"/>
      <c r="G535" s="327"/>
      <c r="H535" s="121"/>
      <c r="I535" s="358"/>
      <c r="J535" s="142"/>
      <c r="K535" s="358"/>
      <c r="L535" s="142"/>
      <c r="M535" s="327"/>
      <c r="N535" s="121"/>
      <c r="O535" s="327"/>
      <c r="P535" s="121"/>
      <c r="Q535" s="359"/>
      <c r="R535" s="359"/>
      <c r="S535" s="17"/>
      <c r="T535" s="17"/>
      <c r="U535" s="17"/>
      <c r="V535" s="17"/>
    </row>
    <row r="536">
      <c r="A536" s="327"/>
      <c r="B536" s="121"/>
      <c r="C536" s="327"/>
      <c r="D536" s="121"/>
      <c r="E536" s="327"/>
      <c r="F536" s="121"/>
      <c r="G536" s="327"/>
      <c r="H536" s="121"/>
      <c r="I536" s="358"/>
      <c r="J536" s="142"/>
      <c r="K536" s="358"/>
      <c r="L536" s="142"/>
      <c r="M536" s="327"/>
      <c r="N536" s="121"/>
      <c r="O536" s="327"/>
      <c r="P536" s="121"/>
      <c r="Q536" s="359"/>
      <c r="R536" s="359"/>
      <c r="S536" s="17"/>
      <c r="T536" s="17"/>
      <c r="U536" s="17"/>
      <c r="V536" s="17"/>
    </row>
    <row r="537">
      <c r="A537" s="327"/>
      <c r="B537" s="121"/>
      <c r="C537" s="327"/>
      <c r="D537" s="121"/>
      <c r="E537" s="327"/>
      <c r="F537" s="121"/>
      <c r="G537" s="327"/>
      <c r="H537" s="121"/>
      <c r="I537" s="358"/>
      <c r="J537" s="142"/>
      <c r="K537" s="358"/>
      <c r="L537" s="142"/>
      <c r="M537" s="327"/>
      <c r="N537" s="121"/>
      <c r="O537" s="327"/>
      <c r="P537" s="121"/>
      <c r="Q537" s="359"/>
      <c r="R537" s="359"/>
      <c r="S537" s="17"/>
      <c r="T537" s="17"/>
      <c r="U537" s="17"/>
      <c r="V537" s="17"/>
    </row>
    <row r="538">
      <c r="A538" s="327"/>
      <c r="B538" s="121"/>
      <c r="C538" s="327"/>
      <c r="D538" s="121"/>
      <c r="E538" s="327"/>
      <c r="F538" s="121"/>
      <c r="G538" s="327"/>
      <c r="H538" s="121"/>
      <c r="I538" s="358"/>
      <c r="J538" s="142"/>
      <c r="K538" s="358"/>
      <c r="L538" s="142"/>
      <c r="M538" s="327"/>
      <c r="N538" s="121"/>
      <c r="O538" s="327"/>
      <c r="P538" s="121"/>
      <c r="Q538" s="359"/>
      <c r="R538" s="359"/>
      <c r="S538" s="17"/>
      <c r="T538" s="17"/>
      <c r="U538" s="17"/>
      <c r="V538" s="17"/>
    </row>
    <row r="539">
      <c r="A539" s="327"/>
      <c r="B539" s="121"/>
      <c r="C539" s="327"/>
      <c r="D539" s="121"/>
      <c r="E539" s="327"/>
      <c r="F539" s="121"/>
      <c r="G539" s="327"/>
      <c r="H539" s="121"/>
      <c r="I539" s="358"/>
      <c r="J539" s="142"/>
      <c r="K539" s="358"/>
      <c r="L539" s="142"/>
      <c r="M539" s="327"/>
      <c r="N539" s="121"/>
      <c r="O539" s="327"/>
      <c r="P539" s="121"/>
      <c r="Q539" s="359"/>
      <c r="R539" s="359"/>
      <c r="S539" s="17"/>
      <c r="T539" s="17"/>
      <c r="U539" s="17"/>
      <c r="V539" s="17"/>
    </row>
    <row r="540">
      <c r="A540" s="327"/>
      <c r="B540" s="121"/>
      <c r="C540" s="327"/>
      <c r="D540" s="121"/>
      <c r="E540" s="327"/>
      <c r="F540" s="121"/>
      <c r="G540" s="327"/>
      <c r="H540" s="121"/>
      <c r="I540" s="358"/>
      <c r="J540" s="142"/>
      <c r="K540" s="358"/>
      <c r="L540" s="142"/>
      <c r="M540" s="327"/>
      <c r="N540" s="121"/>
      <c r="O540" s="327"/>
      <c r="P540" s="121"/>
      <c r="Q540" s="359"/>
      <c r="R540" s="359"/>
      <c r="S540" s="17"/>
      <c r="T540" s="17"/>
      <c r="U540" s="17"/>
      <c r="V540" s="17"/>
    </row>
    <row r="541">
      <c r="A541" s="327"/>
      <c r="B541" s="121"/>
      <c r="C541" s="327"/>
      <c r="D541" s="121"/>
      <c r="E541" s="327"/>
      <c r="F541" s="121"/>
      <c r="G541" s="327"/>
      <c r="H541" s="121"/>
      <c r="I541" s="358"/>
      <c r="J541" s="142"/>
      <c r="K541" s="358"/>
      <c r="L541" s="142"/>
      <c r="M541" s="327"/>
      <c r="N541" s="121"/>
      <c r="O541" s="327"/>
      <c r="P541" s="121"/>
      <c r="Q541" s="359"/>
      <c r="R541" s="359"/>
      <c r="S541" s="17"/>
      <c r="T541" s="17"/>
      <c r="U541" s="17"/>
      <c r="V541" s="17"/>
    </row>
    <row r="542">
      <c r="A542" s="327"/>
      <c r="B542" s="121"/>
      <c r="C542" s="327"/>
      <c r="D542" s="121"/>
      <c r="E542" s="327"/>
      <c r="F542" s="121"/>
      <c r="G542" s="327"/>
      <c r="H542" s="121"/>
      <c r="I542" s="358"/>
      <c r="J542" s="142"/>
      <c r="K542" s="358"/>
      <c r="L542" s="142"/>
      <c r="M542" s="327"/>
      <c r="N542" s="121"/>
      <c r="O542" s="327"/>
      <c r="P542" s="121"/>
      <c r="Q542" s="359"/>
      <c r="R542" s="359"/>
      <c r="S542" s="17"/>
      <c r="T542" s="17"/>
      <c r="U542" s="17"/>
      <c r="V542" s="17"/>
    </row>
    <row r="543">
      <c r="A543" s="327"/>
      <c r="B543" s="121"/>
      <c r="C543" s="327"/>
      <c r="D543" s="121"/>
      <c r="E543" s="327"/>
      <c r="F543" s="121"/>
      <c r="G543" s="327"/>
      <c r="H543" s="121"/>
      <c r="I543" s="358"/>
      <c r="J543" s="142"/>
      <c r="K543" s="358"/>
      <c r="L543" s="142"/>
      <c r="M543" s="327"/>
      <c r="N543" s="121"/>
      <c r="O543" s="327"/>
      <c r="P543" s="121"/>
      <c r="Q543" s="359"/>
      <c r="R543" s="359"/>
      <c r="S543" s="17"/>
      <c r="T543" s="17"/>
      <c r="U543" s="17"/>
      <c r="V543" s="17"/>
    </row>
    <row r="544">
      <c r="A544" s="327"/>
      <c r="B544" s="121"/>
      <c r="C544" s="327"/>
      <c r="D544" s="121"/>
      <c r="E544" s="327"/>
      <c r="F544" s="121"/>
      <c r="G544" s="327"/>
      <c r="H544" s="121"/>
      <c r="I544" s="358"/>
      <c r="J544" s="142"/>
      <c r="K544" s="358"/>
      <c r="L544" s="142"/>
      <c r="M544" s="327"/>
      <c r="N544" s="121"/>
      <c r="O544" s="327"/>
      <c r="P544" s="121"/>
      <c r="Q544" s="359"/>
      <c r="R544" s="359"/>
      <c r="S544" s="17"/>
      <c r="T544" s="17"/>
      <c r="U544" s="17"/>
      <c r="V544" s="17"/>
    </row>
    <row r="545">
      <c r="A545" s="327"/>
      <c r="B545" s="121"/>
      <c r="C545" s="327"/>
      <c r="D545" s="121"/>
      <c r="E545" s="327"/>
      <c r="F545" s="121"/>
      <c r="G545" s="327"/>
      <c r="H545" s="121"/>
      <c r="I545" s="358"/>
      <c r="J545" s="142"/>
      <c r="K545" s="358"/>
      <c r="L545" s="142"/>
      <c r="M545" s="327"/>
      <c r="N545" s="121"/>
      <c r="O545" s="327"/>
      <c r="P545" s="121"/>
      <c r="Q545" s="359"/>
      <c r="R545" s="359"/>
      <c r="S545" s="17"/>
      <c r="T545" s="17"/>
      <c r="U545" s="17"/>
      <c r="V545" s="17"/>
    </row>
    <row r="546">
      <c r="A546" s="327"/>
      <c r="B546" s="121"/>
      <c r="C546" s="327"/>
      <c r="D546" s="121"/>
      <c r="E546" s="327"/>
      <c r="F546" s="121"/>
      <c r="G546" s="327"/>
      <c r="H546" s="121"/>
      <c r="I546" s="358"/>
      <c r="J546" s="142"/>
      <c r="K546" s="358"/>
      <c r="L546" s="142"/>
      <c r="M546" s="327"/>
      <c r="N546" s="121"/>
      <c r="O546" s="327"/>
      <c r="P546" s="121"/>
      <c r="Q546" s="359"/>
      <c r="R546" s="359"/>
      <c r="S546" s="17"/>
      <c r="T546" s="17"/>
      <c r="U546" s="17"/>
      <c r="V546" s="17"/>
    </row>
    <row r="547">
      <c r="A547" s="327"/>
      <c r="B547" s="121"/>
      <c r="C547" s="327"/>
      <c r="D547" s="121"/>
      <c r="E547" s="327"/>
      <c r="F547" s="121"/>
      <c r="G547" s="327"/>
      <c r="H547" s="121"/>
      <c r="I547" s="358"/>
      <c r="J547" s="142"/>
      <c r="K547" s="358"/>
      <c r="L547" s="142"/>
      <c r="M547" s="327"/>
      <c r="N547" s="121"/>
      <c r="O547" s="327"/>
      <c r="P547" s="121"/>
      <c r="Q547" s="359"/>
      <c r="R547" s="359"/>
      <c r="S547" s="17"/>
      <c r="T547" s="17"/>
      <c r="U547" s="17"/>
      <c r="V547" s="17"/>
    </row>
    <row r="548">
      <c r="A548" s="327"/>
      <c r="B548" s="121"/>
      <c r="C548" s="327"/>
      <c r="D548" s="121"/>
      <c r="E548" s="327"/>
      <c r="F548" s="121"/>
      <c r="G548" s="327"/>
      <c r="H548" s="121"/>
      <c r="I548" s="358"/>
      <c r="J548" s="142"/>
      <c r="K548" s="358"/>
      <c r="L548" s="142"/>
      <c r="M548" s="327"/>
      <c r="N548" s="121"/>
      <c r="O548" s="327"/>
      <c r="P548" s="121"/>
      <c r="Q548" s="359"/>
      <c r="R548" s="359"/>
      <c r="S548" s="17"/>
      <c r="T548" s="17"/>
      <c r="U548" s="17"/>
      <c r="V548" s="17"/>
    </row>
    <row r="549">
      <c r="A549" s="327"/>
      <c r="B549" s="121"/>
      <c r="C549" s="327"/>
      <c r="D549" s="121"/>
      <c r="E549" s="327"/>
      <c r="F549" s="121"/>
      <c r="G549" s="327"/>
      <c r="H549" s="121"/>
      <c r="I549" s="358"/>
      <c r="J549" s="142"/>
      <c r="K549" s="358"/>
      <c r="L549" s="142"/>
      <c r="M549" s="327"/>
      <c r="N549" s="121"/>
      <c r="O549" s="327"/>
      <c r="P549" s="121"/>
      <c r="Q549" s="359"/>
      <c r="R549" s="359"/>
      <c r="S549" s="17"/>
      <c r="T549" s="17"/>
      <c r="U549" s="17"/>
      <c r="V549" s="17"/>
    </row>
    <row r="550">
      <c r="A550" s="327"/>
      <c r="B550" s="121"/>
      <c r="C550" s="327"/>
      <c r="D550" s="121"/>
      <c r="E550" s="327"/>
      <c r="F550" s="121"/>
      <c r="G550" s="327"/>
      <c r="H550" s="121"/>
      <c r="I550" s="358"/>
      <c r="J550" s="142"/>
      <c r="K550" s="358"/>
      <c r="L550" s="142"/>
      <c r="M550" s="327"/>
      <c r="N550" s="121"/>
      <c r="O550" s="327"/>
      <c r="P550" s="121"/>
      <c r="Q550" s="359"/>
      <c r="R550" s="359"/>
      <c r="S550" s="17"/>
      <c r="T550" s="17"/>
      <c r="U550" s="17"/>
      <c r="V550" s="17"/>
    </row>
    <row r="551">
      <c r="A551" s="327"/>
      <c r="B551" s="121"/>
      <c r="C551" s="327"/>
      <c r="D551" s="121"/>
      <c r="E551" s="327"/>
      <c r="F551" s="121"/>
      <c r="G551" s="327"/>
      <c r="H551" s="121"/>
      <c r="I551" s="358"/>
      <c r="J551" s="142"/>
      <c r="K551" s="358"/>
      <c r="L551" s="142"/>
      <c r="M551" s="327"/>
      <c r="N551" s="121"/>
      <c r="O551" s="327"/>
      <c r="P551" s="121"/>
      <c r="Q551" s="359"/>
      <c r="R551" s="359"/>
      <c r="S551" s="17"/>
      <c r="T551" s="17"/>
      <c r="U551" s="17"/>
      <c r="V551" s="17"/>
    </row>
    <row r="552">
      <c r="A552" s="327"/>
      <c r="B552" s="121"/>
      <c r="C552" s="327"/>
      <c r="D552" s="121"/>
      <c r="E552" s="327"/>
      <c r="F552" s="121"/>
      <c r="G552" s="327"/>
      <c r="H552" s="121"/>
      <c r="I552" s="358"/>
      <c r="J552" s="142"/>
      <c r="K552" s="358"/>
      <c r="L552" s="142"/>
      <c r="M552" s="327"/>
      <c r="N552" s="121"/>
      <c r="O552" s="327"/>
      <c r="P552" s="121"/>
      <c r="Q552" s="359"/>
      <c r="R552" s="359"/>
      <c r="S552" s="17"/>
      <c r="T552" s="17"/>
      <c r="U552" s="17"/>
      <c r="V552" s="17"/>
    </row>
    <row r="553">
      <c r="A553" s="327"/>
      <c r="B553" s="121"/>
      <c r="C553" s="327"/>
      <c r="D553" s="121"/>
      <c r="E553" s="327"/>
      <c r="F553" s="121"/>
      <c r="G553" s="327"/>
      <c r="H553" s="121"/>
      <c r="I553" s="358"/>
      <c r="J553" s="142"/>
      <c r="K553" s="358"/>
      <c r="L553" s="142"/>
      <c r="M553" s="327"/>
      <c r="N553" s="121"/>
      <c r="O553" s="327"/>
      <c r="P553" s="121"/>
      <c r="Q553" s="359"/>
      <c r="R553" s="359"/>
      <c r="S553" s="17"/>
      <c r="T553" s="17"/>
      <c r="U553" s="17"/>
      <c r="V553" s="17"/>
    </row>
    <row r="554">
      <c r="A554" s="327"/>
      <c r="B554" s="121"/>
      <c r="C554" s="327"/>
      <c r="D554" s="121"/>
      <c r="E554" s="327"/>
      <c r="F554" s="121"/>
      <c r="G554" s="327"/>
      <c r="H554" s="121"/>
      <c r="I554" s="358"/>
      <c r="J554" s="142"/>
      <c r="K554" s="358"/>
      <c r="L554" s="142"/>
      <c r="M554" s="327"/>
      <c r="N554" s="121"/>
      <c r="O554" s="327"/>
      <c r="P554" s="121"/>
      <c r="Q554" s="359"/>
      <c r="R554" s="359"/>
      <c r="S554" s="17"/>
      <c r="T554" s="17"/>
      <c r="U554" s="17"/>
      <c r="V554" s="17"/>
    </row>
    <row r="555">
      <c r="A555" s="327"/>
      <c r="B555" s="121"/>
      <c r="C555" s="327"/>
      <c r="D555" s="121"/>
      <c r="E555" s="327"/>
      <c r="F555" s="121"/>
      <c r="G555" s="327"/>
      <c r="H555" s="121"/>
      <c r="I555" s="358"/>
      <c r="J555" s="142"/>
      <c r="K555" s="358"/>
      <c r="L555" s="142"/>
      <c r="M555" s="327"/>
      <c r="N555" s="121"/>
      <c r="O555" s="327"/>
      <c r="P555" s="121"/>
      <c r="Q555" s="359"/>
      <c r="R555" s="359"/>
      <c r="S555" s="17"/>
      <c r="T555" s="17"/>
      <c r="U555" s="17"/>
      <c r="V555" s="17"/>
    </row>
    <row r="556">
      <c r="A556" s="327"/>
      <c r="B556" s="121"/>
      <c r="C556" s="327"/>
      <c r="D556" s="121"/>
      <c r="E556" s="327"/>
      <c r="F556" s="121"/>
      <c r="G556" s="327"/>
      <c r="H556" s="121"/>
      <c r="I556" s="358"/>
      <c r="J556" s="142"/>
      <c r="K556" s="358"/>
      <c r="L556" s="142"/>
      <c r="M556" s="327"/>
      <c r="N556" s="121"/>
      <c r="O556" s="327"/>
      <c r="P556" s="121"/>
      <c r="Q556" s="359"/>
      <c r="R556" s="359"/>
      <c r="S556" s="17"/>
      <c r="T556" s="17"/>
      <c r="U556" s="17"/>
      <c r="V556" s="17"/>
    </row>
    <row r="557">
      <c r="A557" s="327"/>
      <c r="B557" s="121"/>
      <c r="C557" s="327"/>
      <c r="D557" s="121"/>
      <c r="E557" s="327"/>
      <c r="F557" s="121"/>
      <c r="G557" s="327"/>
      <c r="H557" s="121"/>
      <c r="I557" s="358"/>
      <c r="J557" s="142"/>
      <c r="K557" s="358"/>
      <c r="L557" s="142"/>
      <c r="M557" s="327"/>
      <c r="N557" s="121"/>
      <c r="O557" s="327"/>
      <c r="P557" s="121"/>
      <c r="Q557" s="359"/>
      <c r="R557" s="359"/>
      <c r="S557" s="17"/>
      <c r="T557" s="17"/>
      <c r="U557" s="17"/>
      <c r="V557" s="17"/>
    </row>
    <row r="558">
      <c r="A558" s="327"/>
      <c r="B558" s="121"/>
      <c r="C558" s="327"/>
      <c r="D558" s="121"/>
      <c r="E558" s="327"/>
      <c r="F558" s="121"/>
      <c r="G558" s="327"/>
      <c r="H558" s="121"/>
      <c r="I558" s="358"/>
      <c r="J558" s="142"/>
      <c r="K558" s="358"/>
      <c r="L558" s="142"/>
      <c r="M558" s="327"/>
      <c r="N558" s="121"/>
      <c r="O558" s="327"/>
      <c r="P558" s="121"/>
      <c r="Q558" s="359"/>
      <c r="R558" s="359"/>
      <c r="S558" s="17"/>
      <c r="T558" s="17"/>
      <c r="U558" s="17"/>
      <c r="V558" s="17"/>
    </row>
    <row r="559">
      <c r="A559" s="327"/>
      <c r="B559" s="121"/>
      <c r="C559" s="327"/>
      <c r="D559" s="121"/>
      <c r="E559" s="327"/>
      <c r="F559" s="121"/>
      <c r="G559" s="327"/>
      <c r="H559" s="121"/>
      <c r="I559" s="358"/>
      <c r="J559" s="142"/>
      <c r="K559" s="358"/>
      <c r="L559" s="142"/>
      <c r="M559" s="327"/>
      <c r="N559" s="121"/>
      <c r="O559" s="327"/>
      <c r="P559" s="121"/>
      <c r="Q559" s="359"/>
      <c r="R559" s="359"/>
      <c r="S559" s="17"/>
      <c r="T559" s="17"/>
      <c r="U559" s="17"/>
      <c r="V559" s="17"/>
    </row>
    <row r="560">
      <c r="A560" s="327"/>
      <c r="B560" s="121"/>
      <c r="C560" s="327"/>
      <c r="D560" s="121"/>
      <c r="E560" s="327"/>
      <c r="F560" s="121"/>
      <c r="G560" s="327"/>
      <c r="H560" s="121"/>
      <c r="I560" s="358"/>
      <c r="J560" s="142"/>
      <c r="K560" s="358"/>
      <c r="L560" s="142"/>
      <c r="M560" s="327"/>
      <c r="N560" s="121"/>
      <c r="O560" s="327"/>
      <c r="P560" s="121"/>
      <c r="Q560" s="359"/>
      <c r="R560" s="359"/>
      <c r="S560" s="17"/>
      <c r="T560" s="17"/>
      <c r="U560" s="17"/>
      <c r="V560" s="17"/>
    </row>
    <row r="561">
      <c r="A561" s="327"/>
      <c r="B561" s="121"/>
      <c r="C561" s="327"/>
      <c r="D561" s="121"/>
      <c r="E561" s="327"/>
      <c r="F561" s="121"/>
      <c r="G561" s="327"/>
      <c r="H561" s="121"/>
      <c r="I561" s="358"/>
      <c r="J561" s="142"/>
      <c r="K561" s="358"/>
      <c r="L561" s="142"/>
      <c r="M561" s="327"/>
      <c r="N561" s="121"/>
      <c r="O561" s="327"/>
      <c r="P561" s="121"/>
      <c r="Q561" s="359"/>
      <c r="R561" s="359"/>
      <c r="S561" s="17"/>
      <c r="T561" s="17"/>
      <c r="U561" s="17"/>
      <c r="V561" s="17"/>
    </row>
    <row r="562">
      <c r="A562" s="327"/>
      <c r="B562" s="121"/>
      <c r="C562" s="327"/>
      <c r="D562" s="121"/>
      <c r="E562" s="327"/>
      <c r="F562" s="121"/>
      <c r="G562" s="327"/>
      <c r="H562" s="121"/>
      <c r="I562" s="358"/>
      <c r="J562" s="142"/>
      <c r="K562" s="358"/>
      <c r="L562" s="142"/>
      <c r="M562" s="327"/>
      <c r="N562" s="121"/>
      <c r="O562" s="327"/>
      <c r="P562" s="121"/>
      <c r="Q562" s="359"/>
      <c r="R562" s="359"/>
      <c r="S562" s="17"/>
      <c r="T562" s="17"/>
      <c r="U562" s="17"/>
      <c r="V562" s="17"/>
    </row>
    <row r="563">
      <c r="A563" s="327"/>
      <c r="B563" s="121"/>
      <c r="C563" s="327"/>
      <c r="D563" s="121"/>
      <c r="E563" s="327"/>
      <c r="F563" s="121"/>
      <c r="G563" s="327"/>
      <c r="H563" s="121"/>
      <c r="I563" s="358"/>
      <c r="J563" s="142"/>
      <c r="K563" s="358"/>
      <c r="L563" s="142"/>
      <c r="M563" s="327"/>
      <c r="N563" s="121"/>
      <c r="O563" s="327"/>
      <c r="P563" s="121"/>
      <c r="Q563" s="359"/>
      <c r="R563" s="359"/>
      <c r="S563" s="17"/>
      <c r="T563" s="17"/>
      <c r="U563" s="17"/>
      <c r="V563" s="17"/>
    </row>
    <row r="564">
      <c r="A564" s="327"/>
      <c r="B564" s="121"/>
      <c r="C564" s="327"/>
      <c r="D564" s="121"/>
      <c r="E564" s="327"/>
      <c r="F564" s="121"/>
      <c r="G564" s="327"/>
      <c r="H564" s="121"/>
      <c r="I564" s="358"/>
      <c r="J564" s="142"/>
      <c r="K564" s="358"/>
      <c r="L564" s="142"/>
      <c r="M564" s="327"/>
      <c r="N564" s="121"/>
      <c r="O564" s="327"/>
      <c r="P564" s="121"/>
      <c r="Q564" s="359"/>
      <c r="R564" s="359"/>
      <c r="S564" s="17"/>
      <c r="T564" s="17"/>
      <c r="U564" s="17"/>
      <c r="V564" s="17"/>
    </row>
    <row r="565">
      <c r="A565" s="327"/>
      <c r="B565" s="121"/>
      <c r="C565" s="327"/>
      <c r="D565" s="121"/>
      <c r="E565" s="327"/>
      <c r="F565" s="121"/>
      <c r="G565" s="327"/>
      <c r="H565" s="121"/>
      <c r="I565" s="358"/>
      <c r="J565" s="142"/>
      <c r="K565" s="358"/>
      <c r="L565" s="142"/>
      <c r="M565" s="327"/>
      <c r="N565" s="121"/>
      <c r="O565" s="327"/>
      <c r="P565" s="121"/>
      <c r="Q565" s="359"/>
      <c r="R565" s="359"/>
      <c r="S565" s="17"/>
      <c r="T565" s="17"/>
      <c r="U565" s="17"/>
      <c r="V565" s="17"/>
    </row>
    <row r="566">
      <c r="A566" s="327"/>
      <c r="B566" s="121"/>
      <c r="C566" s="327"/>
      <c r="D566" s="121"/>
      <c r="E566" s="327"/>
      <c r="F566" s="121"/>
      <c r="G566" s="327"/>
      <c r="H566" s="121"/>
      <c r="I566" s="358"/>
      <c r="J566" s="142"/>
      <c r="K566" s="358"/>
      <c r="L566" s="142"/>
      <c r="M566" s="327"/>
      <c r="N566" s="121"/>
      <c r="O566" s="327"/>
      <c r="P566" s="121"/>
      <c r="Q566" s="359"/>
      <c r="R566" s="359"/>
      <c r="S566" s="17"/>
      <c r="T566" s="17"/>
      <c r="U566" s="17"/>
      <c r="V566" s="17"/>
    </row>
    <row r="567">
      <c r="A567" s="327"/>
      <c r="B567" s="121"/>
      <c r="C567" s="327"/>
      <c r="D567" s="121"/>
      <c r="E567" s="327"/>
      <c r="F567" s="121"/>
      <c r="G567" s="327"/>
      <c r="H567" s="121"/>
      <c r="I567" s="358"/>
      <c r="J567" s="142"/>
      <c r="K567" s="358"/>
      <c r="L567" s="142"/>
      <c r="M567" s="327"/>
      <c r="N567" s="121"/>
      <c r="O567" s="327"/>
      <c r="P567" s="121"/>
      <c r="Q567" s="359"/>
      <c r="R567" s="359"/>
      <c r="S567" s="17"/>
      <c r="T567" s="17"/>
      <c r="U567" s="17"/>
      <c r="V567" s="17"/>
    </row>
    <row r="568">
      <c r="A568" s="327"/>
      <c r="B568" s="121"/>
      <c r="C568" s="327"/>
      <c r="D568" s="121"/>
      <c r="E568" s="327"/>
      <c r="F568" s="121"/>
      <c r="G568" s="327"/>
      <c r="H568" s="121"/>
      <c r="I568" s="358"/>
      <c r="J568" s="142"/>
      <c r="K568" s="358"/>
      <c r="L568" s="142"/>
      <c r="M568" s="327"/>
      <c r="N568" s="121"/>
      <c r="O568" s="327"/>
      <c r="P568" s="121"/>
      <c r="Q568" s="359"/>
      <c r="R568" s="359"/>
      <c r="S568" s="17"/>
      <c r="T568" s="17"/>
      <c r="U568" s="17"/>
      <c r="V568" s="17"/>
    </row>
    <row r="569">
      <c r="A569" s="327"/>
      <c r="B569" s="121"/>
      <c r="C569" s="327"/>
      <c r="D569" s="121"/>
      <c r="E569" s="327"/>
      <c r="F569" s="121"/>
      <c r="G569" s="327"/>
      <c r="H569" s="121"/>
      <c r="I569" s="358"/>
      <c r="J569" s="142"/>
      <c r="K569" s="358"/>
      <c r="L569" s="142"/>
      <c r="M569" s="327"/>
      <c r="N569" s="121"/>
      <c r="O569" s="327"/>
      <c r="P569" s="121"/>
      <c r="Q569" s="359"/>
      <c r="R569" s="359"/>
      <c r="S569" s="17"/>
      <c r="T569" s="17"/>
      <c r="U569" s="17"/>
      <c r="V569" s="17"/>
    </row>
    <row r="570">
      <c r="A570" s="327"/>
      <c r="B570" s="121"/>
      <c r="C570" s="327"/>
      <c r="D570" s="121"/>
      <c r="E570" s="327"/>
      <c r="F570" s="121"/>
      <c r="G570" s="327"/>
      <c r="H570" s="121"/>
      <c r="I570" s="358"/>
      <c r="J570" s="142"/>
      <c r="K570" s="358"/>
      <c r="L570" s="142"/>
      <c r="M570" s="327"/>
      <c r="N570" s="121"/>
      <c r="O570" s="327"/>
      <c r="P570" s="121"/>
      <c r="Q570" s="359"/>
      <c r="R570" s="359"/>
      <c r="S570" s="17"/>
      <c r="T570" s="17"/>
      <c r="U570" s="17"/>
      <c r="V570" s="17"/>
    </row>
    <row r="571">
      <c r="A571" s="327"/>
      <c r="B571" s="121"/>
      <c r="C571" s="327"/>
      <c r="D571" s="121"/>
      <c r="E571" s="327"/>
      <c r="F571" s="121"/>
      <c r="G571" s="327"/>
      <c r="H571" s="121"/>
      <c r="I571" s="358"/>
      <c r="J571" s="142"/>
      <c r="K571" s="358"/>
      <c r="L571" s="142"/>
      <c r="M571" s="327"/>
      <c r="N571" s="121"/>
      <c r="O571" s="327"/>
      <c r="P571" s="121"/>
      <c r="Q571" s="359"/>
      <c r="R571" s="359"/>
      <c r="S571" s="17"/>
      <c r="T571" s="17"/>
      <c r="U571" s="17"/>
      <c r="V571" s="17"/>
    </row>
    <row r="572">
      <c r="A572" s="327"/>
      <c r="B572" s="121"/>
      <c r="C572" s="327"/>
      <c r="D572" s="121"/>
      <c r="E572" s="327"/>
      <c r="F572" s="121"/>
      <c r="G572" s="327"/>
      <c r="H572" s="121"/>
      <c r="I572" s="358"/>
      <c r="J572" s="142"/>
      <c r="K572" s="358"/>
      <c r="L572" s="142"/>
      <c r="M572" s="327"/>
      <c r="N572" s="121"/>
      <c r="O572" s="327"/>
      <c r="P572" s="121"/>
      <c r="Q572" s="359"/>
      <c r="R572" s="359"/>
      <c r="S572" s="17"/>
      <c r="T572" s="17"/>
      <c r="U572" s="17"/>
      <c r="V572" s="17"/>
    </row>
    <row r="573">
      <c r="A573" s="327"/>
      <c r="B573" s="121"/>
      <c r="C573" s="327"/>
      <c r="D573" s="121"/>
      <c r="E573" s="327"/>
      <c r="F573" s="121"/>
      <c r="G573" s="327"/>
      <c r="H573" s="121"/>
      <c r="I573" s="358"/>
      <c r="J573" s="142"/>
      <c r="K573" s="358"/>
      <c r="L573" s="142"/>
      <c r="M573" s="327"/>
      <c r="N573" s="121"/>
      <c r="O573" s="327"/>
      <c r="P573" s="121"/>
      <c r="Q573" s="359"/>
      <c r="R573" s="359"/>
      <c r="S573" s="17"/>
      <c r="T573" s="17"/>
      <c r="U573" s="17"/>
      <c r="V573" s="17"/>
    </row>
    <row r="574">
      <c r="A574" s="327"/>
      <c r="B574" s="121"/>
      <c r="C574" s="327"/>
      <c r="D574" s="121"/>
      <c r="E574" s="327"/>
      <c r="F574" s="121"/>
      <c r="G574" s="327"/>
      <c r="H574" s="121"/>
      <c r="I574" s="358"/>
      <c r="J574" s="142"/>
      <c r="K574" s="358"/>
      <c r="L574" s="142"/>
      <c r="M574" s="327"/>
      <c r="N574" s="121"/>
      <c r="O574" s="327"/>
      <c r="P574" s="121"/>
      <c r="Q574" s="359"/>
      <c r="R574" s="359"/>
      <c r="S574" s="17"/>
      <c r="T574" s="17"/>
      <c r="U574" s="17"/>
      <c r="V574" s="17"/>
    </row>
    <row r="575">
      <c r="A575" s="327"/>
      <c r="B575" s="121"/>
      <c r="C575" s="327"/>
      <c r="D575" s="121"/>
      <c r="E575" s="327"/>
      <c r="F575" s="121"/>
      <c r="G575" s="327"/>
      <c r="H575" s="121"/>
      <c r="I575" s="358"/>
      <c r="J575" s="142"/>
      <c r="K575" s="358"/>
      <c r="L575" s="142"/>
      <c r="M575" s="327"/>
      <c r="N575" s="121"/>
      <c r="O575" s="327"/>
      <c r="P575" s="121"/>
      <c r="Q575" s="359"/>
      <c r="R575" s="359"/>
      <c r="S575" s="17"/>
      <c r="T575" s="17"/>
      <c r="U575" s="17"/>
      <c r="V575" s="17"/>
    </row>
    <row r="576">
      <c r="A576" s="327"/>
      <c r="B576" s="121"/>
      <c r="C576" s="327"/>
      <c r="D576" s="121"/>
      <c r="E576" s="327"/>
      <c r="F576" s="121"/>
      <c r="G576" s="327"/>
      <c r="H576" s="121"/>
      <c r="I576" s="358"/>
      <c r="J576" s="142"/>
      <c r="K576" s="358"/>
      <c r="L576" s="142"/>
      <c r="M576" s="327"/>
      <c r="N576" s="121"/>
      <c r="O576" s="327"/>
      <c r="P576" s="121"/>
      <c r="Q576" s="359"/>
      <c r="R576" s="359"/>
      <c r="S576" s="17"/>
      <c r="T576" s="17"/>
      <c r="U576" s="17"/>
      <c r="V576" s="17"/>
    </row>
    <row r="577">
      <c r="A577" s="327"/>
      <c r="B577" s="121"/>
      <c r="C577" s="327"/>
      <c r="D577" s="121"/>
      <c r="E577" s="327"/>
      <c r="F577" s="121"/>
      <c r="G577" s="327"/>
      <c r="H577" s="121"/>
      <c r="I577" s="358"/>
      <c r="J577" s="142"/>
      <c r="K577" s="358"/>
      <c r="L577" s="142"/>
      <c r="M577" s="327"/>
      <c r="N577" s="121"/>
      <c r="O577" s="327"/>
      <c r="P577" s="121"/>
      <c r="Q577" s="359"/>
      <c r="R577" s="359"/>
      <c r="S577" s="17"/>
      <c r="T577" s="17"/>
      <c r="U577" s="17"/>
      <c r="V577" s="17"/>
    </row>
    <row r="578">
      <c r="A578" s="327"/>
      <c r="B578" s="121"/>
      <c r="C578" s="327"/>
      <c r="D578" s="121"/>
      <c r="E578" s="327"/>
      <c r="F578" s="121"/>
      <c r="G578" s="327"/>
      <c r="H578" s="121"/>
      <c r="I578" s="358"/>
      <c r="J578" s="142"/>
      <c r="K578" s="358"/>
      <c r="L578" s="142"/>
      <c r="M578" s="327"/>
      <c r="N578" s="121"/>
      <c r="O578" s="327"/>
      <c r="P578" s="121"/>
      <c r="Q578" s="359"/>
      <c r="R578" s="359"/>
      <c r="S578" s="17"/>
      <c r="T578" s="17"/>
      <c r="U578" s="17"/>
      <c r="V578" s="17"/>
    </row>
    <row r="579">
      <c r="A579" s="327"/>
      <c r="B579" s="121"/>
      <c r="C579" s="327"/>
      <c r="D579" s="121"/>
      <c r="E579" s="327"/>
      <c r="F579" s="121"/>
      <c r="G579" s="327"/>
      <c r="H579" s="121"/>
      <c r="I579" s="358"/>
      <c r="J579" s="142"/>
      <c r="K579" s="358"/>
      <c r="L579" s="142"/>
      <c r="M579" s="327"/>
      <c r="N579" s="121"/>
      <c r="O579" s="327"/>
      <c r="P579" s="121"/>
      <c r="Q579" s="359"/>
      <c r="R579" s="359"/>
      <c r="S579" s="17"/>
      <c r="T579" s="17"/>
      <c r="U579" s="17"/>
      <c r="V579" s="17"/>
    </row>
    <row r="580">
      <c r="A580" s="327"/>
      <c r="B580" s="121"/>
      <c r="C580" s="327"/>
      <c r="D580" s="121"/>
      <c r="E580" s="327"/>
      <c r="F580" s="121"/>
      <c r="G580" s="327"/>
      <c r="H580" s="121"/>
      <c r="I580" s="358"/>
      <c r="J580" s="142"/>
      <c r="K580" s="358"/>
      <c r="L580" s="142"/>
      <c r="M580" s="327"/>
      <c r="N580" s="121"/>
      <c r="O580" s="327"/>
      <c r="P580" s="121"/>
      <c r="Q580" s="359"/>
      <c r="R580" s="359"/>
      <c r="S580" s="17"/>
      <c r="T580" s="17"/>
      <c r="U580" s="17"/>
      <c r="V580" s="17"/>
    </row>
    <row r="581">
      <c r="A581" s="327"/>
      <c r="B581" s="121"/>
      <c r="C581" s="327"/>
      <c r="D581" s="121"/>
      <c r="E581" s="327"/>
      <c r="F581" s="121"/>
      <c r="G581" s="327"/>
      <c r="H581" s="121"/>
      <c r="I581" s="358"/>
      <c r="J581" s="142"/>
      <c r="K581" s="358"/>
      <c r="L581" s="142"/>
      <c r="M581" s="327"/>
      <c r="N581" s="121"/>
      <c r="O581" s="327"/>
      <c r="P581" s="121"/>
      <c r="Q581" s="359"/>
      <c r="R581" s="359"/>
      <c r="S581" s="17"/>
      <c r="T581" s="17"/>
      <c r="U581" s="17"/>
      <c r="V581" s="17"/>
    </row>
    <row r="582">
      <c r="A582" s="327"/>
      <c r="B582" s="121"/>
      <c r="C582" s="327"/>
      <c r="D582" s="121"/>
      <c r="E582" s="327"/>
      <c r="F582" s="121"/>
      <c r="G582" s="327"/>
      <c r="H582" s="121"/>
      <c r="I582" s="358"/>
      <c r="J582" s="142"/>
      <c r="K582" s="358"/>
      <c r="L582" s="142"/>
      <c r="M582" s="327"/>
      <c r="N582" s="121"/>
      <c r="O582" s="327"/>
      <c r="P582" s="121"/>
      <c r="Q582" s="359"/>
      <c r="R582" s="359"/>
      <c r="S582" s="17"/>
      <c r="T582" s="17"/>
      <c r="U582" s="17"/>
      <c r="V582" s="17"/>
    </row>
    <row r="583">
      <c r="A583" s="327"/>
      <c r="B583" s="121"/>
      <c r="C583" s="327"/>
      <c r="D583" s="121"/>
      <c r="E583" s="327"/>
      <c r="F583" s="121"/>
      <c r="G583" s="327"/>
      <c r="H583" s="121"/>
      <c r="I583" s="358"/>
      <c r="J583" s="142"/>
      <c r="K583" s="358"/>
      <c r="L583" s="142"/>
      <c r="M583" s="327"/>
      <c r="N583" s="121"/>
      <c r="O583" s="327"/>
      <c r="P583" s="121"/>
      <c r="Q583" s="359"/>
      <c r="R583" s="359"/>
      <c r="S583" s="17"/>
      <c r="T583" s="17"/>
      <c r="U583" s="17"/>
      <c r="V583" s="17"/>
    </row>
    <row r="584">
      <c r="A584" s="327"/>
      <c r="B584" s="121"/>
      <c r="C584" s="327"/>
      <c r="D584" s="121"/>
      <c r="E584" s="327"/>
      <c r="F584" s="121"/>
      <c r="G584" s="327"/>
      <c r="H584" s="121"/>
      <c r="I584" s="358"/>
      <c r="J584" s="142"/>
      <c r="K584" s="358"/>
      <c r="L584" s="142"/>
      <c r="M584" s="327"/>
      <c r="N584" s="121"/>
      <c r="O584" s="327"/>
      <c r="P584" s="121"/>
      <c r="Q584" s="359"/>
      <c r="R584" s="359"/>
      <c r="S584" s="17"/>
      <c r="T584" s="17"/>
      <c r="U584" s="17"/>
      <c r="V584" s="17"/>
    </row>
    <row r="585">
      <c r="A585" s="327"/>
      <c r="B585" s="121"/>
      <c r="C585" s="327"/>
      <c r="D585" s="121"/>
      <c r="E585" s="327"/>
      <c r="F585" s="121"/>
      <c r="G585" s="327"/>
      <c r="H585" s="121"/>
      <c r="I585" s="358"/>
      <c r="J585" s="142"/>
      <c r="K585" s="358"/>
      <c r="L585" s="142"/>
      <c r="M585" s="327"/>
      <c r="N585" s="121"/>
      <c r="O585" s="327"/>
      <c r="P585" s="121"/>
      <c r="Q585" s="359"/>
      <c r="R585" s="359"/>
      <c r="S585" s="17"/>
      <c r="T585" s="17"/>
      <c r="U585" s="17"/>
      <c r="V585" s="17"/>
    </row>
    <row r="586">
      <c r="A586" s="327"/>
      <c r="B586" s="121"/>
      <c r="C586" s="327"/>
      <c r="D586" s="121"/>
      <c r="E586" s="327"/>
      <c r="F586" s="121"/>
      <c r="G586" s="327"/>
      <c r="H586" s="121"/>
      <c r="I586" s="358"/>
      <c r="J586" s="142"/>
      <c r="K586" s="358"/>
      <c r="L586" s="142"/>
      <c r="M586" s="327"/>
      <c r="N586" s="121"/>
      <c r="O586" s="327"/>
      <c r="P586" s="121"/>
      <c r="Q586" s="359"/>
      <c r="R586" s="359"/>
      <c r="S586" s="17"/>
      <c r="T586" s="17"/>
      <c r="U586" s="17"/>
      <c r="V586" s="17"/>
    </row>
    <row r="587">
      <c r="A587" s="327"/>
      <c r="B587" s="121"/>
      <c r="C587" s="327"/>
      <c r="D587" s="121"/>
      <c r="E587" s="327"/>
      <c r="F587" s="121"/>
      <c r="G587" s="327"/>
      <c r="H587" s="121"/>
      <c r="I587" s="358"/>
      <c r="J587" s="142"/>
      <c r="K587" s="358"/>
      <c r="L587" s="142"/>
      <c r="M587" s="327"/>
      <c r="N587" s="121"/>
      <c r="O587" s="327"/>
      <c r="P587" s="121"/>
      <c r="Q587" s="359"/>
      <c r="R587" s="359"/>
      <c r="S587" s="17"/>
      <c r="T587" s="17"/>
      <c r="U587" s="17"/>
      <c r="V587" s="17"/>
    </row>
    <row r="588">
      <c r="A588" s="327"/>
      <c r="B588" s="121"/>
      <c r="C588" s="327"/>
      <c r="D588" s="121"/>
      <c r="E588" s="327"/>
      <c r="F588" s="121"/>
      <c r="G588" s="327"/>
      <c r="H588" s="121"/>
      <c r="I588" s="358"/>
      <c r="J588" s="142"/>
      <c r="K588" s="358"/>
      <c r="L588" s="142"/>
      <c r="M588" s="327"/>
      <c r="N588" s="121"/>
      <c r="O588" s="327"/>
      <c r="P588" s="121"/>
      <c r="Q588" s="359"/>
      <c r="R588" s="359"/>
      <c r="S588" s="17"/>
      <c r="T588" s="17"/>
      <c r="U588" s="17"/>
      <c r="V588" s="17"/>
    </row>
    <row r="589">
      <c r="A589" s="327"/>
      <c r="B589" s="121"/>
      <c r="C589" s="327"/>
      <c r="D589" s="121"/>
      <c r="E589" s="327"/>
      <c r="F589" s="121"/>
      <c r="G589" s="327"/>
      <c r="H589" s="121"/>
      <c r="I589" s="358"/>
      <c r="J589" s="142"/>
      <c r="K589" s="358"/>
      <c r="L589" s="142"/>
      <c r="M589" s="327"/>
      <c r="N589" s="121"/>
      <c r="O589" s="327"/>
      <c r="P589" s="121"/>
      <c r="Q589" s="359"/>
      <c r="R589" s="359"/>
      <c r="S589" s="17"/>
      <c r="T589" s="17"/>
      <c r="U589" s="17"/>
      <c r="V589" s="17"/>
    </row>
    <row r="590">
      <c r="A590" s="327"/>
      <c r="B590" s="121"/>
      <c r="C590" s="327"/>
      <c r="D590" s="121"/>
      <c r="E590" s="327"/>
      <c r="F590" s="121"/>
      <c r="G590" s="327"/>
      <c r="H590" s="121"/>
      <c r="I590" s="358"/>
      <c r="J590" s="142"/>
      <c r="K590" s="358"/>
      <c r="L590" s="142"/>
      <c r="M590" s="327"/>
      <c r="N590" s="121"/>
      <c r="O590" s="327"/>
      <c r="P590" s="121"/>
      <c r="Q590" s="359"/>
      <c r="R590" s="359"/>
      <c r="S590" s="17"/>
      <c r="T590" s="17"/>
      <c r="U590" s="17"/>
      <c r="V590" s="17"/>
    </row>
    <row r="591">
      <c r="A591" s="327"/>
      <c r="B591" s="121"/>
      <c r="C591" s="327"/>
      <c r="D591" s="121"/>
      <c r="E591" s="327"/>
      <c r="F591" s="121"/>
      <c r="G591" s="327"/>
      <c r="H591" s="121"/>
      <c r="I591" s="358"/>
      <c r="J591" s="142"/>
      <c r="K591" s="358"/>
      <c r="L591" s="142"/>
      <c r="M591" s="327"/>
      <c r="N591" s="121"/>
      <c r="O591" s="327"/>
      <c r="P591" s="121"/>
      <c r="Q591" s="359"/>
      <c r="R591" s="359"/>
      <c r="S591" s="17"/>
      <c r="T591" s="17"/>
      <c r="U591" s="17"/>
      <c r="V591" s="17"/>
    </row>
    <row r="592">
      <c r="A592" s="327"/>
      <c r="B592" s="121"/>
      <c r="C592" s="327"/>
      <c r="D592" s="121"/>
      <c r="E592" s="327"/>
      <c r="F592" s="121"/>
      <c r="G592" s="327"/>
      <c r="H592" s="121"/>
      <c r="I592" s="358"/>
      <c r="J592" s="142"/>
      <c r="K592" s="358"/>
      <c r="L592" s="142"/>
      <c r="M592" s="327"/>
      <c r="N592" s="121"/>
      <c r="O592" s="327"/>
      <c r="P592" s="121"/>
      <c r="Q592" s="359"/>
      <c r="R592" s="359"/>
      <c r="S592" s="17"/>
      <c r="T592" s="17"/>
      <c r="U592" s="17"/>
      <c r="V592" s="17"/>
    </row>
    <row r="593">
      <c r="A593" s="327"/>
      <c r="B593" s="121"/>
      <c r="C593" s="327"/>
      <c r="D593" s="121"/>
      <c r="E593" s="327"/>
      <c r="F593" s="121"/>
      <c r="G593" s="327"/>
      <c r="H593" s="121"/>
      <c r="I593" s="358"/>
      <c r="J593" s="142"/>
      <c r="K593" s="358"/>
      <c r="L593" s="142"/>
      <c r="M593" s="327"/>
      <c r="N593" s="121"/>
      <c r="O593" s="327"/>
      <c r="P593" s="121"/>
      <c r="Q593" s="359"/>
      <c r="R593" s="359"/>
      <c r="S593" s="17"/>
      <c r="T593" s="17"/>
      <c r="U593" s="17"/>
      <c r="V593" s="17"/>
    </row>
    <row r="594">
      <c r="A594" s="327"/>
      <c r="B594" s="121"/>
      <c r="C594" s="327"/>
      <c r="D594" s="121"/>
      <c r="E594" s="327"/>
      <c r="F594" s="121"/>
      <c r="G594" s="327"/>
      <c r="H594" s="121"/>
      <c r="I594" s="358"/>
      <c r="J594" s="142"/>
      <c r="K594" s="358"/>
      <c r="L594" s="142"/>
      <c r="M594" s="327"/>
      <c r="N594" s="121"/>
      <c r="O594" s="327"/>
      <c r="P594" s="121"/>
      <c r="Q594" s="359"/>
      <c r="R594" s="359"/>
      <c r="S594" s="17"/>
      <c r="T594" s="17"/>
      <c r="U594" s="17"/>
      <c r="V594" s="17"/>
    </row>
    <row r="595">
      <c r="A595" s="327"/>
      <c r="B595" s="121"/>
      <c r="C595" s="327"/>
      <c r="D595" s="121"/>
      <c r="E595" s="327"/>
      <c r="F595" s="121"/>
      <c r="G595" s="327"/>
      <c r="H595" s="121"/>
      <c r="I595" s="358"/>
      <c r="J595" s="142"/>
      <c r="K595" s="358"/>
      <c r="L595" s="142"/>
      <c r="M595" s="327"/>
      <c r="N595" s="121"/>
      <c r="O595" s="327"/>
      <c r="P595" s="121"/>
      <c r="Q595" s="359"/>
      <c r="R595" s="359"/>
      <c r="S595" s="17"/>
      <c r="T595" s="17"/>
      <c r="U595" s="17"/>
      <c r="V595" s="17"/>
    </row>
    <row r="596">
      <c r="A596" s="327"/>
      <c r="B596" s="121"/>
      <c r="C596" s="327"/>
      <c r="D596" s="121"/>
      <c r="E596" s="327"/>
      <c r="F596" s="121"/>
      <c r="G596" s="327"/>
      <c r="H596" s="121"/>
      <c r="I596" s="358"/>
      <c r="J596" s="142"/>
      <c r="K596" s="358"/>
      <c r="L596" s="142"/>
      <c r="M596" s="327"/>
      <c r="N596" s="121"/>
      <c r="O596" s="327"/>
      <c r="P596" s="121"/>
      <c r="Q596" s="359"/>
      <c r="R596" s="359"/>
      <c r="S596" s="17"/>
      <c r="T596" s="17"/>
      <c r="U596" s="17"/>
      <c r="V596" s="17"/>
    </row>
    <row r="597">
      <c r="A597" s="327"/>
      <c r="B597" s="121"/>
      <c r="C597" s="327"/>
      <c r="D597" s="121"/>
      <c r="E597" s="327"/>
      <c r="F597" s="121"/>
      <c r="G597" s="327"/>
      <c r="H597" s="121"/>
      <c r="I597" s="358"/>
      <c r="J597" s="142"/>
      <c r="K597" s="358"/>
      <c r="L597" s="142"/>
      <c r="M597" s="327"/>
      <c r="N597" s="121"/>
      <c r="O597" s="327"/>
      <c r="P597" s="121"/>
      <c r="Q597" s="359"/>
      <c r="R597" s="359"/>
      <c r="S597" s="17"/>
      <c r="T597" s="17"/>
      <c r="U597" s="17"/>
      <c r="V597" s="17"/>
    </row>
    <row r="598">
      <c r="A598" s="327"/>
      <c r="B598" s="121"/>
      <c r="C598" s="327"/>
      <c r="D598" s="121"/>
      <c r="E598" s="327"/>
      <c r="F598" s="121"/>
      <c r="G598" s="327"/>
      <c r="H598" s="121"/>
      <c r="I598" s="358"/>
      <c r="J598" s="142"/>
      <c r="K598" s="358"/>
      <c r="L598" s="142"/>
      <c r="M598" s="327"/>
      <c r="N598" s="121"/>
      <c r="O598" s="327"/>
      <c r="P598" s="121"/>
      <c r="Q598" s="359"/>
      <c r="R598" s="359"/>
      <c r="S598" s="17"/>
      <c r="T598" s="17"/>
      <c r="U598" s="17"/>
      <c r="V598" s="17"/>
    </row>
    <row r="599">
      <c r="A599" s="327"/>
      <c r="B599" s="121"/>
      <c r="C599" s="327"/>
      <c r="D599" s="121"/>
      <c r="E599" s="327"/>
      <c r="F599" s="121"/>
      <c r="G599" s="327"/>
      <c r="H599" s="121"/>
      <c r="I599" s="358"/>
      <c r="J599" s="142"/>
      <c r="K599" s="358"/>
      <c r="L599" s="142"/>
      <c r="M599" s="327"/>
      <c r="N599" s="121"/>
      <c r="O599" s="327"/>
      <c r="P599" s="121"/>
      <c r="Q599" s="359"/>
      <c r="R599" s="359"/>
      <c r="S599" s="17"/>
      <c r="T599" s="17"/>
      <c r="U599" s="17"/>
      <c r="V599" s="17"/>
    </row>
    <row r="600">
      <c r="A600" s="327"/>
      <c r="B600" s="121"/>
      <c r="C600" s="327"/>
      <c r="D600" s="121"/>
      <c r="E600" s="327"/>
      <c r="F600" s="121"/>
      <c r="G600" s="327"/>
      <c r="H600" s="121"/>
      <c r="I600" s="358"/>
      <c r="J600" s="142"/>
      <c r="K600" s="358"/>
      <c r="L600" s="142"/>
      <c r="M600" s="327"/>
      <c r="N600" s="121"/>
      <c r="O600" s="327"/>
      <c r="P600" s="121"/>
      <c r="Q600" s="359"/>
      <c r="R600" s="359"/>
      <c r="S600" s="17"/>
      <c r="T600" s="17"/>
      <c r="U600" s="17"/>
      <c r="V600" s="17"/>
    </row>
    <row r="601">
      <c r="A601" s="327"/>
      <c r="B601" s="121"/>
      <c r="C601" s="327"/>
      <c r="D601" s="121"/>
      <c r="E601" s="327"/>
      <c r="F601" s="121"/>
      <c r="G601" s="327"/>
      <c r="H601" s="121"/>
      <c r="I601" s="358"/>
      <c r="J601" s="142"/>
      <c r="K601" s="358"/>
      <c r="L601" s="142"/>
      <c r="M601" s="327"/>
      <c r="N601" s="121"/>
      <c r="O601" s="327"/>
      <c r="P601" s="121"/>
      <c r="Q601" s="359"/>
      <c r="R601" s="359"/>
      <c r="S601" s="17"/>
      <c r="T601" s="17"/>
      <c r="U601" s="17"/>
      <c r="V601" s="17"/>
    </row>
    <row r="602">
      <c r="A602" s="327"/>
      <c r="B602" s="121"/>
      <c r="C602" s="327"/>
      <c r="D602" s="121"/>
      <c r="E602" s="327"/>
      <c r="F602" s="121"/>
      <c r="G602" s="327"/>
      <c r="H602" s="121"/>
      <c r="I602" s="358"/>
      <c r="J602" s="142"/>
      <c r="K602" s="358"/>
      <c r="L602" s="142"/>
      <c r="M602" s="327"/>
      <c r="N602" s="121"/>
      <c r="O602" s="327"/>
      <c r="P602" s="121"/>
      <c r="Q602" s="359"/>
      <c r="R602" s="359"/>
      <c r="S602" s="17"/>
      <c r="T602" s="17"/>
      <c r="U602" s="17"/>
      <c r="V602" s="17"/>
    </row>
    <row r="603">
      <c r="A603" s="327"/>
      <c r="B603" s="121"/>
      <c r="C603" s="327"/>
      <c r="D603" s="121"/>
      <c r="E603" s="327"/>
      <c r="F603" s="121"/>
      <c r="G603" s="327"/>
      <c r="H603" s="121"/>
      <c r="I603" s="358"/>
      <c r="J603" s="142"/>
      <c r="K603" s="358"/>
      <c r="L603" s="142"/>
      <c r="M603" s="327"/>
      <c r="N603" s="121"/>
      <c r="O603" s="327"/>
      <c r="P603" s="121"/>
      <c r="Q603" s="359"/>
      <c r="R603" s="359"/>
      <c r="S603" s="17"/>
      <c r="T603" s="17"/>
      <c r="U603" s="17"/>
      <c r="V603" s="17"/>
    </row>
    <row r="604">
      <c r="A604" s="327"/>
      <c r="B604" s="121"/>
      <c r="C604" s="327"/>
      <c r="D604" s="121"/>
      <c r="E604" s="327"/>
      <c r="F604" s="121"/>
      <c r="G604" s="327"/>
      <c r="H604" s="121"/>
      <c r="I604" s="358"/>
      <c r="J604" s="142"/>
      <c r="K604" s="358"/>
      <c r="L604" s="142"/>
      <c r="M604" s="327"/>
      <c r="N604" s="121"/>
      <c r="O604" s="327"/>
      <c r="P604" s="121"/>
      <c r="Q604" s="359"/>
      <c r="R604" s="359"/>
      <c r="S604" s="17"/>
      <c r="T604" s="17"/>
      <c r="U604" s="17"/>
      <c r="V604" s="17"/>
    </row>
    <row r="605">
      <c r="A605" s="327"/>
      <c r="B605" s="121"/>
      <c r="C605" s="327"/>
      <c r="D605" s="121"/>
      <c r="E605" s="327"/>
      <c r="F605" s="121"/>
      <c r="G605" s="327"/>
      <c r="H605" s="121"/>
      <c r="I605" s="358"/>
      <c r="J605" s="142"/>
      <c r="K605" s="358"/>
      <c r="L605" s="142"/>
      <c r="M605" s="327"/>
      <c r="N605" s="121"/>
      <c r="O605" s="327"/>
      <c r="P605" s="121"/>
      <c r="Q605" s="359"/>
      <c r="R605" s="359"/>
      <c r="S605" s="17"/>
      <c r="T605" s="17"/>
      <c r="U605" s="17"/>
      <c r="V605" s="17"/>
    </row>
    <row r="606">
      <c r="A606" s="327"/>
      <c r="B606" s="121"/>
      <c r="C606" s="327"/>
      <c r="D606" s="121"/>
      <c r="E606" s="327"/>
      <c r="F606" s="121"/>
      <c r="G606" s="327"/>
      <c r="H606" s="121"/>
      <c r="I606" s="358"/>
      <c r="J606" s="142"/>
      <c r="K606" s="358"/>
      <c r="L606" s="142"/>
      <c r="M606" s="327"/>
      <c r="N606" s="121"/>
      <c r="O606" s="327"/>
      <c r="P606" s="121"/>
      <c r="Q606" s="359"/>
      <c r="R606" s="359"/>
      <c r="S606" s="17"/>
      <c r="T606" s="17"/>
      <c r="U606" s="17"/>
      <c r="V606" s="17"/>
    </row>
    <row r="607">
      <c r="A607" s="327"/>
      <c r="B607" s="121"/>
      <c r="C607" s="327"/>
      <c r="D607" s="121"/>
      <c r="E607" s="327"/>
      <c r="F607" s="121"/>
      <c r="G607" s="327"/>
      <c r="H607" s="121"/>
      <c r="I607" s="358"/>
      <c r="J607" s="142"/>
      <c r="K607" s="358"/>
      <c r="L607" s="142"/>
      <c r="M607" s="327"/>
      <c r="N607" s="121"/>
      <c r="O607" s="327"/>
      <c r="P607" s="121"/>
      <c r="Q607" s="359"/>
      <c r="R607" s="359"/>
      <c r="S607" s="17"/>
      <c r="T607" s="17"/>
      <c r="U607" s="17"/>
      <c r="V607" s="17"/>
    </row>
    <row r="608">
      <c r="A608" s="327"/>
      <c r="B608" s="121"/>
      <c r="C608" s="327"/>
      <c r="D608" s="121"/>
      <c r="E608" s="327"/>
      <c r="F608" s="121"/>
      <c r="G608" s="327"/>
      <c r="H608" s="121"/>
      <c r="I608" s="358"/>
      <c r="J608" s="142"/>
      <c r="K608" s="358"/>
      <c r="L608" s="142"/>
      <c r="M608" s="327"/>
      <c r="N608" s="121"/>
      <c r="O608" s="327"/>
      <c r="P608" s="121"/>
      <c r="Q608" s="359"/>
      <c r="R608" s="359"/>
      <c r="S608" s="17"/>
      <c r="T608" s="17"/>
      <c r="U608" s="17"/>
      <c r="V608" s="17"/>
    </row>
    <row r="609">
      <c r="A609" s="327"/>
      <c r="B609" s="121"/>
      <c r="C609" s="327"/>
      <c r="D609" s="121"/>
      <c r="E609" s="327"/>
      <c r="F609" s="121"/>
      <c r="G609" s="327"/>
      <c r="H609" s="121"/>
      <c r="I609" s="358"/>
      <c r="J609" s="142"/>
      <c r="K609" s="358"/>
      <c r="L609" s="142"/>
      <c r="M609" s="327"/>
      <c r="N609" s="121"/>
      <c r="O609" s="327"/>
      <c r="P609" s="121"/>
      <c r="Q609" s="359"/>
      <c r="R609" s="359"/>
      <c r="S609" s="17"/>
      <c r="T609" s="17"/>
      <c r="U609" s="17"/>
      <c r="V609" s="17"/>
    </row>
    <row r="610">
      <c r="A610" s="327"/>
      <c r="B610" s="121"/>
      <c r="C610" s="327"/>
      <c r="D610" s="121"/>
      <c r="E610" s="327"/>
      <c r="F610" s="121"/>
      <c r="G610" s="327"/>
      <c r="H610" s="121"/>
      <c r="I610" s="358"/>
      <c r="J610" s="142"/>
      <c r="K610" s="358"/>
      <c r="L610" s="142"/>
      <c r="M610" s="327"/>
      <c r="N610" s="121"/>
      <c r="O610" s="327"/>
      <c r="P610" s="121"/>
      <c r="Q610" s="359"/>
      <c r="R610" s="359"/>
      <c r="S610" s="17"/>
      <c r="T610" s="17"/>
      <c r="U610" s="17"/>
      <c r="V610" s="17"/>
    </row>
    <row r="611">
      <c r="A611" s="327"/>
      <c r="B611" s="121"/>
      <c r="C611" s="327"/>
      <c r="D611" s="121"/>
      <c r="E611" s="327"/>
      <c r="F611" s="121"/>
      <c r="G611" s="327"/>
      <c r="H611" s="121"/>
      <c r="I611" s="358"/>
      <c r="J611" s="142"/>
      <c r="K611" s="358"/>
      <c r="L611" s="142"/>
      <c r="M611" s="327"/>
      <c r="N611" s="121"/>
      <c r="O611" s="327"/>
      <c r="P611" s="121"/>
      <c r="Q611" s="359"/>
      <c r="R611" s="359"/>
      <c r="S611" s="17"/>
      <c r="T611" s="17"/>
      <c r="U611" s="17"/>
      <c r="V611" s="17"/>
    </row>
    <row r="612">
      <c r="A612" s="327"/>
      <c r="B612" s="121"/>
      <c r="C612" s="327"/>
      <c r="D612" s="121"/>
      <c r="E612" s="327"/>
      <c r="F612" s="121"/>
      <c r="G612" s="327"/>
      <c r="H612" s="121"/>
      <c r="I612" s="358"/>
      <c r="J612" s="142"/>
      <c r="K612" s="358"/>
      <c r="L612" s="142"/>
      <c r="M612" s="327"/>
      <c r="N612" s="121"/>
      <c r="O612" s="327"/>
      <c r="P612" s="121"/>
      <c r="Q612" s="359"/>
      <c r="R612" s="359"/>
      <c r="S612" s="17"/>
      <c r="T612" s="17"/>
      <c r="U612" s="17"/>
      <c r="V612" s="17"/>
    </row>
    <row r="613">
      <c r="A613" s="327"/>
      <c r="B613" s="121"/>
      <c r="C613" s="327"/>
      <c r="D613" s="121"/>
      <c r="E613" s="327"/>
      <c r="F613" s="121"/>
      <c r="G613" s="327"/>
      <c r="H613" s="121"/>
      <c r="I613" s="358"/>
      <c r="J613" s="142"/>
      <c r="K613" s="358"/>
      <c r="L613" s="142"/>
      <c r="M613" s="327"/>
      <c r="N613" s="121"/>
      <c r="O613" s="327"/>
      <c r="P613" s="121"/>
      <c r="Q613" s="359"/>
      <c r="R613" s="359"/>
      <c r="S613" s="17"/>
      <c r="T613" s="17"/>
      <c r="U613" s="17"/>
      <c r="V613" s="17"/>
    </row>
    <row r="614">
      <c r="A614" s="327"/>
      <c r="B614" s="121"/>
      <c r="C614" s="327"/>
      <c r="D614" s="121"/>
      <c r="E614" s="327"/>
      <c r="F614" s="121"/>
      <c r="G614" s="327"/>
      <c r="H614" s="121"/>
      <c r="I614" s="358"/>
      <c r="J614" s="142"/>
      <c r="K614" s="358"/>
      <c r="L614" s="142"/>
      <c r="M614" s="327"/>
      <c r="N614" s="121"/>
      <c r="O614" s="327"/>
      <c r="P614" s="121"/>
      <c r="Q614" s="359"/>
      <c r="R614" s="359"/>
      <c r="S614" s="17"/>
      <c r="T614" s="17"/>
      <c r="U614" s="17"/>
      <c r="V614" s="17"/>
    </row>
    <row r="615">
      <c r="A615" s="327"/>
      <c r="B615" s="121"/>
      <c r="C615" s="327"/>
      <c r="D615" s="121"/>
      <c r="E615" s="327"/>
      <c r="F615" s="121"/>
      <c r="G615" s="327"/>
      <c r="H615" s="121"/>
      <c r="I615" s="358"/>
      <c r="J615" s="142"/>
      <c r="K615" s="358"/>
      <c r="L615" s="142"/>
      <c r="M615" s="327"/>
      <c r="N615" s="121"/>
      <c r="O615" s="327"/>
      <c r="P615" s="121"/>
      <c r="Q615" s="359"/>
      <c r="R615" s="359"/>
      <c r="S615" s="17"/>
      <c r="T615" s="17"/>
      <c r="U615" s="17"/>
      <c r="V615" s="17"/>
    </row>
    <row r="616">
      <c r="A616" s="327"/>
      <c r="B616" s="121"/>
      <c r="C616" s="327"/>
      <c r="D616" s="121"/>
      <c r="E616" s="327"/>
      <c r="F616" s="121"/>
      <c r="G616" s="327"/>
      <c r="H616" s="121"/>
      <c r="I616" s="358"/>
      <c r="J616" s="142"/>
      <c r="K616" s="358"/>
      <c r="L616" s="142"/>
      <c r="M616" s="327"/>
      <c r="N616" s="121"/>
      <c r="O616" s="327"/>
      <c r="P616" s="121"/>
      <c r="Q616" s="359"/>
      <c r="R616" s="359"/>
      <c r="S616" s="17"/>
      <c r="T616" s="17"/>
      <c r="U616" s="17"/>
      <c r="V616" s="17"/>
    </row>
    <row r="617">
      <c r="A617" s="327"/>
      <c r="B617" s="121"/>
      <c r="C617" s="327"/>
      <c r="D617" s="121"/>
      <c r="E617" s="327"/>
      <c r="F617" s="121"/>
      <c r="G617" s="327"/>
      <c r="H617" s="121"/>
      <c r="I617" s="358"/>
      <c r="J617" s="142"/>
      <c r="K617" s="358"/>
      <c r="L617" s="142"/>
      <c r="M617" s="327"/>
      <c r="N617" s="121"/>
      <c r="O617" s="327"/>
      <c r="P617" s="121"/>
      <c r="Q617" s="359"/>
      <c r="R617" s="359"/>
      <c r="S617" s="17"/>
      <c r="T617" s="17"/>
      <c r="U617" s="17"/>
      <c r="V617" s="17"/>
    </row>
    <row r="618">
      <c r="A618" s="327"/>
      <c r="B618" s="121"/>
      <c r="C618" s="327"/>
      <c r="D618" s="121"/>
      <c r="E618" s="327"/>
      <c r="F618" s="121"/>
      <c r="G618" s="327"/>
      <c r="H618" s="121"/>
      <c r="I618" s="358"/>
      <c r="J618" s="142"/>
      <c r="K618" s="358"/>
      <c r="L618" s="142"/>
      <c r="M618" s="327"/>
      <c r="N618" s="121"/>
      <c r="O618" s="327"/>
      <c r="P618" s="121"/>
      <c r="Q618" s="359"/>
      <c r="R618" s="359"/>
      <c r="S618" s="17"/>
      <c r="T618" s="17"/>
      <c r="U618" s="17"/>
      <c r="V618" s="17"/>
    </row>
    <row r="619">
      <c r="A619" s="327"/>
      <c r="B619" s="121"/>
      <c r="C619" s="327"/>
      <c r="D619" s="121"/>
      <c r="E619" s="327"/>
      <c r="F619" s="121"/>
      <c r="G619" s="327"/>
      <c r="H619" s="121"/>
      <c r="I619" s="358"/>
      <c r="J619" s="142"/>
      <c r="K619" s="358"/>
      <c r="L619" s="142"/>
      <c r="M619" s="327"/>
      <c r="N619" s="121"/>
      <c r="O619" s="327"/>
      <c r="P619" s="121"/>
      <c r="Q619" s="359"/>
      <c r="R619" s="359"/>
      <c r="S619" s="17"/>
      <c r="T619" s="17"/>
      <c r="U619" s="17"/>
      <c r="V619" s="17"/>
    </row>
    <row r="620">
      <c r="A620" s="327"/>
      <c r="B620" s="121"/>
      <c r="C620" s="327"/>
      <c r="D620" s="121"/>
      <c r="E620" s="327"/>
      <c r="F620" s="121"/>
      <c r="G620" s="327"/>
      <c r="H620" s="121"/>
      <c r="I620" s="358"/>
      <c r="J620" s="142"/>
      <c r="K620" s="358"/>
      <c r="L620" s="142"/>
      <c r="M620" s="327"/>
      <c r="N620" s="121"/>
      <c r="O620" s="327"/>
      <c r="P620" s="121"/>
      <c r="Q620" s="359"/>
      <c r="R620" s="359"/>
      <c r="S620" s="17"/>
      <c r="T620" s="17"/>
      <c r="U620" s="17"/>
      <c r="V620" s="17"/>
    </row>
    <row r="621">
      <c r="A621" s="327"/>
      <c r="B621" s="121"/>
      <c r="C621" s="327"/>
      <c r="D621" s="121"/>
      <c r="E621" s="327"/>
      <c r="F621" s="121"/>
      <c r="G621" s="327"/>
      <c r="H621" s="121"/>
      <c r="I621" s="358"/>
      <c r="J621" s="142"/>
      <c r="K621" s="358"/>
      <c r="L621" s="142"/>
      <c r="M621" s="327"/>
      <c r="N621" s="121"/>
      <c r="O621" s="327"/>
      <c r="P621" s="121"/>
      <c r="Q621" s="359"/>
      <c r="R621" s="359"/>
      <c r="S621" s="17"/>
      <c r="T621" s="17"/>
      <c r="U621" s="17"/>
      <c r="V621" s="17"/>
    </row>
    <row r="622">
      <c r="A622" s="327"/>
      <c r="B622" s="121"/>
      <c r="C622" s="327"/>
      <c r="D622" s="121"/>
      <c r="E622" s="327"/>
      <c r="F622" s="121"/>
      <c r="G622" s="327"/>
      <c r="H622" s="121"/>
      <c r="I622" s="358"/>
      <c r="J622" s="142"/>
      <c r="K622" s="358"/>
      <c r="L622" s="142"/>
      <c r="M622" s="327"/>
      <c r="N622" s="121"/>
      <c r="O622" s="327"/>
      <c r="P622" s="121"/>
      <c r="Q622" s="359"/>
      <c r="R622" s="359"/>
      <c r="S622" s="17"/>
      <c r="T622" s="17"/>
      <c r="U622" s="17"/>
      <c r="V622" s="17"/>
    </row>
    <row r="623">
      <c r="A623" s="327"/>
      <c r="B623" s="121"/>
      <c r="C623" s="327"/>
      <c r="D623" s="121"/>
      <c r="E623" s="327"/>
      <c r="F623" s="121"/>
      <c r="G623" s="327"/>
      <c r="H623" s="121"/>
      <c r="I623" s="358"/>
      <c r="J623" s="142"/>
      <c r="K623" s="358"/>
      <c r="L623" s="142"/>
      <c r="M623" s="327"/>
      <c r="N623" s="121"/>
      <c r="O623" s="327"/>
      <c r="P623" s="121"/>
      <c r="Q623" s="359"/>
      <c r="R623" s="359"/>
      <c r="S623" s="17"/>
      <c r="T623" s="17"/>
      <c r="U623" s="17"/>
      <c r="V623" s="17"/>
    </row>
    <row r="624">
      <c r="A624" s="327"/>
      <c r="B624" s="121"/>
      <c r="C624" s="327"/>
      <c r="D624" s="121"/>
      <c r="E624" s="327"/>
      <c r="F624" s="121"/>
      <c r="G624" s="327"/>
      <c r="H624" s="121"/>
      <c r="I624" s="358"/>
      <c r="J624" s="142"/>
      <c r="K624" s="358"/>
      <c r="L624" s="142"/>
      <c r="M624" s="327"/>
      <c r="N624" s="121"/>
      <c r="O624" s="327"/>
      <c r="P624" s="121"/>
      <c r="Q624" s="359"/>
      <c r="R624" s="359"/>
      <c r="S624" s="17"/>
      <c r="T624" s="17"/>
      <c r="U624" s="17"/>
      <c r="V624" s="17"/>
    </row>
    <row r="625">
      <c r="A625" s="327"/>
      <c r="B625" s="121"/>
      <c r="C625" s="327"/>
      <c r="D625" s="121"/>
      <c r="E625" s="327"/>
      <c r="F625" s="121"/>
      <c r="G625" s="327"/>
      <c r="H625" s="121"/>
      <c r="I625" s="358"/>
      <c r="J625" s="142"/>
      <c r="K625" s="358"/>
      <c r="L625" s="142"/>
      <c r="M625" s="327"/>
      <c r="N625" s="121"/>
      <c r="O625" s="327"/>
      <c r="P625" s="121"/>
      <c r="Q625" s="359"/>
      <c r="R625" s="359"/>
      <c r="S625" s="17"/>
      <c r="T625" s="17"/>
      <c r="U625" s="17"/>
      <c r="V625" s="17"/>
    </row>
    <row r="626">
      <c r="A626" s="327"/>
      <c r="B626" s="121"/>
      <c r="C626" s="327"/>
      <c r="D626" s="121"/>
      <c r="E626" s="327"/>
      <c r="F626" s="121"/>
      <c r="G626" s="327"/>
      <c r="H626" s="121"/>
      <c r="I626" s="358"/>
      <c r="J626" s="142"/>
      <c r="K626" s="358"/>
      <c r="L626" s="142"/>
      <c r="M626" s="327"/>
      <c r="N626" s="121"/>
      <c r="O626" s="327"/>
      <c r="P626" s="121"/>
      <c r="Q626" s="359"/>
      <c r="R626" s="359"/>
      <c r="S626" s="17"/>
      <c r="T626" s="17"/>
      <c r="U626" s="17"/>
      <c r="V626" s="17"/>
    </row>
    <row r="627">
      <c r="A627" s="327"/>
      <c r="B627" s="121"/>
      <c r="C627" s="327"/>
      <c r="D627" s="121"/>
      <c r="E627" s="327"/>
      <c r="F627" s="121"/>
      <c r="G627" s="327"/>
      <c r="H627" s="121"/>
      <c r="I627" s="358"/>
      <c r="J627" s="142"/>
      <c r="K627" s="358"/>
      <c r="L627" s="142"/>
      <c r="M627" s="327"/>
      <c r="N627" s="121"/>
      <c r="O627" s="327"/>
      <c r="P627" s="121"/>
      <c r="Q627" s="359"/>
      <c r="R627" s="359"/>
      <c r="S627" s="17"/>
      <c r="T627" s="17"/>
      <c r="U627" s="17"/>
      <c r="V627" s="17"/>
    </row>
    <row r="628">
      <c r="A628" s="327"/>
      <c r="B628" s="121"/>
      <c r="C628" s="327"/>
      <c r="D628" s="121"/>
      <c r="E628" s="327"/>
      <c r="F628" s="121"/>
      <c r="G628" s="327"/>
      <c r="H628" s="121"/>
      <c r="I628" s="358"/>
      <c r="J628" s="142"/>
      <c r="K628" s="358"/>
      <c r="L628" s="142"/>
      <c r="M628" s="327"/>
      <c r="N628" s="121"/>
      <c r="O628" s="327"/>
      <c r="P628" s="121"/>
      <c r="Q628" s="359"/>
      <c r="R628" s="359"/>
      <c r="S628" s="17"/>
      <c r="T628" s="17"/>
      <c r="U628" s="17"/>
      <c r="V628" s="17"/>
    </row>
    <row r="629">
      <c r="A629" s="327"/>
      <c r="B629" s="121"/>
      <c r="C629" s="327"/>
      <c r="D629" s="121"/>
      <c r="E629" s="327"/>
      <c r="F629" s="121"/>
      <c r="G629" s="327"/>
      <c r="H629" s="121"/>
      <c r="I629" s="358"/>
      <c r="J629" s="142"/>
      <c r="K629" s="358"/>
      <c r="L629" s="142"/>
      <c r="M629" s="327"/>
      <c r="N629" s="121"/>
      <c r="O629" s="327"/>
      <c r="P629" s="121"/>
      <c r="Q629" s="359"/>
      <c r="R629" s="359"/>
      <c r="S629" s="17"/>
      <c r="T629" s="17"/>
      <c r="U629" s="17"/>
      <c r="V629" s="17"/>
    </row>
    <row r="630">
      <c r="A630" s="327"/>
      <c r="B630" s="121"/>
      <c r="C630" s="327"/>
      <c r="D630" s="121"/>
      <c r="E630" s="327"/>
      <c r="F630" s="121"/>
      <c r="G630" s="327"/>
      <c r="H630" s="121"/>
      <c r="I630" s="358"/>
      <c r="J630" s="142"/>
      <c r="K630" s="358"/>
      <c r="L630" s="142"/>
      <c r="M630" s="327"/>
      <c r="N630" s="121"/>
      <c r="O630" s="327"/>
      <c r="P630" s="121"/>
      <c r="Q630" s="359"/>
      <c r="R630" s="359"/>
      <c r="S630" s="17"/>
      <c r="T630" s="17"/>
      <c r="U630" s="17"/>
      <c r="V630" s="17"/>
    </row>
    <row r="631">
      <c r="A631" s="327"/>
      <c r="B631" s="121"/>
      <c r="C631" s="327"/>
      <c r="D631" s="121"/>
      <c r="E631" s="327"/>
      <c r="F631" s="121"/>
      <c r="G631" s="327"/>
      <c r="H631" s="121"/>
      <c r="I631" s="358"/>
      <c r="J631" s="142"/>
      <c r="K631" s="358"/>
      <c r="L631" s="142"/>
      <c r="M631" s="327"/>
      <c r="N631" s="121"/>
      <c r="O631" s="327"/>
      <c r="P631" s="121"/>
      <c r="Q631" s="359"/>
      <c r="R631" s="359"/>
      <c r="S631" s="17"/>
      <c r="T631" s="17"/>
      <c r="U631" s="17"/>
      <c r="V631" s="17"/>
    </row>
    <row r="632">
      <c r="A632" s="327"/>
      <c r="B632" s="121"/>
      <c r="C632" s="327"/>
      <c r="D632" s="121"/>
      <c r="E632" s="327"/>
      <c r="F632" s="121"/>
      <c r="G632" s="327"/>
      <c r="H632" s="121"/>
      <c r="I632" s="358"/>
      <c r="J632" s="142"/>
      <c r="K632" s="358"/>
      <c r="L632" s="142"/>
      <c r="M632" s="327"/>
      <c r="N632" s="121"/>
      <c r="O632" s="327"/>
      <c r="P632" s="121"/>
      <c r="Q632" s="359"/>
      <c r="R632" s="359"/>
      <c r="S632" s="17"/>
      <c r="T632" s="17"/>
      <c r="U632" s="17"/>
      <c r="V632" s="17"/>
    </row>
    <row r="633">
      <c r="A633" s="327"/>
      <c r="B633" s="121"/>
      <c r="C633" s="327"/>
      <c r="D633" s="121"/>
      <c r="E633" s="327"/>
      <c r="F633" s="121"/>
      <c r="G633" s="327"/>
      <c r="H633" s="121"/>
      <c r="I633" s="358"/>
      <c r="J633" s="142"/>
      <c r="K633" s="358"/>
      <c r="L633" s="142"/>
      <c r="M633" s="327"/>
      <c r="N633" s="121"/>
      <c r="O633" s="327"/>
      <c r="P633" s="121"/>
      <c r="Q633" s="359"/>
      <c r="R633" s="359"/>
      <c r="S633" s="17"/>
      <c r="T633" s="17"/>
      <c r="U633" s="17"/>
      <c r="V633" s="17"/>
    </row>
    <row r="634">
      <c r="A634" s="327"/>
      <c r="B634" s="121"/>
      <c r="C634" s="327"/>
      <c r="D634" s="121"/>
      <c r="E634" s="327"/>
      <c r="F634" s="121"/>
      <c r="G634" s="327"/>
      <c r="H634" s="121"/>
      <c r="I634" s="358"/>
      <c r="J634" s="142"/>
      <c r="K634" s="358"/>
      <c r="L634" s="142"/>
      <c r="M634" s="327"/>
      <c r="N634" s="121"/>
      <c r="O634" s="327"/>
      <c r="P634" s="121"/>
      <c r="Q634" s="359"/>
      <c r="R634" s="359"/>
      <c r="S634" s="17"/>
      <c r="T634" s="17"/>
      <c r="U634" s="17"/>
      <c r="V634" s="17"/>
    </row>
    <row r="635">
      <c r="A635" s="327"/>
      <c r="B635" s="121"/>
      <c r="C635" s="327"/>
      <c r="D635" s="121"/>
      <c r="E635" s="327"/>
      <c r="F635" s="121"/>
      <c r="G635" s="327"/>
      <c r="H635" s="121"/>
      <c r="I635" s="358"/>
      <c r="J635" s="142"/>
      <c r="K635" s="358"/>
      <c r="L635" s="142"/>
      <c r="M635" s="327"/>
      <c r="N635" s="121"/>
      <c r="O635" s="327"/>
      <c r="P635" s="121"/>
      <c r="Q635" s="359"/>
      <c r="R635" s="359"/>
      <c r="S635" s="17"/>
      <c r="T635" s="17"/>
      <c r="U635" s="17"/>
      <c r="V635" s="17"/>
    </row>
    <row r="636">
      <c r="A636" s="327"/>
      <c r="B636" s="121"/>
      <c r="C636" s="327"/>
      <c r="D636" s="121"/>
      <c r="E636" s="327"/>
      <c r="F636" s="121"/>
      <c r="G636" s="327"/>
      <c r="H636" s="121"/>
      <c r="I636" s="358"/>
      <c r="J636" s="142"/>
      <c r="K636" s="358"/>
      <c r="L636" s="142"/>
      <c r="M636" s="327"/>
      <c r="N636" s="121"/>
      <c r="O636" s="327"/>
      <c r="P636" s="121"/>
      <c r="Q636" s="359"/>
      <c r="R636" s="359"/>
      <c r="S636" s="17"/>
      <c r="T636" s="17"/>
      <c r="U636" s="17"/>
      <c r="V636" s="17"/>
    </row>
    <row r="637">
      <c r="A637" s="327"/>
      <c r="B637" s="121"/>
      <c r="C637" s="327"/>
      <c r="D637" s="121"/>
      <c r="E637" s="327"/>
      <c r="F637" s="121"/>
      <c r="G637" s="327"/>
      <c r="H637" s="121"/>
      <c r="I637" s="358"/>
      <c r="J637" s="142"/>
      <c r="K637" s="358"/>
      <c r="L637" s="142"/>
      <c r="M637" s="327"/>
      <c r="N637" s="121"/>
      <c r="O637" s="327"/>
      <c r="P637" s="121"/>
      <c r="Q637" s="359"/>
      <c r="R637" s="359"/>
      <c r="S637" s="17"/>
      <c r="T637" s="17"/>
      <c r="U637" s="17"/>
      <c r="V637" s="17"/>
    </row>
    <row r="638">
      <c r="A638" s="327"/>
      <c r="B638" s="121"/>
      <c r="C638" s="327"/>
      <c r="D638" s="121"/>
      <c r="E638" s="327"/>
      <c r="F638" s="121"/>
      <c r="G638" s="327"/>
      <c r="H638" s="121"/>
      <c r="I638" s="358"/>
      <c r="J638" s="142"/>
      <c r="K638" s="358"/>
      <c r="L638" s="142"/>
      <c r="M638" s="327"/>
      <c r="N638" s="121"/>
      <c r="O638" s="327"/>
      <c r="P638" s="121"/>
      <c r="Q638" s="359"/>
      <c r="R638" s="359"/>
      <c r="S638" s="17"/>
      <c r="T638" s="17"/>
      <c r="U638" s="17"/>
      <c r="V638" s="17"/>
    </row>
    <row r="639">
      <c r="A639" s="327"/>
      <c r="B639" s="121"/>
      <c r="C639" s="327"/>
      <c r="D639" s="121"/>
      <c r="E639" s="327"/>
      <c r="F639" s="121"/>
      <c r="G639" s="327"/>
      <c r="H639" s="121"/>
      <c r="I639" s="358"/>
      <c r="J639" s="142"/>
      <c r="K639" s="358"/>
      <c r="L639" s="142"/>
      <c r="M639" s="327"/>
      <c r="N639" s="121"/>
      <c r="O639" s="327"/>
      <c r="P639" s="121"/>
      <c r="Q639" s="359"/>
      <c r="R639" s="359"/>
      <c r="S639" s="17"/>
      <c r="T639" s="17"/>
      <c r="U639" s="17"/>
      <c r="V639" s="17"/>
    </row>
    <row r="640">
      <c r="A640" s="327"/>
      <c r="B640" s="121"/>
      <c r="C640" s="327"/>
      <c r="D640" s="121"/>
      <c r="E640" s="327"/>
      <c r="F640" s="121"/>
      <c r="G640" s="327"/>
      <c r="H640" s="121"/>
      <c r="I640" s="358"/>
      <c r="J640" s="142"/>
      <c r="K640" s="358"/>
      <c r="L640" s="142"/>
      <c r="M640" s="327"/>
      <c r="N640" s="121"/>
      <c r="O640" s="327"/>
      <c r="P640" s="121"/>
      <c r="Q640" s="359"/>
      <c r="R640" s="359"/>
      <c r="S640" s="17"/>
      <c r="T640" s="17"/>
      <c r="U640" s="17"/>
      <c r="V640" s="17"/>
    </row>
    <row r="641">
      <c r="A641" s="327"/>
      <c r="B641" s="121"/>
      <c r="C641" s="327"/>
      <c r="D641" s="121"/>
      <c r="E641" s="327"/>
      <c r="F641" s="121"/>
      <c r="G641" s="327"/>
      <c r="H641" s="121"/>
      <c r="I641" s="358"/>
      <c r="J641" s="142"/>
      <c r="K641" s="358"/>
      <c r="L641" s="142"/>
      <c r="M641" s="327"/>
      <c r="N641" s="121"/>
      <c r="O641" s="327"/>
      <c r="P641" s="121"/>
      <c r="Q641" s="359"/>
      <c r="R641" s="359"/>
      <c r="S641" s="17"/>
      <c r="T641" s="17"/>
      <c r="U641" s="17"/>
      <c r="V641" s="17"/>
    </row>
    <row r="642">
      <c r="A642" s="327"/>
      <c r="B642" s="121"/>
      <c r="C642" s="327"/>
      <c r="D642" s="121"/>
      <c r="E642" s="327"/>
      <c r="F642" s="121"/>
      <c r="G642" s="327"/>
      <c r="H642" s="121"/>
      <c r="I642" s="358"/>
      <c r="J642" s="142"/>
      <c r="K642" s="358"/>
      <c r="L642" s="142"/>
      <c r="M642" s="327"/>
      <c r="N642" s="121"/>
      <c r="O642" s="327"/>
      <c r="P642" s="121"/>
      <c r="Q642" s="359"/>
      <c r="R642" s="359"/>
      <c r="S642" s="17"/>
      <c r="T642" s="17"/>
      <c r="U642" s="17"/>
      <c r="V642" s="17"/>
    </row>
    <row r="643">
      <c r="A643" s="327"/>
      <c r="B643" s="121"/>
      <c r="C643" s="327"/>
      <c r="D643" s="121"/>
      <c r="E643" s="327"/>
      <c r="F643" s="121"/>
      <c r="G643" s="327"/>
      <c r="H643" s="121"/>
      <c r="I643" s="358"/>
      <c r="J643" s="142"/>
      <c r="K643" s="358"/>
      <c r="L643" s="142"/>
      <c r="M643" s="327"/>
      <c r="N643" s="121"/>
      <c r="O643" s="327"/>
      <c r="P643" s="121"/>
      <c r="Q643" s="359"/>
      <c r="R643" s="359"/>
      <c r="S643" s="17"/>
      <c r="T643" s="17"/>
      <c r="U643" s="17"/>
      <c r="V643" s="17"/>
    </row>
    <row r="644">
      <c r="A644" s="327"/>
      <c r="B644" s="121"/>
      <c r="C644" s="327"/>
      <c r="D644" s="121"/>
      <c r="E644" s="327"/>
      <c r="F644" s="121"/>
      <c r="G644" s="327"/>
      <c r="H644" s="121"/>
      <c r="I644" s="358"/>
      <c r="J644" s="142"/>
      <c r="K644" s="358"/>
      <c r="L644" s="142"/>
      <c r="M644" s="327"/>
      <c r="N644" s="121"/>
      <c r="O644" s="327"/>
      <c r="P644" s="121"/>
      <c r="Q644" s="359"/>
      <c r="R644" s="359"/>
      <c r="S644" s="17"/>
      <c r="T644" s="17"/>
      <c r="U644" s="17"/>
      <c r="V644" s="17"/>
    </row>
    <row r="645">
      <c r="A645" s="327"/>
      <c r="B645" s="121"/>
      <c r="C645" s="327"/>
      <c r="D645" s="121"/>
      <c r="E645" s="327"/>
      <c r="F645" s="121"/>
      <c r="G645" s="327"/>
      <c r="H645" s="121"/>
      <c r="I645" s="358"/>
      <c r="J645" s="142"/>
      <c r="K645" s="358"/>
      <c r="L645" s="142"/>
      <c r="M645" s="327"/>
      <c r="N645" s="121"/>
      <c r="O645" s="327"/>
      <c r="P645" s="121"/>
      <c r="Q645" s="359"/>
      <c r="R645" s="359"/>
      <c r="S645" s="17"/>
      <c r="T645" s="17"/>
      <c r="U645" s="17"/>
      <c r="V645" s="17"/>
    </row>
    <row r="646">
      <c r="A646" s="327"/>
      <c r="B646" s="121"/>
      <c r="C646" s="327"/>
      <c r="D646" s="121"/>
      <c r="E646" s="327"/>
      <c r="F646" s="121"/>
      <c r="G646" s="327"/>
      <c r="H646" s="121"/>
      <c r="I646" s="358"/>
      <c r="J646" s="142"/>
      <c r="K646" s="358"/>
      <c r="L646" s="142"/>
      <c r="M646" s="327"/>
      <c r="N646" s="121"/>
      <c r="O646" s="327"/>
      <c r="P646" s="121"/>
      <c r="Q646" s="359"/>
      <c r="R646" s="359"/>
      <c r="S646" s="17"/>
      <c r="T646" s="17"/>
      <c r="U646" s="17"/>
      <c r="V646" s="17"/>
    </row>
    <row r="647">
      <c r="A647" s="327"/>
      <c r="B647" s="121"/>
      <c r="C647" s="327"/>
      <c r="D647" s="121"/>
      <c r="E647" s="327"/>
      <c r="F647" s="121"/>
      <c r="G647" s="327"/>
      <c r="H647" s="121"/>
      <c r="I647" s="358"/>
      <c r="J647" s="142"/>
      <c r="K647" s="358"/>
      <c r="L647" s="142"/>
      <c r="M647" s="327"/>
      <c r="N647" s="121"/>
      <c r="O647" s="327"/>
      <c r="P647" s="121"/>
      <c r="Q647" s="359"/>
      <c r="R647" s="359"/>
      <c r="S647" s="17"/>
      <c r="T647" s="17"/>
      <c r="U647" s="17"/>
      <c r="V647" s="17"/>
    </row>
    <row r="648">
      <c r="A648" s="327"/>
      <c r="B648" s="121"/>
      <c r="C648" s="327"/>
      <c r="D648" s="121"/>
      <c r="E648" s="327"/>
      <c r="F648" s="121"/>
      <c r="G648" s="327"/>
      <c r="H648" s="121"/>
      <c r="I648" s="358"/>
      <c r="J648" s="142"/>
      <c r="K648" s="358"/>
      <c r="L648" s="142"/>
      <c r="M648" s="327"/>
      <c r="N648" s="121"/>
      <c r="O648" s="327"/>
      <c r="P648" s="121"/>
      <c r="Q648" s="359"/>
      <c r="R648" s="359"/>
      <c r="S648" s="17"/>
      <c r="T648" s="17"/>
      <c r="U648" s="17"/>
      <c r="V648" s="17"/>
    </row>
    <row r="649">
      <c r="A649" s="327"/>
      <c r="B649" s="121"/>
      <c r="C649" s="327"/>
      <c r="D649" s="121"/>
      <c r="E649" s="327"/>
      <c r="F649" s="121"/>
      <c r="G649" s="327"/>
      <c r="H649" s="121"/>
      <c r="I649" s="358"/>
      <c r="J649" s="142"/>
      <c r="K649" s="358"/>
      <c r="L649" s="142"/>
      <c r="M649" s="327"/>
      <c r="N649" s="121"/>
      <c r="O649" s="327"/>
      <c r="P649" s="121"/>
      <c r="Q649" s="359"/>
      <c r="R649" s="359"/>
      <c r="S649" s="17"/>
      <c r="T649" s="17"/>
      <c r="U649" s="17"/>
      <c r="V649" s="17"/>
    </row>
    <row r="650">
      <c r="A650" s="327"/>
      <c r="B650" s="121"/>
      <c r="C650" s="327"/>
      <c r="D650" s="121"/>
      <c r="E650" s="327"/>
      <c r="F650" s="121"/>
      <c r="G650" s="327"/>
      <c r="H650" s="121"/>
      <c r="I650" s="358"/>
      <c r="J650" s="142"/>
      <c r="K650" s="358"/>
      <c r="L650" s="142"/>
      <c r="M650" s="327"/>
      <c r="N650" s="121"/>
      <c r="O650" s="327"/>
      <c r="P650" s="121"/>
      <c r="Q650" s="359"/>
      <c r="R650" s="359"/>
      <c r="S650" s="17"/>
      <c r="T650" s="17"/>
      <c r="U650" s="17"/>
      <c r="V650" s="17"/>
    </row>
    <row r="651">
      <c r="A651" s="327"/>
      <c r="B651" s="121"/>
      <c r="C651" s="327"/>
      <c r="D651" s="121"/>
      <c r="E651" s="327"/>
      <c r="F651" s="121"/>
      <c r="G651" s="327"/>
      <c r="H651" s="121"/>
      <c r="I651" s="358"/>
      <c r="J651" s="142"/>
      <c r="K651" s="358"/>
      <c r="L651" s="142"/>
      <c r="M651" s="327"/>
      <c r="N651" s="121"/>
      <c r="O651" s="327"/>
      <c r="P651" s="121"/>
      <c r="Q651" s="359"/>
      <c r="R651" s="359"/>
      <c r="S651" s="17"/>
      <c r="T651" s="17"/>
      <c r="U651" s="17"/>
      <c r="V651" s="17"/>
    </row>
    <row r="652">
      <c r="A652" s="327"/>
      <c r="B652" s="121"/>
      <c r="C652" s="327"/>
      <c r="D652" s="121"/>
      <c r="E652" s="327"/>
      <c r="F652" s="121"/>
      <c r="G652" s="327"/>
      <c r="H652" s="121"/>
      <c r="I652" s="358"/>
      <c r="J652" s="142"/>
      <c r="K652" s="358"/>
      <c r="L652" s="142"/>
      <c r="M652" s="327"/>
      <c r="N652" s="121"/>
      <c r="O652" s="327"/>
      <c r="P652" s="121"/>
      <c r="Q652" s="359"/>
      <c r="R652" s="359"/>
      <c r="S652" s="17"/>
      <c r="T652" s="17"/>
      <c r="U652" s="17"/>
      <c r="V652" s="17"/>
    </row>
    <row r="653">
      <c r="A653" s="327"/>
      <c r="B653" s="121"/>
      <c r="C653" s="327"/>
      <c r="D653" s="121"/>
      <c r="E653" s="327"/>
      <c r="F653" s="121"/>
      <c r="G653" s="327"/>
      <c r="H653" s="121"/>
      <c r="I653" s="358"/>
      <c r="J653" s="142"/>
      <c r="K653" s="358"/>
      <c r="L653" s="142"/>
      <c r="M653" s="327"/>
      <c r="N653" s="121"/>
      <c r="O653" s="327"/>
      <c r="P653" s="121"/>
      <c r="Q653" s="359"/>
      <c r="R653" s="359"/>
      <c r="S653" s="17"/>
      <c r="T653" s="17"/>
      <c r="U653" s="17"/>
      <c r="V653" s="17"/>
    </row>
    <row r="654">
      <c r="A654" s="327"/>
      <c r="B654" s="121"/>
      <c r="C654" s="327"/>
      <c r="D654" s="121"/>
      <c r="E654" s="327"/>
      <c r="F654" s="121"/>
      <c r="G654" s="327"/>
      <c r="H654" s="121"/>
      <c r="I654" s="358"/>
      <c r="J654" s="142"/>
      <c r="K654" s="358"/>
      <c r="L654" s="142"/>
      <c r="M654" s="327"/>
      <c r="N654" s="121"/>
      <c r="O654" s="327"/>
      <c r="P654" s="121"/>
      <c r="Q654" s="359"/>
      <c r="R654" s="359"/>
      <c r="S654" s="17"/>
      <c r="T654" s="17"/>
      <c r="U654" s="17"/>
      <c r="V654" s="17"/>
    </row>
    <row r="655">
      <c r="A655" s="327"/>
      <c r="B655" s="121"/>
      <c r="C655" s="327"/>
      <c r="D655" s="121"/>
      <c r="E655" s="327"/>
      <c r="F655" s="121"/>
      <c r="G655" s="327"/>
      <c r="H655" s="121"/>
      <c r="I655" s="358"/>
      <c r="J655" s="142"/>
      <c r="K655" s="358"/>
      <c r="L655" s="142"/>
      <c r="M655" s="327"/>
      <c r="N655" s="121"/>
      <c r="O655" s="327"/>
      <c r="P655" s="121"/>
      <c r="Q655" s="359"/>
      <c r="R655" s="359"/>
      <c r="S655" s="17"/>
      <c r="T655" s="17"/>
      <c r="U655" s="17"/>
      <c r="V655" s="17"/>
    </row>
    <row r="656">
      <c r="A656" s="327"/>
      <c r="B656" s="121"/>
      <c r="C656" s="327"/>
      <c r="D656" s="121"/>
      <c r="E656" s="327"/>
      <c r="F656" s="121"/>
      <c r="G656" s="327"/>
      <c r="H656" s="121"/>
      <c r="I656" s="358"/>
      <c r="J656" s="142"/>
      <c r="K656" s="358"/>
      <c r="L656" s="142"/>
      <c r="M656" s="327"/>
      <c r="N656" s="121"/>
      <c r="O656" s="327"/>
      <c r="P656" s="121"/>
      <c r="Q656" s="359"/>
      <c r="R656" s="359"/>
      <c r="S656" s="17"/>
      <c r="T656" s="17"/>
      <c r="U656" s="17"/>
      <c r="V656" s="17"/>
    </row>
    <row r="657">
      <c r="A657" s="327"/>
      <c r="B657" s="121"/>
      <c r="C657" s="327"/>
      <c r="D657" s="121"/>
      <c r="E657" s="327"/>
      <c r="F657" s="121"/>
      <c r="G657" s="327"/>
      <c r="H657" s="121"/>
      <c r="I657" s="358"/>
      <c r="J657" s="142"/>
      <c r="K657" s="358"/>
      <c r="L657" s="142"/>
      <c r="M657" s="327"/>
      <c r="N657" s="121"/>
      <c r="O657" s="327"/>
      <c r="P657" s="121"/>
      <c r="Q657" s="359"/>
      <c r="R657" s="359"/>
      <c r="S657" s="17"/>
      <c r="T657" s="17"/>
      <c r="U657" s="17"/>
      <c r="V657" s="17"/>
    </row>
    <row r="658">
      <c r="A658" s="327"/>
      <c r="B658" s="121"/>
      <c r="C658" s="327"/>
      <c r="D658" s="121"/>
      <c r="E658" s="327"/>
      <c r="F658" s="121"/>
      <c r="G658" s="327"/>
      <c r="H658" s="121"/>
      <c r="I658" s="358"/>
      <c r="J658" s="142"/>
      <c r="K658" s="358"/>
      <c r="L658" s="142"/>
      <c r="M658" s="327"/>
      <c r="N658" s="121"/>
      <c r="O658" s="327"/>
      <c r="P658" s="121"/>
      <c r="Q658" s="359"/>
      <c r="R658" s="359"/>
      <c r="S658" s="17"/>
      <c r="T658" s="17"/>
      <c r="U658" s="17"/>
      <c r="V658" s="17"/>
    </row>
    <row r="659">
      <c r="A659" s="327"/>
      <c r="B659" s="121"/>
      <c r="C659" s="327"/>
      <c r="D659" s="121"/>
      <c r="E659" s="327"/>
      <c r="F659" s="121"/>
      <c r="G659" s="327"/>
      <c r="H659" s="121"/>
      <c r="I659" s="358"/>
      <c r="J659" s="142"/>
      <c r="K659" s="358"/>
      <c r="L659" s="142"/>
      <c r="M659" s="327"/>
      <c r="N659" s="121"/>
      <c r="O659" s="327"/>
      <c r="P659" s="121"/>
      <c r="Q659" s="359"/>
      <c r="R659" s="359"/>
      <c r="S659" s="17"/>
      <c r="T659" s="17"/>
      <c r="U659" s="17"/>
      <c r="V659" s="17"/>
    </row>
    <row r="660">
      <c r="A660" s="327"/>
      <c r="B660" s="121"/>
      <c r="C660" s="327"/>
      <c r="D660" s="121"/>
      <c r="E660" s="327"/>
      <c r="F660" s="121"/>
      <c r="G660" s="327"/>
      <c r="H660" s="121"/>
      <c r="I660" s="358"/>
      <c r="J660" s="142"/>
      <c r="K660" s="358"/>
      <c r="L660" s="142"/>
      <c r="M660" s="327"/>
      <c r="N660" s="121"/>
      <c r="O660" s="327"/>
      <c r="P660" s="121"/>
      <c r="Q660" s="359"/>
      <c r="R660" s="359"/>
      <c r="S660" s="17"/>
      <c r="T660" s="17"/>
      <c r="U660" s="17"/>
      <c r="V660" s="17"/>
    </row>
    <row r="661">
      <c r="A661" s="327"/>
      <c r="B661" s="121"/>
      <c r="C661" s="327"/>
      <c r="D661" s="121"/>
      <c r="E661" s="327"/>
      <c r="F661" s="121"/>
      <c r="G661" s="327"/>
      <c r="H661" s="121"/>
      <c r="I661" s="358"/>
      <c r="J661" s="142"/>
      <c r="K661" s="358"/>
      <c r="L661" s="142"/>
      <c r="M661" s="327"/>
      <c r="N661" s="121"/>
      <c r="O661" s="327"/>
      <c r="P661" s="121"/>
      <c r="Q661" s="359"/>
      <c r="R661" s="359"/>
      <c r="S661" s="17"/>
      <c r="T661" s="17"/>
      <c r="U661" s="17"/>
      <c r="V661" s="17"/>
    </row>
    <row r="662">
      <c r="A662" s="327"/>
      <c r="B662" s="121"/>
      <c r="C662" s="327"/>
      <c r="D662" s="121"/>
      <c r="E662" s="327"/>
      <c r="F662" s="121"/>
      <c r="G662" s="327"/>
      <c r="H662" s="121"/>
      <c r="I662" s="358"/>
      <c r="J662" s="142"/>
      <c r="K662" s="358"/>
      <c r="L662" s="142"/>
      <c r="M662" s="327"/>
      <c r="N662" s="121"/>
      <c r="O662" s="327"/>
      <c r="P662" s="121"/>
      <c r="Q662" s="359"/>
      <c r="R662" s="359"/>
      <c r="S662" s="17"/>
      <c r="T662" s="17"/>
      <c r="U662" s="17"/>
      <c r="V662" s="17"/>
    </row>
    <row r="663">
      <c r="A663" s="327"/>
      <c r="B663" s="121"/>
      <c r="C663" s="327"/>
      <c r="D663" s="121"/>
      <c r="E663" s="327"/>
      <c r="F663" s="121"/>
      <c r="G663" s="327"/>
      <c r="H663" s="121"/>
      <c r="I663" s="358"/>
      <c r="J663" s="142"/>
      <c r="K663" s="358"/>
      <c r="L663" s="142"/>
      <c r="M663" s="327"/>
      <c r="N663" s="121"/>
      <c r="O663" s="327"/>
      <c r="P663" s="121"/>
      <c r="Q663" s="359"/>
      <c r="R663" s="359"/>
      <c r="S663" s="17"/>
      <c r="T663" s="17"/>
      <c r="U663" s="17"/>
      <c r="V663" s="17"/>
    </row>
    <row r="664">
      <c r="A664" s="327"/>
      <c r="B664" s="121"/>
      <c r="C664" s="327"/>
      <c r="D664" s="121"/>
      <c r="E664" s="327"/>
      <c r="F664" s="121"/>
      <c r="G664" s="327"/>
      <c r="H664" s="121"/>
      <c r="I664" s="358"/>
      <c r="J664" s="142"/>
      <c r="K664" s="358"/>
      <c r="L664" s="142"/>
      <c r="M664" s="327"/>
      <c r="N664" s="121"/>
      <c r="O664" s="327"/>
      <c r="P664" s="121"/>
      <c r="Q664" s="359"/>
      <c r="R664" s="359"/>
      <c r="S664" s="17"/>
      <c r="T664" s="17"/>
      <c r="U664" s="17"/>
      <c r="V664" s="17"/>
    </row>
    <row r="665">
      <c r="A665" s="327"/>
      <c r="B665" s="121"/>
      <c r="C665" s="327"/>
      <c r="D665" s="121"/>
      <c r="E665" s="327"/>
      <c r="F665" s="121"/>
      <c r="G665" s="327"/>
      <c r="H665" s="121"/>
      <c r="I665" s="358"/>
      <c r="J665" s="142"/>
      <c r="K665" s="358"/>
      <c r="L665" s="142"/>
      <c r="M665" s="327"/>
      <c r="N665" s="121"/>
      <c r="O665" s="327"/>
      <c r="P665" s="121"/>
      <c r="Q665" s="359"/>
      <c r="R665" s="359"/>
      <c r="S665" s="17"/>
      <c r="T665" s="17"/>
      <c r="U665" s="17"/>
      <c r="V665" s="17"/>
    </row>
    <row r="666">
      <c r="A666" s="327"/>
      <c r="B666" s="121"/>
      <c r="C666" s="327"/>
      <c r="D666" s="121"/>
      <c r="E666" s="327"/>
      <c r="F666" s="121"/>
      <c r="G666" s="327"/>
      <c r="H666" s="121"/>
      <c r="I666" s="358"/>
      <c r="J666" s="142"/>
      <c r="K666" s="358"/>
      <c r="L666" s="142"/>
      <c r="M666" s="327"/>
      <c r="N666" s="121"/>
      <c r="O666" s="327"/>
      <c r="P666" s="121"/>
      <c r="Q666" s="359"/>
      <c r="R666" s="359"/>
      <c r="S666" s="17"/>
      <c r="T666" s="17"/>
      <c r="U666" s="17"/>
      <c r="V666" s="17"/>
    </row>
    <row r="667">
      <c r="A667" s="327"/>
      <c r="B667" s="121"/>
      <c r="C667" s="327"/>
      <c r="D667" s="121"/>
      <c r="E667" s="327"/>
      <c r="F667" s="121"/>
      <c r="G667" s="327"/>
      <c r="H667" s="121"/>
      <c r="I667" s="358"/>
      <c r="J667" s="142"/>
      <c r="K667" s="358"/>
      <c r="L667" s="142"/>
      <c r="M667" s="327"/>
      <c r="N667" s="121"/>
      <c r="O667" s="327"/>
      <c r="P667" s="121"/>
      <c r="Q667" s="359"/>
      <c r="R667" s="359"/>
      <c r="S667" s="17"/>
      <c r="T667" s="17"/>
      <c r="U667" s="17"/>
      <c r="V667" s="17"/>
    </row>
    <row r="668">
      <c r="A668" s="327"/>
      <c r="B668" s="121"/>
      <c r="C668" s="327"/>
      <c r="D668" s="121"/>
      <c r="E668" s="327"/>
      <c r="F668" s="121"/>
      <c r="G668" s="327"/>
      <c r="H668" s="121"/>
      <c r="I668" s="358"/>
      <c r="J668" s="142"/>
      <c r="K668" s="358"/>
      <c r="L668" s="142"/>
      <c r="M668" s="327"/>
      <c r="N668" s="121"/>
      <c r="O668" s="327"/>
      <c r="P668" s="121"/>
      <c r="Q668" s="359"/>
      <c r="R668" s="359"/>
      <c r="S668" s="17"/>
      <c r="T668" s="17"/>
      <c r="U668" s="17"/>
      <c r="V668" s="17"/>
    </row>
    <row r="669">
      <c r="A669" s="327"/>
      <c r="B669" s="121"/>
      <c r="C669" s="327"/>
      <c r="D669" s="121"/>
      <c r="E669" s="327"/>
      <c r="F669" s="121"/>
      <c r="G669" s="327"/>
      <c r="H669" s="121"/>
      <c r="I669" s="358"/>
      <c r="J669" s="142"/>
      <c r="K669" s="358"/>
      <c r="L669" s="142"/>
      <c r="M669" s="327"/>
      <c r="N669" s="121"/>
      <c r="O669" s="327"/>
      <c r="P669" s="121"/>
      <c r="Q669" s="359"/>
      <c r="R669" s="359"/>
      <c r="S669" s="17"/>
      <c r="T669" s="17"/>
      <c r="U669" s="17"/>
      <c r="V669" s="17"/>
    </row>
    <row r="670">
      <c r="A670" s="327"/>
      <c r="B670" s="121"/>
      <c r="C670" s="327"/>
      <c r="D670" s="121"/>
      <c r="E670" s="327"/>
      <c r="F670" s="121"/>
      <c r="G670" s="327"/>
      <c r="H670" s="121"/>
      <c r="I670" s="358"/>
      <c r="J670" s="142"/>
      <c r="K670" s="358"/>
      <c r="L670" s="142"/>
      <c r="M670" s="327"/>
      <c r="N670" s="121"/>
      <c r="O670" s="327"/>
      <c r="P670" s="121"/>
      <c r="Q670" s="359"/>
      <c r="R670" s="359"/>
      <c r="S670" s="17"/>
      <c r="T670" s="17"/>
      <c r="U670" s="17"/>
      <c r="V670" s="17"/>
    </row>
    <row r="671">
      <c r="A671" s="327"/>
      <c r="B671" s="121"/>
      <c r="C671" s="327"/>
      <c r="D671" s="121"/>
      <c r="E671" s="327"/>
      <c r="F671" s="121"/>
      <c r="G671" s="327"/>
      <c r="H671" s="121"/>
      <c r="I671" s="358"/>
      <c r="J671" s="142"/>
      <c r="K671" s="358"/>
      <c r="L671" s="142"/>
      <c r="M671" s="327"/>
      <c r="N671" s="121"/>
      <c r="O671" s="327"/>
      <c r="P671" s="121"/>
      <c r="Q671" s="359"/>
      <c r="R671" s="359"/>
      <c r="S671" s="17"/>
      <c r="T671" s="17"/>
      <c r="U671" s="17"/>
      <c r="V671" s="17"/>
    </row>
    <row r="672">
      <c r="A672" s="327"/>
      <c r="B672" s="121"/>
      <c r="C672" s="327"/>
      <c r="D672" s="121"/>
      <c r="E672" s="327"/>
      <c r="F672" s="121"/>
      <c r="G672" s="327"/>
      <c r="H672" s="121"/>
      <c r="I672" s="358"/>
      <c r="J672" s="142"/>
      <c r="K672" s="358"/>
      <c r="L672" s="142"/>
      <c r="M672" s="327"/>
      <c r="N672" s="121"/>
      <c r="O672" s="327"/>
      <c r="P672" s="121"/>
      <c r="Q672" s="359"/>
      <c r="R672" s="359"/>
      <c r="S672" s="17"/>
      <c r="T672" s="17"/>
      <c r="U672" s="17"/>
      <c r="V672" s="17"/>
    </row>
    <row r="673">
      <c r="A673" s="327"/>
      <c r="B673" s="121"/>
      <c r="C673" s="327"/>
      <c r="D673" s="121"/>
      <c r="E673" s="327"/>
      <c r="F673" s="121"/>
      <c r="G673" s="327"/>
      <c r="H673" s="121"/>
      <c r="I673" s="358"/>
      <c r="J673" s="142"/>
      <c r="K673" s="358"/>
      <c r="L673" s="142"/>
      <c r="M673" s="327"/>
      <c r="N673" s="121"/>
      <c r="O673" s="327"/>
      <c r="P673" s="121"/>
      <c r="Q673" s="359"/>
      <c r="R673" s="359"/>
      <c r="S673" s="17"/>
      <c r="T673" s="17"/>
      <c r="U673" s="17"/>
      <c r="V673" s="17"/>
    </row>
    <row r="674">
      <c r="A674" s="327"/>
      <c r="B674" s="121"/>
      <c r="C674" s="327"/>
      <c r="D674" s="121"/>
      <c r="E674" s="327"/>
      <c r="F674" s="121"/>
      <c r="G674" s="327"/>
      <c r="H674" s="121"/>
      <c r="I674" s="358"/>
      <c r="J674" s="142"/>
      <c r="K674" s="358"/>
      <c r="L674" s="142"/>
      <c r="M674" s="327"/>
      <c r="N674" s="121"/>
      <c r="O674" s="327"/>
      <c r="P674" s="121"/>
      <c r="Q674" s="359"/>
      <c r="R674" s="359"/>
      <c r="S674" s="17"/>
      <c r="T674" s="17"/>
      <c r="U674" s="17"/>
      <c r="V674" s="17"/>
    </row>
    <row r="675">
      <c r="A675" s="327"/>
      <c r="B675" s="121"/>
      <c r="C675" s="327"/>
      <c r="D675" s="121"/>
      <c r="E675" s="327"/>
      <c r="F675" s="121"/>
      <c r="G675" s="327"/>
      <c r="H675" s="121"/>
      <c r="I675" s="358"/>
      <c r="J675" s="142"/>
      <c r="K675" s="358"/>
      <c r="L675" s="142"/>
      <c r="M675" s="327"/>
      <c r="N675" s="121"/>
      <c r="O675" s="327"/>
      <c r="P675" s="121"/>
      <c r="Q675" s="359"/>
      <c r="R675" s="359"/>
      <c r="S675" s="17"/>
      <c r="T675" s="17"/>
      <c r="U675" s="17"/>
      <c r="V675" s="17"/>
    </row>
    <row r="676">
      <c r="A676" s="327"/>
      <c r="B676" s="121"/>
      <c r="C676" s="327"/>
      <c r="D676" s="121"/>
      <c r="E676" s="327"/>
      <c r="F676" s="121"/>
      <c r="G676" s="327"/>
      <c r="H676" s="121"/>
      <c r="I676" s="358"/>
      <c r="J676" s="142"/>
      <c r="K676" s="358"/>
      <c r="L676" s="142"/>
      <c r="M676" s="327"/>
      <c r="N676" s="121"/>
      <c r="O676" s="327"/>
      <c r="P676" s="121"/>
      <c r="Q676" s="359"/>
      <c r="R676" s="359"/>
      <c r="S676" s="17"/>
      <c r="T676" s="17"/>
      <c r="U676" s="17"/>
      <c r="V676" s="17"/>
    </row>
    <row r="677">
      <c r="A677" s="327"/>
      <c r="B677" s="121"/>
      <c r="C677" s="327"/>
      <c r="D677" s="121"/>
      <c r="E677" s="327"/>
      <c r="F677" s="121"/>
      <c r="G677" s="327"/>
      <c r="H677" s="121"/>
      <c r="I677" s="358"/>
      <c r="J677" s="142"/>
      <c r="K677" s="358"/>
      <c r="L677" s="142"/>
      <c r="M677" s="327"/>
      <c r="N677" s="121"/>
      <c r="O677" s="327"/>
      <c r="P677" s="121"/>
      <c r="Q677" s="359"/>
      <c r="R677" s="359"/>
      <c r="S677" s="17"/>
      <c r="T677" s="17"/>
      <c r="U677" s="17"/>
      <c r="V677" s="17"/>
    </row>
    <row r="678">
      <c r="A678" s="327"/>
      <c r="B678" s="121"/>
      <c r="C678" s="327"/>
      <c r="D678" s="121"/>
      <c r="E678" s="327"/>
      <c r="F678" s="121"/>
      <c r="G678" s="327"/>
      <c r="H678" s="121"/>
      <c r="I678" s="358"/>
      <c r="J678" s="142"/>
      <c r="K678" s="358"/>
      <c r="L678" s="142"/>
      <c r="M678" s="327"/>
      <c r="N678" s="121"/>
      <c r="O678" s="327"/>
      <c r="P678" s="121"/>
      <c r="Q678" s="359"/>
      <c r="R678" s="359"/>
      <c r="S678" s="17"/>
      <c r="T678" s="17"/>
      <c r="U678" s="17"/>
      <c r="V678" s="17"/>
    </row>
    <row r="679">
      <c r="A679" s="327"/>
      <c r="B679" s="121"/>
      <c r="C679" s="327"/>
      <c r="D679" s="121"/>
      <c r="E679" s="327"/>
      <c r="F679" s="121"/>
      <c r="G679" s="327"/>
      <c r="H679" s="121"/>
      <c r="I679" s="358"/>
      <c r="J679" s="142"/>
      <c r="K679" s="358"/>
      <c r="L679" s="142"/>
      <c r="M679" s="327"/>
      <c r="N679" s="121"/>
      <c r="O679" s="327"/>
      <c r="P679" s="121"/>
      <c r="Q679" s="359"/>
      <c r="R679" s="359"/>
      <c r="S679" s="17"/>
      <c r="T679" s="17"/>
      <c r="U679" s="17"/>
      <c r="V679" s="17"/>
    </row>
    <row r="680">
      <c r="A680" s="327"/>
      <c r="B680" s="121"/>
      <c r="C680" s="327"/>
      <c r="D680" s="121"/>
      <c r="E680" s="327"/>
      <c r="F680" s="121"/>
      <c r="G680" s="327"/>
      <c r="H680" s="121"/>
      <c r="I680" s="358"/>
      <c r="J680" s="142"/>
      <c r="K680" s="358"/>
      <c r="L680" s="142"/>
      <c r="M680" s="327"/>
      <c r="N680" s="121"/>
      <c r="O680" s="327"/>
      <c r="P680" s="121"/>
      <c r="Q680" s="359"/>
      <c r="R680" s="359"/>
      <c r="S680" s="17"/>
      <c r="T680" s="17"/>
      <c r="U680" s="17"/>
      <c r="V680" s="17"/>
    </row>
    <row r="681">
      <c r="A681" s="327"/>
      <c r="B681" s="121"/>
      <c r="C681" s="327"/>
      <c r="D681" s="121"/>
      <c r="E681" s="327"/>
      <c r="F681" s="121"/>
      <c r="G681" s="327"/>
      <c r="H681" s="121"/>
      <c r="I681" s="358"/>
      <c r="J681" s="142"/>
      <c r="K681" s="358"/>
      <c r="L681" s="142"/>
      <c r="M681" s="327"/>
      <c r="N681" s="121"/>
      <c r="O681" s="327"/>
      <c r="P681" s="121"/>
      <c r="Q681" s="359"/>
      <c r="R681" s="359"/>
      <c r="S681" s="17"/>
      <c r="T681" s="17"/>
      <c r="U681" s="17"/>
      <c r="V681" s="17"/>
    </row>
    <row r="682">
      <c r="A682" s="327"/>
      <c r="B682" s="121"/>
      <c r="C682" s="327"/>
      <c r="D682" s="121"/>
      <c r="E682" s="327"/>
      <c r="F682" s="121"/>
      <c r="G682" s="327"/>
      <c r="H682" s="121"/>
      <c r="I682" s="358"/>
      <c r="J682" s="142"/>
      <c r="K682" s="358"/>
      <c r="L682" s="142"/>
      <c r="M682" s="327"/>
      <c r="N682" s="121"/>
      <c r="O682" s="327"/>
      <c r="P682" s="121"/>
      <c r="Q682" s="359"/>
      <c r="R682" s="359"/>
      <c r="S682" s="17"/>
      <c r="T682" s="17"/>
      <c r="U682" s="17"/>
      <c r="V682" s="17"/>
    </row>
    <row r="683">
      <c r="A683" s="327"/>
      <c r="B683" s="121"/>
      <c r="C683" s="327"/>
      <c r="D683" s="121"/>
      <c r="E683" s="327"/>
      <c r="F683" s="121"/>
      <c r="G683" s="327"/>
      <c r="H683" s="121"/>
      <c r="I683" s="358"/>
      <c r="J683" s="142"/>
      <c r="K683" s="358"/>
      <c r="L683" s="142"/>
      <c r="M683" s="327"/>
      <c r="N683" s="121"/>
      <c r="O683" s="327"/>
      <c r="P683" s="121"/>
      <c r="Q683" s="359"/>
      <c r="R683" s="359"/>
      <c r="S683" s="17"/>
      <c r="T683" s="17"/>
      <c r="U683" s="17"/>
      <c r="V683" s="17"/>
    </row>
    <row r="684">
      <c r="A684" s="327"/>
      <c r="B684" s="121"/>
      <c r="C684" s="327"/>
      <c r="D684" s="121"/>
      <c r="E684" s="327"/>
      <c r="F684" s="121"/>
      <c r="G684" s="327"/>
      <c r="H684" s="121"/>
      <c r="I684" s="358"/>
      <c r="J684" s="142"/>
      <c r="K684" s="358"/>
      <c r="L684" s="142"/>
      <c r="M684" s="327"/>
      <c r="N684" s="121"/>
      <c r="O684" s="327"/>
      <c r="P684" s="121"/>
      <c r="Q684" s="359"/>
      <c r="R684" s="359"/>
      <c r="S684" s="17"/>
      <c r="T684" s="17"/>
      <c r="U684" s="17"/>
      <c r="V684" s="17"/>
    </row>
    <row r="685">
      <c r="A685" s="327"/>
      <c r="B685" s="121"/>
      <c r="C685" s="327"/>
      <c r="D685" s="121"/>
      <c r="E685" s="327"/>
      <c r="F685" s="121"/>
      <c r="G685" s="327"/>
      <c r="H685" s="121"/>
      <c r="I685" s="358"/>
      <c r="J685" s="142"/>
      <c r="K685" s="358"/>
      <c r="L685" s="142"/>
      <c r="M685" s="327"/>
      <c r="N685" s="121"/>
      <c r="O685" s="327"/>
      <c r="P685" s="121"/>
      <c r="Q685" s="359"/>
      <c r="R685" s="359"/>
      <c r="S685" s="17"/>
      <c r="T685" s="17"/>
      <c r="U685" s="17"/>
      <c r="V685" s="17"/>
    </row>
    <row r="686">
      <c r="A686" s="327"/>
      <c r="B686" s="121"/>
      <c r="C686" s="327"/>
      <c r="D686" s="121"/>
      <c r="E686" s="327"/>
      <c r="F686" s="121"/>
      <c r="G686" s="327"/>
      <c r="H686" s="121"/>
      <c r="I686" s="358"/>
      <c r="J686" s="142"/>
      <c r="K686" s="358"/>
      <c r="L686" s="142"/>
      <c r="M686" s="327"/>
      <c r="N686" s="121"/>
      <c r="O686" s="327"/>
      <c r="P686" s="121"/>
      <c r="Q686" s="359"/>
      <c r="R686" s="359"/>
      <c r="S686" s="17"/>
      <c r="T686" s="17"/>
      <c r="U686" s="17"/>
      <c r="V686" s="17"/>
    </row>
    <row r="687">
      <c r="A687" s="327"/>
      <c r="B687" s="121"/>
      <c r="C687" s="327"/>
      <c r="D687" s="121"/>
      <c r="E687" s="327"/>
      <c r="F687" s="121"/>
      <c r="G687" s="327"/>
      <c r="H687" s="121"/>
      <c r="I687" s="358"/>
      <c r="J687" s="142"/>
      <c r="K687" s="358"/>
      <c r="L687" s="142"/>
      <c r="M687" s="327"/>
      <c r="N687" s="121"/>
      <c r="O687" s="327"/>
      <c r="P687" s="121"/>
      <c r="Q687" s="359"/>
      <c r="R687" s="359"/>
      <c r="S687" s="17"/>
      <c r="T687" s="17"/>
      <c r="U687" s="17"/>
      <c r="V687" s="17"/>
    </row>
    <row r="688">
      <c r="A688" s="327"/>
      <c r="B688" s="121"/>
      <c r="C688" s="327"/>
      <c r="D688" s="121"/>
      <c r="E688" s="327"/>
      <c r="F688" s="121"/>
      <c r="G688" s="327"/>
      <c r="H688" s="121"/>
      <c r="I688" s="358"/>
      <c r="J688" s="142"/>
      <c r="K688" s="358"/>
      <c r="L688" s="142"/>
      <c r="M688" s="327"/>
      <c r="N688" s="121"/>
      <c r="O688" s="327"/>
      <c r="P688" s="121"/>
      <c r="Q688" s="359"/>
      <c r="R688" s="359"/>
      <c r="S688" s="17"/>
      <c r="T688" s="17"/>
      <c r="U688" s="17"/>
      <c r="V688" s="17"/>
    </row>
    <row r="689">
      <c r="A689" s="327"/>
      <c r="B689" s="121"/>
      <c r="C689" s="327"/>
      <c r="D689" s="121"/>
      <c r="E689" s="327"/>
      <c r="F689" s="121"/>
      <c r="G689" s="327"/>
      <c r="H689" s="121"/>
      <c r="I689" s="358"/>
      <c r="J689" s="142"/>
      <c r="K689" s="358"/>
      <c r="L689" s="142"/>
      <c r="M689" s="327"/>
      <c r="N689" s="121"/>
      <c r="O689" s="327"/>
      <c r="P689" s="121"/>
      <c r="Q689" s="359"/>
      <c r="R689" s="359"/>
      <c r="S689" s="17"/>
      <c r="T689" s="17"/>
      <c r="U689" s="17"/>
      <c r="V689" s="17"/>
    </row>
    <row r="690">
      <c r="A690" s="327"/>
      <c r="B690" s="121"/>
      <c r="C690" s="327"/>
      <c r="D690" s="121"/>
      <c r="E690" s="327"/>
      <c r="F690" s="121"/>
      <c r="G690" s="327"/>
      <c r="H690" s="121"/>
      <c r="I690" s="358"/>
      <c r="J690" s="142"/>
      <c r="K690" s="358"/>
      <c r="L690" s="142"/>
      <c r="M690" s="327"/>
      <c r="N690" s="121"/>
      <c r="O690" s="327"/>
      <c r="P690" s="121"/>
      <c r="Q690" s="359"/>
      <c r="R690" s="359"/>
      <c r="S690" s="17"/>
      <c r="T690" s="17"/>
      <c r="U690" s="17"/>
      <c r="V690" s="17"/>
    </row>
    <row r="691">
      <c r="A691" s="327"/>
      <c r="B691" s="121"/>
      <c r="C691" s="327"/>
      <c r="D691" s="121"/>
      <c r="E691" s="327"/>
      <c r="F691" s="121"/>
      <c r="G691" s="327"/>
      <c r="H691" s="121"/>
      <c r="I691" s="358"/>
      <c r="J691" s="142"/>
      <c r="K691" s="358"/>
      <c r="L691" s="142"/>
      <c r="M691" s="327"/>
      <c r="N691" s="121"/>
      <c r="O691" s="327"/>
      <c r="P691" s="121"/>
      <c r="Q691" s="359"/>
      <c r="R691" s="359"/>
      <c r="S691" s="17"/>
      <c r="T691" s="17"/>
      <c r="U691" s="17"/>
      <c r="V691" s="17"/>
    </row>
    <row r="692">
      <c r="A692" s="327"/>
      <c r="B692" s="121"/>
      <c r="C692" s="327"/>
      <c r="D692" s="121"/>
      <c r="E692" s="327"/>
      <c r="F692" s="121"/>
      <c r="G692" s="327"/>
      <c r="H692" s="121"/>
      <c r="I692" s="358"/>
      <c r="J692" s="142"/>
      <c r="K692" s="358"/>
      <c r="L692" s="142"/>
      <c r="M692" s="327"/>
      <c r="N692" s="121"/>
      <c r="O692" s="327"/>
      <c r="P692" s="121"/>
      <c r="Q692" s="359"/>
      <c r="R692" s="359"/>
      <c r="S692" s="17"/>
      <c r="T692" s="17"/>
      <c r="U692" s="17"/>
      <c r="V692" s="17"/>
    </row>
    <row r="693">
      <c r="A693" s="327"/>
      <c r="B693" s="121"/>
      <c r="C693" s="327"/>
      <c r="D693" s="121"/>
      <c r="E693" s="327"/>
      <c r="F693" s="121"/>
      <c r="G693" s="327"/>
      <c r="H693" s="121"/>
      <c r="I693" s="358"/>
      <c r="J693" s="142"/>
      <c r="K693" s="358"/>
      <c r="L693" s="142"/>
      <c r="M693" s="327"/>
      <c r="N693" s="121"/>
      <c r="O693" s="327"/>
      <c r="P693" s="121"/>
      <c r="Q693" s="359"/>
      <c r="R693" s="359"/>
      <c r="S693" s="17"/>
      <c r="T693" s="17"/>
      <c r="U693" s="17"/>
      <c r="V693" s="17"/>
    </row>
    <row r="694">
      <c r="A694" s="327"/>
      <c r="B694" s="121"/>
      <c r="C694" s="327"/>
      <c r="D694" s="121"/>
      <c r="E694" s="327"/>
      <c r="F694" s="121"/>
      <c r="G694" s="327"/>
      <c r="H694" s="121"/>
      <c r="I694" s="358"/>
      <c r="J694" s="142"/>
      <c r="K694" s="358"/>
      <c r="L694" s="142"/>
      <c r="M694" s="327"/>
      <c r="N694" s="121"/>
      <c r="O694" s="327"/>
      <c r="P694" s="121"/>
      <c r="Q694" s="359"/>
      <c r="R694" s="359"/>
      <c r="S694" s="17"/>
      <c r="T694" s="17"/>
      <c r="U694" s="17"/>
      <c r="V694" s="17"/>
    </row>
    <row r="695">
      <c r="A695" s="327"/>
      <c r="B695" s="121"/>
      <c r="C695" s="327"/>
      <c r="D695" s="121"/>
      <c r="E695" s="327"/>
      <c r="F695" s="121"/>
      <c r="G695" s="327"/>
      <c r="H695" s="121"/>
      <c r="I695" s="358"/>
      <c r="J695" s="142"/>
      <c r="K695" s="358"/>
      <c r="L695" s="142"/>
      <c r="M695" s="327"/>
      <c r="N695" s="121"/>
      <c r="O695" s="327"/>
      <c r="P695" s="121"/>
      <c r="Q695" s="359"/>
      <c r="R695" s="359"/>
      <c r="S695" s="17"/>
      <c r="T695" s="17"/>
      <c r="U695" s="17"/>
      <c r="V695" s="17"/>
    </row>
    <row r="696">
      <c r="A696" s="327"/>
      <c r="B696" s="121"/>
      <c r="C696" s="327"/>
      <c r="D696" s="121"/>
      <c r="E696" s="327"/>
      <c r="F696" s="121"/>
      <c r="G696" s="327"/>
      <c r="H696" s="121"/>
      <c r="I696" s="358"/>
      <c r="J696" s="142"/>
      <c r="K696" s="358"/>
      <c r="L696" s="142"/>
      <c r="M696" s="327"/>
      <c r="N696" s="121"/>
      <c r="O696" s="327"/>
      <c r="P696" s="121"/>
      <c r="Q696" s="359"/>
      <c r="R696" s="359"/>
      <c r="S696" s="17"/>
      <c r="T696" s="17"/>
      <c r="U696" s="17"/>
      <c r="V696" s="17"/>
    </row>
    <row r="697">
      <c r="A697" s="327"/>
      <c r="B697" s="121"/>
      <c r="C697" s="327"/>
      <c r="D697" s="121"/>
      <c r="E697" s="327"/>
      <c r="F697" s="121"/>
      <c r="G697" s="327"/>
      <c r="H697" s="121"/>
      <c r="I697" s="358"/>
      <c r="J697" s="142"/>
      <c r="K697" s="358"/>
      <c r="L697" s="142"/>
      <c r="M697" s="327"/>
      <c r="N697" s="121"/>
      <c r="O697" s="327"/>
      <c r="P697" s="121"/>
      <c r="Q697" s="359"/>
      <c r="R697" s="359"/>
      <c r="S697" s="17"/>
      <c r="T697" s="17"/>
      <c r="U697" s="17"/>
      <c r="V697" s="17"/>
    </row>
    <row r="698">
      <c r="A698" s="327"/>
      <c r="B698" s="121"/>
      <c r="C698" s="327"/>
      <c r="D698" s="121"/>
      <c r="E698" s="327"/>
      <c r="F698" s="121"/>
      <c r="G698" s="327"/>
      <c r="H698" s="121"/>
      <c r="I698" s="358"/>
      <c r="J698" s="142"/>
      <c r="K698" s="358"/>
      <c r="L698" s="142"/>
      <c r="M698" s="327"/>
      <c r="N698" s="121"/>
      <c r="O698" s="327"/>
      <c r="P698" s="121"/>
      <c r="Q698" s="359"/>
      <c r="R698" s="359"/>
      <c r="S698" s="17"/>
      <c r="T698" s="17"/>
      <c r="U698" s="17"/>
      <c r="V698" s="17"/>
    </row>
    <row r="699">
      <c r="A699" s="327"/>
      <c r="B699" s="121"/>
      <c r="C699" s="327"/>
      <c r="D699" s="121"/>
      <c r="E699" s="327"/>
      <c r="F699" s="121"/>
      <c r="G699" s="327"/>
      <c r="H699" s="121"/>
      <c r="I699" s="358"/>
      <c r="J699" s="142"/>
      <c r="K699" s="358"/>
      <c r="L699" s="142"/>
      <c r="M699" s="327"/>
      <c r="N699" s="121"/>
      <c r="O699" s="327"/>
      <c r="P699" s="121"/>
      <c r="Q699" s="359"/>
      <c r="R699" s="359"/>
      <c r="S699" s="17"/>
      <c r="T699" s="17"/>
      <c r="U699" s="17"/>
      <c r="V699" s="17"/>
    </row>
    <row r="700">
      <c r="A700" s="327"/>
      <c r="B700" s="121"/>
      <c r="C700" s="327"/>
      <c r="D700" s="121"/>
      <c r="E700" s="327"/>
      <c r="F700" s="121"/>
      <c r="G700" s="327"/>
      <c r="H700" s="121"/>
      <c r="I700" s="358"/>
      <c r="J700" s="142"/>
      <c r="K700" s="358"/>
      <c r="L700" s="142"/>
      <c r="M700" s="327"/>
      <c r="N700" s="121"/>
      <c r="O700" s="327"/>
      <c r="P700" s="121"/>
      <c r="Q700" s="359"/>
      <c r="R700" s="359"/>
      <c r="S700" s="17"/>
      <c r="T700" s="17"/>
      <c r="U700" s="17"/>
      <c r="V700" s="17"/>
    </row>
    <row r="701">
      <c r="A701" s="327"/>
      <c r="B701" s="121"/>
      <c r="C701" s="327"/>
      <c r="D701" s="121"/>
      <c r="E701" s="327"/>
      <c r="F701" s="121"/>
      <c r="G701" s="327"/>
      <c r="H701" s="121"/>
      <c r="I701" s="358"/>
      <c r="J701" s="142"/>
      <c r="K701" s="358"/>
      <c r="L701" s="142"/>
      <c r="M701" s="327"/>
      <c r="N701" s="121"/>
      <c r="O701" s="327"/>
      <c r="P701" s="121"/>
      <c r="Q701" s="359"/>
      <c r="R701" s="359"/>
      <c r="S701" s="17"/>
      <c r="T701" s="17"/>
      <c r="U701" s="17"/>
      <c r="V701" s="17"/>
    </row>
    <row r="702">
      <c r="A702" s="327"/>
      <c r="B702" s="121"/>
      <c r="C702" s="327"/>
      <c r="D702" s="121"/>
      <c r="E702" s="327"/>
      <c r="F702" s="121"/>
      <c r="G702" s="327"/>
      <c r="H702" s="121"/>
      <c r="I702" s="358"/>
      <c r="J702" s="142"/>
      <c r="K702" s="358"/>
      <c r="L702" s="142"/>
      <c r="M702" s="327"/>
      <c r="N702" s="121"/>
      <c r="O702" s="327"/>
      <c r="P702" s="121"/>
      <c r="Q702" s="359"/>
      <c r="R702" s="359"/>
      <c r="S702" s="17"/>
      <c r="T702" s="17"/>
      <c r="U702" s="17"/>
      <c r="V702" s="17"/>
    </row>
    <row r="703">
      <c r="A703" s="327"/>
      <c r="B703" s="121"/>
      <c r="C703" s="327"/>
      <c r="D703" s="121"/>
      <c r="E703" s="327"/>
      <c r="F703" s="121"/>
      <c r="G703" s="327"/>
      <c r="H703" s="121"/>
      <c r="I703" s="358"/>
      <c r="J703" s="142"/>
      <c r="K703" s="358"/>
      <c r="L703" s="142"/>
      <c r="M703" s="327"/>
      <c r="N703" s="121"/>
      <c r="O703" s="327"/>
      <c r="P703" s="121"/>
      <c r="Q703" s="359"/>
      <c r="R703" s="359"/>
      <c r="S703" s="17"/>
      <c r="T703" s="17"/>
      <c r="U703" s="17"/>
      <c r="V703" s="17"/>
    </row>
    <row r="704">
      <c r="A704" s="327"/>
      <c r="B704" s="121"/>
      <c r="C704" s="327"/>
      <c r="D704" s="121"/>
      <c r="E704" s="327"/>
      <c r="F704" s="121"/>
      <c r="G704" s="327"/>
      <c r="H704" s="121"/>
      <c r="I704" s="358"/>
      <c r="J704" s="142"/>
      <c r="K704" s="358"/>
      <c r="L704" s="142"/>
      <c r="M704" s="327"/>
      <c r="N704" s="121"/>
      <c r="O704" s="327"/>
      <c r="P704" s="121"/>
      <c r="Q704" s="359"/>
      <c r="R704" s="359"/>
      <c r="S704" s="17"/>
      <c r="T704" s="17"/>
      <c r="U704" s="17"/>
      <c r="V704" s="17"/>
    </row>
    <row r="705">
      <c r="A705" s="327"/>
      <c r="B705" s="121"/>
      <c r="C705" s="327"/>
      <c r="D705" s="121"/>
      <c r="E705" s="327"/>
      <c r="F705" s="121"/>
      <c r="G705" s="327"/>
      <c r="H705" s="121"/>
      <c r="I705" s="358"/>
      <c r="J705" s="142"/>
      <c r="K705" s="358"/>
      <c r="L705" s="142"/>
      <c r="M705" s="327"/>
      <c r="N705" s="121"/>
      <c r="O705" s="327"/>
      <c r="P705" s="121"/>
      <c r="Q705" s="359"/>
      <c r="R705" s="359"/>
      <c r="S705" s="17"/>
      <c r="T705" s="17"/>
      <c r="U705" s="17"/>
      <c r="V705" s="17"/>
    </row>
    <row r="706">
      <c r="A706" s="327"/>
      <c r="B706" s="121"/>
      <c r="C706" s="327"/>
      <c r="D706" s="121"/>
      <c r="E706" s="327"/>
      <c r="F706" s="121"/>
      <c r="G706" s="327"/>
      <c r="H706" s="121"/>
      <c r="I706" s="358"/>
      <c r="J706" s="142"/>
      <c r="K706" s="358"/>
      <c r="L706" s="142"/>
      <c r="M706" s="327"/>
      <c r="N706" s="121"/>
      <c r="O706" s="327"/>
      <c r="P706" s="121"/>
      <c r="Q706" s="359"/>
      <c r="R706" s="359"/>
      <c r="S706" s="17"/>
      <c r="T706" s="17"/>
      <c r="U706" s="17"/>
      <c r="V706" s="17"/>
    </row>
    <row r="707">
      <c r="A707" s="327"/>
      <c r="B707" s="121"/>
      <c r="C707" s="327"/>
      <c r="D707" s="121"/>
      <c r="E707" s="327"/>
      <c r="F707" s="121"/>
      <c r="G707" s="327"/>
      <c r="H707" s="121"/>
      <c r="I707" s="358"/>
      <c r="J707" s="142"/>
      <c r="K707" s="358"/>
      <c r="L707" s="142"/>
      <c r="M707" s="327"/>
      <c r="N707" s="121"/>
      <c r="O707" s="327"/>
      <c r="P707" s="121"/>
      <c r="Q707" s="359"/>
      <c r="R707" s="359"/>
      <c r="S707" s="17"/>
      <c r="T707" s="17"/>
      <c r="U707" s="17"/>
      <c r="V707" s="17"/>
    </row>
    <row r="708">
      <c r="A708" s="327"/>
      <c r="B708" s="121"/>
      <c r="C708" s="327"/>
      <c r="D708" s="121"/>
      <c r="E708" s="327"/>
      <c r="F708" s="121"/>
      <c r="G708" s="327"/>
      <c r="H708" s="121"/>
      <c r="I708" s="358"/>
      <c r="J708" s="142"/>
      <c r="K708" s="358"/>
      <c r="L708" s="142"/>
      <c r="M708" s="327"/>
      <c r="N708" s="121"/>
      <c r="O708" s="327"/>
      <c r="P708" s="121"/>
      <c r="Q708" s="359"/>
      <c r="R708" s="359"/>
      <c r="S708" s="17"/>
      <c r="T708" s="17"/>
      <c r="U708" s="17"/>
      <c r="V708" s="17"/>
    </row>
    <row r="709">
      <c r="A709" s="327"/>
      <c r="B709" s="121"/>
      <c r="C709" s="327"/>
      <c r="D709" s="121"/>
      <c r="E709" s="327"/>
      <c r="F709" s="121"/>
      <c r="G709" s="327"/>
      <c r="H709" s="121"/>
      <c r="I709" s="358"/>
      <c r="J709" s="142"/>
      <c r="K709" s="358"/>
      <c r="L709" s="142"/>
      <c r="M709" s="327"/>
      <c r="N709" s="121"/>
      <c r="O709" s="327"/>
      <c r="P709" s="121"/>
      <c r="Q709" s="359"/>
      <c r="R709" s="359"/>
      <c r="S709" s="17"/>
      <c r="T709" s="17"/>
      <c r="U709" s="17"/>
      <c r="V709" s="17"/>
    </row>
    <row r="710">
      <c r="A710" s="327"/>
      <c r="B710" s="121"/>
      <c r="C710" s="327"/>
      <c r="D710" s="121"/>
      <c r="E710" s="327"/>
      <c r="F710" s="121"/>
      <c r="G710" s="327"/>
      <c r="H710" s="121"/>
      <c r="I710" s="358"/>
      <c r="J710" s="142"/>
      <c r="K710" s="358"/>
      <c r="L710" s="142"/>
      <c r="M710" s="327"/>
      <c r="N710" s="121"/>
      <c r="O710" s="327"/>
      <c r="P710" s="121"/>
      <c r="Q710" s="359"/>
      <c r="R710" s="359"/>
      <c r="S710" s="17"/>
      <c r="T710" s="17"/>
      <c r="U710" s="17"/>
      <c r="V710" s="17"/>
    </row>
    <row r="711">
      <c r="A711" s="327"/>
      <c r="B711" s="121"/>
      <c r="C711" s="327"/>
      <c r="D711" s="121"/>
      <c r="E711" s="327"/>
      <c r="F711" s="121"/>
      <c r="G711" s="327"/>
      <c r="H711" s="121"/>
      <c r="I711" s="358"/>
      <c r="J711" s="142"/>
      <c r="K711" s="358"/>
      <c r="L711" s="142"/>
      <c r="M711" s="327"/>
      <c r="N711" s="121"/>
      <c r="O711" s="327"/>
      <c r="P711" s="121"/>
      <c r="Q711" s="359"/>
      <c r="R711" s="359"/>
      <c r="S711" s="17"/>
      <c r="T711" s="17"/>
      <c r="U711" s="17"/>
      <c r="V711" s="17"/>
    </row>
    <row r="712">
      <c r="A712" s="327"/>
      <c r="B712" s="121"/>
      <c r="C712" s="327"/>
      <c r="D712" s="121"/>
      <c r="E712" s="327"/>
      <c r="F712" s="121"/>
      <c r="G712" s="327"/>
      <c r="H712" s="121"/>
      <c r="I712" s="358"/>
      <c r="J712" s="142"/>
      <c r="K712" s="358"/>
      <c r="L712" s="142"/>
      <c r="M712" s="327"/>
      <c r="N712" s="121"/>
      <c r="O712" s="327"/>
      <c r="P712" s="121"/>
      <c r="Q712" s="359"/>
      <c r="R712" s="359"/>
      <c r="S712" s="17"/>
      <c r="T712" s="17"/>
      <c r="U712" s="17"/>
      <c r="V712" s="17"/>
    </row>
    <row r="713">
      <c r="A713" s="327"/>
      <c r="B713" s="121"/>
      <c r="C713" s="327"/>
      <c r="D713" s="121"/>
      <c r="E713" s="327"/>
      <c r="F713" s="121"/>
      <c r="G713" s="327"/>
      <c r="H713" s="121"/>
      <c r="I713" s="358"/>
      <c r="J713" s="142"/>
      <c r="K713" s="358"/>
      <c r="L713" s="142"/>
      <c r="M713" s="327"/>
      <c r="N713" s="121"/>
      <c r="O713" s="327"/>
      <c r="P713" s="121"/>
      <c r="Q713" s="359"/>
      <c r="R713" s="359"/>
      <c r="S713" s="17"/>
      <c r="T713" s="17"/>
      <c r="U713" s="17"/>
      <c r="V713" s="17"/>
    </row>
    <row r="714">
      <c r="A714" s="327"/>
      <c r="B714" s="121"/>
      <c r="C714" s="327"/>
      <c r="D714" s="121"/>
      <c r="E714" s="327"/>
      <c r="F714" s="121"/>
      <c r="G714" s="327"/>
      <c r="H714" s="121"/>
      <c r="I714" s="358"/>
      <c r="J714" s="142"/>
      <c r="K714" s="358"/>
      <c r="L714" s="142"/>
      <c r="M714" s="327"/>
      <c r="N714" s="121"/>
      <c r="O714" s="327"/>
      <c r="P714" s="121"/>
      <c r="Q714" s="359"/>
      <c r="R714" s="359"/>
      <c r="S714" s="17"/>
      <c r="T714" s="17"/>
      <c r="U714" s="17"/>
      <c r="V714" s="17"/>
    </row>
    <row r="715">
      <c r="A715" s="327"/>
      <c r="B715" s="121"/>
      <c r="C715" s="327"/>
      <c r="D715" s="121"/>
      <c r="E715" s="327"/>
      <c r="F715" s="121"/>
      <c r="G715" s="327"/>
      <c r="H715" s="121"/>
      <c r="I715" s="358"/>
      <c r="J715" s="142"/>
      <c r="K715" s="358"/>
      <c r="L715" s="142"/>
      <c r="M715" s="327"/>
      <c r="N715" s="121"/>
      <c r="O715" s="327"/>
      <c r="P715" s="121"/>
      <c r="Q715" s="359"/>
      <c r="R715" s="359"/>
      <c r="S715" s="17"/>
      <c r="T715" s="17"/>
      <c r="U715" s="17"/>
      <c r="V715" s="17"/>
    </row>
    <row r="716">
      <c r="A716" s="327"/>
      <c r="B716" s="121"/>
      <c r="C716" s="327"/>
      <c r="D716" s="121"/>
      <c r="E716" s="327"/>
      <c r="F716" s="121"/>
      <c r="G716" s="327"/>
      <c r="H716" s="121"/>
      <c r="I716" s="358"/>
      <c r="J716" s="142"/>
      <c r="K716" s="358"/>
      <c r="L716" s="142"/>
      <c r="M716" s="327"/>
      <c r="N716" s="121"/>
      <c r="O716" s="327"/>
      <c r="P716" s="121"/>
      <c r="Q716" s="359"/>
      <c r="R716" s="359"/>
      <c r="S716" s="17"/>
      <c r="T716" s="17"/>
      <c r="U716" s="17"/>
      <c r="V716" s="17"/>
    </row>
    <row r="717">
      <c r="A717" s="327"/>
      <c r="B717" s="121"/>
      <c r="C717" s="327"/>
      <c r="D717" s="121"/>
      <c r="E717" s="327"/>
      <c r="F717" s="121"/>
      <c r="G717" s="327"/>
      <c r="H717" s="121"/>
      <c r="I717" s="358"/>
      <c r="J717" s="142"/>
      <c r="K717" s="358"/>
      <c r="L717" s="142"/>
      <c r="M717" s="327"/>
      <c r="N717" s="121"/>
      <c r="O717" s="327"/>
      <c r="P717" s="121"/>
      <c r="Q717" s="359"/>
      <c r="R717" s="359"/>
      <c r="S717" s="17"/>
      <c r="T717" s="17"/>
      <c r="U717" s="17"/>
      <c r="V717" s="17"/>
    </row>
    <row r="718">
      <c r="A718" s="327"/>
      <c r="B718" s="121"/>
      <c r="C718" s="327"/>
      <c r="D718" s="121"/>
      <c r="E718" s="327"/>
      <c r="F718" s="121"/>
      <c r="G718" s="327"/>
      <c r="H718" s="121"/>
      <c r="I718" s="358"/>
      <c r="J718" s="142"/>
      <c r="K718" s="358"/>
      <c r="L718" s="142"/>
      <c r="M718" s="327"/>
      <c r="N718" s="121"/>
      <c r="O718" s="327"/>
      <c r="P718" s="121"/>
      <c r="Q718" s="359"/>
      <c r="R718" s="359"/>
      <c r="S718" s="17"/>
      <c r="T718" s="17"/>
      <c r="U718" s="17"/>
      <c r="V718" s="17"/>
    </row>
    <row r="719">
      <c r="A719" s="327"/>
      <c r="B719" s="121"/>
      <c r="C719" s="327"/>
      <c r="D719" s="121"/>
      <c r="E719" s="327"/>
      <c r="F719" s="121"/>
      <c r="G719" s="327"/>
      <c r="H719" s="121"/>
      <c r="I719" s="358"/>
      <c r="J719" s="142"/>
      <c r="K719" s="358"/>
      <c r="L719" s="142"/>
      <c r="M719" s="327"/>
      <c r="N719" s="121"/>
      <c r="O719" s="327"/>
      <c r="P719" s="121"/>
      <c r="Q719" s="359"/>
      <c r="R719" s="359"/>
      <c r="S719" s="17"/>
      <c r="T719" s="17"/>
      <c r="U719" s="17"/>
      <c r="V719" s="17"/>
    </row>
    <row r="720">
      <c r="A720" s="327"/>
      <c r="B720" s="121"/>
      <c r="C720" s="327"/>
      <c r="D720" s="121"/>
      <c r="E720" s="327"/>
      <c r="F720" s="121"/>
      <c r="G720" s="327"/>
      <c r="H720" s="121"/>
      <c r="I720" s="358"/>
      <c r="J720" s="142"/>
      <c r="K720" s="358"/>
      <c r="L720" s="142"/>
      <c r="M720" s="327"/>
      <c r="N720" s="121"/>
      <c r="O720" s="327"/>
      <c r="P720" s="121"/>
      <c r="Q720" s="359"/>
      <c r="R720" s="359"/>
      <c r="S720" s="17"/>
      <c r="T720" s="17"/>
      <c r="U720" s="17"/>
      <c r="V720" s="17"/>
    </row>
    <row r="721">
      <c r="A721" s="327"/>
      <c r="B721" s="121"/>
      <c r="C721" s="327"/>
      <c r="D721" s="121"/>
      <c r="E721" s="327"/>
      <c r="F721" s="121"/>
      <c r="G721" s="327"/>
      <c r="H721" s="121"/>
      <c r="I721" s="358"/>
      <c r="J721" s="142"/>
      <c r="K721" s="358"/>
      <c r="L721" s="142"/>
      <c r="M721" s="327"/>
      <c r="N721" s="121"/>
      <c r="O721" s="327"/>
      <c r="P721" s="121"/>
      <c r="Q721" s="359"/>
      <c r="R721" s="359"/>
      <c r="S721" s="17"/>
      <c r="T721" s="17"/>
      <c r="U721" s="17"/>
      <c r="V721" s="17"/>
    </row>
    <row r="722">
      <c r="A722" s="327"/>
      <c r="B722" s="121"/>
      <c r="C722" s="327"/>
      <c r="D722" s="121"/>
      <c r="E722" s="327"/>
      <c r="F722" s="121"/>
      <c r="G722" s="327"/>
      <c r="H722" s="121"/>
      <c r="I722" s="358"/>
      <c r="J722" s="142"/>
      <c r="K722" s="358"/>
      <c r="L722" s="142"/>
      <c r="M722" s="327"/>
      <c r="N722" s="121"/>
      <c r="O722" s="327"/>
      <c r="P722" s="121"/>
      <c r="Q722" s="359"/>
      <c r="R722" s="359"/>
      <c r="S722" s="17"/>
      <c r="T722" s="17"/>
      <c r="U722" s="17"/>
      <c r="V722" s="17"/>
    </row>
    <row r="723">
      <c r="A723" s="327"/>
      <c r="B723" s="121"/>
      <c r="C723" s="327"/>
      <c r="D723" s="121"/>
      <c r="E723" s="327"/>
      <c r="F723" s="121"/>
      <c r="G723" s="327"/>
      <c r="H723" s="121"/>
      <c r="I723" s="358"/>
      <c r="J723" s="142"/>
      <c r="K723" s="358"/>
      <c r="L723" s="142"/>
      <c r="M723" s="327"/>
      <c r="N723" s="121"/>
      <c r="O723" s="327"/>
      <c r="P723" s="121"/>
      <c r="Q723" s="359"/>
      <c r="R723" s="359"/>
      <c r="S723" s="17"/>
      <c r="T723" s="17"/>
      <c r="U723" s="17"/>
      <c r="V723" s="17"/>
    </row>
    <row r="724">
      <c r="A724" s="327"/>
      <c r="B724" s="121"/>
      <c r="C724" s="327"/>
      <c r="D724" s="121"/>
      <c r="E724" s="327"/>
      <c r="F724" s="121"/>
      <c r="G724" s="327"/>
      <c r="H724" s="121"/>
      <c r="I724" s="358"/>
      <c r="J724" s="142"/>
      <c r="K724" s="358"/>
      <c r="L724" s="142"/>
      <c r="M724" s="327"/>
      <c r="N724" s="121"/>
      <c r="O724" s="327"/>
      <c r="P724" s="121"/>
      <c r="Q724" s="359"/>
      <c r="R724" s="359"/>
      <c r="S724" s="17"/>
      <c r="T724" s="17"/>
      <c r="U724" s="17"/>
      <c r="V724" s="17"/>
    </row>
    <row r="725">
      <c r="A725" s="327"/>
      <c r="B725" s="121"/>
      <c r="C725" s="327"/>
      <c r="D725" s="121"/>
      <c r="E725" s="327"/>
      <c r="F725" s="121"/>
      <c r="G725" s="327"/>
      <c r="H725" s="121"/>
      <c r="I725" s="358"/>
      <c r="J725" s="142"/>
      <c r="K725" s="358"/>
      <c r="L725" s="142"/>
      <c r="M725" s="327"/>
      <c r="N725" s="121"/>
      <c r="O725" s="327"/>
      <c r="P725" s="121"/>
      <c r="Q725" s="359"/>
      <c r="R725" s="359"/>
      <c r="S725" s="17"/>
      <c r="T725" s="17"/>
      <c r="U725" s="17"/>
      <c r="V725" s="17"/>
    </row>
    <row r="726">
      <c r="A726" s="327"/>
      <c r="B726" s="121"/>
      <c r="C726" s="327"/>
      <c r="D726" s="121"/>
      <c r="E726" s="327"/>
      <c r="F726" s="121"/>
      <c r="G726" s="327"/>
      <c r="H726" s="121"/>
      <c r="I726" s="358"/>
      <c r="J726" s="142"/>
      <c r="K726" s="358"/>
      <c r="L726" s="142"/>
      <c r="M726" s="327"/>
      <c r="N726" s="121"/>
      <c r="O726" s="327"/>
      <c r="P726" s="121"/>
      <c r="Q726" s="359"/>
      <c r="R726" s="359"/>
      <c r="S726" s="17"/>
      <c r="T726" s="17"/>
      <c r="U726" s="17"/>
      <c r="V726" s="17"/>
    </row>
    <row r="727">
      <c r="A727" s="327"/>
      <c r="B727" s="121"/>
      <c r="C727" s="327"/>
      <c r="D727" s="121"/>
      <c r="E727" s="327"/>
      <c r="F727" s="121"/>
      <c r="G727" s="327"/>
      <c r="H727" s="121"/>
      <c r="I727" s="358"/>
      <c r="J727" s="142"/>
      <c r="K727" s="358"/>
      <c r="L727" s="142"/>
      <c r="M727" s="327"/>
      <c r="N727" s="121"/>
      <c r="O727" s="327"/>
      <c r="P727" s="121"/>
      <c r="Q727" s="359"/>
      <c r="R727" s="359"/>
      <c r="S727" s="17"/>
      <c r="T727" s="17"/>
      <c r="U727" s="17"/>
      <c r="V727" s="17"/>
    </row>
    <row r="728">
      <c r="A728" s="327"/>
      <c r="B728" s="121"/>
      <c r="C728" s="327"/>
      <c r="D728" s="121"/>
      <c r="E728" s="327"/>
      <c r="F728" s="121"/>
      <c r="G728" s="327"/>
      <c r="H728" s="121"/>
      <c r="I728" s="358"/>
      <c r="J728" s="142"/>
      <c r="K728" s="358"/>
      <c r="L728" s="142"/>
      <c r="M728" s="327"/>
      <c r="N728" s="121"/>
      <c r="O728" s="327"/>
      <c r="P728" s="121"/>
      <c r="Q728" s="359"/>
      <c r="R728" s="359"/>
      <c r="S728" s="17"/>
      <c r="T728" s="17"/>
      <c r="U728" s="17"/>
      <c r="V728" s="17"/>
    </row>
    <row r="729">
      <c r="A729" s="327"/>
      <c r="B729" s="121"/>
      <c r="C729" s="327"/>
      <c r="D729" s="121"/>
      <c r="E729" s="327"/>
      <c r="F729" s="121"/>
      <c r="G729" s="327"/>
      <c r="H729" s="121"/>
      <c r="I729" s="358"/>
      <c r="J729" s="142"/>
      <c r="K729" s="358"/>
      <c r="L729" s="142"/>
      <c r="M729" s="327"/>
      <c r="N729" s="121"/>
      <c r="O729" s="327"/>
      <c r="P729" s="121"/>
      <c r="Q729" s="359"/>
      <c r="R729" s="359"/>
      <c r="S729" s="17"/>
      <c r="T729" s="17"/>
      <c r="U729" s="17"/>
      <c r="V729" s="17"/>
    </row>
    <row r="730">
      <c r="A730" s="327"/>
      <c r="B730" s="121"/>
      <c r="C730" s="327"/>
      <c r="D730" s="121"/>
      <c r="E730" s="327"/>
      <c r="F730" s="121"/>
      <c r="G730" s="327"/>
      <c r="H730" s="121"/>
      <c r="I730" s="358"/>
      <c r="J730" s="142"/>
      <c r="K730" s="358"/>
      <c r="L730" s="142"/>
      <c r="M730" s="327"/>
      <c r="N730" s="121"/>
      <c r="O730" s="327"/>
      <c r="P730" s="121"/>
      <c r="Q730" s="359"/>
      <c r="R730" s="359"/>
      <c r="S730" s="17"/>
      <c r="T730" s="17"/>
      <c r="U730" s="17"/>
      <c r="V730" s="17"/>
    </row>
    <row r="731">
      <c r="A731" s="327"/>
      <c r="B731" s="121"/>
      <c r="C731" s="327"/>
      <c r="D731" s="121"/>
      <c r="E731" s="327"/>
      <c r="F731" s="121"/>
      <c r="G731" s="327"/>
      <c r="H731" s="121"/>
      <c r="I731" s="358"/>
      <c r="J731" s="142"/>
      <c r="K731" s="358"/>
      <c r="L731" s="142"/>
      <c r="M731" s="327"/>
      <c r="N731" s="121"/>
      <c r="O731" s="327"/>
      <c r="P731" s="121"/>
      <c r="Q731" s="359"/>
      <c r="R731" s="359"/>
      <c r="S731" s="17"/>
      <c r="T731" s="17"/>
      <c r="U731" s="17"/>
      <c r="V731" s="17"/>
    </row>
    <row r="732">
      <c r="A732" s="327"/>
      <c r="B732" s="121"/>
      <c r="C732" s="327"/>
      <c r="D732" s="121"/>
      <c r="E732" s="327"/>
      <c r="F732" s="121"/>
      <c r="G732" s="327"/>
      <c r="H732" s="121"/>
      <c r="I732" s="358"/>
      <c r="J732" s="142"/>
      <c r="K732" s="358"/>
      <c r="L732" s="142"/>
      <c r="M732" s="327"/>
      <c r="N732" s="121"/>
      <c r="O732" s="327"/>
      <c r="P732" s="121"/>
      <c r="Q732" s="359"/>
      <c r="R732" s="359"/>
      <c r="S732" s="17"/>
      <c r="T732" s="17"/>
      <c r="U732" s="17"/>
      <c r="V732" s="17"/>
    </row>
    <row r="733">
      <c r="A733" s="327"/>
      <c r="B733" s="121"/>
      <c r="C733" s="327"/>
      <c r="D733" s="121"/>
      <c r="E733" s="327"/>
      <c r="F733" s="121"/>
      <c r="G733" s="327"/>
      <c r="H733" s="121"/>
      <c r="I733" s="358"/>
      <c r="J733" s="142"/>
      <c r="K733" s="358"/>
      <c r="L733" s="142"/>
      <c r="M733" s="327"/>
      <c r="N733" s="121"/>
      <c r="O733" s="327"/>
      <c r="P733" s="121"/>
      <c r="Q733" s="359"/>
      <c r="R733" s="359"/>
      <c r="S733" s="17"/>
      <c r="T733" s="17"/>
      <c r="U733" s="17"/>
      <c r="V733" s="17"/>
    </row>
    <row r="734">
      <c r="A734" s="327"/>
      <c r="B734" s="121"/>
      <c r="C734" s="327"/>
      <c r="D734" s="121"/>
      <c r="E734" s="327"/>
      <c r="F734" s="121"/>
      <c r="G734" s="327"/>
      <c r="H734" s="121"/>
      <c r="I734" s="358"/>
      <c r="J734" s="142"/>
      <c r="K734" s="358"/>
      <c r="L734" s="142"/>
      <c r="M734" s="327"/>
      <c r="N734" s="121"/>
      <c r="O734" s="327"/>
      <c r="P734" s="121"/>
      <c r="Q734" s="359"/>
      <c r="R734" s="359"/>
      <c r="S734" s="17"/>
      <c r="T734" s="17"/>
      <c r="U734" s="17"/>
      <c r="V734" s="17"/>
    </row>
    <row r="735">
      <c r="A735" s="327"/>
      <c r="B735" s="121"/>
      <c r="C735" s="327"/>
      <c r="D735" s="121"/>
      <c r="E735" s="327"/>
      <c r="F735" s="121"/>
      <c r="G735" s="327"/>
      <c r="H735" s="121"/>
      <c r="I735" s="358"/>
      <c r="J735" s="142"/>
      <c r="K735" s="358"/>
      <c r="L735" s="142"/>
      <c r="M735" s="327"/>
      <c r="N735" s="121"/>
      <c r="O735" s="327"/>
      <c r="P735" s="121"/>
      <c r="Q735" s="359"/>
      <c r="R735" s="359"/>
      <c r="S735" s="17"/>
      <c r="T735" s="17"/>
      <c r="U735" s="17"/>
      <c r="V735" s="17"/>
    </row>
    <row r="736">
      <c r="A736" s="327"/>
      <c r="B736" s="121"/>
      <c r="C736" s="327"/>
      <c r="D736" s="121"/>
      <c r="E736" s="327"/>
      <c r="F736" s="121"/>
      <c r="G736" s="327"/>
      <c r="H736" s="121"/>
      <c r="I736" s="358"/>
      <c r="J736" s="142"/>
      <c r="K736" s="358"/>
      <c r="L736" s="142"/>
      <c r="M736" s="327"/>
      <c r="N736" s="121"/>
      <c r="O736" s="327"/>
      <c r="P736" s="121"/>
      <c r="Q736" s="359"/>
      <c r="R736" s="359"/>
      <c r="S736" s="17"/>
      <c r="T736" s="17"/>
      <c r="U736" s="17"/>
      <c r="V736" s="17"/>
    </row>
    <row r="737">
      <c r="A737" s="327"/>
      <c r="B737" s="121"/>
      <c r="C737" s="327"/>
      <c r="D737" s="121"/>
      <c r="E737" s="327"/>
      <c r="F737" s="121"/>
      <c r="G737" s="327"/>
      <c r="H737" s="121"/>
      <c r="I737" s="358"/>
      <c r="J737" s="142"/>
      <c r="K737" s="358"/>
      <c r="L737" s="142"/>
      <c r="M737" s="327"/>
      <c r="N737" s="121"/>
      <c r="O737" s="327"/>
      <c r="P737" s="121"/>
      <c r="Q737" s="359"/>
      <c r="R737" s="359"/>
      <c r="S737" s="17"/>
      <c r="T737" s="17"/>
      <c r="U737" s="17"/>
      <c r="V737" s="17"/>
    </row>
    <row r="738">
      <c r="A738" s="327"/>
      <c r="B738" s="121"/>
      <c r="C738" s="327"/>
      <c r="D738" s="121"/>
      <c r="E738" s="327"/>
      <c r="F738" s="121"/>
      <c r="G738" s="327"/>
      <c r="H738" s="121"/>
      <c r="I738" s="358"/>
      <c r="J738" s="142"/>
      <c r="K738" s="358"/>
      <c r="L738" s="142"/>
      <c r="M738" s="327"/>
      <c r="N738" s="121"/>
      <c r="O738" s="327"/>
      <c r="P738" s="121"/>
      <c r="Q738" s="359"/>
      <c r="R738" s="359"/>
      <c r="S738" s="17"/>
      <c r="T738" s="17"/>
      <c r="U738" s="17"/>
      <c r="V738" s="17"/>
    </row>
    <row r="739">
      <c r="A739" s="327"/>
      <c r="B739" s="121"/>
      <c r="C739" s="327"/>
      <c r="D739" s="121"/>
      <c r="E739" s="327"/>
      <c r="F739" s="121"/>
      <c r="G739" s="327"/>
      <c r="H739" s="121"/>
      <c r="I739" s="358"/>
      <c r="J739" s="142"/>
      <c r="K739" s="358"/>
      <c r="L739" s="142"/>
      <c r="M739" s="327"/>
      <c r="N739" s="121"/>
      <c r="O739" s="327"/>
      <c r="P739" s="121"/>
      <c r="Q739" s="359"/>
      <c r="R739" s="359"/>
      <c r="S739" s="17"/>
      <c r="T739" s="17"/>
      <c r="U739" s="17"/>
      <c r="V739" s="17"/>
    </row>
    <row r="740">
      <c r="A740" s="327"/>
      <c r="B740" s="121"/>
      <c r="C740" s="327"/>
      <c r="D740" s="121"/>
      <c r="E740" s="327"/>
      <c r="F740" s="121"/>
      <c r="G740" s="327"/>
      <c r="H740" s="121"/>
      <c r="I740" s="358"/>
      <c r="J740" s="142"/>
      <c r="K740" s="358"/>
      <c r="L740" s="142"/>
      <c r="M740" s="327"/>
      <c r="N740" s="121"/>
      <c r="O740" s="327"/>
      <c r="P740" s="121"/>
      <c r="Q740" s="359"/>
      <c r="R740" s="359"/>
      <c r="S740" s="17"/>
      <c r="T740" s="17"/>
      <c r="U740" s="17"/>
      <c r="V740" s="17"/>
    </row>
    <row r="741">
      <c r="A741" s="327"/>
      <c r="B741" s="121"/>
      <c r="C741" s="327"/>
      <c r="D741" s="121"/>
      <c r="E741" s="327"/>
      <c r="F741" s="121"/>
      <c r="G741" s="327"/>
      <c r="H741" s="121"/>
      <c r="I741" s="358"/>
      <c r="J741" s="142"/>
      <c r="K741" s="358"/>
      <c r="L741" s="142"/>
      <c r="M741" s="327"/>
      <c r="N741" s="121"/>
      <c r="O741" s="327"/>
      <c r="P741" s="121"/>
      <c r="Q741" s="359"/>
      <c r="R741" s="359"/>
      <c r="S741" s="17"/>
      <c r="T741" s="17"/>
      <c r="U741" s="17"/>
      <c r="V741" s="17"/>
    </row>
    <row r="742">
      <c r="A742" s="327"/>
      <c r="B742" s="121"/>
      <c r="C742" s="327"/>
      <c r="D742" s="121"/>
      <c r="E742" s="327"/>
      <c r="F742" s="121"/>
      <c r="G742" s="327"/>
      <c r="H742" s="121"/>
      <c r="I742" s="358"/>
      <c r="J742" s="142"/>
      <c r="K742" s="358"/>
      <c r="L742" s="142"/>
      <c r="M742" s="327"/>
      <c r="N742" s="121"/>
      <c r="O742" s="327"/>
      <c r="P742" s="121"/>
      <c r="Q742" s="359"/>
      <c r="R742" s="359"/>
      <c r="S742" s="17"/>
      <c r="T742" s="17"/>
      <c r="U742" s="17"/>
      <c r="V742" s="17"/>
    </row>
    <row r="743">
      <c r="A743" s="327"/>
      <c r="B743" s="121"/>
      <c r="C743" s="327"/>
      <c r="D743" s="121"/>
      <c r="E743" s="327"/>
      <c r="F743" s="121"/>
      <c r="G743" s="327"/>
      <c r="H743" s="121"/>
      <c r="I743" s="358"/>
      <c r="J743" s="142"/>
      <c r="K743" s="358"/>
      <c r="L743" s="142"/>
      <c r="M743" s="327"/>
      <c r="N743" s="121"/>
      <c r="O743" s="327"/>
      <c r="P743" s="121"/>
      <c r="Q743" s="359"/>
      <c r="R743" s="359"/>
      <c r="S743" s="17"/>
      <c r="T743" s="17"/>
      <c r="U743" s="17"/>
      <c r="V743" s="17"/>
    </row>
    <row r="744">
      <c r="A744" s="327"/>
      <c r="B744" s="121"/>
      <c r="C744" s="327"/>
      <c r="D744" s="121"/>
      <c r="E744" s="327"/>
      <c r="F744" s="121"/>
      <c r="G744" s="327"/>
      <c r="H744" s="121"/>
      <c r="I744" s="358"/>
      <c r="J744" s="142"/>
      <c r="K744" s="358"/>
      <c r="L744" s="142"/>
      <c r="M744" s="327"/>
      <c r="N744" s="121"/>
      <c r="O744" s="327"/>
      <c r="P744" s="121"/>
      <c r="Q744" s="359"/>
      <c r="R744" s="359"/>
      <c r="S744" s="17"/>
      <c r="T744" s="17"/>
      <c r="U744" s="17"/>
      <c r="V744" s="17"/>
    </row>
    <row r="745">
      <c r="A745" s="327"/>
      <c r="B745" s="121"/>
      <c r="C745" s="327"/>
      <c r="D745" s="121"/>
      <c r="E745" s="327"/>
      <c r="F745" s="121"/>
      <c r="G745" s="327"/>
      <c r="H745" s="121"/>
      <c r="I745" s="358"/>
      <c r="J745" s="142"/>
      <c r="K745" s="358"/>
      <c r="L745" s="142"/>
      <c r="M745" s="327"/>
      <c r="N745" s="121"/>
      <c r="O745" s="327"/>
      <c r="P745" s="121"/>
      <c r="Q745" s="359"/>
      <c r="R745" s="359"/>
      <c r="S745" s="17"/>
      <c r="T745" s="17"/>
      <c r="U745" s="17"/>
      <c r="V745" s="17"/>
    </row>
    <row r="746">
      <c r="A746" s="327"/>
      <c r="B746" s="121"/>
      <c r="C746" s="327"/>
      <c r="D746" s="121"/>
      <c r="E746" s="327"/>
      <c r="F746" s="121"/>
      <c r="G746" s="327"/>
      <c r="H746" s="121"/>
      <c r="I746" s="358"/>
      <c r="J746" s="142"/>
      <c r="K746" s="358"/>
      <c r="L746" s="142"/>
      <c r="M746" s="327"/>
      <c r="N746" s="121"/>
      <c r="O746" s="327"/>
      <c r="P746" s="121"/>
      <c r="Q746" s="359"/>
      <c r="R746" s="359"/>
      <c r="S746" s="17"/>
      <c r="T746" s="17"/>
      <c r="U746" s="17"/>
      <c r="V746" s="17"/>
    </row>
    <row r="747">
      <c r="A747" s="327"/>
      <c r="B747" s="121"/>
      <c r="C747" s="327"/>
      <c r="D747" s="121"/>
      <c r="E747" s="327"/>
      <c r="F747" s="121"/>
      <c r="G747" s="327"/>
      <c r="H747" s="121"/>
      <c r="I747" s="358"/>
      <c r="J747" s="142"/>
      <c r="K747" s="358"/>
      <c r="L747" s="142"/>
      <c r="M747" s="327"/>
      <c r="N747" s="121"/>
      <c r="O747" s="327"/>
      <c r="P747" s="121"/>
      <c r="Q747" s="359"/>
      <c r="R747" s="359"/>
      <c r="S747" s="17"/>
      <c r="T747" s="17"/>
      <c r="U747" s="17"/>
      <c r="V747" s="17"/>
    </row>
    <row r="748">
      <c r="A748" s="327"/>
      <c r="B748" s="121"/>
      <c r="C748" s="327"/>
      <c r="D748" s="121"/>
      <c r="E748" s="327"/>
      <c r="F748" s="121"/>
      <c r="G748" s="327"/>
      <c r="H748" s="121"/>
      <c r="I748" s="358"/>
      <c r="J748" s="142"/>
      <c r="K748" s="358"/>
      <c r="L748" s="142"/>
      <c r="M748" s="327"/>
      <c r="N748" s="121"/>
      <c r="O748" s="327"/>
      <c r="P748" s="121"/>
      <c r="Q748" s="359"/>
      <c r="R748" s="359"/>
      <c r="S748" s="17"/>
      <c r="T748" s="17"/>
      <c r="U748" s="17"/>
      <c r="V748" s="17"/>
    </row>
    <row r="749">
      <c r="A749" s="327"/>
      <c r="B749" s="121"/>
      <c r="C749" s="327"/>
      <c r="D749" s="121"/>
      <c r="E749" s="327"/>
      <c r="F749" s="121"/>
      <c r="G749" s="327"/>
      <c r="H749" s="121"/>
      <c r="I749" s="358"/>
      <c r="J749" s="142"/>
      <c r="K749" s="358"/>
      <c r="L749" s="142"/>
      <c r="M749" s="327"/>
      <c r="N749" s="121"/>
      <c r="O749" s="327"/>
      <c r="P749" s="121"/>
      <c r="Q749" s="359"/>
      <c r="R749" s="359"/>
      <c r="S749" s="17"/>
      <c r="T749" s="17"/>
      <c r="U749" s="17"/>
      <c r="V749" s="17"/>
    </row>
    <row r="750">
      <c r="A750" s="327"/>
      <c r="B750" s="121"/>
      <c r="C750" s="327"/>
      <c r="D750" s="121"/>
      <c r="E750" s="327"/>
      <c r="F750" s="121"/>
      <c r="G750" s="327"/>
      <c r="H750" s="121"/>
      <c r="I750" s="358"/>
      <c r="J750" s="142"/>
      <c r="K750" s="358"/>
      <c r="L750" s="142"/>
      <c r="M750" s="327"/>
      <c r="N750" s="121"/>
      <c r="O750" s="327"/>
      <c r="P750" s="121"/>
      <c r="Q750" s="359"/>
      <c r="R750" s="359"/>
      <c r="S750" s="17"/>
      <c r="T750" s="17"/>
      <c r="U750" s="17"/>
      <c r="V750" s="17"/>
    </row>
    <row r="751">
      <c r="A751" s="327"/>
      <c r="B751" s="121"/>
      <c r="C751" s="327"/>
      <c r="D751" s="121"/>
      <c r="E751" s="327"/>
      <c r="F751" s="121"/>
      <c r="G751" s="327"/>
      <c r="H751" s="121"/>
      <c r="I751" s="358"/>
      <c r="J751" s="142"/>
      <c r="K751" s="358"/>
      <c r="L751" s="142"/>
      <c r="M751" s="327"/>
      <c r="N751" s="121"/>
      <c r="O751" s="327"/>
      <c r="P751" s="121"/>
      <c r="Q751" s="359"/>
      <c r="R751" s="359"/>
      <c r="S751" s="17"/>
      <c r="T751" s="17"/>
      <c r="U751" s="17"/>
      <c r="V751" s="17"/>
    </row>
    <row r="752">
      <c r="A752" s="327"/>
      <c r="B752" s="121"/>
      <c r="C752" s="327"/>
      <c r="D752" s="121"/>
      <c r="E752" s="327"/>
      <c r="F752" s="121"/>
      <c r="G752" s="327"/>
      <c r="H752" s="121"/>
      <c r="I752" s="358"/>
      <c r="J752" s="142"/>
      <c r="K752" s="358"/>
      <c r="L752" s="142"/>
      <c r="M752" s="327"/>
      <c r="N752" s="121"/>
      <c r="O752" s="327"/>
      <c r="P752" s="121"/>
      <c r="Q752" s="359"/>
      <c r="R752" s="359"/>
      <c r="S752" s="17"/>
      <c r="T752" s="17"/>
      <c r="U752" s="17"/>
      <c r="V752" s="17"/>
    </row>
    <row r="753">
      <c r="A753" s="327"/>
      <c r="B753" s="121"/>
      <c r="C753" s="327"/>
      <c r="D753" s="121"/>
      <c r="E753" s="327"/>
      <c r="F753" s="121"/>
      <c r="G753" s="327"/>
      <c r="H753" s="121"/>
      <c r="I753" s="358"/>
      <c r="J753" s="142"/>
      <c r="K753" s="358"/>
      <c r="L753" s="142"/>
      <c r="M753" s="327"/>
      <c r="N753" s="121"/>
      <c r="O753" s="327"/>
      <c r="P753" s="121"/>
      <c r="Q753" s="359"/>
      <c r="R753" s="359"/>
      <c r="S753" s="17"/>
      <c r="T753" s="17"/>
      <c r="U753" s="17"/>
      <c r="V753" s="17"/>
    </row>
    <row r="754">
      <c r="A754" s="327"/>
      <c r="B754" s="121"/>
      <c r="C754" s="327"/>
      <c r="D754" s="121"/>
      <c r="E754" s="327"/>
      <c r="F754" s="121"/>
      <c r="G754" s="327"/>
      <c r="H754" s="121"/>
      <c r="I754" s="358"/>
      <c r="J754" s="142"/>
      <c r="K754" s="358"/>
      <c r="L754" s="142"/>
      <c r="M754" s="327"/>
      <c r="N754" s="121"/>
      <c r="O754" s="327"/>
      <c r="P754" s="121"/>
      <c r="Q754" s="359"/>
      <c r="R754" s="359"/>
      <c r="S754" s="17"/>
      <c r="T754" s="17"/>
      <c r="U754" s="17"/>
      <c r="V754" s="17"/>
    </row>
    <row r="755">
      <c r="A755" s="327"/>
      <c r="B755" s="121"/>
      <c r="C755" s="327"/>
      <c r="D755" s="121"/>
      <c r="E755" s="327"/>
      <c r="F755" s="121"/>
      <c r="G755" s="327"/>
      <c r="H755" s="121"/>
      <c r="I755" s="358"/>
      <c r="J755" s="142"/>
      <c r="K755" s="358"/>
      <c r="L755" s="142"/>
      <c r="M755" s="327"/>
      <c r="N755" s="121"/>
      <c r="O755" s="327"/>
      <c r="P755" s="121"/>
      <c r="Q755" s="359"/>
      <c r="R755" s="359"/>
      <c r="S755" s="17"/>
      <c r="T755" s="17"/>
      <c r="U755" s="17"/>
      <c r="V755" s="17"/>
    </row>
    <row r="756">
      <c r="A756" s="327"/>
      <c r="B756" s="121"/>
      <c r="C756" s="327"/>
      <c r="D756" s="121"/>
      <c r="E756" s="327"/>
      <c r="F756" s="121"/>
      <c r="G756" s="327"/>
      <c r="H756" s="121"/>
      <c r="I756" s="358"/>
      <c r="J756" s="142"/>
      <c r="K756" s="358"/>
      <c r="L756" s="142"/>
      <c r="M756" s="327"/>
      <c r="N756" s="121"/>
      <c r="O756" s="327"/>
      <c r="P756" s="121"/>
      <c r="Q756" s="359"/>
      <c r="R756" s="359"/>
      <c r="S756" s="17"/>
      <c r="T756" s="17"/>
      <c r="U756" s="17"/>
      <c r="V756" s="17"/>
    </row>
    <row r="757">
      <c r="A757" s="327"/>
      <c r="B757" s="121"/>
      <c r="C757" s="327"/>
      <c r="D757" s="121"/>
      <c r="E757" s="327"/>
      <c r="F757" s="121"/>
      <c r="G757" s="327"/>
      <c r="H757" s="121"/>
      <c r="I757" s="358"/>
      <c r="J757" s="142"/>
      <c r="K757" s="358"/>
      <c r="L757" s="142"/>
      <c r="M757" s="327"/>
      <c r="N757" s="121"/>
      <c r="O757" s="327"/>
      <c r="P757" s="121"/>
      <c r="Q757" s="359"/>
      <c r="R757" s="359"/>
      <c r="S757" s="17"/>
      <c r="T757" s="17"/>
      <c r="U757" s="17"/>
      <c r="V757" s="17"/>
    </row>
    <row r="758">
      <c r="A758" s="327"/>
      <c r="B758" s="121"/>
      <c r="C758" s="327"/>
      <c r="D758" s="121"/>
      <c r="E758" s="327"/>
      <c r="F758" s="121"/>
      <c r="G758" s="327"/>
      <c r="H758" s="121"/>
      <c r="I758" s="358"/>
      <c r="J758" s="142"/>
      <c r="K758" s="358"/>
      <c r="L758" s="142"/>
      <c r="M758" s="327"/>
      <c r="N758" s="121"/>
      <c r="O758" s="327"/>
      <c r="P758" s="121"/>
      <c r="Q758" s="359"/>
      <c r="R758" s="359"/>
      <c r="S758" s="17"/>
      <c r="T758" s="17"/>
      <c r="U758" s="17"/>
      <c r="V758" s="17"/>
    </row>
    <row r="759">
      <c r="A759" s="327"/>
      <c r="B759" s="121"/>
      <c r="C759" s="327"/>
      <c r="D759" s="121"/>
      <c r="E759" s="327"/>
      <c r="F759" s="121"/>
      <c r="G759" s="327"/>
      <c r="H759" s="121"/>
      <c r="I759" s="358"/>
      <c r="J759" s="142"/>
      <c r="K759" s="358"/>
      <c r="L759" s="142"/>
      <c r="M759" s="327"/>
      <c r="N759" s="121"/>
      <c r="O759" s="327"/>
      <c r="P759" s="121"/>
      <c r="Q759" s="359"/>
      <c r="R759" s="359"/>
      <c r="S759" s="17"/>
      <c r="T759" s="17"/>
      <c r="U759" s="17"/>
      <c r="V759" s="17"/>
    </row>
    <row r="760">
      <c r="A760" s="327"/>
      <c r="B760" s="121"/>
      <c r="C760" s="327"/>
      <c r="D760" s="121"/>
      <c r="E760" s="327"/>
      <c r="F760" s="121"/>
      <c r="G760" s="327"/>
      <c r="H760" s="121"/>
      <c r="I760" s="358"/>
      <c r="J760" s="142"/>
      <c r="K760" s="358"/>
      <c r="L760" s="142"/>
      <c r="M760" s="327"/>
      <c r="N760" s="121"/>
      <c r="O760" s="327"/>
      <c r="P760" s="121"/>
      <c r="Q760" s="359"/>
      <c r="R760" s="359"/>
      <c r="S760" s="17"/>
      <c r="T760" s="17"/>
      <c r="U760" s="17"/>
      <c r="V760" s="17"/>
    </row>
    <row r="761">
      <c r="A761" s="327"/>
      <c r="B761" s="121"/>
      <c r="C761" s="327"/>
      <c r="D761" s="121"/>
      <c r="E761" s="327"/>
      <c r="F761" s="121"/>
      <c r="G761" s="327"/>
      <c r="H761" s="121"/>
      <c r="I761" s="358"/>
      <c r="J761" s="142"/>
      <c r="K761" s="358"/>
      <c r="L761" s="142"/>
      <c r="M761" s="327"/>
      <c r="N761" s="121"/>
      <c r="O761" s="327"/>
      <c r="P761" s="121"/>
      <c r="Q761" s="359"/>
      <c r="R761" s="359"/>
      <c r="S761" s="17"/>
      <c r="T761" s="17"/>
      <c r="U761" s="17"/>
      <c r="V761" s="17"/>
    </row>
    <row r="762">
      <c r="A762" s="327"/>
      <c r="B762" s="121"/>
      <c r="C762" s="327"/>
      <c r="D762" s="121"/>
      <c r="E762" s="327"/>
      <c r="F762" s="121"/>
      <c r="G762" s="327"/>
      <c r="H762" s="121"/>
      <c r="I762" s="358"/>
      <c r="J762" s="142"/>
      <c r="K762" s="358"/>
      <c r="L762" s="142"/>
      <c r="M762" s="327"/>
      <c r="N762" s="121"/>
      <c r="O762" s="327"/>
      <c r="P762" s="121"/>
      <c r="Q762" s="359"/>
      <c r="R762" s="359"/>
      <c r="S762" s="17"/>
      <c r="T762" s="17"/>
      <c r="U762" s="17"/>
      <c r="V762" s="17"/>
    </row>
    <row r="763">
      <c r="A763" s="327"/>
      <c r="B763" s="121"/>
      <c r="C763" s="327"/>
      <c r="D763" s="121"/>
      <c r="E763" s="327"/>
      <c r="F763" s="121"/>
      <c r="G763" s="327"/>
      <c r="H763" s="121"/>
      <c r="I763" s="358"/>
      <c r="J763" s="142"/>
      <c r="K763" s="358"/>
      <c r="L763" s="142"/>
      <c r="M763" s="327"/>
      <c r="N763" s="121"/>
      <c r="O763" s="327"/>
      <c r="P763" s="121"/>
      <c r="Q763" s="359"/>
      <c r="R763" s="359"/>
      <c r="S763" s="17"/>
      <c r="T763" s="17"/>
      <c r="U763" s="17"/>
      <c r="V763" s="17"/>
    </row>
    <row r="764">
      <c r="A764" s="327"/>
      <c r="B764" s="121"/>
      <c r="C764" s="327"/>
      <c r="D764" s="121"/>
      <c r="E764" s="327"/>
      <c r="F764" s="121"/>
      <c r="G764" s="327"/>
      <c r="H764" s="121"/>
      <c r="I764" s="358"/>
      <c r="J764" s="142"/>
      <c r="K764" s="358"/>
      <c r="L764" s="142"/>
      <c r="M764" s="327"/>
      <c r="N764" s="121"/>
      <c r="O764" s="327"/>
      <c r="P764" s="121"/>
      <c r="Q764" s="359"/>
      <c r="R764" s="359"/>
      <c r="S764" s="17"/>
      <c r="T764" s="17"/>
      <c r="U764" s="17"/>
      <c r="V764" s="17"/>
    </row>
    <row r="765">
      <c r="A765" s="327"/>
      <c r="B765" s="121"/>
      <c r="C765" s="327"/>
      <c r="D765" s="121"/>
      <c r="E765" s="327"/>
      <c r="F765" s="121"/>
      <c r="G765" s="327"/>
      <c r="H765" s="121"/>
      <c r="I765" s="358"/>
      <c r="J765" s="142"/>
      <c r="K765" s="358"/>
      <c r="L765" s="142"/>
      <c r="M765" s="327"/>
      <c r="N765" s="121"/>
      <c r="O765" s="327"/>
      <c r="P765" s="121"/>
      <c r="Q765" s="359"/>
      <c r="R765" s="359"/>
      <c r="S765" s="17"/>
      <c r="T765" s="17"/>
      <c r="U765" s="17"/>
      <c r="V765" s="17"/>
    </row>
    <row r="766">
      <c r="A766" s="327"/>
      <c r="B766" s="121"/>
      <c r="C766" s="327"/>
      <c r="D766" s="121"/>
      <c r="E766" s="327"/>
      <c r="F766" s="121"/>
      <c r="G766" s="327"/>
      <c r="H766" s="121"/>
      <c r="I766" s="358"/>
      <c r="J766" s="142"/>
      <c r="K766" s="358"/>
      <c r="L766" s="142"/>
      <c r="M766" s="327"/>
      <c r="N766" s="121"/>
      <c r="O766" s="327"/>
      <c r="P766" s="121"/>
      <c r="Q766" s="359"/>
      <c r="R766" s="359"/>
      <c r="S766" s="17"/>
      <c r="T766" s="17"/>
      <c r="U766" s="17"/>
      <c r="V766" s="17"/>
    </row>
    <row r="767">
      <c r="A767" s="327"/>
      <c r="B767" s="121"/>
      <c r="C767" s="327"/>
      <c r="D767" s="121"/>
      <c r="E767" s="327"/>
      <c r="F767" s="121"/>
      <c r="G767" s="327"/>
      <c r="H767" s="121"/>
      <c r="I767" s="358"/>
      <c r="J767" s="142"/>
      <c r="K767" s="358"/>
      <c r="L767" s="142"/>
      <c r="M767" s="327"/>
      <c r="N767" s="121"/>
      <c r="O767" s="327"/>
      <c r="P767" s="121"/>
      <c r="Q767" s="359"/>
      <c r="R767" s="359"/>
      <c r="S767" s="17"/>
      <c r="T767" s="17"/>
      <c r="U767" s="17"/>
      <c r="V767" s="17"/>
    </row>
    <row r="768">
      <c r="A768" s="327"/>
      <c r="B768" s="121"/>
      <c r="C768" s="327"/>
      <c r="D768" s="121"/>
      <c r="E768" s="327"/>
      <c r="F768" s="121"/>
      <c r="G768" s="327"/>
      <c r="H768" s="121"/>
      <c r="I768" s="358"/>
      <c r="J768" s="142"/>
      <c r="K768" s="358"/>
      <c r="L768" s="142"/>
      <c r="M768" s="327"/>
      <c r="N768" s="121"/>
      <c r="O768" s="327"/>
      <c r="P768" s="121"/>
      <c r="Q768" s="359"/>
      <c r="R768" s="359"/>
      <c r="S768" s="17"/>
      <c r="T768" s="17"/>
      <c r="U768" s="17"/>
      <c r="V768" s="17"/>
    </row>
    <row r="769">
      <c r="A769" s="327"/>
      <c r="B769" s="121"/>
      <c r="C769" s="327"/>
      <c r="D769" s="121"/>
      <c r="E769" s="327"/>
      <c r="F769" s="121"/>
      <c r="G769" s="327"/>
      <c r="H769" s="121"/>
      <c r="I769" s="358"/>
      <c r="J769" s="142"/>
      <c r="K769" s="358"/>
      <c r="L769" s="142"/>
      <c r="M769" s="327"/>
      <c r="N769" s="121"/>
      <c r="O769" s="327"/>
      <c r="P769" s="121"/>
      <c r="Q769" s="359"/>
      <c r="R769" s="359"/>
      <c r="S769" s="17"/>
      <c r="T769" s="17"/>
      <c r="U769" s="17"/>
      <c r="V769" s="17"/>
    </row>
    <row r="770">
      <c r="A770" s="327"/>
      <c r="B770" s="121"/>
      <c r="C770" s="327"/>
      <c r="D770" s="121"/>
      <c r="E770" s="327"/>
      <c r="F770" s="121"/>
      <c r="G770" s="327"/>
      <c r="H770" s="121"/>
      <c r="I770" s="358"/>
      <c r="J770" s="142"/>
      <c r="K770" s="358"/>
      <c r="L770" s="142"/>
      <c r="M770" s="327"/>
      <c r="N770" s="121"/>
      <c r="O770" s="327"/>
      <c r="P770" s="121"/>
      <c r="Q770" s="359"/>
      <c r="R770" s="359"/>
      <c r="S770" s="17"/>
      <c r="T770" s="17"/>
      <c r="U770" s="17"/>
      <c r="V770" s="17"/>
    </row>
    <row r="771">
      <c r="A771" s="327"/>
      <c r="B771" s="121"/>
      <c r="C771" s="327"/>
      <c r="D771" s="121"/>
      <c r="E771" s="327"/>
      <c r="F771" s="121"/>
      <c r="G771" s="327"/>
      <c r="H771" s="121"/>
      <c r="I771" s="358"/>
      <c r="J771" s="142"/>
      <c r="K771" s="358"/>
      <c r="L771" s="142"/>
      <c r="M771" s="327"/>
      <c r="N771" s="121"/>
      <c r="O771" s="327"/>
      <c r="P771" s="121"/>
      <c r="Q771" s="359"/>
      <c r="R771" s="359"/>
      <c r="S771" s="17"/>
      <c r="T771" s="17"/>
      <c r="U771" s="17"/>
      <c r="V771" s="17"/>
    </row>
    <row r="772">
      <c r="A772" s="327"/>
      <c r="B772" s="121"/>
      <c r="C772" s="327"/>
      <c r="D772" s="121"/>
      <c r="E772" s="327"/>
      <c r="F772" s="121"/>
      <c r="G772" s="327"/>
      <c r="H772" s="121"/>
      <c r="I772" s="358"/>
      <c r="J772" s="142"/>
      <c r="K772" s="358"/>
      <c r="L772" s="142"/>
      <c r="M772" s="327"/>
      <c r="N772" s="121"/>
      <c r="O772" s="327"/>
      <c r="P772" s="121"/>
      <c r="Q772" s="359"/>
      <c r="R772" s="359"/>
      <c r="S772" s="17"/>
      <c r="T772" s="17"/>
      <c r="U772" s="17"/>
      <c r="V772" s="17"/>
    </row>
    <row r="773">
      <c r="A773" s="327"/>
      <c r="B773" s="121"/>
      <c r="C773" s="327"/>
      <c r="D773" s="121"/>
      <c r="E773" s="327"/>
      <c r="F773" s="121"/>
      <c r="G773" s="327"/>
      <c r="H773" s="121"/>
      <c r="I773" s="358"/>
      <c r="J773" s="142"/>
      <c r="K773" s="358"/>
      <c r="L773" s="142"/>
      <c r="M773" s="327"/>
      <c r="N773" s="121"/>
      <c r="O773" s="327"/>
      <c r="P773" s="121"/>
      <c r="Q773" s="359"/>
      <c r="R773" s="359"/>
      <c r="S773" s="17"/>
      <c r="T773" s="17"/>
      <c r="U773" s="17"/>
      <c r="V773" s="17"/>
    </row>
    <row r="774">
      <c r="A774" s="327"/>
      <c r="B774" s="121"/>
      <c r="C774" s="327"/>
      <c r="D774" s="121"/>
      <c r="E774" s="327"/>
      <c r="F774" s="121"/>
      <c r="G774" s="327"/>
      <c r="H774" s="121"/>
      <c r="I774" s="358"/>
      <c r="J774" s="142"/>
      <c r="K774" s="358"/>
      <c r="L774" s="142"/>
      <c r="M774" s="327"/>
      <c r="N774" s="121"/>
      <c r="O774" s="327"/>
      <c r="P774" s="121"/>
      <c r="Q774" s="359"/>
      <c r="R774" s="359"/>
      <c r="S774" s="17"/>
      <c r="T774" s="17"/>
      <c r="U774" s="17"/>
      <c r="V774" s="17"/>
    </row>
    <row r="775">
      <c r="A775" s="327"/>
      <c r="B775" s="121"/>
      <c r="C775" s="327"/>
      <c r="D775" s="121"/>
      <c r="E775" s="327"/>
      <c r="F775" s="121"/>
      <c r="G775" s="327"/>
      <c r="H775" s="121"/>
      <c r="I775" s="358"/>
      <c r="J775" s="142"/>
      <c r="K775" s="358"/>
      <c r="L775" s="142"/>
      <c r="M775" s="327"/>
      <c r="N775" s="121"/>
      <c r="O775" s="327"/>
      <c r="P775" s="121"/>
      <c r="Q775" s="359"/>
      <c r="R775" s="359"/>
      <c r="S775" s="17"/>
      <c r="T775" s="17"/>
      <c r="U775" s="17"/>
      <c r="V775" s="17"/>
    </row>
    <row r="776">
      <c r="A776" s="327"/>
      <c r="B776" s="121"/>
      <c r="C776" s="327"/>
      <c r="D776" s="121"/>
      <c r="E776" s="327"/>
      <c r="F776" s="121"/>
      <c r="G776" s="327"/>
      <c r="H776" s="121"/>
      <c r="I776" s="358"/>
      <c r="J776" s="142"/>
      <c r="K776" s="358"/>
      <c r="L776" s="142"/>
      <c r="M776" s="327"/>
      <c r="N776" s="121"/>
      <c r="O776" s="327"/>
      <c r="P776" s="121"/>
      <c r="Q776" s="359"/>
      <c r="R776" s="359"/>
      <c r="S776" s="17"/>
      <c r="T776" s="17"/>
      <c r="U776" s="17"/>
      <c r="V776" s="17"/>
    </row>
    <row r="777">
      <c r="A777" s="327"/>
      <c r="B777" s="121"/>
      <c r="C777" s="327"/>
      <c r="D777" s="121"/>
      <c r="E777" s="327"/>
      <c r="F777" s="121"/>
      <c r="G777" s="327"/>
      <c r="H777" s="121"/>
      <c r="I777" s="358"/>
      <c r="J777" s="142"/>
      <c r="K777" s="358"/>
      <c r="L777" s="142"/>
      <c r="M777" s="327"/>
      <c r="N777" s="121"/>
      <c r="O777" s="327"/>
      <c r="P777" s="121"/>
      <c r="Q777" s="359"/>
      <c r="R777" s="359"/>
      <c r="S777" s="17"/>
      <c r="T777" s="17"/>
      <c r="U777" s="17"/>
      <c r="V777" s="17"/>
    </row>
    <row r="778">
      <c r="A778" s="327"/>
      <c r="B778" s="121"/>
      <c r="C778" s="327"/>
      <c r="D778" s="121"/>
      <c r="E778" s="327"/>
      <c r="F778" s="121"/>
      <c r="G778" s="327"/>
      <c r="H778" s="121"/>
      <c r="I778" s="358"/>
      <c r="J778" s="142"/>
      <c r="K778" s="358"/>
      <c r="L778" s="142"/>
      <c r="M778" s="327"/>
      <c r="N778" s="121"/>
      <c r="O778" s="327"/>
      <c r="P778" s="121"/>
      <c r="Q778" s="359"/>
      <c r="R778" s="359"/>
      <c r="S778" s="17"/>
      <c r="T778" s="17"/>
      <c r="U778" s="17"/>
      <c r="V778" s="17"/>
    </row>
    <row r="779">
      <c r="A779" s="327"/>
      <c r="B779" s="121"/>
      <c r="C779" s="327"/>
      <c r="D779" s="121"/>
      <c r="E779" s="327"/>
      <c r="F779" s="121"/>
      <c r="G779" s="327"/>
      <c r="H779" s="121"/>
      <c r="I779" s="358"/>
      <c r="J779" s="142"/>
      <c r="K779" s="358"/>
      <c r="L779" s="142"/>
      <c r="M779" s="327"/>
      <c r="N779" s="121"/>
      <c r="O779" s="327"/>
      <c r="P779" s="121"/>
      <c r="Q779" s="359"/>
      <c r="R779" s="359"/>
      <c r="S779" s="17"/>
      <c r="T779" s="17"/>
      <c r="U779" s="17"/>
      <c r="V779" s="17"/>
    </row>
    <row r="780">
      <c r="A780" s="327"/>
      <c r="B780" s="121"/>
      <c r="C780" s="327"/>
      <c r="D780" s="121"/>
      <c r="E780" s="327"/>
      <c r="F780" s="121"/>
      <c r="G780" s="327"/>
      <c r="H780" s="121"/>
      <c r="I780" s="358"/>
      <c r="J780" s="142"/>
      <c r="K780" s="358"/>
      <c r="L780" s="142"/>
      <c r="M780" s="327"/>
      <c r="N780" s="121"/>
      <c r="O780" s="327"/>
      <c r="P780" s="121"/>
      <c r="Q780" s="359"/>
      <c r="R780" s="359"/>
      <c r="S780" s="17"/>
      <c r="T780" s="17"/>
      <c r="U780" s="17"/>
      <c r="V780" s="17"/>
    </row>
    <row r="781">
      <c r="A781" s="327"/>
      <c r="B781" s="121"/>
      <c r="C781" s="327"/>
      <c r="D781" s="121"/>
      <c r="E781" s="327"/>
      <c r="F781" s="121"/>
      <c r="G781" s="327"/>
      <c r="H781" s="121"/>
      <c r="I781" s="358"/>
      <c r="J781" s="142"/>
      <c r="K781" s="358"/>
      <c r="L781" s="142"/>
      <c r="M781" s="327"/>
      <c r="N781" s="121"/>
      <c r="O781" s="327"/>
      <c r="P781" s="121"/>
      <c r="Q781" s="359"/>
      <c r="R781" s="359"/>
      <c r="S781" s="17"/>
      <c r="T781" s="17"/>
      <c r="U781" s="17"/>
      <c r="V781" s="17"/>
    </row>
    <row r="782">
      <c r="A782" s="327"/>
      <c r="B782" s="121"/>
      <c r="C782" s="327"/>
      <c r="D782" s="121"/>
      <c r="E782" s="327"/>
      <c r="F782" s="121"/>
      <c r="G782" s="327"/>
      <c r="H782" s="121"/>
      <c r="I782" s="358"/>
      <c r="J782" s="142"/>
      <c r="K782" s="358"/>
      <c r="L782" s="142"/>
      <c r="M782" s="327"/>
      <c r="N782" s="121"/>
      <c r="O782" s="327"/>
      <c r="P782" s="121"/>
      <c r="Q782" s="359"/>
      <c r="R782" s="359"/>
      <c r="S782" s="17"/>
      <c r="T782" s="17"/>
      <c r="U782" s="17"/>
      <c r="V782" s="17"/>
    </row>
    <row r="783">
      <c r="A783" s="327"/>
      <c r="B783" s="121"/>
      <c r="C783" s="327"/>
      <c r="D783" s="121"/>
      <c r="E783" s="327"/>
      <c r="F783" s="121"/>
      <c r="G783" s="327"/>
      <c r="H783" s="121"/>
      <c r="I783" s="358"/>
      <c r="J783" s="142"/>
      <c r="K783" s="358"/>
      <c r="L783" s="142"/>
      <c r="M783" s="327"/>
      <c r="N783" s="121"/>
      <c r="O783" s="327"/>
      <c r="P783" s="121"/>
      <c r="Q783" s="359"/>
      <c r="R783" s="359"/>
      <c r="S783" s="17"/>
      <c r="T783" s="17"/>
      <c r="U783" s="17"/>
      <c r="V783" s="17"/>
    </row>
    <row r="784">
      <c r="A784" s="327"/>
      <c r="B784" s="121"/>
      <c r="C784" s="327"/>
      <c r="D784" s="121"/>
      <c r="E784" s="327"/>
      <c r="F784" s="121"/>
      <c r="G784" s="327"/>
      <c r="H784" s="121"/>
      <c r="I784" s="358"/>
      <c r="J784" s="142"/>
      <c r="K784" s="358"/>
      <c r="L784" s="142"/>
      <c r="M784" s="327"/>
      <c r="N784" s="121"/>
      <c r="O784" s="327"/>
      <c r="P784" s="121"/>
      <c r="Q784" s="359"/>
      <c r="R784" s="359"/>
      <c r="S784" s="17"/>
      <c r="T784" s="17"/>
      <c r="U784" s="17"/>
      <c r="V784" s="17"/>
    </row>
    <row r="785">
      <c r="A785" s="327"/>
      <c r="B785" s="121"/>
      <c r="C785" s="327"/>
      <c r="D785" s="121"/>
      <c r="E785" s="327"/>
      <c r="F785" s="121"/>
      <c r="G785" s="327"/>
      <c r="H785" s="121"/>
      <c r="I785" s="358"/>
      <c r="J785" s="142"/>
      <c r="K785" s="358"/>
      <c r="L785" s="142"/>
      <c r="M785" s="327"/>
      <c r="N785" s="121"/>
      <c r="O785" s="327"/>
      <c r="P785" s="121"/>
      <c r="Q785" s="359"/>
      <c r="R785" s="359"/>
      <c r="S785" s="17"/>
      <c r="T785" s="17"/>
      <c r="U785" s="17"/>
      <c r="V785" s="17"/>
    </row>
    <row r="786">
      <c r="A786" s="327"/>
      <c r="B786" s="121"/>
      <c r="C786" s="327"/>
      <c r="D786" s="121"/>
      <c r="E786" s="327"/>
      <c r="F786" s="121"/>
      <c r="G786" s="327"/>
      <c r="H786" s="121"/>
      <c r="I786" s="358"/>
      <c r="J786" s="142"/>
      <c r="K786" s="358"/>
      <c r="L786" s="142"/>
      <c r="M786" s="327"/>
      <c r="N786" s="121"/>
      <c r="O786" s="327"/>
      <c r="P786" s="121"/>
      <c r="Q786" s="359"/>
      <c r="R786" s="359"/>
      <c r="S786" s="17"/>
      <c r="T786" s="17"/>
      <c r="U786" s="17"/>
      <c r="V786" s="17"/>
    </row>
    <row r="787">
      <c r="A787" s="327"/>
      <c r="B787" s="121"/>
      <c r="C787" s="327"/>
      <c r="D787" s="121"/>
      <c r="E787" s="327"/>
      <c r="F787" s="121"/>
      <c r="G787" s="327"/>
      <c r="H787" s="121"/>
      <c r="I787" s="358"/>
      <c r="J787" s="142"/>
      <c r="K787" s="358"/>
      <c r="L787" s="142"/>
      <c r="M787" s="327"/>
      <c r="N787" s="121"/>
      <c r="O787" s="327"/>
      <c r="P787" s="121"/>
      <c r="Q787" s="359"/>
      <c r="R787" s="359"/>
      <c r="S787" s="17"/>
      <c r="T787" s="17"/>
      <c r="U787" s="17"/>
      <c r="V787" s="17"/>
    </row>
    <row r="788">
      <c r="A788" s="327"/>
      <c r="B788" s="121"/>
      <c r="C788" s="327"/>
      <c r="D788" s="121"/>
      <c r="E788" s="327"/>
      <c r="F788" s="121"/>
      <c r="G788" s="327"/>
      <c r="H788" s="121"/>
      <c r="I788" s="358"/>
      <c r="J788" s="142"/>
      <c r="K788" s="358"/>
      <c r="L788" s="142"/>
      <c r="M788" s="327"/>
      <c r="N788" s="121"/>
      <c r="O788" s="327"/>
      <c r="P788" s="121"/>
      <c r="Q788" s="359"/>
      <c r="R788" s="359"/>
      <c r="S788" s="17"/>
      <c r="T788" s="17"/>
      <c r="U788" s="17"/>
      <c r="V788" s="17"/>
    </row>
    <row r="789">
      <c r="A789" s="327"/>
      <c r="B789" s="121"/>
      <c r="C789" s="327"/>
      <c r="D789" s="121"/>
      <c r="E789" s="327"/>
      <c r="F789" s="121"/>
      <c r="G789" s="327"/>
      <c r="H789" s="121"/>
      <c r="I789" s="358"/>
      <c r="J789" s="142"/>
      <c r="K789" s="358"/>
      <c r="L789" s="142"/>
      <c r="M789" s="327"/>
      <c r="N789" s="121"/>
      <c r="O789" s="327"/>
      <c r="P789" s="121"/>
      <c r="Q789" s="359"/>
      <c r="R789" s="359"/>
      <c r="S789" s="17"/>
      <c r="T789" s="17"/>
      <c r="U789" s="17"/>
      <c r="V789" s="17"/>
    </row>
    <row r="790">
      <c r="A790" s="327"/>
      <c r="B790" s="121"/>
      <c r="C790" s="327"/>
      <c r="D790" s="121"/>
      <c r="E790" s="327"/>
      <c r="F790" s="121"/>
      <c r="G790" s="327"/>
      <c r="H790" s="121"/>
      <c r="I790" s="358"/>
      <c r="J790" s="142"/>
      <c r="K790" s="358"/>
      <c r="L790" s="142"/>
      <c r="M790" s="327"/>
      <c r="N790" s="121"/>
      <c r="O790" s="327"/>
      <c r="P790" s="121"/>
      <c r="Q790" s="359"/>
      <c r="R790" s="359"/>
      <c r="S790" s="17"/>
      <c r="T790" s="17"/>
      <c r="U790" s="17"/>
      <c r="V790" s="17"/>
    </row>
    <row r="791">
      <c r="A791" s="327"/>
      <c r="B791" s="121"/>
      <c r="C791" s="327"/>
      <c r="D791" s="121"/>
      <c r="E791" s="327"/>
      <c r="F791" s="121"/>
      <c r="G791" s="327"/>
      <c r="H791" s="121"/>
      <c r="I791" s="358"/>
      <c r="J791" s="142"/>
      <c r="K791" s="358"/>
      <c r="L791" s="142"/>
      <c r="M791" s="327"/>
      <c r="N791" s="121"/>
      <c r="O791" s="327"/>
      <c r="P791" s="121"/>
      <c r="Q791" s="359"/>
      <c r="R791" s="359"/>
      <c r="S791" s="17"/>
      <c r="T791" s="17"/>
      <c r="U791" s="17"/>
      <c r="V791" s="17"/>
    </row>
    <row r="792">
      <c r="A792" s="327"/>
      <c r="B792" s="121"/>
      <c r="C792" s="327"/>
      <c r="D792" s="121"/>
      <c r="E792" s="327"/>
      <c r="F792" s="121"/>
      <c r="G792" s="327"/>
      <c r="H792" s="121"/>
      <c r="I792" s="358"/>
      <c r="J792" s="142"/>
      <c r="K792" s="358"/>
      <c r="L792" s="142"/>
      <c r="M792" s="327"/>
      <c r="N792" s="121"/>
      <c r="O792" s="327"/>
      <c r="P792" s="121"/>
      <c r="Q792" s="359"/>
      <c r="R792" s="359"/>
      <c r="S792" s="17"/>
      <c r="T792" s="17"/>
      <c r="U792" s="17"/>
      <c r="V792" s="17"/>
    </row>
    <row r="793">
      <c r="A793" s="327"/>
      <c r="B793" s="121"/>
      <c r="C793" s="327"/>
      <c r="D793" s="121"/>
      <c r="E793" s="327"/>
      <c r="F793" s="121"/>
      <c r="G793" s="327"/>
      <c r="H793" s="121"/>
      <c r="I793" s="358"/>
      <c r="J793" s="142"/>
      <c r="K793" s="358"/>
      <c r="L793" s="142"/>
      <c r="M793" s="327"/>
      <c r="N793" s="121"/>
      <c r="O793" s="327"/>
      <c r="P793" s="121"/>
      <c r="Q793" s="359"/>
      <c r="R793" s="359"/>
      <c r="S793" s="17"/>
      <c r="T793" s="17"/>
      <c r="U793" s="17"/>
      <c r="V793" s="17"/>
    </row>
    <row r="794">
      <c r="A794" s="327"/>
      <c r="B794" s="121"/>
      <c r="C794" s="327"/>
      <c r="D794" s="121"/>
      <c r="E794" s="327"/>
      <c r="F794" s="121"/>
      <c r="G794" s="327"/>
      <c r="H794" s="121"/>
      <c r="I794" s="358"/>
      <c r="J794" s="142"/>
      <c r="K794" s="358"/>
      <c r="L794" s="142"/>
      <c r="M794" s="327"/>
      <c r="N794" s="121"/>
      <c r="O794" s="327"/>
      <c r="P794" s="121"/>
      <c r="Q794" s="359"/>
      <c r="R794" s="359"/>
      <c r="S794" s="17"/>
      <c r="T794" s="17"/>
      <c r="U794" s="17"/>
      <c r="V794" s="17"/>
    </row>
    <row r="795">
      <c r="A795" s="327"/>
      <c r="B795" s="121"/>
      <c r="C795" s="327"/>
      <c r="D795" s="121"/>
      <c r="E795" s="327"/>
      <c r="F795" s="121"/>
      <c r="G795" s="327"/>
      <c r="H795" s="121"/>
      <c r="I795" s="358"/>
      <c r="J795" s="142"/>
      <c r="K795" s="358"/>
      <c r="L795" s="142"/>
      <c r="M795" s="327"/>
      <c r="N795" s="121"/>
      <c r="O795" s="327"/>
      <c r="P795" s="121"/>
      <c r="Q795" s="359"/>
      <c r="R795" s="359"/>
      <c r="S795" s="17"/>
      <c r="T795" s="17"/>
      <c r="U795" s="17"/>
      <c r="V795" s="17"/>
    </row>
    <row r="796">
      <c r="A796" s="327"/>
      <c r="B796" s="121"/>
      <c r="C796" s="327"/>
      <c r="D796" s="121"/>
      <c r="E796" s="327"/>
      <c r="F796" s="121"/>
      <c r="G796" s="327"/>
      <c r="H796" s="121"/>
      <c r="I796" s="358"/>
      <c r="J796" s="142"/>
      <c r="K796" s="358"/>
      <c r="L796" s="142"/>
      <c r="M796" s="327"/>
      <c r="N796" s="121"/>
      <c r="O796" s="327"/>
      <c r="P796" s="121"/>
      <c r="Q796" s="359"/>
      <c r="R796" s="359"/>
      <c r="S796" s="17"/>
      <c r="T796" s="17"/>
      <c r="U796" s="17"/>
      <c r="V796" s="17"/>
    </row>
    <row r="797">
      <c r="A797" s="327"/>
      <c r="B797" s="121"/>
      <c r="C797" s="327"/>
      <c r="D797" s="121"/>
      <c r="E797" s="327"/>
      <c r="F797" s="121"/>
      <c r="G797" s="327"/>
      <c r="H797" s="121"/>
      <c r="I797" s="358"/>
      <c r="J797" s="142"/>
      <c r="K797" s="358"/>
      <c r="L797" s="142"/>
      <c r="M797" s="327"/>
      <c r="N797" s="121"/>
      <c r="O797" s="327"/>
      <c r="P797" s="121"/>
      <c r="Q797" s="359"/>
      <c r="R797" s="359"/>
      <c r="S797" s="17"/>
      <c r="T797" s="17"/>
      <c r="U797" s="17"/>
      <c r="V797" s="17"/>
    </row>
    <row r="798">
      <c r="A798" s="327"/>
      <c r="B798" s="121"/>
      <c r="C798" s="327"/>
      <c r="D798" s="121"/>
      <c r="E798" s="327"/>
      <c r="F798" s="121"/>
      <c r="G798" s="327"/>
      <c r="H798" s="121"/>
      <c r="I798" s="358"/>
      <c r="J798" s="142"/>
      <c r="K798" s="358"/>
      <c r="L798" s="142"/>
      <c r="M798" s="327"/>
      <c r="N798" s="121"/>
      <c r="O798" s="327"/>
      <c r="P798" s="121"/>
      <c r="Q798" s="359"/>
      <c r="R798" s="359"/>
      <c r="S798" s="17"/>
      <c r="T798" s="17"/>
      <c r="U798" s="17"/>
      <c r="V798" s="17"/>
    </row>
    <row r="799">
      <c r="A799" s="327"/>
      <c r="B799" s="121"/>
      <c r="C799" s="327"/>
      <c r="D799" s="121"/>
      <c r="E799" s="327"/>
      <c r="F799" s="121"/>
      <c r="G799" s="327"/>
      <c r="H799" s="121"/>
      <c r="I799" s="358"/>
      <c r="J799" s="142"/>
      <c r="K799" s="358"/>
      <c r="L799" s="142"/>
      <c r="M799" s="327"/>
      <c r="N799" s="121"/>
      <c r="O799" s="327"/>
      <c r="P799" s="121"/>
      <c r="Q799" s="359"/>
      <c r="R799" s="359"/>
      <c r="S799" s="17"/>
      <c r="T799" s="17"/>
      <c r="U799" s="17"/>
      <c r="V799" s="17"/>
    </row>
    <row r="800">
      <c r="A800" s="327"/>
      <c r="B800" s="121"/>
      <c r="C800" s="327"/>
      <c r="D800" s="121"/>
      <c r="E800" s="327"/>
      <c r="F800" s="121"/>
      <c r="G800" s="327"/>
      <c r="H800" s="121"/>
      <c r="I800" s="358"/>
      <c r="J800" s="142"/>
      <c r="K800" s="358"/>
      <c r="L800" s="142"/>
      <c r="M800" s="327"/>
      <c r="N800" s="121"/>
      <c r="O800" s="327"/>
      <c r="P800" s="121"/>
      <c r="Q800" s="359"/>
      <c r="R800" s="359"/>
      <c r="S800" s="17"/>
      <c r="T800" s="17"/>
      <c r="U800" s="17"/>
      <c r="V800" s="17"/>
    </row>
    <row r="801">
      <c r="A801" s="327"/>
      <c r="B801" s="121"/>
      <c r="C801" s="327"/>
      <c r="D801" s="121"/>
      <c r="E801" s="327"/>
      <c r="F801" s="121"/>
      <c r="G801" s="327"/>
      <c r="H801" s="121"/>
      <c r="I801" s="358"/>
      <c r="J801" s="142"/>
      <c r="K801" s="358"/>
      <c r="L801" s="142"/>
      <c r="M801" s="327"/>
      <c r="N801" s="121"/>
      <c r="O801" s="327"/>
      <c r="P801" s="121"/>
      <c r="Q801" s="359"/>
      <c r="R801" s="359"/>
      <c r="S801" s="17"/>
      <c r="T801" s="17"/>
      <c r="U801" s="17"/>
      <c r="V801" s="17"/>
    </row>
    <row r="802">
      <c r="A802" s="327"/>
      <c r="B802" s="121"/>
      <c r="C802" s="327"/>
      <c r="D802" s="121"/>
      <c r="E802" s="327"/>
      <c r="F802" s="121"/>
      <c r="G802" s="327"/>
      <c r="H802" s="121"/>
      <c r="I802" s="358"/>
      <c r="J802" s="142"/>
      <c r="K802" s="358"/>
      <c r="L802" s="142"/>
      <c r="M802" s="327"/>
      <c r="N802" s="121"/>
      <c r="O802" s="327"/>
      <c r="P802" s="121"/>
      <c r="Q802" s="359"/>
      <c r="R802" s="359"/>
      <c r="S802" s="17"/>
      <c r="T802" s="17"/>
      <c r="U802" s="17"/>
      <c r="V802" s="17"/>
    </row>
    <row r="803">
      <c r="A803" s="327"/>
      <c r="B803" s="121"/>
      <c r="C803" s="327"/>
      <c r="D803" s="121"/>
      <c r="E803" s="327"/>
      <c r="F803" s="121"/>
      <c r="G803" s="327"/>
      <c r="H803" s="121"/>
      <c r="I803" s="358"/>
      <c r="J803" s="142"/>
      <c r="K803" s="358"/>
      <c r="L803" s="142"/>
      <c r="M803" s="327"/>
      <c r="N803" s="121"/>
      <c r="O803" s="327"/>
      <c r="P803" s="121"/>
      <c r="Q803" s="359"/>
      <c r="R803" s="359"/>
      <c r="S803" s="17"/>
      <c r="T803" s="17"/>
      <c r="U803" s="17"/>
      <c r="V803" s="17"/>
    </row>
    <row r="804">
      <c r="A804" s="327"/>
      <c r="B804" s="121"/>
      <c r="C804" s="327"/>
      <c r="D804" s="121"/>
      <c r="E804" s="327"/>
      <c r="F804" s="121"/>
      <c r="G804" s="327"/>
      <c r="H804" s="121"/>
      <c r="I804" s="358"/>
      <c r="J804" s="142"/>
      <c r="K804" s="358"/>
      <c r="L804" s="142"/>
      <c r="M804" s="327"/>
      <c r="N804" s="121"/>
      <c r="O804" s="327"/>
      <c r="P804" s="121"/>
      <c r="Q804" s="359"/>
      <c r="R804" s="359"/>
      <c r="S804" s="17"/>
      <c r="T804" s="17"/>
      <c r="U804" s="17"/>
      <c r="V804" s="17"/>
    </row>
    <row r="805">
      <c r="A805" s="327"/>
      <c r="B805" s="121"/>
      <c r="C805" s="327"/>
      <c r="D805" s="121"/>
      <c r="E805" s="327"/>
      <c r="F805" s="121"/>
      <c r="G805" s="327"/>
      <c r="H805" s="121"/>
      <c r="I805" s="358"/>
      <c r="J805" s="142"/>
      <c r="K805" s="358"/>
      <c r="L805" s="142"/>
      <c r="M805" s="327"/>
      <c r="N805" s="121"/>
      <c r="O805" s="327"/>
      <c r="P805" s="121"/>
      <c r="Q805" s="359"/>
      <c r="R805" s="359"/>
      <c r="S805" s="17"/>
      <c r="T805" s="17"/>
      <c r="U805" s="17"/>
      <c r="V805" s="17"/>
    </row>
    <row r="806">
      <c r="A806" s="327"/>
      <c r="B806" s="121"/>
      <c r="C806" s="327"/>
      <c r="D806" s="121"/>
      <c r="E806" s="327"/>
      <c r="F806" s="121"/>
      <c r="G806" s="327"/>
      <c r="H806" s="121"/>
      <c r="I806" s="358"/>
      <c r="J806" s="142"/>
      <c r="K806" s="358"/>
      <c r="L806" s="142"/>
      <c r="M806" s="327"/>
      <c r="N806" s="121"/>
      <c r="O806" s="327"/>
      <c r="P806" s="121"/>
      <c r="Q806" s="359"/>
      <c r="R806" s="359"/>
      <c r="S806" s="17"/>
      <c r="T806" s="17"/>
      <c r="U806" s="17"/>
      <c r="V806" s="17"/>
    </row>
    <row r="807">
      <c r="A807" s="327"/>
      <c r="B807" s="121"/>
      <c r="C807" s="327"/>
      <c r="D807" s="121"/>
      <c r="E807" s="327"/>
      <c r="F807" s="121"/>
      <c r="G807" s="327"/>
      <c r="H807" s="121"/>
      <c r="I807" s="358"/>
      <c r="J807" s="142"/>
      <c r="K807" s="358"/>
      <c r="L807" s="142"/>
      <c r="M807" s="327"/>
      <c r="N807" s="121"/>
      <c r="O807" s="327"/>
      <c r="P807" s="121"/>
      <c r="Q807" s="359"/>
      <c r="R807" s="359"/>
      <c r="S807" s="17"/>
      <c r="T807" s="17"/>
      <c r="U807" s="17"/>
      <c r="V807" s="17"/>
    </row>
    <row r="808">
      <c r="A808" s="327"/>
      <c r="B808" s="121"/>
      <c r="C808" s="327"/>
      <c r="D808" s="121"/>
      <c r="E808" s="327"/>
      <c r="F808" s="121"/>
      <c r="G808" s="327"/>
      <c r="H808" s="121"/>
      <c r="I808" s="358"/>
      <c r="J808" s="142"/>
      <c r="K808" s="358"/>
      <c r="L808" s="142"/>
      <c r="M808" s="327"/>
      <c r="N808" s="121"/>
      <c r="O808" s="327"/>
      <c r="P808" s="121"/>
      <c r="Q808" s="359"/>
      <c r="R808" s="359"/>
      <c r="S808" s="17"/>
      <c r="T808" s="17"/>
      <c r="U808" s="17"/>
      <c r="V808" s="17"/>
    </row>
    <row r="809">
      <c r="A809" s="327"/>
      <c r="B809" s="121"/>
      <c r="C809" s="327"/>
      <c r="D809" s="121"/>
      <c r="E809" s="327"/>
      <c r="F809" s="121"/>
      <c r="G809" s="327"/>
      <c r="H809" s="121"/>
      <c r="I809" s="358"/>
      <c r="J809" s="142"/>
      <c r="K809" s="358"/>
      <c r="L809" s="142"/>
      <c r="M809" s="327"/>
      <c r="N809" s="121"/>
      <c r="O809" s="327"/>
      <c r="P809" s="121"/>
      <c r="Q809" s="359"/>
      <c r="R809" s="359"/>
      <c r="S809" s="17"/>
      <c r="T809" s="17"/>
      <c r="U809" s="17"/>
      <c r="V809" s="17"/>
    </row>
    <row r="810">
      <c r="A810" s="327"/>
      <c r="B810" s="121"/>
      <c r="C810" s="327"/>
      <c r="D810" s="121"/>
      <c r="E810" s="327"/>
      <c r="F810" s="121"/>
      <c r="G810" s="327"/>
      <c r="H810" s="121"/>
      <c r="I810" s="358"/>
      <c r="J810" s="142"/>
      <c r="K810" s="358"/>
      <c r="L810" s="142"/>
      <c r="M810" s="327"/>
      <c r="N810" s="121"/>
      <c r="O810" s="327"/>
      <c r="P810" s="121"/>
      <c r="Q810" s="359"/>
      <c r="R810" s="359"/>
      <c r="S810" s="17"/>
      <c r="T810" s="17"/>
      <c r="U810" s="17"/>
      <c r="V810" s="17"/>
    </row>
    <row r="811">
      <c r="A811" s="327"/>
      <c r="B811" s="121"/>
      <c r="C811" s="327"/>
      <c r="D811" s="121"/>
      <c r="E811" s="327"/>
      <c r="F811" s="121"/>
      <c r="G811" s="327"/>
      <c r="H811" s="121"/>
      <c r="I811" s="358"/>
      <c r="J811" s="142"/>
      <c r="K811" s="358"/>
      <c r="L811" s="142"/>
      <c r="M811" s="327"/>
      <c r="N811" s="121"/>
      <c r="O811" s="327"/>
      <c r="P811" s="121"/>
      <c r="Q811" s="359"/>
      <c r="R811" s="359"/>
      <c r="S811" s="17"/>
      <c r="T811" s="17"/>
      <c r="U811" s="17"/>
      <c r="V811" s="17"/>
    </row>
    <row r="812">
      <c r="A812" s="327"/>
      <c r="B812" s="121"/>
      <c r="C812" s="327"/>
      <c r="D812" s="121"/>
      <c r="E812" s="327"/>
      <c r="F812" s="121"/>
      <c r="G812" s="327"/>
      <c r="H812" s="121"/>
      <c r="I812" s="358"/>
      <c r="J812" s="142"/>
      <c r="K812" s="358"/>
      <c r="L812" s="142"/>
      <c r="M812" s="327"/>
      <c r="N812" s="121"/>
      <c r="O812" s="327"/>
      <c r="P812" s="121"/>
      <c r="Q812" s="359"/>
      <c r="R812" s="359"/>
      <c r="S812" s="17"/>
      <c r="T812" s="17"/>
      <c r="U812" s="17"/>
      <c r="V812" s="17"/>
    </row>
    <row r="813">
      <c r="A813" s="327"/>
      <c r="B813" s="121"/>
      <c r="C813" s="327"/>
      <c r="D813" s="121"/>
      <c r="E813" s="327"/>
      <c r="F813" s="121"/>
      <c r="G813" s="327"/>
      <c r="H813" s="121"/>
      <c r="I813" s="358"/>
      <c r="J813" s="142"/>
      <c r="K813" s="358"/>
      <c r="L813" s="142"/>
      <c r="M813" s="327"/>
      <c r="N813" s="121"/>
      <c r="O813" s="327"/>
      <c r="P813" s="121"/>
      <c r="Q813" s="359"/>
      <c r="R813" s="359"/>
      <c r="S813" s="17"/>
      <c r="T813" s="17"/>
      <c r="U813" s="17"/>
      <c r="V813" s="17"/>
    </row>
    <row r="814">
      <c r="A814" s="327"/>
      <c r="B814" s="121"/>
      <c r="C814" s="327"/>
      <c r="D814" s="121"/>
      <c r="E814" s="327"/>
      <c r="F814" s="121"/>
      <c r="G814" s="327"/>
      <c r="H814" s="121"/>
      <c r="I814" s="358"/>
      <c r="J814" s="142"/>
      <c r="K814" s="358"/>
      <c r="L814" s="142"/>
      <c r="M814" s="327"/>
      <c r="N814" s="121"/>
      <c r="O814" s="327"/>
      <c r="P814" s="121"/>
      <c r="Q814" s="359"/>
      <c r="R814" s="359"/>
      <c r="S814" s="17"/>
      <c r="T814" s="17"/>
      <c r="U814" s="17"/>
      <c r="V814" s="17"/>
    </row>
    <row r="815">
      <c r="A815" s="327"/>
      <c r="B815" s="121"/>
      <c r="C815" s="327"/>
      <c r="D815" s="121"/>
      <c r="E815" s="327"/>
      <c r="F815" s="121"/>
      <c r="G815" s="327"/>
      <c r="H815" s="121"/>
      <c r="I815" s="358"/>
      <c r="J815" s="142"/>
      <c r="K815" s="358"/>
      <c r="L815" s="142"/>
      <c r="M815" s="327"/>
      <c r="N815" s="121"/>
      <c r="O815" s="327"/>
      <c r="P815" s="121"/>
      <c r="Q815" s="359"/>
      <c r="R815" s="359"/>
      <c r="S815" s="17"/>
      <c r="T815" s="17"/>
      <c r="U815" s="17"/>
      <c r="V815" s="17"/>
    </row>
    <row r="816">
      <c r="A816" s="327"/>
      <c r="B816" s="121"/>
      <c r="C816" s="327"/>
      <c r="D816" s="121"/>
      <c r="E816" s="327"/>
      <c r="F816" s="121"/>
      <c r="G816" s="327"/>
      <c r="H816" s="121"/>
      <c r="I816" s="358"/>
      <c r="J816" s="142"/>
      <c r="K816" s="358"/>
      <c r="L816" s="142"/>
      <c r="M816" s="327"/>
      <c r="N816" s="121"/>
      <c r="O816" s="327"/>
      <c r="P816" s="121"/>
      <c r="Q816" s="359"/>
      <c r="R816" s="359"/>
      <c r="S816" s="17"/>
      <c r="T816" s="17"/>
      <c r="U816" s="17"/>
      <c r="V816" s="17"/>
    </row>
    <row r="817">
      <c r="A817" s="327"/>
      <c r="B817" s="121"/>
      <c r="C817" s="327"/>
      <c r="D817" s="121"/>
      <c r="E817" s="327"/>
      <c r="F817" s="121"/>
      <c r="G817" s="327"/>
      <c r="H817" s="121"/>
      <c r="I817" s="358"/>
      <c r="J817" s="142"/>
      <c r="K817" s="358"/>
      <c r="L817" s="142"/>
      <c r="M817" s="327"/>
      <c r="N817" s="121"/>
      <c r="O817" s="327"/>
      <c r="P817" s="121"/>
      <c r="Q817" s="359"/>
      <c r="R817" s="359"/>
      <c r="S817" s="17"/>
      <c r="T817" s="17"/>
      <c r="U817" s="17"/>
      <c r="V817" s="17"/>
    </row>
    <row r="818">
      <c r="A818" s="327"/>
      <c r="B818" s="121"/>
      <c r="C818" s="327"/>
      <c r="D818" s="121"/>
      <c r="E818" s="327"/>
      <c r="F818" s="121"/>
      <c r="G818" s="327"/>
      <c r="H818" s="121"/>
      <c r="I818" s="358"/>
      <c r="J818" s="142"/>
      <c r="K818" s="358"/>
      <c r="L818" s="142"/>
      <c r="M818" s="327"/>
      <c r="N818" s="121"/>
      <c r="O818" s="327"/>
      <c r="P818" s="121"/>
      <c r="Q818" s="359"/>
      <c r="R818" s="359"/>
      <c r="S818" s="17"/>
      <c r="T818" s="17"/>
      <c r="U818" s="17"/>
      <c r="V818" s="17"/>
    </row>
    <row r="819">
      <c r="A819" s="327"/>
      <c r="B819" s="121"/>
      <c r="C819" s="327"/>
      <c r="D819" s="121"/>
      <c r="E819" s="327"/>
      <c r="F819" s="121"/>
      <c r="G819" s="327"/>
      <c r="H819" s="121"/>
      <c r="I819" s="358"/>
      <c r="J819" s="142"/>
      <c r="K819" s="358"/>
      <c r="L819" s="142"/>
      <c r="M819" s="327"/>
      <c r="N819" s="121"/>
      <c r="O819" s="327"/>
      <c r="P819" s="121"/>
      <c r="Q819" s="359"/>
      <c r="R819" s="359"/>
      <c r="S819" s="17"/>
      <c r="T819" s="17"/>
      <c r="U819" s="17"/>
      <c r="V819" s="17"/>
    </row>
    <row r="820">
      <c r="A820" s="327"/>
      <c r="B820" s="121"/>
      <c r="C820" s="327"/>
      <c r="D820" s="121"/>
      <c r="E820" s="327"/>
      <c r="F820" s="121"/>
      <c r="G820" s="327"/>
      <c r="H820" s="121"/>
      <c r="I820" s="358"/>
      <c r="J820" s="142"/>
      <c r="K820" s="358"/>
      <c r="L820" s="142"/>
      <c r="M820" s="327"/>
      <c r="N820" s="121"/>
      <c r="O820" s="327"/>
      <c r="P820" s="121"/>
      <c r="Q820" s="359"/>
      <c r="R820" s="359"/>
      <c r="S820" s="17"/>
      <c r="T820" s="17"/>
      <c r="U820" s="17"/>
      <c r="V820" s="17"/>
    </row>
    <row r="821">
      <c r="A821" s="327"/>
      <c r="B821" s="121"/>
      <c r="C821" s="327"/>
      <c r="D821" s="121"/>
      <c r="E821" s="327"/>
      <c r="F821" s="121"/>
      <c r="G821" s="327"/>
      <c r="H821" s="121"/>
      <c r="I821" s="358"/>
      <c r="J821" s="142"/>
      <c r="K821" s="358"/>
      <c r="L821" s="142"/>
      <c r="M821" s="327"/>
      <c r="N821" s="121"/>
      <c r="O821" s="327"/>
      <c r="P821" s="121"/>
      <c r="Q821" s="359"/>
      <c r="R821" s="359"/>
      <c r="S821" s="17"/>
      <c r="T821" s="17"/>
      <c r="U821" s="17"/>
      <c r="V821" s="17"/>
    </row>
    <row r="822">
      <c r="A822" s="327"/>
      <c r="B822" s="121"/>
      <c r="C822" s="327"/>
      <c r="D822" s="121"/>
      <c r="E822" s="327"/>
      <c r="F822" s="121"/>
      <c r="G822" s="327"/>
      <c r="H822" s="121"/>
      <c r="I822" s="358"/>
      <c r="J822" s="142"/>
      <c r="K822" s="358"/>
      <c r="L822" s="142"/>
      <c r="M822" s="327"/>
      <c r="N822" s="121"/>
      <c r="O822" s="327"/>
      <c r="P822" s="121"/>
      <c r="Q822" s="359"/>
      <c r="R822" s="359"/>
      <c r="S822" s="17"/>
      <c r="T822" s="17"/>
      <c r="U822" s="17"/>
      <c r="V822" s="17"/>
    </row>
    <row r="823">
      <c r="A823" s="327"/>
      <c r="B823" s="121"/>
      <c r="C823" s="327"/>
      <c r="D823" s="121"/>
      <c r="E823" s="327"/>
      <c r="F823" s="121"/>
      <c r="G823" s="327"/>
      <c r="H823" s="121"/>
      <c r="I823" s="358"/>
      <c r="J823" s="142"/>
      <c r="K823" s="358"/>
      <c r="L823" s="142"/>
      <c r="M823" s="327"/>
      <c r="N823" s="121"/>
      <c r="O823" s="327"/>
      <c r="P823" s="121"/>
      <c r="Q823" s="359"/>
      <c r="R823" s="359"/>
      <c r="S823" s="17"/>
      <c r="T823" s="17"/>
      <c r="U823" s="17"/>
      <c r="V823" s="17"/>
    </row>
    <row r="824">
      <c r="A824" s="327"/>
      <c r="B824" s="121"/>
      <c r="C824" s="327"/>
      <c r="D824" s="121"/>
      <c r="E824" s="327"/>
      <c r="F824" s="121"/>
      <c r="G824" s="327"/>
      <c r="H824" s="121"/>
      <c r="I824" s="358"/>
      <c r="J824" s="142"/>
      <c r="K824" s="358"/>
      <c r="L824" s="142"/>
      <c r="M824" s="327"/>
      <c r="N824" s="121"/>
      <c r="O824" s="327"/>
      <c r="P824" s="121"/>
      <c r="Q824" s="359"/>
      <c r="R824" s="359"/>
      <c r="S824" s="17"/>
      <c r="T824" s="17"/>
      <c r="U824" s="17"/>
      <c r="V824" s="17"/>
    </row>
    <row r="825">
      <c r="A825" s="327"/>
      <c r="B825" s="121"/>
      <c r="C825" s="327"/>
      <c r="D825" s="121"/>
      <c r="E825" s="327"/>
      <c r="F825" s="121"/>
      <c r="G825" s="327"/>
      <c r="H825" s="121"/>
      <c r="I825" s="358"/>
      <c r="J825" s="142"/>
      <c r="K825" s="358"/>
      <c r="L825" s="142"/>
      <c r="M825" s="327"/>
      <c r="N825" s="121"/>
      <c r="O825" s="327"/>
      <c r="P825" s="121"/>
      <c r="Q825" s="359"/>
      <c r="R825" s="359"/>
      <c r="S825" s="17"/>
      <c r="T825" s="17"/>
      <c r="U825" s="17"/>
      <c r="V825" s="17"/>
    </row>
    <row r="826">
      <c r="A826" s="327"/>
      <c r="B826" s="121"/>
      <c r="C826" s="327"/>
      <c r="D826" s="121"/>
      <c r="E826" s="327"/>
      <c r="F826" s="121"/>
      <c r="G826" s="327"/>
      <c r="H826" s="121"/>
      <c r="I826" s="358"/>
      <c r="J826" s="142"/>
      <c r="K826" s="358"/>
      <c r="L826" s="142"/>
      <c r="M826" s="327"/>
      <c r="N826" s="121"/>
      <c r="O826" s="327"/>
      <c r="P826" s="121"/>
      <c r="Q826" s="359"/>
      <c r="R826" s="359"/>
      <c r="S826" s="17"/>
      <c r="T826" s="17"/>
      <c r="U826" s="17"/>
      <c r="V826" s="17"/>
    </row>
    <row r="827">
      <c r="A827" s="327"/>
      <c r="B827" s="121"/>
      <c r="C827" s="327"/>
      <c r="D827" s="121"/>
      <c r="E827" s="327"/>
      <c r="F827" s="121"/>
      <c r="G827" s="327"/>
      <c r="H827" s="121"/>
      <c r="I827" s="358"/>
      <c r="J827" s="142"/>
      <c r="K827" s="358"/>
      <c r="L827" s="142"/>
      <c r="M827" s="327"/>
      <c r="N827" s="121"/>
      <c r="O827" s="327"/>
      <c r="P827" s="121"/>
      <c r="Q827" s="359"/>
      <c r="R827" s="359"/>
      <c r="S827" s="17"/>
      <c r="T827" s="17"/>
      <c r="U827" s="17"/>
      <c r="V827" s="17"/>
    </row>
    <row r="828">
      <c r="A828" s="327"/>
      <c r="B828" s="121"/>
      <c r="C828" s="327"/>
      <c r="D828" s="121"/>
      <c r="E828" s="327"/>
      <c r="F828" s="121"/>
      <c r="G828" s="327"/>
      <c r="H828" s="121"/>
      <c r="I828" s="358"/>
      <c r="J828" s="142"/>
      <c r="K828" s="358"/>
      <c r="L828" s="142"/>
      <c r="M828" s="327"/>
      <c r="N828" s="121"/>
      <c r="O828" s="327"/>
      <c r="P828" s="121"/>
      <c r="Q828" s="359"/>
      <c r="R828" s="359"/>
      <c r="S828" s="17"/>
      <c r="T828" s="17"/>
      <c r="U828" s="17"/>
      <c r="V828" s="17"/>
    </row>
    <row r="829">
      <c r="A829" s="327"/>
      <c r="B829" s="121"/>
      <c r="C829" s="327"/>
      <c r="D829" s="121"/>
      <c r="E829" s="327"/>
      <c r="F829" s="121"/>
      <c r="G829" s="327"/>
      <c r="H829" s="121"/>
      <c r="I829" s="358"/>
      <c r="J829" s="142"/>
      <c r="K829" s="358"/>
      <c r="L829" s="142"/>
      <c r="M829" s="327"/>
      <c r="N829" s="121"/>
      <c r="O829" s="327"/>
      <c r="P829" s="121"/>
      <c r="Q829" s="359"/>
      <c r="R829" s="359"/>
      <c r="S829" s="17"/>
      <c r="T829" s="17"/>
      <c r="U829" s="17"/>
      <c r="V829" s="17"/>
    </row>
    <row r="830">
      <c r="A830" s="327"/>
      <c r="B830" s="121"/>
      <c r="C830" s="327"/>
      <c r="D830" s="121"/>
      <c r="E830" s="327"/>
      <c r="F830" s="121"/>
      <c r="G830" s="327"/>
      <c r="H830" s="121"/>
      <c r="I830" s="358"/>
      <c r="J830" s="142"/>
      <c r="K830" s="358"/>
      <c r="L830" s="142"/>
      <c r="M830" s="327"/>
      <c r="N830" s="121"/>
      <c r="O830" s="327"/>
      <c r="P830" s="121"/>
      <c r="Q830" s="359"/>
      <c r="R830" s="359"/>
      <c r="S830" s="17"/>
      <c r="T830" s="17"/>
      <c r="U830" s="17"/>
      <c r="V830" s="17"/>
    </row>
    <row r="831">
      <c r="A831" s="327"/>
      <c r="B831" s="121"/>
      <c r="C831" s="327"/>
      <c r="D831" s="121"/>
      <c r="E831" s="327"/>
      <c r="F831" s="121"/>
      <c r="G831" s="327"/>
      <c r="H831" s="121"/>
      <c r="I831" s="358"/>
      <c r="J831" s="142"/>
      <c r="K831" s="358"/>
      <c r="L831" s="142"/>
      <c r="M831" s="327"/>
      <c r="N831" s="121"/>
      <c r="O831" s="327"/>
      <c r="P831" s="121"/>
      <c r="Q831" s="359"/>
      <c r="R831" s="359"/>
      <c r="S831" s="17"/>
      <c r="T831" s="17"/>
      <c r="U831" s="17"/>
      <c r="V831" s="17"/>
    </row>
    <row r="832">
      <c r="A832" s="327"/>
      <c r="B832" s="121"/>
      <c r="C832" s="327"/>
      <c r="D832" s="121"/>
      <c r="E832" s="327"/>
      <c r="F832" s="121"/>
      <c r="G832" s="327"/>
      <c r="H832" s="121"/>
      <c r="I832" s="358"/>
      <c r="J832" s="142"/>
      <c r="K832" s="358"/>
      <c r="L832" s="142"/>
      <c r="M832" s="327"/>
      <c r="N832" s="121"/>
      <c r="O832" s="327"/>
      <c r="P832" s="121"/>
      <c r="Q832" s="359"/>
      <c r="R832" s="359"/>
      <c r="S832" s="17"/>
      <c r="T832" s="17"/>
      <c r="U832" s="17"/>
      <c r="V832" s="17"/>
    </row>
    <row r="833">
      <c r="A833" s="327"/>
      <c r="B833" s="121"/>
      <c r="C833" s="327"/>
      <c r="D833" s="121"/>
      <c r="E833" s="327"/>
      <c r="F833" s="121"/>
      <c r="G833" s="327"/>
      <c r="H833" s="121"/>
      <c r="I833" s="358"/>
      <c r="J833" s="142"/>
      <c r="K833" s="358"/>
      <c r="L833" s="142"/>
      <c r="M833" s="327"/>
      <c r="N833" s="121"/>
      <c r="O833" s="327"/>
      <c r="P833" s="121"/>
      <c r="Q833" s="359"/>
      <c r="R833" s="359"/>
      <c r="S833" s="17"/>
      <c r="T833" s="17"/>
      <c r="U833" s="17"/>
      <c r="V833" s="17"/>
    </row>
    <row r="834">
      <c r="A834" s="327"/>
      <c r="B834" s="121"/>
      <c r="C834" s="327"/>
      <c r="D834" s="121"/>
      <c r="E834" s="327"/>
      <c r="F834" s="121"/>
      <c r="G834" s="327"/>
      <c r="H834" s="121"/>
      <c r="I834" s="358"/>
      <c r="J834" s="142"/>
      <c r="K834" s="358"/>
      <c r="L834" s="142"/>
      <c r="M834" s="327"/>
      <c r="N834" s="121"/>
      <c r="O834" s="327"/>
      <c r="P834" s="121"/>
      <c r="Q834" s="359"/>
      <c r="R834" s="359"/>
      <c r="S834" s="17"/>
      <c r="T834" s="17"/>
      <c r="U834" s="17"/>
      <c r="V834" s="17"/>
    </row>
    <row r="835">
      <c r="A835" s="327"/>
      <c r="B835" s="121"/>
      <c r="C835" s="327"/>
      <c r="D835" s="121"/>
      <c r="E835" s="327"/>
      <c r="F835" s="121"/>
      <c r="G835" s="327"/>
      <c r="H835" s="121"/>
      <c r="I835" s="358"/>
      <c r="J835" s="142"/>
      <c r="K835" s="358"/>
      <c r="L835" s="142"/>
      <c r="M835" s="327"/>
      <c r="N835" s="121"/>
      <c r="O835" s="327"/>
      <c r="P835" s="121"/>
      <c r="Q835" s="359"/>
      <c r="R835" s="359"/>
      <c r="S835" s="17"/>
      <c r="T835" s="17"/>
      <c r="U835" s="17"/>
      <c r="V835" s="17"/>
    </row>
    <row r="836">
      <c r="A836" s="327"/>
      <c r="B836" s="121"/>
      <c r="C836" s="327"/>
      <c r="D836" s="121"/>
      <c r="E836" s="327"/>
      <c r="F836" s="121"/>
      <c r="G836" s="327"/>
      <c r="H836" s="121"/>
      <c r="I836" s="358"/>
      <c r="J836" s="142"/>
      <c r="K836" s="358"/>
      <c r="L836" s="142"/>
      <c r="M836" s="327"/>
      <c r="N836" s="121"/>
      <c r="O836" s="327"/>
      <c r="P836" s="121"/>
      <c r="Q836" s="359"/>
      <c r="R836" s="359"/>
      <c r="S836" s="17"/>
      <c r="T836" s="17"/>
      <c r="U836" s="17"/>
      <c r="V836" s="17"/>
    </row>
    <row r="837">
      <c r="A837" s="327"/>
      <c r="B837" s="121"/>
      <c r="C837" s="327"/>
      <c r="D837" s="121"/>
      <c r="E837" s="327"/>
      <c r="F837" s="121"/>
      <c r="G837" s="327"/>
      <c r="H837" s="121"/>
      <c r="I837" s="358"/>
      <c r="J837" s="142"/>
      <c r="K837" s="358"/>
      <c r="L837" s="142"/>
      <c r="M837" s="327"/>
      <c r="N837" s="121"/>
      <c r="O837" s="327"/>
      <c r="P837" s="121"/>
      <c r="Q837" s="359"/>
      <c r="R837" s="359"/>
      <c r="S837" s="17"/>
      <c r="T837" s="17"/>
      <c r="U837" s="17"/>
      <c r="V837" s="17"/>
    </row>
    <row r="838">
      <c r="A838" s="327"/>
      <c r="B838" s="121"/>
      <c r="C838" s="327"/>
      <c r="D838" s="121"/>
      <c r="E838" s="327"/>
      <c r="F838" s="121"/>
      <c r="G838" s="327"/>
      <c r="H838" s="121"/>
      <c r="I838" s="358"/>
      <c r="J838" s="142"/>
      <c r="K838" s="358"/>
      <c r="L838" s="142"/>
      <c r="M838" s="327"/>
      <c r="N838" s="121"/>
      <c r="O838" s="327"/>
      <c r="P838" s="121"/>
      <c r="Q838" s="359"/>
      <c r="R838" s="359"/>
      <c r="S838" s="17"/>
      <c r="T838" s="17"/>
      <c r="U838" s="17"/>
      <c r="V838" s="17"/>
    </row>
    <row r="839">
      <c r="A839" s="327"/>
      <c r="B839" s="121"/>
      <c r="C839" s="327"/>
      <c r="D839" s="121"/>
      <c r="E839" s="327"/>
      <c r="F839" s="121"/>
      <c r="G839" s="327"/>
      <c r="H839" s="121"/>
      <c r="I839" s="358"/>
      <c r="J839" s="142"/>
      <c r="K839" s="358"/>
      <c r="L839" s="142"/>
      <c r="M839" s="327"/>
      <c r="N839" s="121"/>
      <c r="O839" s="327"/>
      <c r="P839" s="121"/>
      <c r="Q839" s="359"/>
      <c r="R839" s="359"/>
      <c r="S839" s="17"/>
      <c r="T839" s="17"/>
      <c r="U839" s="17"/>
      <c r="V839" s="17"/>
    </row>
    <row r="840">
      <c r="A840" s="327"/>
      <c r="B840" s="121"/>
      <c r="C840" s="327"/>
      <c r="D840" s="121"/>
      <c r="E840" s="327"/>
      <c r="F840" s="121"/>
      <c r="G840" s="327"/>
      <c r="H840" s="121"/>
      <c r="I840" s="358"/>
      <c r="J840" s="142"/>
      <c r="K840" s="358"/>
      <c r="L840" s="142"/>
      <c r="M840" s="327"/>
      <c r="N840" s="121"/>
      <c r="O840" s="327"/>
      <c r="P840" s="121"/>
      <c r="Q840" s="359"/>
      <c r="R840" s="359"/>
      <c r="S840" s="17"/>
      <c r="T840" s="17"/>
      <c r="U840" s="17"/>
      <c r="V840" s="17"/>
    </row>
    <row r="841">
      <c r="A841" s="327"/>
      <c r="B841" s="121"/>
      <c r="C841" s="327"/>
      <c r="D841" s="121"/>
      <c r="E841" s="327"/>
      <c r="F841" s="121"/>
      <c r="G841" s="327"/>
      <c r="H841" s="121"/>
      <c r="I841" s="358"/>
      <c r="J841" s="142"/>
      <c r="K841" s="358"/>
      <c r="L841" s="142"/>
      <c r="M841" s="327"/>
      <c r="N841" s="121"/>
      <c r="O841" s="327"/>
      <c r="P841" s="121"/>
      <c r="Q841" s="359"/>
      <c r="R841" s="359"/>
      <c r="S841" s="17"/>
      <c r="T841" s="17"/>
      <c r="U841" s="17"/>
      <c r="V841" s="17"/>
    </row>
    <row r="842">
      <c r="A842" s="327"/>
      <c r="B842" s="121"/>
      <c r="C842" s="327"/>
      <c r="D842" s="121"/>
      <c r="E842" s="327"/>
      <c r="F842" s="121"/>
      <c r="G842" s="327"/>
      <c r="H842" s="121"/>
      <c r="I842" s="358"/>
      <c r="J842" s="142"/>
      <c r="K842" s="358"/>
      <c r="L842" s="142"/>
      <c r="M842" s="327"/>
      <c r="N842" s="121"/>
      <c r="O842" s="327"/>
      <c r="P842" s="121"/>
      <c r="Q842" s="359"/>
      <c r="R842" s="359"/>
      <c r="S842" s="17"/>
      <c r="T842" s="17"/>
      <c r="U842" s="17"/>
      <c r="V842" s="17"/>
    </row>
    <row r="843">
      <c r="A843" s="327"/>
      <c r="B843" s="121"/>
      <c r="C843" s="327"/>
      <c r="D843" s="121"/>
      <c r="E843" s="327"/>
      <c r="F843" s="121"/>
      <c r="G843" s="327"/>
      <c r="H843" s="121"/>
      <c r="I843" s="358"/>
      <c r="J843" s="142"/>
      <c r="K843" s="358"/>
      <c r="L843" s="142"/>
      <c r="M843" s="327"/>
      <c r="N843" s="121"/>
      <c r="O843" s="327"/>
      <c r="P843" s="121"/>
      <c r="Q843" s="359"/>
      <c r="R843" s="359"/>
      <c r="S843" s="17"/>
      <c r="T843" s="17"/>
      <c r="U843" s="17"/>
      <c r="V843" s="17"/>
    </row>
    <row r="844">
      <c r="A844" s="327"/>
      <c r="B844" s="121"/>
      <c r="C844" s="327"/>
      <c r="D844" s="121"/>
      <c r="E844" s="327"/>
      <c r="F844" s="121"/>
      <c r="G844" s="327"/>
      <c r="H844" s="121"/>
      <c r="I844" s="358"/>
      <c r="J844" s="142"/>
      <c r="K844" s="358"/>
      <c r="L844" s="142"/>
      <c r="M844" s="327"/>
      <c r="N844" s="121"/>
      <c r="O844" s="327"/>
      <c r="P844" s="121"/>
      <c r="Q844" s="359"/>
      <c r="R844" s="359"/>
      <c r="S844" s="17"/>
      <c r="T844" s="17"/>
      <c r="U844" s="17"/>
      <c r="V844" s="17"/>
    </row>
    <row r="845">
      <c r="A845" s="327"/>
      <c r="B845" s="121"/>
      <c r="C845" s="327"/>
      <c r="D845" s="121"/>
      <c r="E845" s="327"/>
      <c r="F845" s="121"/>
      <c r="G845" s="327"/>
      <c r="H845" s="121"/>
      <c r="I845" s="358"/>
      <c r="J845" s="142"/>
      <c r="K845" s="358"/>
      <c r="L845" s="142"/>
      <c r="M845" s="327"/>
      <c r="N845" s="121"/>
      <c r="O845" s="327"/>
      <c r="P845" s="121"/>
      <c r="Q845" s="359"/>
      <c r="R845" s="359"/>
      <c r="S845" s="17"/>
      <c r="T845" s="17"/>
      <c r="U845" s="17"/>
      <c r="V845" s="17"/>
    </row>
    <row r="846">
      <c r="A846" s="327"/>
      <c r="B846" s="121"/>
      <c r="C846" s="327"/>
      <c r="D846" s="121"/>
      <c r="E846" s="327"/>
      <c r="F846" s="121"/>
      <c r="G846" s="327"/>
      <c r="H846" s="121"/>
      <c r="I846" s="358"/>
      <c r="J846" s="142"/>
      <c r="K846" s="358"/>
      <c r="L846" s="142"/>
      <c r="M846" s="327"/>
      <c r="N846" s="121"/>
      <c r="O846" s="327"/>
      <c r="P846" s="121"/>
      <c r="Q846" s="359"/>
      <c r="R846" s="359"/>
      <c r="S846" s="17"/>
      <c r="T846" s="17"/>
      <c r="U846" s="17"/>
      <c r="V846" s="17"/>
    </row>
    <row r="847">
      <c r="A847" s="327"/>
      <c r="B847" s="121"/>
      <c r="C847" s="327"/>
      <c r="D847" s="121"/>
      <c r="E847" s="327"/>
      <c r="F847" s="121"/>
      <c r="G847" s="327"/>
      <c r="H847" s="121"/>
      <c r="I847" s="358"/>
      <c r="J847" s="142"/>
      <c r="K847" s="358"/>
      <c r="L847" s="142"/>
      <c r="M847" s="327"/>
      <c r="N847" s="121"/>
      <c r="O847" s="327"/>
      <c r="P847" s="121"/>
      <c r="Q847" s="359"/>
      <c r="R847" s="359"/>
      <c r="S847" s="17"/>
      <c r="T847" s="17"/>
      <c r="U847" s="17"/>
      <c r="V847" s="17"/>
    </row>
    <row r="848">
      <c r="A848" s="327"/>
      <c r="B848" s="121"/>
      <c r="C848" s="327"/>
      <c r="D848" s="121"/>
      <c r="E848" s="327"/>
      <c r="F848" s="121"/>
      <c r="G848" s="327"/>
      <c r="H848" s="121"/>
      <c r="I848" s="358"/>
      <c r="J848" s="142"/>
      <c r="K848" s="358"/>
      <c r="L848" s="142"/>
      <c r="M848" s="327"/>
      <c r="N848" s="121"/>
      <c r="O848" s="327"/>
      <c r="P848" s="121"/>
      <c r="Q848" s="359"/>
      <c r="R848" s="359"/>
      <c r="S848" s="17"/>
      <c r="T848" s="17"/>
      <c r="U848" s="17"/>
      <c r="V848" s="17"/>
    </row>
    <row r="849">
      <c r="A849" s="327"/>
      <c r="B849" s="121"/>
      <c r="C849" s="327"/>
      <c r="D849" s="121"/>
      <c r="E849" s="327"/>
      <c r="F849" s="121"/>
      <c r="G849" s="327"/>
      <c r="H849" s="121"/>
      <c r="I849" s="358"/>
      <c r="J849" s="142"/>
      <c r="K849" s="358"/>
      <c r="L849" s="142"/>
      <c r="M849" s="327"/>
      <c r="N849" s="121"/>
      <c r="O849" s="327"/>
      <c r="P849" s="121"/>
      <c r="Q849" s="359"/>
      <c r="R849" s="359"/>
      <c r="S849" s="17"/>
      <c r="T849" s="17"/>
      <c r="U849" s="17"/>
      <c r="V849" s="17"/>
    </row>
    <row r="850">
      <c r="A850" s="327"/>
      <c r="B850" s="121"/>
      <c r="C850" s="327"/>
      <c r="D850" s="121"/>
      <c r="E850" s="327"/>
      <c r="F850" s="121"/>
      <c r="G850" s="327"/>
      <c r="H850" s="121"/>
      <c r="I850" s="358"/>
      <c r="J850" s="142"/>
      <c r="K850" s="358"/>
      <c r="L850" s="142"/>
      <c r="M850" s="327"/>
      <c r="N850" s="121"/>
      <c r="O850" s="327"/>
      <c r="P850" s="121"/>
      <c r="Q850" s="359"/>
      <c r="R850" s="359"/>
      <c r="S850" s="17"/>
      <c r="T850" s="17"/>
      <c r="U850" s="17"/>
      <c r="V850" s="17"/>
    </row>
    <row r="851">
      <c r="A851" s="327"/>
      <c r="B851" s="121"/>
      <c r="C851" s="327"/>
      <c r="D851" s="121"/>
      <c r="E851" s="327"/>
      <c r="F851" s="121"/>
      <c r="G851" s="327"/>
      <c r="H851" s="121"/>
      <c r="I851" s="358"/>
      <c r="J851" s="142"/>
      <c r="K851" s="358"/>
      <c r="L851" s="142"/>
      <c r="M851" s="327"/>
      <c r="N851" s="121"/>
      <c r="O851" s="327"/>
      <c r="P851" s="121"/>
      <c r="Q851" s="359"/>
      <c r="R851" s="359"/>
      <c r="S851" s="17"/>
      <c r="T851" s="17"/>
      <c r="U851" s="17"/>
      <c r="V851" s="17"/>
    </row>
    <row r="852">
      <c r="A852" s="327"/>
      <c r="B852" s="121"/>
      <c r="C852" s="327"/>
      <c r="D852" s="121"/>
      <c r="E852" s="327"/>
      <c r="F852" s="121"/>
      <c r="G852" s="327"/>
      <c r="H852" s="121"/>
      <c r="I852" s="358"/>
      <c r="J852" s="142"/>
      <c r="K852" s="358"/>
      <c r="L852" s="142"/>
      <c r="M852" s="327"/>
      <c r="N852" s="121"/>
      <c r="O852" s="327"/>
      <c r="P852" s="121"/>
      <c r="Q852" s="359"/>
      <c r="R852" s="359"/>
      <c r="S852" s="17"/>
      <c r="T852" s="17"/>
      <c r="U852" s="17"/>
      <c r="V852" s="17"/>
    </row>
    <row r="853">
      <c r="A853" s="327"/>
      <c r="B853" s="121"/>
      <c r="C853" s="327"/>
      <c r="D853" s="121"/>
      <c r="E853" s="327"/>
      <c r="F853" s="121"/>
      <c r="G853" s="327"/>
      <c r="H853" s="121"/>
      <c r="I853" s="358"/>
      <c r="J853" s="142"/>
      <c r="K853" s="358"/>
      <c r="L853" s="142"/>
      <c r="M853" s="327"/>
      <c r="N853" s="121"/>
      <c r="O853" s="327"/>
      <c r="P853" s="121"/>
      <c r="Q853" s="359"/>
      <c r="R853" s="359"/>
      <c r="S853" s="17"/>
      <c r="T853" s="17"/>
      <c r="U853" s="17"/>
      <c r="V853" s="17"/>
    </row>
    <row r="854">
      <c r="A854" s="327"/>
      <c r="B854" s="121"/>
      <c r="C854" s="327"/>
      <c r="D854" s="121"/>
      <c r="E854" s="327"/>
      <c r="F854" s="121"/>
      <c r="G854" s="327"/>
      <c r="H854" s="121"/>
      <c r="I854" s="358"/>
      <c r="J854" s="142"/>
      <c r="K854" s="358"/>
      <c r="L854" s="142"/>
      <c r="M854" s="327"/>
      <c r="N854" s="121"/>
      <c r="O854" s="327"/>
      <c r="P854" s="121"/>
      <c r="Q854" s="359"/>
      <c r="R854" s="359"/>
      <c r="S854" s="17"/>
      <c r="T854" s="17"/>
      <c r="U854" s="17"/>
      <c r="V854" s="17"/>
    </row>
    <row r="855">
      <c r="A855" s="327"/>
      <c r="B855" s="121"/>
      <c r="C855" s="327"/>
      <c r="D855" s="121"/>
      <c r="E855" s="327"/>
      <c r="F855" s="121"/>
      <c r="G855" s="327"/>
      <c r="H855" s="121"/>
      <c r="I855" s="358"/>
      <c r="J855" s="142"/>
      <c r="K855" s="358"/>
      <c r="L855" s="142"/>
      <c r="M855" s="327"/>
      <c r="N855" s="121"/>
      <c r="O855" s="327"/>
      <c r="P855" s="121"/>
      <c r="Q855" s="359"/>
      <c r="R855" s="359"/>
      <c r="S855" s="17"/>
      <c r="T855" s="17"/>
      <c r="U855" s="17"/>
      <c r="V855" s="17"/>
    </row>
    <row r="856">
      <c r="A856" s="327"/>
      <c r="B856" s="121"/>
      <c r="C856" s="327"/>
      <c r="D856" s="121"/>
      <c r="E856" s="327"/>
      <c r="F856" s="121"/>
      <c r="G856" s="327"/>
      <c r="H856" s="121"/>
      <c r="I856" s="358"/>
      <c r="J856" s="142"/>
      <c r="K856" s="358"/>
      <c r="L856" s="142"/>
      <c r="M856" s="327"/>
      <c r="N856" s="121"/>
      <c r="O856" s="327"/>
      <c r="P856" s="121"/>
      <c r="Q856" s="359"/>
      <c r="R856" s="359"/>
      <c r="S856" s="17"/>
      <c r="T856" s="17"/>
      <c r="U856" s="17"/>
      <c r="V856" s="17"/>
    </row>
    <row r="857">
      <c r="A857" s="327"/>
      <c r="B857" s="121"/>
      <c r="C857" s="327"/>
      <c r="D857" s="121"/>
      <c r="E857" s="327"/>
      <c r="F857" s="121"/>
      <c r="G857" s="327"/>
      <c r="H857" s="121"/>
      <c r="I857" s="358"/>
      <c r="J857" s="142"/>
      <c r="K857" s="358"/>
      <c r="L857" s="142"/>
      <c r="M857" s="327"/>
      <c r="N857" s="121"/>
      <c r="O857" s="327"/>
      <c r="P857" s="121"/>
      <c r="Q857" s="359"/>
      <c r="R857" s="359"/>
      <c r="S857" s="17"/>
      <c r="T857" s="17"/>
      <c r="U857" s="17"/>
      <c r="V857" s="17"/>
    </row>
    <row r="858">
      <c r="A858" s="327"/>
      <c r="B858" s="121"/>
      <c r="C858" s="327"/>
      <c r="D858" s="121"/>
      <c r="E858" s="327"/>
      <c r="F858" s="121"/>
      <c r="G858" s="327"/>
      <c r="H858" s="121"/>
      <c r="I858" s="358"/>
      <c r="J858" s="142"/>
      <c r="K858" s="358"/>
      <c r="L858" s="142"/>
      <c r="M858" s="327"/>
      <c r="N858" s="121"/>
      <c r="O858" s="327"/>
      <c r="P858" s="121"/>
      <c r="Q858" s="359"/>
      <c r="R858" s="359"/>
      <c r="S858" s="17"/>
      <c r="T858" s="17"/>
      <c r="U858" s="17"/>
      <c r="V858" s="17"/>
    </row>
    <row r="859">
      <c r="A859" s="327"/>
      <c r="B859" s="121"/>
      <c r="C859" s="327"/>
      <c r="D859" s="121"/>
      <c r="E859" s="327"/>
      <c r="F859" s="121"/>
      <c r="G859" s="327"/>
      <c r="H859" s="121"/>
      <c r="I859" s="358"/>
      <c r="J859" s="142"/>
      <c r="K859" s="358"/>
      <c r="L859" s="142"/>
      <c r="M859" s="327"/>
      <c r="N859" s="121"/>
      <c r="O859" s="327"/>
      <c r="P859" s="121"/>
      <c r="Q859" s="359"/>
      <c r="R859" s="359"/>
      <c r="S859" s="17"/>
      <c r="T859" s="17"/>
      <c r="U859" s="17"/>
      <c r="V859" s="17"/>
    </row>
    <row r="860">
      <c r="A860" s="327"/>
      <c r="B860" s="121"/>
      <c r="C860" s="327"/>
      <c r="D860" s="121"/>
      <c r="E860" s="327"/>
      <c r="F860" s="121"/>
      <c r="G860" s="327"/>
      <c r="H860" s="121"/>
      <c r="I860" s="358"/>
      <c r="J860" s="142"/>
      <c r="K860" s="358"/>
      <c r="L860" s="142"/>
      <c r="M860" s="327"/>
      <c r="N860" s="121"/>
      <c r="O860" s="327"/>
      <c r="P860" s="121"/>
      <c r="Q860" s="359"/>
      <c r="R860" s="359"/>
      <c r="S860" s="17"/>
      <c r="T860" s="17"/>
      <c r="U860" s="17"/>
      <c r="V860" s="17"/>
    </row>
    <row r="861">
      <c r="A861" s="327"/>
      <c r="B861" s="121"/>
      <c r="C861" s="327"/>
      <c r="D861" s="121"/>
      <c r="E861" s="327"/>
      <c r="F861" s="121"/>
      <c r="G861" s="327"/>
      <c r="H861" s="121"/>
      <c r="I861" s="358"/>
      <c r="J861" s="142"/>
      <c r="K861" s="358"/>
      <c r="L861" s="142"/>
      <c r="M861" s="327"/>
      <c r="N861" s="121"/>
      <c r="O861" s="327"/>
      <c r="P861" s="121"/>
      <c r="Q861" s="359"/>
      <c r="R861" s="359"/>
      <c r="S861" s="17"/>
      <c r="T861" s="17"/>
      <c r="U861" s="17"/>
      <c r="V861" s="17"/>
    </row>
    <row r="862">
      <c r="A862" s="327"/>
      <c r="B862" s="121"/>
      <c r="C862" s="327"/>
      <c r="D862" s="121"/>
      <c r="E862" s="327"/>
      <c r="F862" s="121"/>
      <c r="G862" s="327"/>
      <c r="H862" s="121"/>
      <c r="I862" s="358"/>
      <c r="J862" s="142"/>
      <c r="K862" s="358"/>
      <c r="L862" s="142"/>
      <c r="M862" s="327"/>
      <c r="N862" s="121"/>
      <c r="O862" s="327"/>
      <c r="P862" s="121"/>
      <c r="Q862" s="359"/>
      <c r="R862" s="359"/>
      <c r="S862" s="17"/>
      <c r="T862" s="17"/>
      <c r="U862" s="17"/>
      <c r="V862" s="17"/>
    </row>
    <row r="863">
      <c r="A863" s="327"/>
      <c r="B863" s="121"/>
      <c r="C863" s="327"/>
      <c r="D863" s="121"/>
      <c r="E863" s="327"/>
      <c r="F863" s="121"/>
      <c r="G863" s="327"/>
      <c r="H863" s="121"/>
      <c r="I863" s="358"/>
      <c r="J863" s="142"/>
      <c r="K863" s="358"/>
      <c r="L863" s="142"/>
      <c r="M863" s="327"/>
      <c r="N863" s="121"/>
      <c r="O863" s="327"/>
      <c r="P863" s="121"/>
      <c r="Q863" s="359"/>
      <c r="R863" s="359"/>
      <c r="S863" s="17"/>
      <c r="T863" s="17"/>
      <c r="U863" s="17"/>
      <c r="V863" s="17"/>
    </row>
    <row r="864">
      <c r="A864" s="327"/>
      <c r="B864" s="121"/>
      <c r="C864" s="327"/>
      <c r="D864" s="121"/>
      <c r="E864" s="327"/>
      <c r="F864" s="121"/>
      <c r="G864" s="327"/>
      <c r="H864" s="121"/>
      <c r="I864" s="358"/>
      <c r="J864" s="142"/>
      <c r="K864" s="358"/>
      <c r="L864" s="142"/>
      <c r="M864" s="327"/>
      <c r="N864" s="121"/>
      <c r="O864" s="327"/>
      <c r="P864" s="121"/>
      <c r="Q864" s="359"/>
      <c r="R864" s="359"/>
      <c r="S864" s="17"/>
      <c r="T864" s="17"/>
      <c r="U864" s="17"/>
      <c r="V864" s="17"/>
    </row>
    <row r="865">
      <c r="A865" s="327"/>
      <c r="B865" s="121"/>
      <c r="C865" s="327"/>
      <c r="D865" s="121"/>
      <c r="E865" s="327"/>
      <c r="F865" s="121"/>
      <c r="G865" s="327"/>
      <c r="H865" s="121"/>
      <c r="I865" s="358"/>
      <c r="J865" s="142"/>
      <c r="K865" s="358"/>
      <c r="L865" s="142"/>
      <c r="M865" s="327"/>
      <c r="N865" s="121"/>
      <c r="O865" s="327"/>
      <c r="P865" s="121"/>
      <c r="Q865" s="359"/>
      <c r="R865" s="359"/>
      <c r="S865" s="17"/>
      <c r="T865" s="17"/>
      <c r="U865" s="17"/>
      <c r="V865" s="17"/>
    </row>
    <row r="866">
      <c r="A866" s="327"/>
      <c r="B866" s="121"/>
      <c r="C866" s="327"/>
      <c r="D866" s="121"/>
      <c r="E866" s="327"/>
      <c r="F866" s="121"/>
      <c r="G866" s="327"/>
      <c r="H866" s="121"/>
      <c r="I866" s="358"/>
      <c r="J866" s="142"/>
      <c r="K866" s="358"/>
      <c r="L866" s="142"/>
      <c r="M866" s="327"/>
      <c r="N866" s="121"/>
      <c r="O866" s="327"/>
      <c r="P866" s="121"/>
      <c r="Q866" s="359"/>
      <c r="R866" s="359"/>
      <c r="S866" s="17"/>
      <c r="T866" s="17"/>
      <c r="U866" s="17"/>
      <c r="V866" s="17"/>
    </row>
    <row r="867">
      <c r="A867" s="327"/>
      <c r="B867" s="121"/>
      <c r="C867" s="327"/>
      <c r="D867" s="121"/>
      <c r="E867" s="327"/>
      <c r="F867" s="121"/>
      <c r="G867" s="327"/>
      <c r="H867" s="121"/>
      <c r="I867" s="358"/>
      <c r="J867" s="142"/>
      <c r="K867" s="358"/>
      <c r="L867" s="142"/>
      <c r="M867" s="327"/>
      <c r="N867" s="121"/>
      <c r="O867" s="327"/>
      <c r="P867" s="121"/>
      <c r="Q867" s="359"/>
      <c r="R867" s="359"/>
      <c r="S867" s="17"/>
      <c r="T867" s="17"/>
      <c r="U867" s="17"/>
      <c r="V867" s="17"/>
    </row>
    <row r="868">
      <c r="A868" s="327"/>
      <c r="B868" s="121"/>
      <c r="C868" s="327"/>
      <c r="D868" s="121"/>
      <c r="E868" s="327"/>
      <c r="F868" s="121"/>
      <c r="G868" s="327"/>
      <c r="H868" s="121"/>
      <c r="I868" s="358"/>
      <c r="J868" s="142"/>
      <c r="K868" s="358"/>
      <c r="L868" s="142"/>
      <c r="M868" s="327"/>
      <c r="N868" s="121"/>
      <c r="O868" s="327"/>
      <c r="P868" s="121"/>
      <c r="Q868" s="359"/>
      <c r="R868" s="359"/>
      <c r="S868" s="17"/>
      <c r="T868" s="17"/>
      <c r="U868" s="17"/>
      <c r="V868" s="17"/>
    </row>
    <row r="869">
      <c r="A869" s="327"/>
      <c r="B869" s="121"/>
      <c r="C869" s="327"/>
      <c r="D869" s="121"/>
      <c r="E869" s="327"/>
      <c r="F869" s="121"/>
      <c r="G869" s="327"/>
      <c r="H869" s="121"/>
      <c r="I869" s="358"/>
      <c r="J869" s="142"/>
      <c r="K869" s="358"/>
      <c r="L869" s="142"/>
      <c r="M869" s="327"/>
      <c r="N869" s="121"/>
      <c r="O869" s="327"/>
      <c r="P869" s="121"/>
      <c r="Q869" s="359"/>
      <c r="R869" s="359"/>
      <c r="S869" s="17"/>
      <c r="T869" s="17"/>
      <c r="U869" s="17"/>
      <c r="V869" s="17"/>
    </row>
    <row r="870">
      <c r="A870" s="327"/>
      <c r="B870" s="121"/>
      <c r="C870" s="327"/>
      <c r="D870" s="121"/>
      <c r="E870" s="327"/>
      <c r="F870" s="121"/>
      <c r="G870" s="327"/>
      <c r="H870" s="121"/>
      <c r="I870" s="358"/>
      <c r="J870" s="142"/>
      <c r="K870" s="358"/>
      <c r="L870" s="142"/>
      <c r="M870" s="327"/>
      <c r="N870" s="121"/>
      <c r="O870" s="327"/>
      <c r="P870" s="121"/>
      <c r="Q870" s="359"/>
      <c r="R870" s="359"/>
      <c r="S870" s="17"/>
      <c r="T870" s="17"/>
      <c r="U870" s="17"/>
      <c r="V870" s="17"/>
    </row>
    <row r="871">
      <c r="A871" s="327"/>
      <c r="B871" s="121"/>
      <c r="C871" s="327"/>
      <c r="D871" s="121"/>
      <c r="E871" s="327"/>
      <c r="F871" s="121"/>
      <c r="G871" s="327"/>
      <c r="H871" s="121"/>
      <c r="I871" s="358"/>
      <c r="J871" s="142"/>
      <c r="K871" s="358"/>
      <c r="L871" s="142"/>
      <c r="M871" s="327"/>
      <c r="N871" s="121"/>
      <c r="O871" s="327"/>
      <c r="P871" s="121"/>
      <c r="Q871" s="359"/>
      <c r="R871" s="359"/>
      <c r="S871" s="17"/>
      <c r="T871" s="17"/>
      <c r="U871" s="17"/>
      <c r="V871" s="17"/>
    </row>
    <row r="872">
      <c r="A872" s="327"/>
      <c r="B872" s="121"/>
      <c r="C872" s="327"/>
      <c r="D872" s="121"/>
      <c r="E872" s="327"/>
      <c r="F872" s="121"/>
      <c r="G872" s="327"/>
      <c r="H872" s="121"/>
      <c r="I872" s="358"/>
      <c r="J872" s="142"/>
      <c r="K872" s="358"/>
      <c r="L872" s="142"/>
      <c r="M872" s="327"/>
      <c r="N872" s="121"/>
      <c r="O872" s="327"/>
      <c r="P872" s="121"/>
      <c r="Q872" s="359"/>
      <c r="R872" s="359"/>
      <c r="S872" s="17"/>
      <c r="T872" s="17"/>
      <c r="U872" s="17"/>
      <c r="V872" s="17"/>
    </row>
    <row r="873">
      <c r="A873" s="327"/>
      <c r="B873" s="121"/>
      <c r="C873" s="327"/>
      <c r="D873" s="121"/>
      <c r="E873" s="327"/>
      <c r="F873" s="121"/>
      <c r="G873" s="327"/>
      <c r="H873" s="121"/>
      <c r="I873" s="358"/>
      <c r="J873" s="142"/>
      <c r="K873" s="358"/>
      <c r="L873" s="142"/>
      <c r="M873" s="327"/>
      <c r="N873" s="121"/>
      <c r="O873" s="327"/>
      <c r="P873" s="121"/>
      <c r="Q873" s="359"/>
      <c r="R873" s="359"/>
      <c r="S873" s="17"/>
      <c r="T873" s="17"/>
      <c r="U873" s="17"/>
      <c r="V873" s="17"/>
    </row>
    <row r="874">
      <c r="A874" s="327"/>
      <c r="B874" s="121"/>
      <c r="C874" s="327"/>
      <c r="D874" s="121"/>
      <c r="E874" s="327"/>
      <c r="F874" s="121"/>
      <c r="G874" s="327"/>
      <c r="H874" s="121"/>
      <c r="I874" s="358"/>
      <c r="J874" s="142"/>
      <c r="K874" s="358"/>
      <c r="L874" s="142"/>
      <c r="M874" s="327"/>
      <c r="N874" s="121"/>
      <c r="O874" s="327"/>
      <c r="P874" s="121"/>
      <c r="Q874" s="359"/>
      <c r="R874" s="359"/>
      <c r="S874" s="17"/>
      <c r="T874" s="17"/>
      <c r="U874" s="17"/>
      <c r="V874" s="17"/>
    </row>
    <row r="875">
      <c r="A875" s="327"/>
      <c r="B875" s="121"/>
      <c r="C875" s="327"/>
      <c r="D875" s="121"/>
      <c r="E875" s="327"/>
      <c r="F875" s="121"/>
      <c r="G875" s="327"/>
      <c r="H875" s="121"/>
      <c r="I875" s="358"/>
      <c r="J875" s="142"/>
      <c r="K875" s="358"/>
      <c r="L875" s="142"/>
      <c r="M875" s="327"/>
      <c r="N875" s="121"/>
      <c r="O875" s="327"/>
      <c r="P875" s="121"/>
      <c r="Q875" s="359"/>
      <c r="R875" s="359"/>
      <c r="S875" s="17"/>
      <c r="T875" s="17"/>
      <c r="U875" s="17"/>
      <c r="V875" s="17"/>
    </row>
    <row r="876">
      <c r="A876" s="327"/>
      <c r="B876" s="121"/>
      <c r="C876" s="327"/>
      <c r="D876" s="121"/>
      <c r="E876" s="327"/>
      <c r="F876" s="121"/>
      <c r="G876" s="327"/>
      <c r="H876" s="121"/>
      <c r="I876" s="358"/>
      <c r="J876" s="142"/>
      <c r="K876" s="358"/>
      <c r="L876" s="142"/>
      <c r="M876" s="327"/>
      <c r="N876" s="121"/>
      <c r="O876" s="327"/>
      <c r="P876" s="121"/>
      <c r="Q876" s="359"/>
      <c r="R876" s="359"/>
      <c r="S876" s="17"/>
      <c r="T876" s="17"/>
      <c r="U876" s="17"/>
      <c r="V876" s="17"/>
    </row>
    <row r="877">
      <c r="A877" s="327"/>
      <c r="B877" s="121"/>
      <c r="C877" s="327"/>
      <c r="D877" s="121"/>
      <c r="E877" s="327"/>
      <c r="F877" s="121"/>
      <c r="G877" s="327"/>
      <c r="H877" s="121"/>
      <c r="I877" s="358"/>
      <c r="J877" s="142"/>
      <c r="K877" s="358"/>
      <c r="L877" s="142"/>
      <c r="M877" s="327"/>
      <c r="N877" s="121"/>
      <c r="O877" s="327"/>
      <c r="P877" s="121"/>
      <c r="Q877" s="359"/>
      <c r="R877" s="359"/>
      <c r="S877" s="17"/>
      <c r="T877" s="17"/>
      <c r="U877" s="17"/>
      <c r="V877" s="17"/>
    </row>
    <row r="878">
      <c r="A878" s="327"/>
      <c r="B878" s="121"/>
      <c r="C878" s="327"/>
      <c r="D878" s="121"/>
      <c r="E878" s="327"/>
      <c r="F878" s="121"/>
      <c r="G878" s="327"/>
      <c r="H878" s="121"/>
      <c r="I878" s="358"/>
      <c r="J878" s="142"/>
      <c r="K878" s="358"/>
      <c r="L878" s="142"/>
      <c r="M878" s="327"/>
      <c r="N878" s="121"/>
      <c r="O878" s="327"/>
      <c r="P878" s="121"/>
      <c r="Q878" s="359"/>
      <c r="R878" s="359"/>
      <c r="S878" s="17"/>
      <c r="T878" s="17"/>
      <c r="U878" s="17"/>
      <c r="V878" s="17"/>
    </row>
    <row r="879">
      <c r="A879" s="327"/>
      <c r="B879" s="121"/>
      <c r="C879" s="327"/>
      <c r="D879" s="121"/>
      <c r="E879" s="327"/>
      <c r="F879" s="121"/>
      <c r="G879" s="327"/>
      <c r="H879" s="121"/>
      <c r="I879" s="358"/>
      <c r="J879" s="142"/>
      <c r="K879" s="358"/>
      <c r="L879" s="142"/>
      <c r="M879" s="327"/>
      <c r="N879" s="121"/>
      <c r="O879" s="327"/>
      <c r="P879" s="121"/>
      <c r="Q879" s="359"/>
      <c r="R879" s="359"/>
      <c r="S879" s="17"/>
      <c r="T879" s="17"/>
      <c r="U879" s="17"/>
      <c r="V879" s="17"/>
    </row>
    <row r="880">
      <c r="A880" s="327"/>
      <c r="B880" s="121"/>
      <c r="C880" s="327"/>
      <c r="D880" s="121"/>
      <c r="E880" s="327"/>
      <c r="F880" s="121"/>
      <c r="G880" s="327"/>
      <c r="H880" s="121"/>
      <c r="I880" s="358"/>
      <c r="J880" s="142"/>
      <c r="K880" s="358"/>
      <c r="L880" s="142"/>
      <c r="M880" s="327"/>
      <c r="N880" s="121"/>
      <c r="O880" s="327"/>
      <c r="P880" s="121"/>
      <c r="Q880" s="359"/>
      <c r="R880" s="359"/>
      <c r="S880" s="17"/>
      <c r="T880" s="17"/>
      <c r="U880" s="17"/>
      <c r="V880" s="17"/>
    </row>
    <row r="881">
      <c r="A881" s="327"/>
      <c r="B881" s="121"/>
      <c r="C881" s="327"/>
      <c r="D881" s="121"/>
      <c r="E881" s="327"/>
      <c r="F881" s="121"/>
      <c r="G881" s="327"/>
      <c r="H881" s="121"/>
      <c r="I881" s="358"/>
      <c r="J881" s="142"/>
      <c r="K881" s="358"/>
      <c r="L881" s="142"/>
      <c r="M881" s="327"/>
      <c r="N881" s="121"/>
      <c r="O881" s="327"/>
      <c r="P881" s="121"/>
      <c r="Q881" s="359"/>
      <c r="R881" s="359"/>
      <c r="S881" s="17"/>
      <c r="T881" s="17"/>
      <c r="U881" s="17"/>
      <c r="V881" s="17"/>
    </row>
    <row r="882">
      <c r="A882" s="327"/>
      <c r="B882" s="121"/>
      <c r="C882" s="327"/>
      <c r="D882" s="121"/>
      <c r="E882" s="327"/>
      <c r="F882" s="121"/>
      <c r="G882" s="327"/>
      <c r="H882" s="121"/>
      <c r="I882" s="358"/>
      <c r="J882" s="142"/>
      <c r="K882" s="358"/>
      <c r="L882" s="142"/>
      <c r="M882" s="327"/>
      <c r="N882" s="121"/>
      <c r="O882" s="327"/>
      <c r="P882" s="121"/>
      <c r="Q882" s="359"/>
      <c r="R882" s="359"/>
      <c r="S882" s="17"/>
      <c r="T882" s="17"/>
      <c r="U882" s="17"/>
      <c r="V882" s="17"/>
    </row>
    <row r="883">
      <c r="A883" s="327"/>
      <c r="B883" s="121"/>
      <c r="C883" s="327"/>
      <c r="D883" s="121"/>
      <c r="E883" s="327"/>
      <c r="F883" s="121"/>
      <c r="G883" s="327"/>
      <c r="H883" s="121"/>
      <c r="I883" s="358"/>
      <c r="J883" s="142"/>
      <c r="K883" s="358"/>
      <c r="L883" s="142"/>
      <c r="M883" s="327"/>
      <c r="N883" s="121"/>
      <c r="O883" s="327"/>
      <c r="P883" s="121"/>
      <c r="Q883" s="359"/>
      <c r="R883" s="359"/>
      <c r="S883" s="17"/>
      <c r="T883" s="17"/>
      <c r="U883" s="17"/>
      <c r="V883" s="17"/>
    </row>
    <row r="884">
      <c r="A884" s="327"/>
      <c r="B884" s="121"/>
      <c r="C884" s="327"/>
      <c r="D884" s="121"/>
      <c r="E884" s="327"/>
      <c r="F884" s="121"/>
      <c r="G884" s="327"/>
      <c r="H884" s="121"/>
      <c r="I884" s="358"/>
      <c r="J884" s="142"/>
      <c r="K884" s="358"/>
      <c r="L884" s="142"/>
      <c r="M884" s="327"/>
      <c r="N884" s="121"/>
      <c r="O884" s="327"/>
      <c r="P884" s="121"/>
      <c r="Q884" s="359"/>
      <c r="R884" s="359"/>
      <c r="S884" s="17"/>
      <c r="T884" s="17"/>
      <c r="U884" s="17"/>
      <c r="V884" s="17"/>
    </row>
    <row r="885">
      <c r="A885" s="327"/>
      <c r="B885" s="121"/>
      <c r="C885" s="327"/>
      <c r="D885" s="121"/>
      <c r="E885" s="327"/>
      <c r="F885" s="121"/>
      <c r="G885" s="327"/>
      <c r="H885" s="121"/>
      <c r="I885" s="358"/>
      <c r="J885" s="142"/>
      <c r="K885" s="358"/>
      <c r="L885" s="142"/>
      <c r="M885" s="327"/>
      <c r="N885" s="121"/>
      <c r="O885" s="327"/>
      <c r="P885" s="121"/>
      <c r="Q885" s="359"/>
      <c r="R885" s="359"/>
      <c r="S885" s="17"/>
      <c r="T885" s="17"/>
      <c r="U885" s="17"/>
      <c r="V885" s="17"/>
    </row>
    <row r="886">
      <c r="A886" s="327"/>
      <c r="B886" s="121"/>
      <c r="C886" s="327"/>
      <c r="D886" s="121"/>
      <c r="E886" s="327"/>
      <c r="F886" s="121"/>
      <c r="G886" s="327"/>
      <c r="H886" s="121"/>
      <c r="I886" s="358"/>
      <c r="J886" s="142"/>
      <c r="K886" s="358"/>
      <c r="L886" s="142"/>
      <c r="M886" s="327"/>
      <c r="N886" s="121"/>
      <c r="O886" s="327"/>
      <c r="P886" s="121"/>
      <c r="Q886" s="359"/>
      <c r="R886" s="359"/>
      <c r="S886" s="17"/>
      <c r="T886" s="17"/>
      <c r="U886" s="17"/>
      <c r="V886" s="17"/>
    </row>
    <row r="887">
      <c r="A887" s="327"/>
      <c r="B887" s="121"/>
      <c r="C887" s="327"/>
      <c r="D887" s="121"/>
      <c r="E887" s="327"/>
      <c r="F887" s="121"/>
      <c r="G887" s="327"/>
      <c r="H887" s="121"/>
      <c r="I887" s="358"/>
      <c r="J887" s="142"/>
      <c r="K887" s="358"/>
      <c r="L887" s="142"/>
      <c r="M887" s="327"/>
      <c r="N887" s="121"/>
      <c r="O887" s="327"/>
      <c r="P887" s="121"/>
      <c r="Q887" s="359"/>
      <c r="R887" s="359"/>
      <c r="S887" s="17"/>
      <c r="T887" s="17"/>
      <c r="U887" s="17"/>
      <c r="V887" s="17"/>
    </row>
    <row r="888">
      <c r="A888" s="327"/>
      <c r="B888" s="121"/>
      <c r="C888" s="327"/>
      <c r="D888" s="121"/>
      <c r="E888" s="327"/>
      <c r="F888" s="121"/>
      <c r="G888" s="327"/>
      <c r="H888" s="121"/>
      <c r="I888" s="358"/>
      <c r="J888" s="142"/>
      <c r="K888" s="358"/>
      <c r="L888" s="142"/>
      <c r="M888" s="327"/>
      <c r="N888" s="121"/>
      <c r="O888" s="327"/>
      <c r="P888" s="121"/>
      <c r="Q888" s="359"/>
      <c r="R888" s="359"/>
      <c r="S888" s="17"/>
      <c r="T888" s="17"/>
      <c r="U888" s="17"/>
      <c r="V888" s="17"/>
    </row>
    <row r="889">
      <c r="A889" s="327"/>
      <c r="B889" s="121"/>
      <c r="C889" s="327"/>
      <c r="D889" s="121"/>
      <c r="E889" s="327"/>
      <c r="F889" s="121"/>
      <c r="G889" s="327"/>
      <c r="H889" s="121"/>
      <c r="I889" s="358"/>
      <c r="J889" s="142"/>
      <c r="K889" s="358"/>
      <c r="L889" s="142"/>
      <c r="M889" s="327"/>
      <c r="N889" s="121"/>
      <c r="O889" s="327"/>
      <c r="P889" s="121"/>
      <c r="Q889" s="359"/>
      <c r="R889" s="359"/>
      <c r="S889" s="17"/>
      <c r="T889" s="17"/>
      <c r="U889" s="17"/>
      <c r="V889" s="17"/>
    </row>
    <row r="890">
      <c r="A890" s="327"/>
      <c r="B890" s="121"/>
      <c r="C890" s="327"/>
      <c r="D890" s="121"/>
      <c r="E890" s="327"/>
      <c r="F890" s="121"/>
      <c r="G890" s="327"/>
      <c r="H890" s="121"/>
      <c r="I890" s="358"/>
      <c r="J890" s="142"/>
      <c r="K890" s="358"/>
      <c r="L890" s="142"/>
      <c r="M890" s="327"/>
      <c r="N890" s="121"/>
      <c r="O890" s="327"/>
      <c r="P890" s="121"/>
      <c r="Q890" s="359"/>
      <c r="R890" s="359"/>
      <c r="S890" s="17"/>
      <c r="T890" s="17"/>
      <c r="U890" s="17"/>
      <c r="V890" s="17"/>
    </row>
    <row r="891">
      <c r="A891" s="327"/>
      <c r="B891" s="121"/>
      <c r="C891" s="327"/>
      <c r="D891" s="121"/>
      <c r="E891" s="327"/>
      <c r="F891" s="121"/>
      <c r="G891" s="327"/>
      <c r="H891" s="121"/>
      <c r="I891" s="358"/>
      <c r="J891" s="142"/>
      <c r="K891" s="358"/>
      <c r="L891" s="142"/>
      <c r="M891" s="327"/>
      <c r="N891" s="121"/>
      <c r="O891" s="327"/>
      <c r="P891" s="121"/>
      <c r="Q891" s="359"/>
      <c r="R891" s="359"/>
      <c r="S891" s="17"/>
      <c r="T891" s="17"/>
      <c r="U891" s="17"/>
      <c r="V891" s="17"/>
    </row>
    <row r="892">
      <c r="A892" s="327"/>
      <c r="B892" s="121"/>
      <c r="C892" s="327"/>
      <c r="D892" s="121"/>
      <c r="E892" s="327"/>
      <c r="F892" s="121"/>
      <c r="G892" s="327"/>
      <c r="H892" s="121"/>
      <c r="I892" s="358"/>
      <c r="J892" s="142"/>
      <c r="K892" s="358"/>
      <c r="L892" s="142"/>
      <c r="M892" s="327"/>
      <c r="N892" s="121"/>
      <c r="O892" s="327"/>
      <c r="P892" s="121"/>
      <c r="Q892" s="359"/>
      <c r="R892" s="359"/>
      <c r="S892" s="17"/>
      <c r="T892" s="17"/>
      <c r="U892" s="17"/>
      <c r="V892" s="17"/>
    </row>
    <row r="893">
      <c r="A893" s="327"/>
      <c r="B893" s="121"/>
      <c r="C893" s="327"/>
      <c r="D893" s="121"/>
      <c r="E893" s="327"/>
      <c r="F893" s="121"/>
      <c r="G893" s="327"/>
      <c r="H893" s="121"/>
      <c r="I893" s="358"/>
      <c r="J893" s="142"/>
      <c r="K893" s="358"/>
      <c r="L893" s="142"/>
      <c r="M893" s="327"/>
      <c r="N893" s="121"/>
      <c r="O893" s="327"/>
      <c r="P893" s="121"/>
      <c r="Q893" s="359"/>
      <c r="R893" s="359"/>
      <c r="S893" s="17"/>
      <c r="T893" s="17"/>
      <c r="U893" s="17"/>
      <c r="V893" s="17"/>
    </row>
    <row r="894">
      <c r="A894" s="327"/>
      <c r="B894" s="121"/>
      <c r="C894" s="327"/>
      <c r="D894" s="121"/>
      <c r="E894" s="327"/>
      <c r="F894" s="121"/>
      <c r="G894" s="327"/>
      <c r="H894" s="121"/>
      <c r="I894" s="358"/>
      <c r="J894" s="142"/>
      <c r="K894" s="358"/>
      <c r="L894" s="142"/>
      <c r="M894" s="327"/>
      <c r="N894" s="121"/>
      <c r="O894" s="327"/>
      <c r="P894" s="121"/>
      <c r="Q894" s="359"/>
      <c r="R894" s="359"/>
      <c r="S894" s="17"/>
      <c r="T894" s="17"/>
      <c r="U894" s="17"/>
      <c r="V894" s="17"/>
    </row>
    <row r="895">
      <c r="A895" s="327"/>
      <c r="B895" s="121"/>
      <c r="C895" s="327"/>
      <c r="D895" s="121"/>
      <c r="E895" s="327"/>
      <c r="F895" s="121"/>
      <c r="G895" s="327"/>
      <c r="H895" s="121"/>
      <c r="I895" s="358"/>
      <c r="J895" s="142"/>
      <c r="K895" s="358"/>
      <c r="L895" s="142"/>
      <c r="M895" s="327"/>
      <c r="N895" s="121"/>
      <c r="O895" s="327"/>
      <c r="P895" s="121"/>
      <c r="Q895" s="359"/>
      <c r="R895" s="359"/>
      <c r="S895" s="17"/>
      <c r="T895" s="17"/>
      <c r="U895" s="17"/>
      <c r="V895" s="17"/>
    </row>
    <row r="896">
      <c r="A896" s="327"/>
      <c r="B896" s="121"/>
      <c r="C896" s="327"/>
      <c r="D896" s="121"/>
      <c r="E896" s="327"/>
      <c r="F896" s="121"/>
      <c r="G896" s="327"/>
      <c r="H896" s="121"/>
      <c r="I896" s="358"/>
      <c r="J896" s="142"/>
      <c r="K896" s="358"/>
      <c r="L896" s="142"/>
      <c r="M896" s="327"/>
      <c r="N896" s="121"/>
      <c r="O896" s="327"/>
      <c r="P896" s="121"/>
      <c r="Q896" s="359"/>
      <c r="R896" s="359"/>
      <c r="S896" s="17"/>
      <c r="T896" s="17"/>
      <c r="U896" s="17"/>
      <c r="V896" s="17"/>
    </row>
    <row r="897">
      <c r="A897" s="327"/>
      <c r="B897" s="121"/>
      <c r="C897" s="327"/>
      <c r="D897" s="121"/>
      <c r="E897" s="327"/>
      <c r="F897" s="121"/>
      <c r="G897" s="327"/>
      <c r="H897" s="121"/>
      <c r="I897" s="358"/>
      <c r="J897" s="142"/>
      <c r="K897" s="358"/>
      <c r="L897" s="142"/>
      <c r="M897" s="327"/>
      <c r="N897" s="121"/>
      <c r="O897" s="327"/>
      <c r="P897" s="121"/>
      <c r="Q897" s="359"/>
      <c r="R897" s="359"/>
      <c r="S897" s="17"/>
      <c r="T897" s="17"/>
      <c r="U897" s="17"/>
      <c r="V897" s="17"/>
    </row>
    <row r="898">
      <c r="A898" s="327"/>
      <c r="B898" s="121"/>
      <c r="C898" s="327"/>
      <c r="D898" s="121"/>
      <c r="E898" s="327"/>
      <c r="F898" s="121"/>
      <c r="G898" s="327"/>
      <c r="H898" s="121"/>
      <c r="I898" s="358"/>
      <c r="J898" s="142"/>
      <c r="K898" s="358"/>
      <c r="L898" s="142"/>
      <c r="M898" s="327"/>
      <c r="N898" s="121"/>
      <c r="O898" s="327"/>
      <c r="P898" s="121"/>
      <c r="Q898" s="359"/>
      <c r="R898" s="359"/>
      <c r="S898" s="17"/>
      <c r="T898" s="17"/>
      <c r="U898" s="17"/>
      <c r="V898" s="17"/>
    </row>
    <row r="899">
      <c r="A899" s="327"/>
      <c r="B899" s="121"/>
      <c r="C899" s="327"/>
      <c r="D899" s="121"/>
      <c r="E899" s="327"/>
      <c r="F899" s="121"/>
      <c r="G899" s="327"/>
      <c r="H899" s="121"/>
      <c r="I899" s="358"/>
      <c r="J899" s="142"/>
      <c r="K899" s="358"/>
      <c r="L899" s="142"/>
      <c r="M899" s="327"/>
      <c r="N899" s="121"/>
      <c r="O899" s="327"/>
      <c r="P899" s="121"/>
      <c r="Q899" s="359"/>
      <c r="R899" s="359"/>
      <c r="S899" s="17"/>
      <c r="T899" s="17"/>
      <c r="U899" s="17"/>
      <c r="V899" s="17"/>
    </row>
    <row r="900">
      <c r="A900" s="327"/>
      <c r="B900" s="121"/>
      <c r="C900" s="327"/>
      <c r="D900" s="121"/>
      <c r="E900" s="327"/>
      <c r="F900" s="121"/>
      <c r="G900" s="327"/>
      <c r="H900" s="121"/>
      <c r="I900" s="358"/>
      <c r="J900" s="142"/>
      <c r="K900" s="358"/>
      <c r="L900" s="142"/>
      <c r="M900" s="327"/>
      <c r="N900" s="121"/>
      <c r="O900" s="327"/>
      <c r="P900" s="121"/>
      <c r="Q900" s="359"/>
      <c r="R900" s="359"/>
      <c r="S900" s="17"/>
      <c r="T900" s="17"/>
      <c r="U900" s="17"/>
      <c r="V900" s="17"/>
    </row>
    <row r="901">
      <c r="A901" s="327"/>
      <c r="B901" s="121"/>
      <c r="C901" s="327"/>
      <c r="D901" s="121"/>
      <c r="E901" s="327"/>
      <c r="F901" s="121"/>
      <c r="G901" s="327"/>
      <c r="H901" s="121"/>
      <c r="I901" s="358"/>
      <c r="J901" s="142"/>
      <c r="K901" s="358"/>
      <c r="L901" s="142"/>
      <c r="M901" s="327"/>
      <c r="N901" s="121"/>
      <c r="O901" s="327"/>
      <c r="P901" s="121"/>
      <c r="Q901" s="359"/>
      <c r="R901" s="359"/>
      <c r="S901" s="17"/>
      <c r="T901" s="17"/>
      <c r="U901" s="17"/>
      <c r="V901" s="17"/>
    </row>
    <row r="902">
      <c r="A902" s="327"/>
      <c r="B902" s="121"/>
      <c r="C902" s="327"/>
      <c r="D902" s="121"/>
      <c r="E902" s="327"/>
      <c r="F902" s="121"/>
      <c r="G902" s="327"/>
      <c r="H902" s="121"/>
      <c r="I902" s="358"/>
      <c r="J902" s="142"/>
      <c r="K902" s="358"/>
      <c r="L902" s="142"/>
      <c r="M902" s="327"/>
      <c r="N902" s="121"/>
      <c r="O902" s="327"/>
      <c r="P902" s="121"/>
      <c r="Q902" s="359"/>
      <c r="R902" s="359"/>
      <c r="S902" s="17"/>
      <c r="T902" s="17"/>
      <c r="U902" s="17"/>
      <c r="V902" s="17"/>
    </row>
    <row r="903">
      <c r="A903" s="327"/>
      <c r="B903" s="121"/>
      <c r="C903" s="327"/>
      <c r="D903" s="121"/>
      <c r="E903" s="327"/>
      <c r="F903" s="121"/>
      <c r="G903" s="327"/>
      <c r="H903" s="121"/>
      <c r="I903" s="358"/>
      <c r="J903" s="142"/>
      <c r="K903" s="358"/>
      <c r="L903" s="142"/>
      <c r="M903" s="327"/>
      <c r="N903" s="121"/>
      <c r="O903" s="327"/>
      <c r="P903" s="121"/>
      <c r="Q903" s="359"/>
      <c r="R903" s="359"/>
      <c r="S903" s="17"/>
      <c r="T903" s="17"/>
      <c r="U903" s="17"/>
      <c r="V903" s="17"/>
    </row>
    <row r="904">
      <c r="A904" s="327"/>
      <c r="B904" s="121"/>
      <c r="C904" s="327"/>
      <c r="D904" s="121"/>
      <c r="E904" s="327"/>
      <c r="F904" s="121"/>
      <c r="G904" s="327"/>
      <c r="H904" s="121"/>
      <c r="I904" s="358"/>
      <c r="J904" s="142"/>
      <c r="K904" s="358"/>
      <c r="L904" s="142"/>
      <c r="M904" s="327"/>
      <c r="N904" s="121"/>
      <c r="O904" s="327"/>
      <c r="P904" s="121"/>
      <c r="Q904" s="359"/>
      <c r="R904" s="359"/>
      <c r="S904" s="17"/>
      <c r="T904" s="17"/>
      <c r="U904" s="17"/>
      <c r="V904" s="17"/>
    </row>
    <row r="905">
      <c r="A905" s="327"/>
      <c r="B905" s="121"/>
      <c r="C905" s="327"/>
      <c r="D905" s="121"/>
      <c r="E905" s="327"/>
      <c r="F905" s="121"/>
      <c r="G905" s="327"/>
      <c r="H905" s="121"/>
      <c r="I905" s="358"/>
      <c r="J905" s="142"/>
      <c r="K905" s="358"/>
      <c r="L905" s="142"/>
      <c r="M905" s="327"/>
      <c r="N905" s="121"/>
      <c r="O905" s="327"/>
      <c r="P905" s="121"/>
      <c r="Q905" s="359"/>
      <c r="R905" s="359"/>
      <c r="S905" s="17"/>
      <c r="T905" s="17"/>
      <c r="U905" s="17"/>
      <c r="V905" s="17"/>
    </row>
    <row r="906">
      <c r="A906" s="327"/>
      <c r="B906" s="121"/>
      <c r="C906" s="327"/>
      <c r="D906" s="121"/>
      <c r="E906" s="327"/>
      <c r="F906" s="121"/>
      <c r="G906" s="327"/>
      <c r="H906" s="121"/>
      <c r="I906" s="358"/>
      <c r="J906" s="142"/>
      <c r="K906" s="358"/>
      <c r="L906" s="142"/>
      <c r="M906" s="327"/>
      <c r="N906" s="121"/>
      <c r="O906" s="327"/>
      <c r="P906" s="121"/>
      <c r="Q906" s="359"/>
      <c r="R906" s="359"/>
      <c r="S906" s="17"/>
      <c r="T906" s="17"/>
      <c r="U906" s="17"/>
      <c r="V906" s="17"/>
    </row>
    <row r="907">
      <c r="A907" s="327"/>
      <c r="B907" s="121"/>
      <c r="C907" s="327"/>
      <c r="D907" s="121"/>
      <c r="E907" s="327"/>
      <c r="F907" s="121"/>
      <c r="G907" s="327"/>
      <c r="H907" s="121"/>
      <c r="I907" s="358"/>
      <c r="J907" s="142"/>
      <c r="K907" s="358"/>
      <c r="L907" s="142"/>
      <c r="M907" s="327"/>
      <c r="N907" s="121"/>
      <c r="O907" s="327"/>
      <c r="P907" s="121"/>
      <c r="Q907" s="359"/>
      <c r="R907" s="359"/>
      <c r="S907" s="17"/>
      <c r="T907" s="17"/>
      <c r="U907" s="17"/>
      <c r="V907" s="17"/>
    </row>
    <row r="908">
      <c r="A908" s="327"/>
      <c r="B908" s="121"/>
      <c r="C908" s="327"/>
      <c r="D908" s="121"/>
      <c r="E908" s="327"/>
      <c r="F908" s="121"/>
      <c r="G908" s="327"/>
      <c r="H908" s="121"/>
      <c r="I908" s="358"/>
      <c r="J908" s="142"/>
      <c r="K908" s="358"/>
      <c r="L908" s="142"/>
      <c r="M908" s="327"/>
      <c r="N908" s="121"/>
      <c r="O908" s="327"/>
      <c r="P908" s="121"/>
      <c r="Q908" s="359"/>
      <c r="R908" s="359"/>
      <c r="S908" s="17"/>
      <c r="T908" s="17"/>
      <c r="U908" s="17"/>
      <c r="V908" s="17"/>
    </row>
    <row r="909">
      <c r="A909" s="327"/>
      <c r="B909" s="121"/>
      <c r="C909" s="327"/>
      <c r="D909" s="121"/>
      <c r="E909" s="327"/>
      <c r="F909" s="121"/>
      <c r="G909" s="327"/>
      <c r="H909" s="121"/>
      <c r="I909" s="358"/>
      <c r="J909" s="142"/>
      <c r="K909" s="358"/>
      <c r="L909" s="142"/>
      <c r="M909" s="327"/>
      <c r="N909" s="121"/>
      <c r="O909" s="327"/>
      <c r="P909" s="121"/>
      <c r="Q909" s="359"/>
      <c r="R909" s="359"/>
      <c r="S909" s="17"/>
      <c r="T909" s="17"/>
      <c r="U909" s="17"/>
      <c r="V909" s="17"/>
    </row>
    <row r="910">
      <c r="A910" s="327"/>
      <c r="B910" s="121"/>
      <c r="C910" s="327"/>
      <c r="D910" s="121"/>
      <c r="E910" s="327"/>
      <c r="F910" s="121"/>
      <c r="G910" s="327"/>
      <c r="H910" s="121"/>
      <c r="I910" s="358"/>
      <c r="J910" s="142"/>
      <c r="K910" s="358"/>
      <c r="L910" s="142"/>
      <c r="M910" s="327"/>
      <c r="N910" s="121"/>
      <c r="O910" s="327"/>
      <c r="P910" s="121"/>
      <c r="Q910" s="359"/>
      <c r="R910" s="359"/>
      <c r="S910" s="17"/>
      <c r="T910" s="17"/>
      <c r="U910" s="17"/>
      <c r="V910" s="17"/>
    </row>
    <row r="911">
      <c r="A911" s="327"/>
      <c r="B911" s="121"/>
      <c r="C911" s="327"/>
      <c r="D911" s="121"/>
      <c r="E911" s="327"/>
      <c r="F911" s="121"/>
      <c r="G911" s="327"/>
      <c r="H911" s="121"/>
      <c r="I911" s="358"/>
      <c r="J911" s="142"/>
      <c r="K911" s="358"/>
      <c r="L911" s="142"/>
      <c r="M911" s="327"/>
      <c r="N911" s="121"/>
      <c r="O911" s="327"/>
      <c r="P911" s="121"/>
      <c r="Q911" s="359"/>
      <c r="R911" s="359"/>
      <c r="S911" s="17"/>
      <c r="T911" s="17"/>
      <c r="U911" s="17"/>
      <c r="V911" s="17"/>
    </row>
    <row r="912">
      <c r="A912" s="327"/>
      <c r="B912" s="121"/>
      <c r="C912" s="327"/>
      <c r="D912" s="121"/>
      <c r="E912" s="327"/>
      <c r="F912" s="121"/>
      <c r="G912" s="327"/>
      <c r="H912" s="121"/>
      <c r="I912" s="358"/>
      <c r="J912" s="142"/>
      <c r="K912" s="358"/>
      <c r="L912" s="142"/>
      <c r="M912" s="327"/>
      <c r="N912" s="121"/>
      <c r="O912" s="327"/>
      <c r="P912" s="121"/>
      <c r="Q912" s="359"/>
      <c r="R912" s="359"/>
      <c r="S912" s="17"/>
      <c r="T912" s="17"/>
      <c r="U912" s="17"/>
      <c r="V912" s="17"/>
    </row>
    <row r="913">
      <c r="A913" s="327"/>
      <c r="B913" s="121"/>
      <c r="C913" s="327"/>
      <c r="D913" s="121"/>
      <c r="E913" s="327"/>
      <c r="F913" s="121"/>
      <c r="G913" s="327"/>
      <c r="H913" s="121"/>
      <c r="I913" s="358"/>
      <c r="J913" s="142"/>
      <c r="K913" s="358"/>
      <c r="L913" s="142"/>
      <c r="M913" s="327"/>
      <c r="N913" s="121"/>
      <c r="O913" s="327"/>
      <c r="P913" s="121"/>
      <c r="Q913" s="359"/>
      <c r="R913" s="359"/>
      <c r="S913" s="17"/>
      <c r="T913" s="17"/>
      <c r="U913" s="17"/>
      <c r="V913" s="17"/>
    </row>
    <row r="914">
      <c r="A914" s="327"/>
      <c r="B914" s="121"/>
      <c r="C914" s="327"/>
      <c r="D914" s="121"/>
      <c r="E914" s="327"/>
      <c r="F914" s="121"/>
      <c r="G914" s="327"/>
      <c r="H914" s="121"/>
      <c r="I914" s="358"/>
      <c r="J914" s="142"/>
      <c r="K914" s="358"/>
      <c r="L914" s="142"/>
      <c r="M914" s="327"/>
      <c r="N914" s="121"/>
      <c r="O914" s="327"/>
      <c r="P914" s="121"/>
      <c r="Q914" s="359"/>
      <c r="R914" s="359"/>
      <c r="S914" s="17"/>
      <c r="T914" s="17"/>
      <c r="U914" s="17"/>
      <c r="V914" s="17"/>
    </row>
    <row r="915">
      <c r="A915" s="327"/>
      <c r="B915" s="121"/>
      <c r="C915" s="327"/>
      <c r="D915" s="121"/>
      <c r="E915" s="327"/>
      <c r="F915" s="121"/>
      <c r="G915" s="327"/>
      <c r="H915" s="121"/>
      <c r="I915" s="358"/>
      <c r="J915" s="142"/>
      <c r="K915" s="358"/>
      <c r="L915" s="142"/>
      <c r="M915" s="327"/>
      <c r="N915" s="121"/>
      <c r="O915" s="327"/>
      <c r="P915" s="121"/>
      <c r="Q915" s="359"/>
      <c r="R915" s="359"/>
      <c r="S915" s="17"/>
      <c r="T915" s="17"/>
      <c r="U915" s="17"/>
      <c r="V915" s="17"/>
    </row>
    <row r="916">
      <c r="A916" s="327"/>
      <c r="B916" s="121"/>
      <c r="C916" s="327"/>
      <c r="D916" s="121"/>
      <c r="E916" s="327"/>
      <c r="F916" s="121"/>
      <c r="G916" s="327"/>
      <c r="H916" s="121"/>
      <c r="I916" s="358"/>
      <c r="J916" s="142"/>
      <c r="K916" s="358"/>
      <c r="L916" s="142"/>
      <c r="M916" s="327"/>
      <c r="N916" s="121"/>
      <c r="O916" s="327"/>
      <c r="P916" s="121"/>
      <c r="Q916" s="359"/>
      <c r="R916" s="359"/>
      <c r="S916" s="17"/>
      <c r="T916" s="17"/>
      <c r="U916" s="17"/>
      <c r="V916" s="17"/>
    </row>
    <row r="917">
      <c r="A917" s="327"/>
      <c r="B917" s="121"/>
      <c r="C917" s="327"/>
      <c r="D917" s="121"/>
      <c r="E917" s="327"/>
      <c r="F917" s="121"/>
      <c r="G917" s="327"/>
      <c r="H917" s="121"/>
      <c r="I917" s="358"/>
      <c r="J917" s="142"/>
      <c r="K917" s="358"/>
      <c r="L917" s="142"/>
      <c r="M917" s="327"/>
      <c r="N917" s="121"/>
      <c r="O917" s="327"/>
      <c r="P917" s="121"/>
      <c r="Q917" s="359"/>
      <c r="R917" s="359"/>
      <c r="S917" s="17"/>
      <c r="T917" s="17"/>
      <c r="U917" s="17"/>
      <c r="V917" s="17"/>
    </row>
    <row r="918">
      <c r="A918" s="327"/>
      <c r="B918" s="121"/>
      <c r="C918" s="327"/>
      <c r="D918" s="121"/>
      <c r="E918" s="327"/>
      <c r="F918" s="121"/>
      <c r="G918" s="327"/>
      <c r="H918" s="121"/>
      <c r="I918" s="358"/>
      <c r="J918" s="142"/>
      <c r="K918" s="358"/>
      <c r="L918" s="142"/>
      <c r="M918" s="327"/>
      <c r="N918" s="121"/>
      <c r="O918" s="327"/>
      <c r="P918" s="121"/>
      <c r="Q918" s="359"/>
      <c r="R918" s="359"/>
      <c r="S918" s="17"/>
      <c r="T918" s="17"/>
      <c r="U918" s="17"/>
      <c r="V918" s="17"/>
    </row>
    <row r="919">
      <c r="A919" s="327"/>
      <c r="B919" s="121"/>
      <c r="C919" s="327"/>
      <c r="D919" s="121"/>
      <c r="E919" s="327"/>
      <c r="F919" s="121"/>
      <c r="G919" s="327"/>
      <c r="H919" s="121"/>
      <c r="I919" s="358"/>
      <c r="J919" s="142"/>
      <c r="K919" s="358"/>
      <c r="L919" s="142"/>
      <c r="M919" s="327"/>
      <c r="N919" s="121"/>
      <c r="O919" s="327"/>
      <c r="P919" s="121"/>
      <c r="Q919" s="359"/>
      <c r="R919" s="359"/>
      <c r="S919" s="17"/>
      <c r="T919" s="17"/>
      <c r="U919" s="17"/>
      <c r="V919" s="17"/>
    </row>
    <row r="920">
      <c r="A920" s="327"/>
      <c r="B920" s="121"/>
      <c r="C920" s="327"/>
      <c r="D920" s="121"/>
      <c r="E920" s="327"/>
      <c r="F920" s="121"/>
      <c r="G920" s="327"/>
      <c r="H920" s="121"/>
      <c r="I920" s="358"/>
      <c r="J920" s="142"/>
      <c r="K920" s="358"/>
      <c r="L920" s="142"/>
      <c r="M920" s="327"/>
      <c r="N920" s="121"/>
      <c r="O920" s="327"/>
      <c r="P920" s="121"/>
      <c r="Q920" s="359"/>
      <c r="R920" s="359"/>
      <c r="S920" s="17"/>
      <c r="T920" s="17"/>
      <c r="U920" s="17"/>
      <c r="V920" s="17"/>
    </row>
    <row r="921">
      <c r="A921" s="327"/>
      <c r="B921" s="121"/>
      <c r="C921" s="327"/>
      <c r="D921" s="121"/>
      <c r="E921" s="327"/>
      <c r="F921" s="121"/>
      <c r="G921" s="327"/>
      <c r="H921" s="121"/>
      <c r="I921" s="358"/>
      <c r="J921" s="142"/>
      <c r="K921" s="358"/>
      <c r="L921" s="142"/>
      <c r="M921" s="327"/>
      <c r="N921" s="121"/>
      <c r="O921" s="327"/>
      <c r="P921" s="121"/>
      <c r="Q921" s="359"/>
      <c r="R921" s="359"/>
      <c r="S921" s="17"/>
      <c r="T921" s="17"/>
      <c r="U921" s="17"/>
      <c r="V921" s="17"/>
    </row>
    <row r="922">
      <c r="A922" s="327"/>
      <c r="B922" s="121"/>
      <c r="C922" s="327"/>
      <c r="D922" s="121"/>
      <c r="E922" s="327"/>
      <c r="F922" s="121"/>
      <c r="G922" s="327"/>
      <c r="H922" s="121"/>
      <c r="I922" s="358"/>
      <c r="J922" s="142"/>
      <c r="K922" s="358"/>
      <c r="L922" s="142"/>
      <c r="M922" s="327"/>
      <c r="N922" s="121"/>
      <c r="O922" s="327"/>
      <c r="P922" s="121"/>
      <c r="Q922" s="359"/>
      <c r="R922" s="359"/>
      <c r="S922" s="17"/>
      <c r="T922" s="17"/>
      <c r="U922" s="17"/>
      <c r="V922" s="17"/>
    </row>
    <row r="923">
      <c r="A923" s="327"/>
      <c r="B923" s="121"/>
      <c r="C923" s="327"/>
      <c r="D923" s="121"/>
      <c r="E923" s="327"/>
      <c r="F923" s="121"/>
      <c r="G923" s="327"/>
      <c r="H923" s="121"/>
      <c r="I923" s="358"/>
      <c r="J923" s="142"/>
      <c r="K923" s="358"/>
      <c r="L923" s="142"/>
      <c r="M923" s="327"/>
      <c r="N923" s="121"/>
      <c r="O923" s="327"/>
      <c r="P923" s="121"/>
      <c r="Q923" s="359"/>
      <c r="R923" s="359"/>
      <c r="S923" s="17"/>
      <c r="T923" s="17"/>
      <c r="U923" s="17"/>
      <c r="V923" s="17"/>
    </row>
    <row r="924">
      <c r="A924" s="327"/>
      <c r="B924" s="121"/>
      <c r="C924" s="327"/>
      <c r="D924" s="121"/>
      <c r="E924" s="327"/>
      <c r="F924" s="121"/>
      <c r="G924" s="327"/>
      <c r="H924" s="121"/>
      <c r="I924" s="358"/>
      <c r="J924" s="142"/>
      <c r="K924" s="358"/>
      <c r="L924" s="142"/>
      <c r="M924" s="327"/>
      <c r="N924" s="121"/>
      <c r="O924" s="327"/>
      <c r="P924" s="121"/>
      <c r="Q924" s="359"/>
      <c r="R924" s="359"/>
      <c r="S924" s="17"/>
      <c r="T924" s="17"/>
      <c r="U924" s="17"/>
      <c r="V924" s="17"/>
    </row>
    <row r="925">
      <c r="A925" s="327"/>
      <c r="B925" s="121"/>
      <c r="C925" s="327"/>
      <c r="D925" s="121"/>
      <c r="E925" s="327"/>
      <c r="F925" s="121"/>
      <c r="G925" s="327"/>
      <c r="H925" s="121"/>
      <c r="I925" s="358"/>
      <c r="J925" s="142"/>
      <c r="K925" s="358"/>
      <c r="L925" s="142"/>
      <c r="M925" s="327"/>
      <c r="N925" s="121"/>
      <c r="O925" s="327"/>
      <c r="P925" s="121"/>
      <c r="Q925" s="359"/>
      <c r="R925" s="359"/>
      <c r="S925" s="17"/>
      <c r="T925" s="17"/>
      <c r="U925" s="17"/>
      <c r="V925" s="17"/>
    </row>
    <row r="926">
      <c r="A926" s="327"/>
      <c r="B926" s="121"/>
      <c r="C926" s="327"/>
      <c r="D926" s="121"/>
      <c r="E926" s="327"/>
      <c r="F926" s="121"/>
      <c r="G926" s="327"/>
      <c r="H926" s="121"/>
      <c r="I926" s="358"/>
      <c r="J926" s="142"/>
      <c r="K926" s="358"/>
      <c r="L926" s="142"/>
      <c r="M926" s="327"/>
      <c r="N926" s="121"/>
      <c r="O926" s="327"/>
      <c r="P926" s="121"/>
      <c r="Q926" s="359"/>
      <c r="R926" s="359"/>
      <c r="S926" s="17"/>
      <c r="T926" s="17"/>
      <c r="U926" s="17"/>
      <c r="V926" s="17"/>
    </row>
    <row r="927">
      <c r="A927" s="327"/>
      <c r="B927" s="121"/>
      <c r="C927" s="327"/>
      <c r="D927" s="121"/>
      <c r="E927" s="327"/>
      <c r="F927" s="121"/>
      <c r="G927" s="327"/>
      <c r="H927" s="121"/>
      <c r="I927" s="358"/>
      <c r="J927" s="142"/>
      <c r="K927" s="358"/>
      <c r="L927" s="142"/>
      <c r="M927" s="327"/>
      <c r="N927" s="121"/>
      <c r="O927" s="327"/>
      <c r="P927" s="121"/>
      <c r="Q927" s="359"/>
      <c r="R927" s="359"/>
      <c r="S927" s="17"/>
      <c r="T927" s="17"/>
      <c r="U927" s="17"/>
      <c r="V927" s="17"/>
    </row>
    <row r="928">
      <c r="A928" s="327"/>
      <c r="B928" s="121"/>
      <c r="C928" s="327"/>
      <c r="D928" s="121"/>
      <c r="E928" s="327"/>
      <c r="F928" s="121"/>
      <c r="G928" s="327"/>
      <c r="H928" s="121"/>
      <c r="I928" s="358"/>
      <c r="J928" s="142"/>
      <c r="K928" s="358"/>
      <c r="L928" s="142"/>
      <c r="M928" s="327"/>
      <c r="N928" s="121"/>
      <c r="O928" s="327"/>
      <c r="P928" s="121"/>
      <c r="Q928" s="359"/>
      <c r="R928" s="359"/>
      <c r="S928" s="17"/>
      <c r="T928" s="17"/>
      <c r="U928" s="17"/>
      <c r="V928" s="17"/>
    </row>
    <row r="929">
      <c r="A929" s="327"/>
      <c r="B929" s="121"/>
      <c r="C929" s="327"/>
      <c r="D929" s="121"/>
      <c r="E929" s="327"/>
      <c r="F929" s="121"/>
      <c r="G929" s="327"/>
      <c r="H929" s="121"/>
      <c r="I929" s="358"/>
      <c r="J929" s="142"/>
      <c r="K929" s="358"/>
      <c r="L929" s="142"/>
      <c r="M929" s="327"/>
      <c r="N929" s="121"/>
      <c r="O929" s="327"/>
      <c r="P929" s="121"/>
      <c r="Q929" s="359"/>
      <c r="R929" s="359"/>
      <c r="S929" s="17"/>
      <c r="T929" s="17"/>
      <c r="U929" s="17"/>
      <c r="V929" s="17"/>
    </row>
    <row r="930">
      <c r="A930" s="327"/>
      <c r="B930" s="121"/>
      <c r="C930" s="327"/>
      <c r="D930" s="121"/>
      <c r="E930" s="327"/>
      <c r="F930" s="121"/>
      <c r="G930" s="327"/>
      <c r="H930" s="121"/>
      <c r="I930" s="358"/>
      <c r="J930" s="142"/>
      <c r="K930" s="358"/>
      <c r="L930" s="142"/>
      <c r="M930" s="327"/>
      <c r="N930" s="121"/>
      <c r="O930" s="327"/>
      <c r="P930" s="121"/>
      <c r="Q930" s="359"/>
      <c r="R930" s="359"/>
      <c r="S930" s="17"/>
      <c r="T930" s="17"/>
      <c r="U930" s="17"/>
      <c r="V930" s="17"/>
    </row>
    <row r="931">
      <c r="A931" s="327"/>
      <c r="B931" s="121"/>
      <c r="C931" s="327"/>
      <c r="D931" s="121"/>
      <c r="E931" s="327"/>
      <c r="F931" s="121"/>
      <c r="G931" s="327"/>
      <c r="H931" s="121"/>
      <c r="I931" s="358"/>
      <c r="J931" s="142"/>
      <c r="K931" s="358"/>
      <c r="L931" s="142"/>
      <c r="M931" s="327"/>
      <c r="N931" s="121"/>
      <c r="O931" s="327"/>
      <c r="P931" s="121"/>
      <c r="Q931" s="359"/>
      <c r="R931" s="359"/>
      <c r="S931" s="17"/>
      <c r="T931" s="17"/>
      <c r="U931" s="17"/>
      <c r="V931" s="17"/>
    </row>
    <row r="932">
      <c r="A932" s="327"/>
      <c r="B932" s="121"/>
      <c r="C932" s="327"/>
      <c r="D932" s="121"/>
      <c r="E932" s="327"/>
      <c r="F932" s="121"/>
      <c r="G932" s="327"/>
      <c r="H932" s="121"/>
      <c r="I932" s="358"/>
      <c r="J932" s="142"/>
      <c r="K932" s="358"/>
      <c r="L932" s="142"/>
      <c r="M932" s="327"/>
      <c r="N932" s="121"/>
      <c r="O932" s="327"/>
      <c r="P932" s="121"/>
      <c r="Q932" s="359"/>
      <c r="R932" s="359"/>
      <c r="S932" s="17"/>
      <c r="T932" s="17"/>
      <c r="U932" s="17"/>
      <c r="V932" s="17"/>
    </row>
    <row r="933">
      <c r="A933" s="327"/>
      <c r="B933" s="121"/>
      <c r="C933" s="327"/>
      <c r="D933" s="121"/>
      <c r="E933" s="327"/>
      <c r="F933" s="121"/>
      <c r="G933" s="327"/>
      <c r="H933" s="121"/>
      <c r="I933" s="358"/>
      <c r="J933" s="142"/>
      <c r="K933" s="358"/>
      <c r="L933" s="142"/>
      <c r="M933" s="327"/>
      <c r="N933" s="121"/>
      <c r="O933" s="327"/>
      <c r="P933" s="121"/>
      <c r="Q933" s="359"/>
      <c r="R933" s="359"/>
      <c r="S933" s="17"/>
      <c r="T933" s="17"/>
      <c r="U933" s="17"/>
      <c r="V933" s="17"/>
    </row>
    <row r="934">
      <c r="A934" s="327"/>
      <c r="B934" s="121"/>
      <c r="C934" s="327"/>
      <c r="D934" s="121"/>
      <c r="E934" s="327"/>
      <c r="F934" s="121"/>
      <c r="G934" s="327"/>
      <c r="H934" s="121"/>
      <c r="I934" s="358"/>
      <c r="J934" s="142"/>
      <c r="K934" s="358"/>
      <c r="L934" s="142"/>
      <c r="M934" s="327"/>
      <c r="N934" s="121"/>
      <c r="O934" s="327"/>
      <c r="P934" s="121"/>
      <c r="Q934" s="359"/>
      <c r="R934" s="359"/>
      <c r="S934" s="17"/>
      <c r="T934" s="17"/>
      <c r="U934" s="17"/>
      <c r="V934" s="17"/>
    </row>
    <row r="935">
      <c r="A935" s="327"/>
      <c r="B935" s="121"/>
      <c r="C935" s="327"/>
      <c r="D935" s="121"/>
      <c r="E935" s="327"/>
      <c r="F935" s="121"/>
      <c r="G935" s="327"/>
      <c r="H935" s="121"/>
      <c r="I935" s="358"/>
      <c r="J935" s="142"/>
      <c r="K935" s="358"/>
      <c r="L935" s="142"/>
      <c r="M935" s="327"/>
      <c r="N935" s="121"/>
      <c r="O935" s="327"/>
      <c r="P935" s="121"/>
      <c r="Q935" s="359"/>
      <c r="R935" s="359"/>
      <c r="S935" s="17"/>
      <c r="T935" s="17"/>
      <c r="U935" s="17"/>
      <c r="V935" s="17"/>
    </row>
    <row r="936">
      <c r="A936" s="327"/>
      <c r="B936" s="121"/>
      <c r="C936" s="327"/>
      <c r="D936" s="121"/>
      <c r="E936" s="327"/>
      <c r="F936" s="121"/>
      <c r="G936" s="327"/>
      <c r="H936" s="121"/>
      <c r="I936" s="358"/>
      <c r="J936" s="142"/>
      <c r="K936" s="358"/>
      <c r="L936" s="142"/>
      <c r="M936" s="327"/>
      <c r="N936" s="121"/>
      <c r="O936" s="327"/>
      <c r="P936" s="121"/>
      <c r="Q936" s="359"/>
      <c r="R936" s="359"/>
      <c r="S936" s="17"/>
      <c r="T936" s="17"/>
      <c r="U936" s="17"/>
      <c r="V936" s="17"/>
    </row>
    <row r="937">
      <c r="A937" s="327"/>
      <c r="B937" s="121"/>
      <c r="C937" s="327"/>
      <c r="D937" s="121"/>
      <c r="E937" s="327"/>
      <c r="F937" s="121"/>
      <c r="G937" s="327"/>
      <c r="H937" s="121"/>
      <c r="I937" s="358"/>
      <c r="J937" s="142"/>
      <c r="K937" s="358"/>
      <c r="L937" s="142"/>
      <c r="M937" s="327"/>
      <c r="N937" s="121"/>
      <c r="O937" s="327"/>
      <c r="P937" s="121"/>
      <c r="Q937" s="359"/>
      <c r="R937" s="359"/>
      <c r="S937" s="17"/>
      <c r="T937" s="17"/>
      <c r="U937" s="17"/>
      <c r="V937" s="17"/>
    </row>
    <row r="938">
      <c r="A938" s="327"/>
      <c r="B938" s="121"/>
      <c r="C938" s="327"/>
      <c r="D938" s="121"/>
      <c r="E938" s="327"/>
      <c r="F938" s="121"/>
      <c r="G938" s="327"/>
      <c r="H938" s="121"/>
      <c r="I938" s="358"/>
      <c r="J938" s="142"/>
      <c r="K938" s="358"/>
      <c r="L938" s="142"/>
      <c r="M938" s="327"/>
      <c r="N938" s="121"/>
      <c r="O938" s="327"/>
      <c r="P938" s="121"/>
      <c r="Q938" s="359"/>
      <c r="R938" s="359"/>
      <c r="S938" s="17"/>
      <c r="T938" s="17"/>
      <c r="U938" s="17"/>
      <c r="V938" s="17"/>
    </row>
    <row r="939">
      <c r="A939" s="327"/>
      <c r="B939" s="121"/>
      <c r="C939" s="327"/>
      <c r="D939" s="121"/>
      <c r="E939" s="327"/>
      <c r="F939" s="121"/>
      <c r="G939" s="327"/>
      <c r="H939" s="121"/>
      <c r="I939" s="358"/>
      <c r="J939" s="142"/>
      <c r="K939" s="358"/>
      <c r="L939" s="142"/>
      <c r="M939" s="327"/>
      <c r="N939" s="121"/>
      <c r="O939" s="327"/>
      <c r="P939" s="121"/>
      <c r="Q939" s="359"/>
      <c r="R939" s="359"/>
      <c r="S939" s="17"/>
      <c r="T939" s="17"/>
      <c r="U939" s="17"/>
      <c r="V939" s="17"/>
    </row>
    <row r="940">
      <c r="A940" s="327"/>
      <c r="B940" s="121"/>
      <c r="C940" s="327"/>
      <c r="D940" s="121"/>
      <c r="E940" s="327"/>
      <c r="F940" s="121"/>
      <c r="G940" s="327"/>
      <c r="H940" s="121"/>
      <c r="I940" s="358"/>
      <c r="J940" s="142"/>
      <c r="K940" s="358"/>
      <c r="L940" s="142"/>
      <c r="M940" s="327"/>
      <c r="N940" s="121"/>
      <c r="O940" s="327"/>
      <c r="P940" s="121"/>
      <c r="Q940" s="359"/>
      <c r="R940" s="359"/>
      <c r="S940" s="17"/>
      <c r="T940" s="17"/>
      <c r="U940" s="17"/>
      <c r="V940" s="17"/>
    </row>
    <row r="941">
      <c r="A941" s="327"/>
      <c r="B941" s="121"/>
      <c r="C941" s="327"/>
      <c r="D941" s="121"/>
      <c r="E941" s="327"/>
      <c r="F941" s="121"/>
      <c r="G941" s="327"/>
      <c r="H941" s="121"/>
      <c r="I941" s="358"/>
      <c r="J941" s="142"/>
      <c r="K941" s="358"/>
      <c r="L941" s="142"/>
      <c r="M941" s="327"/>
      <c r="N941" s="121"/>
      <c r="O941" s="327"/>
      <c r="P941" s="121"/>
      <c r="Q941" s="359"/>
      <c r="R941" s="359"/>
      <c r="S941" s="17"/>
      <c r="T941" s="17"/>
      <c r="U941" s="17"/>
      <c r="V941" s="17"/>
    </row>
    <row r="942">
      <c r="A942" s="327"/>
      <c r="B942" s="121"/>
      <c r="C942" s="327"/>
      <c r="D942" s="121"/>
      <c r="E942" s="327"/>
      <c r="F942" s="121"/>
      <c r="G942" s="327"/>
      <c r="H942" s="121"/>
      <c r="I942" s="358"/>
      <c r="J942" s="142"/>
      <c r="K942" s="358"/>
      <c r="L942" s="142"/>
      <c r="M942" s="327"/>
      <c r="N942" s="121"/>
      <c r="O942" s="327"/>
      <c r="P942" s="121"/>
      <c r="Q942" s="359"/>
      <c r="R942" s="359"/>
      <c r="S942" s="17"/>
      <c r="T942" s="17"/>
      <c r="U942" s="17"/>
      <c r="V942" s="17"/>
    </row>
    <row r="943">
      <c r="A943" s="327"/>
      <c r="B943" s="121"/>
      <c r="C943" s="327"/>
      <c r="D943" s="121"/>
      <c r="E943" s="327"/>
      <c r="F943" s="121"/>
      <c r="G943" s="327"/>
      <c r="H943" s="121"/>
      <c r="I943" s="358"/>
      <c r="J943" s="142"/>
      <c r="K943" s="358"/>
      <c r="L943" s="142"/>
      <c r="M943" s="327"/>
      <c r="N943" s="121"/>
      <c r="O943" s="327"/>
      <c r="P943" s="121"/>
      <c r="Q943" s="359"/>
      <c r="R943" s="359"/>
      <c r="S943" s="17"/>
      <c r="T943" s="17"/>
      <c r="U943" s="17"/>
      <c r="V943" s="17"/>
    </row>
    <row r="944">
      <c r="A944" s="327"/>
      <c r="B944" s="121"/>
      <c r="C944" s="327"/>
      <c r="D944" s="121"/>
      <c r="E944" s="327"/>
      <c r="F944" s="121"/>
      <c r="G944" s="327"/>
      <c r="H944" s="121"/>
      <c r="I944" s="358"/>
      <c r="J944" s="142"/>
      <c r="K944" s="358"/>
      <c r="L944" s="142"/>
      <c r="M944" s="327"/>
      <c r="N944" s="121"/>
      <c r="O944" s="327"/>
      <c r="P944" s="121"/>
      <c r="Q944" s="359"/>
      <c r="R944" s="359"/>
      <c r="S944" s="17"/>
      <c r="T944" s="17"/>
      <c r="U944" s="17"/>
      <c r="V944" s="17"/>
    </row>
    <row r="945">
      <c r="A945" s="327"/>
      <c r="B945" s="121"/>
      <c r="C945" s="327"/>
      <c r="D945" s="121"/>
      <c r="E945" s="327"/>
      <c r="F945" s="121"/>
      <c r="G945" s="327"/>
      <c r="H945" s="121"/>
      <c r="I945" s="358"/>
      <c r="J945" s="142"/>
      <c r="K945" s="358"/>
      <c r="L945" s="142"/>
      <c r="M945" s="327"/>
      <c r="N945" s="121"/>
      <c r="O945" s="327"/>
      <c r="P945" s="121"/>
      <c r="Q945" s="359"/>
      <c r="R945" s="359"/>
      <c r="S945" s="17"/>
      <c r="T945" s="17"/>
      <c r="U945" s="17"/>
      <c r="V945" s="17"/>
    </row>
    <row r="946">
      <c r="A946" s="327"/>
      <c r="B946" s="121"/>
      <c r="C946" s="327"/>
      <c r="D946" s="121"/>
      <c r="E946" s="327"/>
      <c r="F946" s="121"/>
      <c r="G946" s="327"/>
      <c r="H946" s="121"/>
      <c r="I946" s="358"/>
      <c r="J946" s="142"/>
      <c r="K946" s="358"/>
      <c r="L946" s="142"/>
      <c r="M946" s="327"/>
      <c r="N946" s="121"/>
      <c r="O946" s="327"/>
      <c r="P946" s="121"/>
      <c r="Q946" s="359"/>
      <c r="R946" s="359"/>
      <c r="S946" s="17"/>
      <c r="T946" s="17"/>
      <c r="U946" s="17"/>
      <c r="V946" s="17"/>
    </row>
    <row r="947">
      <c r="A947" s="327"/>
      <c r="B947" s="121"/>
      <c r="C947" s="327"/>
      <c r="D947" s="121"/>
      <c r="E947" s="327"/>
      <c r="F947" s="121"/>
      <c r="G947" s="327"/>
      <c r="H947" s="121"/>
      <c r="I947" s="358"/>
      <c r="J947" s="142"/>
      <c r="K947" s="358"/>
      <c r="L947" s="142"/>
      <c r="M947" s="327"/>
      <c r="N947" s="121"/>
      <c r="O947" s="327"/>
      <c r="P947" s="121"/>
      <c r="Q947" s="359"/>
      <c r="R947" s="359"/>
      <c r="S947" s="17"/>
      <c r="T947" s="17"/>
      <c r="U947" s="17"/>
      <c r="V947" s="17"/>
    </row>
    <row r="948">
      <c r="A948" s="327"/>
      <c r="B948" s="121"/>
      <c r="C948" s="327"/>
      <c r="D948" s="121"/>
      <c r="E948" s="327"/>
      <c r="F948" s="121"/>
      <c r="G948" s="327"/>
      <c r="H948" s="121"/>
      <c r="I948" s="358"/>
      <c r="J948" s="142"/>
      <c r="K948" s="358"/>
      <c r="L948" s="142"/>
      <c r="M948" s="327"/>
      <c r="N948" s="121"/>
      <c r="O948" s="327"/>
      <c r="P948" s="121"/>
      <c r="Q948" s="359"/>
      <c r="R948" s="359"/>
      <c r="S948" s="17"/>
      <c r="T948" s="17"/>
      <c r="U948" s="17"/>
      <c r="V948" s="17"/>
    </row>
    <row r="949">
      <c r="A949" s="327"/>
      <c r="B949" s="121"/>
      <c r="C949" s="327"/>
      <c r="D949" s="121"/>
      <c r="E949" s="327"/>
      <c r="F949" s="121"/>
      <c r="G949" s="327"/>
      <c r="H949" s="121"/>
      <c r="I949" s="358"/>
      <c r="J949" s="142"/>
      <c r="K949" s="358"/>
      <c r="L949" s="142"/>
      <c r="M949" s="327"/>
      <c r="N949" s="121"/>
      <c r="O949" s="327"/>
      <c r="P949" s="121"/>
      <c r="Q949" s="359"/>
      <c r="R949" s="359"/>
      <c r="S949" s="17"/>
      <c r="T949" s="17"/>
      <c r="U949" s="17"/>
      <c r="V949" s="17"/>
    </row>
    <row r="950">
      <c r="A950" s="327"/>
      <c r="B950" s="121"/>
      <c r="C950" s="327"/>
      <c r="D950" s="121"/>
      <c r="E950" s="327"/>
      <c r="F950" s="121"/>
      <c r="G950" s="327"/>
      <c r="H950" s="121"/>
      <c r="I950" s="358"/>
      <c r="J950" s="142"/>
      <c r="K950" s="358"/>
      <c r="L950" s="142"/>
      <c r="M950" s="327"/>
      <c r="N950" s="121"/>
      <c r="O950" s="327"/>
      <c r="P950" s="121"/>
      <c r="Q950" s="359"/>
      <c r="R950" s="359"/>
      <c r="S950" s="17"/>
      <c r="T950" s="17"/>
      <c r="U950" s="17"/>
      <c r="V950" s="17"/>
    </row>
    <row r="951">
      <c r="A951" s="327"/>
      <c r="B951" s="121"/>
      <c r="C951" s="327"/>
      <c r="D951" s="121"/>
      <c r="E951" s="327"/>
      <c r="F951" s="121"/>
      <c r="G951" s="327"/>
      <c r="H951" s="121"/>
      <c r="I951" s="358"/>
      <c r="J951" s="142"/>
      <c r="K951" s="358"/>
      <c r="L951" s="142"/>
      <c r="M951" s="327"/>
      <c r="N951" s="121"/>
      <c r="O951" s="327"/>
      <c r="P951" s="121"/>
      <c r="Q951" s="359"/>
      <c r="R951" s="359"/>
      <c r="S951" s="17"/>
      <c r="T951" s="17"/>
      <c r="U951" s="17"/>
      <c r="V951" s="17"/>
    </row>
    <row r="952">
      <c r="A952" s="327"/>
      <c r="B952" s="121"/>
      <c r="C952" s="327"/>
      <c r="D952" s="121"/>
      <c r="E952" s="327"/>
      <c r="F952" s="121"/>
      <c r="G952" s="327"/>
      <c r="H952" s="121"/>
      <c r="I952" s="358"/>
      <c r="J952" s="142"/>
      <c r="K952" s="358"/>
      <c r="L952" s="142"/>
      <c r="M952" s="327"/>
      <c r="N952" s="121"/>
      <c r="O952" s="327"/>
      <c r="P952" s="121"/>
      <c r="Q952" s="359"/>
      <c r="R952" s="359"/>
      <c r="S952" s="17"/>
      <c r="T952" s="17"/>
      <c r="U952" s="17"/>
      <c r="V952" s="17"/>
    </row>
    <row r="953">
      <c r="A953" s="327"/>
      <c r="B953" s="121"/>
      <c r="C953" s="327"/>
      <c r="D953" s="121"/>
      <c r="E953" s="327"/>
      <c r="F953" s="121"/>
      <c r="G953" s="327"/>
      <c r="H953" s="121"/>
      <c r="I953" s="358"/>
      <c r="J953" s="142"/>
      <c r="K953" s="358"/>
      <c r="L953" s="142"/>
      <c r="M953" s="327"/>
      <c r="N953" s="121"/>
      <c r="O953" s="327"/>
      <c r="P953" s="121"/>
      <c r="Q953" s="359"/>
      <c r="R953" s="359"/>
      <c r="S953" s="17"/>
      <c r="T953" s="17"/>
      <c r="U953" s="17"/>
      <c r="V953" s="17"/>
    </row>
    <row r="954">
      <c r="A954" s="327"/>
      <c r="B954" s="121"/>
      <c r="C954" s="327"/>
      <c r="D954" s="121"/>
      <c r="E954" s="327"/>
      <c r="F954" s="121"/>
      <c r="G954" s="327"/>
      <c r="H954" s="121"/>
      <c r="I954" s="358"/>
      <c r="J954" s="142"/>
      <c r="K954" s="358"/>
      <c r="L954" s="142"/>
      <c r="M954" s="327"/>
      <c r="N954" s="121"/>
      <c r="O954" s="327"/>
      <c r="P954" s="121"/>
      <c r="Q954" s="359"/>
      <c r="R954" s="359"/>
      <c r="S954" s="17"/>
      <c r="T954" s="17"/>
      <c r="U954" s="17"/>
      <c r="V954" s="17"/>
    </row>
    <row r="955">
      <c r="A955" s="327"/>
      <c r="B955" s="121"/>
      <c r="C955" s="327"/>
      <c r="D955" s="121"/>
      <c r="E955" s="327"/>
      <c r="F955" s="121"/>
      <c r="G955" s="327"/>
      <c r="H955" s="121"/>
      <c r="I955" s="358"/>
      <c r="J955" s="142"/>
      <c r="K955" s="358"/>
      <c r="L955" s="142"/>
      <c r="M955" s="327"/>
      <c r="N955" s="121"/>
      <c r="O955" s="327"/>
      <c r="P955" s="121"/>
      <c r="Q955" s="359"/>
      <c r="R955" s="359"/>
      <c r="S955" s="17"/>
      <c r="T955" s="17"/>
      <c r="U955" s="17"/>
      <c r="V955" s="17"/>
    </row>
    <row r="956">
      <c r="A956" s="327"/>
      <c r="B956" s="121"/>
      <c r="C956" s="327"/>
      <c r="D956" s="121"/>
      <c r="E956" s="327"/>
      <c r="F956" s="121"/>
      <c r="G956" s="327"/>
      <c r="H956" s="121"/>
      <c r="I956" s="358"/>
      <c r="J956" s="142"/>
      <c r="K956" s="358"/>
      <c r="L956" s="142"/>
      <c r="M956" s="327"/>
      <c r="N956" s="121"/>
      <c r="O956" s="327"/>
      <c r="P956" s="121"/>
      <c r="Q956" s="359"/>
      <c r="R956" s="359"/>
      <c r="S956" s="17"/>
      <c r="T956" s="17"/>
      <c r="U956" s="17"/>
      <c r="V956" s="17"/>
    </row>
    <row r="957">
      <c r="A957" s="327"/>
      <c r="B957" s="121"/>
      <c r="C957" s="327"/>
      <c r="D957" s="121"/>
      <c r="E957" s="327"/>
      <c r="F957" s="121"/>
      <c r="G957" s="327"/>
      <c r="H957" s="121"/>
      <c r="I957" s="358"/>
      <c r="J957" s="142"/>
      <c r="K957" s="358"/>
      <c r="L957" s="142"/>
      <c r="M957" s="327"/>
      <c r="N957" s="121"/>
      <c r="O957" s="327"/>
      <c r="P957" s="121"/>
      <c r="Q957" s="359"/>
      <c r="R957" s="359"/>
      <c r="S957" s="17"/>
      <c r="T957" s="17"/>
      <c r="U957" s="17"/>
      <c r="V957" s="17"/>
    </row>
    <row r="958">
      <c r="A958" s="327"/>
      <c r="B958" s="121"/>
      <c r="C958" s="327"/>
      <c r="D958" s="121"/>
      <c r="E958" s="327"/>
      <c r="F958" s="121"/>
      <c r="G958" s="327"/>
      <c r="H958" s="121"/>
      <c r="I958" s="358"/>
      <c r="J958" s="142"/>
      <c r="K958" s="358"/>
      <c r="L958" s="142"/>
      <c r="M958" s="327"/>
      <c r="N958" s="121"/>
      <c r="O958" s="327"/>
      <c r="P958" s="121"/>
      <c r="Q958" s="359"/>
      <c r="R958" s="359"/>
      <c r="S958" s="17"/>
      <c r="T958" s="17"/>
      <c r="U958" s="17"/>
      <c r="V958" s="17"/>
    </row>
    <row r="959">
      <c r="A959" s="327"/>
      <c r="B959" s="121"/>
      <c r="C959" s="327"/>
      <c r="D959" s="121"/>
      <c r="E959" s="327"/>
      <c r="F959" s="121"/>
      <c r="G959" s="327"/>
      <c r="H959" s="121"/>
      <c r="I959" s="358"/>
      <c r="J959" s="142"/>
      <c r="K959" s="358"/>
      <c r="L959" s="142"/>
      <c r="M959" s="327"/>
      <c r="N959" s="121"/>
      <c r="O959" s="327"/>
      <c r="P959" s="121"/>
      <c r="Q959" s="359"/>
      <c r="R959" s="359"/>
      <c r="S959" s="17"/>
      <c r="T959" s="17"/>
      <c r="U959" s="17"/>
      <c r="V959" s="17"/>
    </row>
    <row r="960">
      <c r="A960" s="327"/>
      <c r="B960" s="121"/>
      <c r="C960" s="327"/>
      <c r="D960" s="121"/>
      <c r="E960" s="327"/>
      <c r="F960" s="121"/>
      <c r="G960" s="327"/>
      <c r="H960" s="121"/>
      <c r="I960" s="358"/>
      <c r="J960" s="142"/>
      <c r="K960" s="358"/>
      <c r="L960" s="142"/>
      <c r="M960" s="327"/>
      <c r="N960" s="121"/>
      <c r="O960" s="327"/>
      <c r="P960" s="121"/>
      <c r="Q960" s="359"/>
      <c r="R960" s="359"/>
      <c r="S960" s="17"/>
      <c r="T960" s="17"/>
      <c r="U960" s="17"/>
      <c r="V960" s="17"/>
    </row>
    <row r="961">
      <c r="A961" s="327"/>
      <c r="B961" s="121"/>
      <c r="C961" s="327"/>
      <c r="D961" s="121"/>
      <c r="E961" s="327"/>
      <c r="F961" s="121"/>
      <c r="G961" s="327"/>
      <c r="H961" s="121"/>
      <c r="I961" s="358"/>
      <c r="J961" s="142"/>
      <c r="K961" s="358"/>
      <c r="L961" s="142"/>
      <c r="M961" s="327"/>
      <c r="N961" s="121"/>
      <c r="O961" s="327"/>
      <c r="P961" s="121"/>
      <c r="Q961" s="359"/>
      <c r="R961" s="359"/>
      <c r="S961" s="17"/>
      <c r="T961" s="17"/>
      <c r="U961" s="17"/>
      <c r="V961" s="17"/>
    </row>
    <row r="962">
      <c r="A962" s="327"/>
      <c r="B962" s="121"/>
      <c r="C962" s="327"/>
      <c r="D962" s="121"/>
      <c r="E962" s="327"/>
      <c r="F962" s="121"/>
      <c r="G962" s="327"/>
      <c r="H962" s="121"/>
      <c r="I962" s="358"/>
      <c r="J962" s="142"/>
      <c r="K962" s="358"/>
      <c r="L962" s="142"/>
      <c r="M962" s="327"/>
      <c r="N962" s="121"/>
      <c r="O962" s="327"/>
      <c r="P962" s="121"/>
      <c r="Q962" s="359"/>
      <c r="R962" s="359"/>
      <c r="S962" s="17"/>
      <c r="T962" s="17"/>
      <c r="U962" s="17"/>
      <c r="V962" s="17"/>
    </row>
    <row r="963">
      <c r="A963" s="327"/>
      <c r="B963" s="121"/>
      <c r="C963" s="327"/>
      <c r="D963" s="121"/>
      <c r="E963" s="327"/>
      <c r="F963" s="121"/>
      <c r="G963" s="327"/>
      <c r="H963" s="121"/>
      <c r="I963" s="358"/>
      <c r="J963" s="142"/>
      <c r="K963" s="358"/>
      <c r="L963" s="142"/>
      <c r="M963" s="327"/>
      <c r="N963" s="121"/>
      <c r="O963" s="327"/>
      <c r="P963" s="121"/>
      <c r="Q963" s="359"/>
      <c r="R963" s="359"/>
      <c r="S963" s="17"/>
      <c r="T963" s="17"/>
      <c r="U963" s="17"/>
      <c r="V963" s="17"/>
    </row>
    <row r="964">
      <c r="A964" s="327"/>
      <c r="B964" s="121"/>
      <c r="C964" s="327"/>
      <c r="D964" s="121"/>
      <c r="E964" s="327"/>
      <c r="F964" s="121"/>
      <c r="G964" s="327"/>
      <c r="H964" s="121"/>
      <c r="I964" s="358"/>
      <c r="J964" s="142"/>
      <c r="K964" s="358"/>
      <c r="L964" s="142"/>
      <c r="M964" s="327"/>
      <c r="N964" s="121"/>
      <c r="O964" s="327"/>
      <c r="P964" s="121"/>
      <c r="Q964" s="359"/>
      <c r="R964" s="359"/>
      <c r="S964" s="17"/>
      <c r="T964" s="17"/>
      <c r="U964" s="17"/>
      <c r="V964" s="17"/>
    </row>
    <row r="965">
      <c r="A965" s="327"/>
      <c r="B965" s="121"/>
      <c r="C965" s="327"/>
      <c r="D965" s="121"/>
      <c r="E965" s="327"/>
      <c r="F965" s="121"/>
      <c r="G965" s="327"/>
      <c r="H965" s="121"/>
      <c r="I965" s="358"/>
      <c r="J965" s="142"/>
      <c r="K965" s="358"/>
      <c r="L965" s="142"/>
      <c r="M965" s="327"/>
      <c r="N965" s="121"/>
      <c r="O965" s="327"/>
      <c r="P965" s="121"/>
      <c r="Q965" s="359"/>
      <c r="R965" s="359"/>
      <c r="S965" s="17"/>
      <c r="T965" s="17"/>
      <c r="U965" s="17"/>
      <c r="V965" s="17"/>
    </row>
    <row r="966">
      <c r="A966" s="327"/>
      <c r="B966" s="121"/>
      <c r="C966" s="327"/>
      <c r="D966" s="121"/>
      <c r="E966" s="327"/>
      <c r="F966" s="121"/>
      <c r="G966" s="327"/>
      <c r="H966" s="121"/>
      <c r="I966" s="358"/>
      <c r="J966" s="142"/>
      <c r="K966" s="358"/>
      <c r="L966" s="142"/>
      <c r="M966" s="327"/>
      <c r="N966" s="121"/>
      <c r="O966" s="327"/>
      <c r="P966" s="121"/>
      <c r="Q966" s="359"/>
      <c r="R966" s="359"/>
      <c r="S966" s="17"/>
      <c r="T966" s="17"/>
      <c r="U966" s="17"/>
      <c r="V966" s="17"/>
    </row>
    <row r="967">
      <c r="A967" s="327"/>
      <c r="B967" s="121"/>
      <c r="C967" s="327"/>
      <c r="D967" s="121"/>
      <c r="E967" s="327"/>
      <c r="F967" s="121"/>
      <c r="G967" s="327"/>
      <c r="H967" s="121"/>
      <c r="I967" s="358"/>
      <c r="J967" s="142"/>
      <c r="K967" s="358"/>
      <c r="L967" s="142"/>
      <c r="M967" s="327"/>
      <c r="N967" s="121"/>
      <c r="O967" s="327"/>
      <c r="P967" s="121"/>
      <c r="Q967" s="359"/>
      <c r="R967" s="359"/>
      <c r="S967" s="17"/>
      <c r="T967" s="17"/>
      <c r="U967" s="17"/>
      <c r="V967" s="17"/>
    </row>
    <row r="968">
      <c r="A968" s="327"/>
      <c r="B968" s="121"/>
      <c r="C968" s="327"/>
      <c r="D968" s="121"/>
      <c r="E968" s="327"/>
      <c r="F968" s="121"/>
      <c r="G968" s="327"/>
      <c r="H968" s="121"/>
      <c r="I968" s="358"/>
      <c r="J968" s="142"/>
      <c r="K968" s="358"/>
      <c r="L968" s="142"/>
      <c r="M968" s="327"/>
      <c r="N968" s="121"/>
      <c r="O968" s="327"/>
      <c r="P968" s="121"/>
      <c r="Q968" s="359"/>
      <c r="R968" s="359"/>
      <c r="S968" s="17"/>
      <c r="T968" s="17"/>
      <c r="U968" s="17"/>
      <c r="V968" s="17"/>
    </row>
    <row r="969">
      <c r="A969" s="327"/>
      <c r="B969" s="121"/>
      <c r="C969" s="327"/>
      <c r="D969" s="121"/>
      <c r="E969" s="327"/>
      <c r="F969" s="121"/>
      <c r="G969" s="327"/>
      <c r="H969" s="121"/>
      <c r="I969" s="358"/>
      <c r="J969" s="142"/>
      <c r="K969" s="358"/>
      <c r="L969" s="142"/>
      <c r="M969" s="327"/>
      <c r="N969" s="121"/>
      <c r="O969" s="327"/>
      <c r="P969" s="121"/>
      <c r="Q969" s="359"/>
      <c r="R969" s="359"/>
      <c r="S969" s="17"/>
      <c r="T969" s="17"/>
      <c r="U969" s="17"/>
      <c r="V969" s="17"/>
    </row>
    <row r="970">
      <c r="A970" s="327"/>
      <c r="B970" s="121"/>
      <c r="C970" s="327"/>
      <c r="D970" s="121"/>
      <c r="E970" s="327"/>
      <c r="F970" s="121"/>
      <c r="G970" s="327"/>
      <c r="H970" s="121"/>
      <c r="I970" s="358"/>
      <c r="J970" s="142"/>
      <c r="K970" s="358"/>
      <c r="L970" s="142"/>
      <c r="M970" s="327"/>
      <c r="N970" s="121"/>
      <c r="O970" s="327"/>
      <c r="P970" s="121"/>
      <c r="Q970" s="359"/>
      <c r="R970" s="359"/>
      <c r="S970" s="17"/>
      <c r="T970" s="17"/>
      <c r="U970" s="17"/>
      <c r="V970" s="17"/>
    </row>
    <row r="971">
      <c r="A971" s="327"/>
      <c r="B971" s="121"/>
      <c r="C971" s="327"/>
      <c r="D971" s="121"/>
      <c r="E971" s="327"/>
      <c r="F971" s="121"/>
      <c r="G971" s="327"/>
      <c r="H971" s="121"/>
      <c r="I971" s="358"/>
      <c r="J971" s="142"/>
      <c r="K971" s="358"/>
      <c r="L971" s="142"/>
      <c r="M971" s="327"/>
      <c r="N971" s="121"/>
      <c r="O971" s="327"/>
      <c r="P971" s="121"/>
      <c r="Q971" s="359"/>
      <c r="R971" s="359"/>
      <c r="S971" s="17"/>
      <c r="T971" s="17"/>
      <c r="U971" s="17"/>
      <c r="V971" s="17"/>
    </row>
    <row r="972">
      <c r="A972" s="327"/>
      <c r="B972" s="121"/>
      <c r="C972" s="327"/>
      <c r="D972" s="121"/>
      <c r="E972" s="327"/>
      <c r="F972" s="121"/>
      <c r="G972" s="327"/>
      <c r="H972" s="121"/>
      <c r="I972" s="358"/>
      <c r="J972" s="142"/>
      <c r="K972" s="358"/>
      <c r="L972" s="142"/>
      <c r="M972" s="327"/>
      <c r="N972" s="121"/>
      <c r="O972" s="327"/>
      <c r="P972" s="121"/>
      <c r="Q972" s="359"/>
      <c r="R972" s="359"/>
      <c r="S972" s="17"/>
      <c r="T972" s="17"/>
      <c r="U972" s="17"/>
      <c r="V972" s="17"/>
    </row>
    <row r="973">
      <c r="A973" s="327"/>
      <c r="B973" s="121"/>
      <c r="C973" s="327"/>
      <c r="D973" s="121"/>
      <c r="E973" s="327"/>
      <c r="F973" s="121"/>
      <c r="G973" s="327"/>
      <c r="H973" s="121"/>
      <c r="I973" s="358"/>
      <c r="J973" s="142"/>
      <c r="K973" s="358"/>
      <c r="L973" s="142"/>
      <c r="M973" s="327"/>
      <c r="N973" s="121"/>
      <c r="O973" s="327"/>
      <c r="P973" s="121"/>
      <c r="Q973" s="359"/>
      <c r="R973" s="359"/>
      <c r="S973" s="17"/>
      <c r="T973" s="17"/>
      <c r="U973" s="17"/>
      <c r="V973" s="17"/>
    </row>
    <row r="974">
      <c r="A974" s="327"/>
      <c r="B974" s="121"/>
      <c r="C974" s="327"/>
      <c r="D974" s="121"/>
      <c r="E974" s="327"/>
      <c r="F974" s="121"/>
      <c r="G974" s="327"/>
      <c r="H974" s="121"/>
      <c r="I974" s="358"/>
      <c r="J974" s="142"/>
      <c r="K974" s="358"/>
      <c r="L974" s="142"/>
      <c r="M974" s="327"/>
      <c r="N974" s="121"/>
      <c r="O974" s="327"/>
      <c r="P974" s="121"/>
      <c r="Q974" s="359"/>
      <c r="R974" s="359"/>
      <c r="S974" s="17"/>
      <c r="T974" s="17"/>
      <c r="U974" s="17"/>
      <c r="V974" s="17"/>
    </row>
    <row r="975">
      <c r="A975" s="327"/>
      <c r="B975" s="121"/>
      <c r="C975" s="327"/>
      <c r="D975" s="121"/>
      <c r="E975" s="327"/>
      <c r="F975" s="121"/>
      <c r="G975" s="327"/>
      <c r="H975" s="121"/>
      <c r="I975" s="358"/>
      <c r="J975" s="142"/>
      <c r="K975" s="358"/>
      <c r="L975" s="142"/>
      <c r="M975" s="327"/>
      <c r="N975" s="121"/>
      <c r="O975" s="327"/>
      <c r="P975" s="121"/>
      <c r="Q975" s="359"/>
      <c r="R975" s="359"/>
      <c r="S975" s="17"/>
      <c r="T975" s="17"/>
      <c r="U975" s="17"/>
      <c r="V975" s="17"/>
    </row>
    <row r="976">
      <c r="A976" s="327"/>
      <c r="B976" s="121"/>
      <c r="C976" s="327"/>
      <c r="D976" s="121"/>
      <c r="E976" s="327"/>
      <c r="F976" s="121"/>
      <c r="G976" s="327"/>
      <c r="H976" s="121"/>
      <c r="I976" s="358"/>
      <c r="J976" s="142"/>
      <c r="K976" s="358"/>
      <c r="L976" s="142"/>
      <c r="M976" s="327"/>
      <c r="N976" s="121"/>
      <c r="O976" s="327"/>
      <c r="P976" s="121"/>
      <c r="Q976" s="359"/>
      <c r="R976" s="359"/>
      <c r="S976" s="17"/>
      <c r="T976" s="17"/>
      <c r="U976" s="17"/>
      <c r="V976" s="17"/>
    </row>
    <row r="977">
      <c r="A977" s="327"/>
      <c r="B977" s="121"/>
      <c r="C977" s="327"/>
      <c r="D977" s="121"/>
      <c r="E977" s="327"/>
      <c r="F977" s="121"/>
      <c r="G977" s="327"/>
      <c r="H977" s="121"/>
      <c r="I977" s="358"/>
      <c r="J977" s="142"/>
      <c r="K977" s="358"/>
      <c r="L977" s="142"/>
      <c r="M977" s="327"/>
      <c r="N977" s="121"/>
      <c r="O977" s="327"/>
      <c r="P977" s="121"/>
      <c r="Q977" s="359"/>
      <c r="R977" s="359"/>
      <c r="S977" s="17"/>
      <c r="T977" s="17"/>
      <c r="U977" s="17"/>
      <c r="V977" s="17"/>
    </row>
    <row r="978">
      <c r="A978" s="327"/>
      <c r="B978" s="121"/>
      <c r="C978" s="327"/>
      <c r="D978" s="121"/>
      <c r="E978" s="327"/>
      <c r="F978" s="121"/>
      <c r="G978" s="327"/>
      <c r="H978" s="121"/>
      <c r="I978" s="358"/>
      <c r="J978" s="142"/>
      <c r="K978" s="358"/>
      <c r="L978" s="142"/>
      <c r="M978" s="327"/>
      <c r="N978" s="121"/>
      <c r="O978" s="327"/>
      <c r="P978" s="121"/>
      <c r="Q978" s="359"/>
      <c r="R978" s="359"/>
      <c r="S978" s="17"/>
      <c r="T978" s="17"/>
      <c r="U978" s="17"/>
      <c r="V978" s="17"/>
    </row>
    <row r="979">
      <c r="A979" s="327"/>
      <c r="B979" s="121"/>
      <c r="C979" s="327"/>
      <c r="D979" s="121"/>
      <c r="E979" s="327"/>
      <c r="F979" s="121"/>
      <c r="G979" s="327"/>
      <c r="H979" s="121"/>
      <c r="I979" s="358"/>
      <c r="J979" s="142"/>
      <c r="K979" s="358"/>
      <c r="L979" s="142"/>
      <c r="M979" s="327"/>
      <c r="N979" s="121"/>
      <c r="O979" s="327"/>
      <c r="P979" s="121"/>
      <c r="Q979" s="359"/>
      <c r="R979" s="359"/>
      <c r="S979" s="17"/>
      <c r="T979" s="17"/>
      <c r="U979" s="17"/>
      <c r="V979" s="17"/>
    </row>
    <row r="980">
      <c r="A980" s="327"/>
      <c r="B980" s="121"/>
      <c r="C980" s="327"/>
      <c r="D980" s="121"/>
      <c r="E980" s="327"/>
      <c r="F980" s="121"/>
      <c r="G980" s="327"/>
      <c r="H980" s="121"/>
      <c r="I980" s="358"/>
      <c r="J980" s="142"/>
      <c r="K980" s="358"/>
      <c r="L980" s="142"/>
      <c r="M980" s="327"/>
      <c r="N980" s="121"/>
      <c r="O980" s="327"/>
      <c r="P980" s="121"/>
      <c r="Q980" s="359"/>
      <c r="R980" s="359"/>
      <c r="S980" s="17"/>
      <c r="T980" s="17"/>
      <c r="U980" s="17"/>
      <c r="V980" s="17"/>
    </row>
    <row r="981">
      <c r="A981" s="327"/>
      <c r="B981" s="121"/>
      <c r="C981" s="327"/>
      <c r="D981" s="121"/>
      <c r="E981" s="327"/>
      <c r="F981" s="121"/>
      <c r="G981" s="327"/>
      <c r="H981" s="121"/>
      <c r="I981" s="358"/>
      <c r="J981" s="142"/>
      <c r="K981" s="358"/>
      <c r="L981" s="142"/>
      <c r="M981" s="327"/>
      <c r="N981" s="121"/>
      <c r="O981" s="327"/>
      <c r="P981" s="121"/>
      <c r="Q981" s="359"/>
      <c r="R981" s="359"/>
      <c r="S981" s="17"/>
      <c r="T981" s="17"/>
      <c r="U981" s="17"/>
      <c r="V981" s="17"/>
    </row>
    <row r="982">
      <c r="A982" s="327"/>
      <c r="B982" s="121"/>
      <c r="C982" s="327"/>
      <c r="D982" s="121"/>
      <c r="E982" s="327"/>
      <c r="F982" s="121"/>
      <c r="G982" s="327"/>
      <c r="H982" s="121"/>
      <c r="I982" s="358"/>
      <c r="J982" s="142"/>
      <c r="K982" s="358"/>
      <c r="L982" s="142"/>
      <c r="M982" s="327"/>
      <c r="N982" s="121"/>
      <c r="O982" s="327"/>
      <c r="P982" s="121"/>
      <c r="Q982" s="359"/>
      <c r="R982" s="359"/>
      <c r="S982" s="17"/>
      <c r="T982" s="17"/>
      <c r="U982" s="17"/>
      <c r="V982" s="17"/>
    </row>
    <row r="983">
      <c r="A983" s="327"/>
      <c r="B983" s="121"/>
      <c r="C983" s="327"/>
      <c r="D983" s="121"/>
      <c r="E983" s="327"/>
      <c r="F983" s="121"/>
      <c r="G983" s="327"/>
      <c r="H983" s="121"/>
      <c r="I983" s="358"/>
      <c r="J983" s="142"/>
      <c r="K983" s="358"/>
      <c r="L983" s="142"/>
      <c r="M983" s="327"/>
      <c r="N983" s="121"/>
      <c r="O983" s="327"/>
      <c r="P983" s="121"/>
      <c r="Q983" s="359"/>
      <c r="R983" s="359"/>
      <c r="S983" s="17"/>
      <c r="T983" s="17"/>
      <c r="U983" s="17"/>
      <c r="V983" s="17"/>
    </row>
    <row r="984">
      <c r="A984" s="327"/>
      <c r="B984" s="121"/>
      <c r="C984" s="327"/>
      <c r="D984" s="121"/>
      <c r="E984" s="327"/>
      <c r="F984" s="121"/>
      <c r="G984" s="327"/>
      <c r="H984" s="121"/>
      <c r="I984" s="358"/>
      <c r="J984" s="142"/>
      <c r="K984" s="358"/>
      <c r="L984" s="142"/>
      <c r="M984" s="327"/>
      <c r="N984" s="121"/>
      <c r="O984" s="327"/>
      <c r="P984" s="121"/>
      <c r="Q984" s="359"/>
      <c r="R984" s="359"/>
      <c r="S984" s="17"/>
      <c r="T984" s="17"/>
      <c r="U984" s="17"/>
      <c r="V984" s="17"/>
    </row>
    <row r="985">
      <c r="A985" s="327"/>
      <c r="B985" s="121"/>
      <c r="C985" s="327"/>
      <c r="D985" s="121"/>
      <c r="E985" s="327"/>
      <c r="F985" s="121"/>
      <c r="G985" s="327"/>
      <c r="H985" s="121"/>
      <c r="I985" s="358"/>
      <c r="J985" s="142"/>
      <c r="K985" s="358"/>
      <c r="L985" s="142"/>
      <c r="M985" s="327"/>
      <c r="N985" s="121"/>
      <c r="O985" s="327"/>
      <c r="P985" s="121"/>
      <c r="Q985" s="359"/>
      <c r="R985" s="359"/>
      <c r="S985" s="17"/>
      <c r="T985" s="17"/>
      <c r="U985" s="17"/>
      <c r="V985" s="17"/>
    </row>
    <row r="986">
      <c r="A986" s="327"/>
      <c r="B986" s="121"/>
      <c r="C986" s="327"/>
      <c r="D986" s="121"/>
      <c r="E986" s="327"/>
      <c r="F986" s="121"/>
      <c r="G986" s="327"/>
      <c r="H986" s="121"/>
      <c r="I986" s="358"/>
      <c r="J986" s="142"/>
      <c r="K986" s="358"/>
      <c r="L986" s="142"/>
      <c r="M986" s="327"/>
      <c r="N986" s="121"/>
      <c r="O986" s="327"/>
      <c r="P986" s="121"/>
      <c r="Q986" s="359"/>
      <c r="R986" s="359"/>
      <c r="S986" s="17"/>
      <c r="T986" s="17"/>
      <c r="U986" s="17"/>
      <c r="V986" s="17"/>
    </row>
    <row r="987">
      <c r="A987" s="327"/>
      <c r="B987" s="121"/>
      <c r="C987" s="327"/>
      <c r="D987" s="121"/>
      <c r="E987" s="327"/>
      <c r="F987" s="121"/>
      <c r="G987" s="327"/>
      <c r="H987" s="121"/>
      <c r="I987" s="358"/>
      <c r="J987" s="142"/>
      <c r="K987" s="358"/>
      <c r="L987" s="142"/>
      <c r="M987" s="327"/>
      <c r="N987" s="121"/>
      <c r="O987" s="327"/>
      <c r="P987" s="121"/>
      <c r="Q987" s="359"/>
      <c r="R987" s="359"/>
      <c r="S987" s="17"/>
      <c r="T987" s="17"/>
      <c r="U987" s="17"/>
      <c r="V987" s="17"/>
    </row>
    <row r="988">
      <c r="A988" s="327"/>
      <c r="B988" s="121"/>
      <c r="C988" s="327"/>
      <c r="D988" s="121"/>
      <c r="E988" s="327"/>
      <c r="F988" s="121"/>
      <c r="G988" s="327"/>
      <c r="H988" s="121"/>
      <c r="I988" s="358"/>
      <c r="J988" s="142"/>
      <c r="K988" s="358"/>
      <c r="L988" s="142"/>
      <c r="M988" s="327"/>
      <c r="N988" s="121"/>
      <c r="O988" s="327"/>
      <c r="P988" s="121"/>
      <c r="Q988" s="359"/>
      <c r="R988" s="359"/>
      <c r="S988" s="17"/>
      <c r="T988" s="17"/>
      <c r="U988" s="17"/>
      <c r="V988" s="17"/>
    </row>
    <row r="989">
      <c r="A989" s="327"/>
      <c r="B989" s="121"/>
      <c r="C989" s="327"/>
      <c r="D989" s="121"/>
      <c r="E989" s="327"/>
      <c r="F989" s="121"/>
      <c r="G989" s="327"/>
      <c r="H989" s="121"/>
      <c r="I989" s="358"/>
      <c r="J989" s="142"/>
      <c r="K989" s="358"/>
      <c r="L989" s="142"/>
      <c r="M989" s="327"/>
      <c r="N989" s="121"/>
      <c r="O989" s="327"/>
      <c r="P989" s="121"/>
      <c r="Q989" s="359"/>
      <c r="R989" s="359"/>
      <c r="S989" s="17"/>
      <c r="T989" s="17"/>
      <c r="U989" s="17"/>
      <c r="V989" s="17"/>
    </row>
    <row r="990">
      <c r="A990" s="327"/>
      <c r="B990" s="121"/>
      <c r="C990" s="327"/>
      <c r="D990" s="121"/>
      <c r="E990" s="327"/>
      <c r="F990" s="121"/>
      <c r="G990" s="327"/>
      <c r="H990" s="121"/>
      <c r="I990" s="358"/>
      <c r="J990" s="142"/>
      <c r="K990" s="358"/>
      <c r="L990" s="142"/>
      <c r="M990" s="327"/>
      <c r="N990" s="121"/>
      <c r="O990" s="327"/>
      <c r="P990" s="121"/>
      <c r="Q990" s="359"/>
      <c r="R990" s="359"/>
      <c r="S990" s="17"/>
      <c r="T990" s="17"/>
      <c r="U990" s="17"/>
      <c r="V990" s="17"/>
    </row>
    <row r="991">
      <c r="A991" s="327"/>
      <c r="B991" s="121"/>
      <c r="C991" s="327"/>
      <c r="D991" s="121"/>
      <c r="E991" s="327"/>
      <c r="F991" s="121"/>
      <c r="G991" s="327"/>
      <c r="H991" s="121"/>
      <c r="I991" s="358"/>
      <c r="J991" s="142"/>
      <c r="K991" s="358"/>
      <c r="L991" s="142"/>
      <c r="M991" s="327"/>
      <c r="N991" s="121"/>
      <c r="O991" s="327"/>
      <c r="P991" s="121"/>
      <c r="Q991" s="359"/>
      <c r="R991" s="359"/>
      <c r="S991" s="17"/>
      <c r="T991" s="17"/>
      <c r="U991" s="17"/>
      <c r="V991" s="17"/>
    </row>
    <row r="992">
      <c r="A992" s="327"/>
      <c r="B992" s="121"/>
      <c r="C992" s="327"/>
      <c r="D992" s="121"/>
      <c r="E992" s="327"/>
      <c r="F992" s="121"/>
      <c r="G992" s="327"/>
      <c r="H992" s="121"/>
      <c r="I992" s="358"/>
      <c r="J992" s="142"/>
      <c r="K992" s="358"/>
      <c r="L992" s="142"/>
      <c r="M992" s="327"/>
      <c r="N992" s="121"/>
      <c r="O992" s="327"/>
      <c r="P992" s="121"/>
      <c r="Q992" s="359"/>
      <c r="R992" s="359"/>
      <c r="S992" s="17"/>
      <c r="T992" s="17"/>
      <c r="U992" s="17"/>
      <c r="V992" s="17"/>
    </row>
    <row r="993">
      <c r="A993" s="327"/>
      <c r="B993" s="121"/>
      <c r="C993" s="327"/>
      <c r="D993" s="121"/>
      <c r="E993" s="327"/>
      <c r="F993" s="121"/>
      <c r="G993" s="327"/>
      <c r="H993" s="121"/>
      <c r="I993" s="358"/>
      <c r="J993" s="142"/>
      <c r="K993" s="358"/>
      <c r="L993" s="142"/>
      <c r="M993" s="327"/>
      <c r="N993" s="121"/>
      <c r="O993" s="327"/>
      <c r="P993" s="121"/>
      <c r="Q993" s="359"/>
      <c r="R993" s="359"/>
      <c r="S993" s="17"/>
      <c r="T993" s="17"/>
      <c r="U993" s="17"/>
      <c r="V993" s="17"/>
    </row>
    <row r="994">
      <c r="A994" s="327"/>
      <c r="B994" s="121"/>
      <c r="C994" s="327"/>
      <c r="D994" s="121"/>
      <c r="E994" s="327"/>
      <c r="F994" s="121"/>
      <c r="G994" s="327"/>
      <c r="H994" s="121"/>
      <c r="I994" s="358"/>
      <c r="J994" s="142"/>
      <c r="K994" s="358"/>
      <c r="L994" s="142"/>
      <c r="M994" s="327"/>
      <c r="N994" s="121"/>
      <c r="O994" s="327"/>
      <c r="P994" s="121"/>
      <c r="Q994" s="359"/>
      <c r="R994" s="359"/>
      <c r="S994" s="17"/>
      <c r="T994" s="17"/>
      <c r="U994" s="17"/>
      <c r="V994" s="17"/>
    </row>
    <row r="995">
      <c r="A995" s="327"/>
      <c r="B995" s="121"/>
      <c r="C995" s="327"/>
      <c r="D995" s="121"/>
      <c r="E995" s="327"/>
      <c r="F995" s="121"/>
      <c r="G995" s="327"/>
      <c r="H995" s="121"/>
      <c r="I995" s="358"/>
      <c r="J995" s="142"/>
      <c r="K995" s="358"/>
      <c r="L995" s="142"/>
      <c r="M995" s="327"/>
      <c r="N995" s="121"/>
      <c r="O995" s="327"/>
      <c r="P995" s="121"/>
      <c r="Q995" s="359"/>
      <c r="R995" s="359"/>
      <c r="S995" s="17"/>
      <c r="T995" s="17"/>
      <c r="U995" s="17"/>
      <c r="V995" s="17"/>
    </row>
    <row r="996">
      <c r="A996" s="327"/>
      <c r="B996" s="121"/>
      <c r="C996" s="327"/>
      <c r="D996" s="121"/>
      <c r="E996" s="327"/>
      <c r="F996" s="121"/>
      <c r="G996" s="327"/>
      <c r="H996" s="121"/>
      <c r="I996" s="358"/>
      <c r="J996" s="142"/>
      <c r="K996" s="358"/>
      <c r="L996" s="142"/>
      <c r="M996" s="327"/>
      <c r="N996" s="121"/>
      <c r="O996" s="327"/>
      <c r="P996" s="121"/>
      <c r="Q996" s="359"/>
      <c r="R996" s="359"/>
      <c r="S996" s="17"/>
      <c r="T996" s="17"/>
      <c r="U996" s="17"/>
      <c r="V996" s="17"/>
    </row>
    <row r="997">
      <c r="A997" s="327"/>
      <c r="B997" s="121"/>
      <c r="C997" s="327"/>
      <c r="D997" s="121"/>
      <c r="E997" s="327"/>
      <c r="F997" s="121"/>
      <c r="G997" s="327"/>
      <c r="H997" s="121"/>
      <c r="I997" s="358"/>
      <c r="J997" s="142"/>
      <c r="K997" s="358"/>
      <c r="L997" s="142"/>
      <c r="M997" s="327"/>
      <c r="N997" s="121"/>
      <c r="O997" s="327"/>
      <c r="P997" s="121"/>
      <c r="Q997" s="359"/>
      <c r="R997" s="359"/>
      <c r="S997" s="17"/>
      <c r="T997" s="17"/>
      <c r="U997" s="17"/>
      <c r="V997" s="17"/>
    </row>
    <row r="998">
      <c r="A998" s="327"/>
      <c r="B998" s="121"/>
      <c r="C998" s="327"/>
      <c r="D998" s="121"/>
      <c r="E998" s="327"/>
      <c r="F998" s="121"/>
      <c r="G998" s="327"/>
      <c r="H998" s="121"/>
      <c r="I998" s="358"/>
      <c r="J998" s="142"/>
      <c r="K998" s="358"/>
      <c r="L998" s="142"/>
      <c r="M998" s="327"/>
      <c r="N998" s="121"/>
      <c r="O998" s="327"/>
      <c r="P998" s="121"/>
      <c r="Q998" s="359"/>
      <c r="R998" s="359"/>
      <c r="S998" s="17"/>
      <c r="T998" s="17"/>
      <c r="U998" s="17"/>
      <c r="V998" s="17"/>
    </row>
    <row r="999">
      <c r="A999" s="327"/>
      <c r="B999" s="121"/>
      <c r="C999" s="327"/>
      <c r="D999" s="121"/>
      <c r="E999" s="327"/>
      <c r="F999" s="121"/>
      <c r="G999" s="327"/>
      <c r="H999" s="121"/>
      <c r="I999" s="358"/>
      <c r="J999" s="142"/>
      <c r="K999" s="358"/>
      <c r="L999" s="142"/>
      <c r="M999" s="327"/>
      <c r="N999" s="121"/>
      <c r="O999" s="327"/>
      <c r="P999" s="121"/>
      <c r="Q999" s="359"/>
      <c r="R999" s="359"/>
      <c r="S999" s="17"/>
      <c r="T999" s="17"/>
      <c r="U999" s="17"/>
      <c r="V999" s="17"/>
    </row>
    <row r="1000">
      <c r="A1000" s="327"/>
      <c r="B1000" s="121"/>
      <c r="C1000" s="327"/>
      <c r="D1000" s="121"/>
      <c r="E1000" s="327"/>
      <c r="F1000" s="121"/>
      <c r="G1000" s="327"/>
      <c r="H1000" s="121"/>
      <c r="I1000" s="358"/>
      <c r="J1000" s="142"/>
      <c r="K1000" s="358"/>
      <c r="L1000" s="142"/>
      <c r="M1000" s="327"/>
      <c r="N1000" s="121"/>
      <c r="O1000" s="327"/>
      <c r="P1000" s="121"/>
      <c r="Q1000" s="359"/>
      <c r="R1000" s="359"/>
      <c r="S1000" s="17"/>
      <c r="T1000" s="17"/>
      <c r="U1000" s="17"/>
      <c r="V1000" s="17"/>
    </row>
    <row r="1001">
      <c r="A1001" s="327"/>
      <c r="B1001" s="121"/>
      <c r="C1001" s="327"/>
      <c r="D1001" s="121"/>
      <c r="E1001" s="327"/>
      <c r="F1001" s="121"/>
      <c r="G1001" s="327"/>
      <c r="H1001" s="121"/>
      <c r="I1001" s="358"/>
      <c r="J1001" s="142"/>
      <c r="K1001" s="358"/>
      <c r="L1001" s="142"/>
      <c r="M1001" s="327"/>
      <c r="N1001" s="121"/>
      <c r="O1001" s="327"/>
      <c r="P1001" s="121"/>
      <c r="Q1001" s="359"/>
      <c r="R1001" s="359"/>
      <c r="S1001" s="17"/>
      <c r="T1001" s="17"/>
      <c r="U1001" s="17"/>
      <c r="V1001" s="17"/>
    </row>
    <row r="1002">
      <c r="A1002" s="327"/>
      <c r="B1002" s="121"/>
      <c r="C1002" s="327"/>
      <c r="D1002" s="121"/>
      <c r="E1002" s="327"/>
      <c r="F1002" s="121"/>
      <c r="G1002" s="327"/>
      <c r="H1002" s="121"/>
      <c r="I1002" s="358"/>
      <c r="J1002" s="142"/>
      <c r="K1002" s="358"/>
      <c r="L1002" s="142"/>
      <c r="M1002" s="327"/>
      <c r="N1002" s="121"/>
      <c r="O1002" s="327"/>
      <c r="P1002" s="121"/>
      <c r="Q1002" s="327"/>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5819</v>
      </c>
      <c r="B1" s="360" t="s">
        <v>236</v>
      </c>
      <c r="C1" s="361" t="s">
        <v>5820</v>
      </c>
      <c r="F1" s="119" t="s">
        <v>5821</v>
      </c>
      <c r="G1" s="360" t="s">
        <v>236</v>
      </c>
      <c r="H1" s="362" t="s">
        <v>5822</v>
      </c>
      <c r="K1" s="119" t="s">
        <v>5823</v>
      </c>
      <c r="L1" s="360" t="s">
        <v>236</v>
      </c>
      <c r="M1" s="362" t="s">
        <v>5824</v>
      </c>
      <c r="P1" s="119" t="str">
        <f>IFERROR(__xludf.DUMMYFUNCTION("GOOGLETRANSLATE(A1,""zh-tw"",""zh"")"),"吃饱效果(夜袭时间延长)")</f>
        <v>吃饱效果(夜袭时间延长)</v>
      </c>
      <c r="Q1" s="360"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60" t="s">
        <v>236</v>
      </c>
      <c r="W1" s="363"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119" t="str">
        <f>IFERROR(__xludf.DUMMYFUNCTION("GOOGLETRANSLATE(A1,""zh-tw"",""KO"")"),"충만 효과(야간 공격 지속 시간 연장)")</f>
        <v>충만 효과(야간 공격 지속 시간 연장)</v>
      </c>
      <c r="AA1" s="360" t="s">
        <v>236</v>
      </c>
      <c r="AB1" s="363" t="str">
        <f>IFERROR(__xludf.DUMMYFUNCTION("GOOGLETRANSLATE(C1,""zh-tw"",""ko"")"),"재료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f>
        <v>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v>
      </c>
      <c r="AE1" s="119" t="str">
        <f>IFERROR(__xludf.DUMMYFUNCTION("GOOGLETRANSLATE(A1,""zh-tw"",""ru"")"),"Эффект полноты (увеличение продолжительности ночного рейда)")</f>
        <v>Эффект полноты (увеличение продолжительности ночного рейда)</v>
      </c>
      <c r="AF1" s="360" t="s">
        <v>236</v>
      </c>
      <c r="AG1" s="363"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111" t="s">
        <v>5825</v>
      </c>
      <c r="AK1" s="360" t="s">
        <v>236</v>
      </c>
      <c r="AL1" s="361" t="s">
        <v>5826</v>
      </c>
      <c r="AO1" s="364" t="s">
        <v>5827</v>
      </c>
      <c r="AP1" s="365" t="s">
        <v>236</v>
      </c>
      <c r="AQ1" s="142" t="s">
        <v>5828</v>
      </c>
    </row>
    <row r="2" ht="75.0" customHeight="1">
      <c r="A2" s="119" t="s">
        <v>5829</v>
      </c>
      <c r="B2" s="360" t="s">
        <v>757</v>
      </c>
      <c r="F2" s="119" t="s">
        <v>5830</v>
      </c>
      <c r="G2" s="360" t="s">
        <v>757</v>
      </c>
      <c r="K2" s="119" t="s">
        <v>5831</v>
      </c>
      <c r="L2" s="360" t="s">
        <v>757</v>
      </c>
      <c r="P2" s="119" t="str">
        <f>IFERROR(__xludf.DUMMYFUNCTION("GOOGLETRANSLATE(A2,""zh-tw"",""zh"")"),"妹妹辣到哭了(机率触发)")</f>
        <v>妹妹辣到哭了(机率触发)</v>
      </c>
      <c r="Q2" s="360" t="str">
        <f>IFERROR(__xludf.DUMMYFUNCTION("GOOGLETRANSLATE(B2,""zh-tw"",""zh"")"),"B")</f>
        <v>B</v>
      </c>
      <c r="U2" s="119" t="str">
        <f>IFERROR(__xludf.DUMMYFUNCTION("GOOGLETRANSLATE(A2,""zh-tw"",""es-MX"")"),"Mi hermana es tan picante que llora (desencadenante casual)")</f>
        <v>Mi hermana es tan picante que llora (desencadenante casual)</v>
      </c>
      <c r="V2" s="360" t="s">
        <v>757</v>
      </c>
      <c r="Z2" s="119" t="str">
        <f>IFERROR(__xludf.DUMMYFUNCTION("GOOGLETRANSLATE(A2,""zh-tw"",""KO"")"),"내 여동생은 너무 매워서 울어요(우연히 발생)")</f>
        <v>내 여동생은 너무 매워서 울어요(우연히 발생)</v>
      </c>
      <c r="AA2" s="360" t="s">
        <v>757</v>
      </c>
      <c r="AE2" s="119" t="str">
        <f>IFERROR(__xludf.DUMMYFUNCTION("GOOGLETRANSLATE(A2,""zh-tw"",""ru"")"),"Моя сестра такая острая, что она плачет (случайный триггер)")</f>
        <v>Моя сестра такая острая, что она плачет (случайный триггер)</v>
      </c>
      <c r="AF2" s="360" t="s">
        <v>757</v>
      </c>
      <c r="AJ2" s="111" t="s">
        <v>5832</v>
      </c>
      <c r="AK2" s="360" t="s">
        <v>757</v>
      </c>
      <c r="AO2" s="176" t="s">
        <v>5833</v>
      </c>
      <c r="AP2" s="366" t="s">
        <v>757</v>
      </c>
    </row>
    <row r="3">
      <c r="A3" s="367" t="s">
        <v>5834</v>
      </c>
      <c r="B3" s="368" t="s">
        <v>5380</v>
      </c>
      <c r="F3" s="367" t="str">
        <f>IFERROR(__xludf.DUMMYFUNCTION("GOOGLETRANSLATE(A3,""zh-tw"",""ja"")"),"料理名")</f>
        <v>料理名</v>
      </c>
      <c r="G3" s="368" t="str">
        <f>IFERROR(__xludf.DUMMYFUNCTION("GOOGLETRANSLATE(B3,""zh-tw"",""ja"")"),"効果")</f>
        <v>効果</v>
      </c>
      <c r="K3" s="367" t="s">
        <v>5835</v>
      </c>
      <c r="L3" s="368" t="s">
        <v>5836</v>
      </c>
      <c r="P3" s="67" t="str">
        <f>IFERROR(__xludf.DUMMYFUNCTION("GOOGLETRANSLATE(A3,""zh-tw"",""zh"")"),"料理名")</f>
        <v>料理名</v>
      </c>
      <c r="Q3" s="66" t="str">
        <f>IFERROR(__xludf.DUMMYFUNCTION("GOOGLETRANSLATE(B3,""zh-tw"",""zh"")"),"效果")</f>
        <v>效果</v>
      </c>
      <c r="U3" s="367" t="str">
        <f>IFERROR(__xludf.DUMMYFUNCTION("GOOGLETRANSLATE(A3,""zh-tw"",""es-MX"")"),"Nombre de los platos")</f>
        <v>Nombre de los platos</v>
      </c>
      <c r="V3" s="368" t="str">
        <f>IFERROR(__xludf.DUMMYFUNCTION("GOOGLETRANSLATE(B3,""zh-tw"",""es-MX"")"),"Efecto")</f>
        <v>Efecto</v>
      </c>
      <c r="Z3" s="367" t="str">
        <f>IFERROR(__xludf.DUMMYFUNCTION("GOOGLETRANSLATE(A3,""zh-tw"",""KO"")"),"요리 이름")</f>
        <v>요리 이름</v>
      </c>
      <c r="AA3" s="369" t="str">
        <f>IFERROR(__xludf.DUMMYFUNCTION("GOOGLETRANSLATE(B3,""zh-tw"",""KO"")"),"효과")</f>
        <v>효과</v>
      </c>
      <c r="AE3" s="367" t="str">
        <f>IFERROR(__xludf.DUMMYFUNCTION("GOOGLETRANSLATE(A3,""zh-tw"",""ru"")"),"Название блюда")</f>
        <v>Название блюда</v>
      </c>
      <c r="AF3" s="368" t="str">
        <f>IFERROR(__xludf.DUMMYFUNCTION("GOOGLETRANSLATE(B3,""zh-tw"",""ru"")"),"Эффект")</f>
        <v>Эффект</v>
      </c>
      <c r="AJ3" s="370" t="s">
        <v>5837</v>
      </c>
      <c r="AK3" s="369" t="s">
        <v>5838</v>
      </c>
      <c r="AO3" s="371" t="s">
        <v>5839</v>
      </c>
      <c r="AP3" s="372" t="s">
        <v>4235</v>
      </c>
    </row>
    <row r="4">
      <c r="A4" s="373" t="s">
        <v>5840</v>
      </c>
      <c r="B4" s="374"/>
      <c r="C4" s="114" t="s">
        <v>5841</v>
      </c>
      <c r="D4" s="127"/>
      <c r="E4" s="127"/>
      <c r="F4" s="373" t="s">
        <v>5842</v>
      </c>
      <c r="G4" s="374"/>
      <c r="H4" s="114" t="s">
        <v>5843</v>
      </c>
      <c r="I4" s="127"/>
      <c r="J4" s="127"/>
      <c r="K4" s="375" t="s">
        <v>5844</v>
      </c>
      <c r="L4" s="374"/>
      <c r="M4" s="117" t="s">
        <v>5845</v>
      </c>
      <c r="N4" s="121"/>
      <c r="O4" s="121"/>
      <c r="P4" s="376" t="str">
        <f>IFERROR(__xludf.DUMMYFUNCTION("GOOGLETRANSLATE(A4,""zh-tw"",""zh"")"),"史莱姆果冻")</f>
        <v>史莱姆果冻</v>
      </c>
      <c r="Q4" s="66"/>
      <c r="R4" s="69" t="str">
        <f>IFERROR(__xludf.DUMMYFUNCTION("GOOGLETRANSLATE(C4,""zh-tw"",""zh"")"),"史莱姆黏液")</f>
        <v>史莱姆黏液</v>
      </c>
      <c r="S4" s="69"/>
      <c r="T4" s="69"/>
      <c r="U4" s="373" t="str">
        <f>IFERROR(__xludf.DUMMYFUNCTION("GOOGLETRANSLATE(A4,""zh-tw"",""es-MX"")"),"Gelatina de slime")</f>
        <v>Gelatina de slime</v>
      </c>
      <c r="V4" s="368"/>
      <c r="W4" s="114" t="str">
        <f>IFERROR(__xludf.DUMMYFUNCTION("GOOGLETRANSLATE(C4,""zh-tw"",""es-MX"")"),"Limo")</f>
        <v>Limo</v>
      </c>
      <c r="X4" s="114"/>
      <c r="Y4" s="114"/>
      <c r="Z4" s="118" t="str">
        <f>IFERROR(__xludf.DUMMYFUNCTION("GOOGLETRANSLATE(A4,""zh-tw"",""KO"")"),"슬라임 젤리")</f>
        <v>슬라임 젤리</v>
      </c>
      <c r="AA4" s="369"/>
      <c r="AB4" s="117" t="s">
        <v>5846</v>
      </c>
      <c r="AC4" s="127"/>
      <c r="AD4" s="127"/>
      <c r="AE4" s="373" t="str">
        <f>IFERROR(__xludf.DUMMYFUNCTION("GOOGLETRANSLATE(A4,""zh-tw"",""ru"")"),"Слизистое желе")</f>
        <v>Слизистое желе</v>
      </c>
      <c r="AF4" s="368"/>
      <c r="AG4" s="114" t="str">
        <f>IFERROR(__xludf.DUMMYFUNCTION("GOOGLETRANSLATE(C4,""zh-tw"",""ru"")"),"Слизь")</f>
        <v>Слизь</v>
      </c>
      <c r="AH4" s="114"/>
      <c r="AI4" s="114"/>
      <c r="AJ4" s="101" t="s">
        <v>5847</v>
      </c>
      <c r="AK4" s="369"/>
      <c r="AL4" s="117" t="s">
        <v>5848</v>
      </c>
      <c r="AM4" s="121"/>
      <c r="AN4" s="121"/>
      <c r="AO4" s="140" t="s">
        <v>5849</v>
      </c>
      <c r="AP4" s="183"/>
      <c r="AQ4" s="177" t="s">
        <v>5850</v>
      </c>
      <c r="AR4" s="142"/>
      <c r="AS4" s="142"/>
    </row>
    <row r="5">
      <c r="A5" s="373" t="s">
        <v>5851</v>
      </c>
      <c r="B5" s="374"/>
      <c r="C5" s="114" t="s">
        <v>5852</v>
      </c>
      <c r="D5" s="114" t="s">
        <v>5853</v>
      </c>
      <c r="E5" s="127"/>
      <c r="F5" s="373" t="s">
        <v>5854</v>
      </c>
      <c r="G5" s="374"/>
      <c r="H5" s="114" t="s">
        <v>5855</v>
      </c>
      <c r="I5" s="114" t="s">
        <v>5856</v>
      </c>
      <c r="J5" s="127"/>
      <c r="K5" s="377" t="s">
        <v>5857</v>
      </c>
      <c r="L5" s="374"/>
      <c r="M5" s="117" t="s">
        <v>5858</v>
      </c>
      <c r="N5" s="117" t="s">
        <v>5859</v>
      </c>
      <c r="O5" s="121"/>
      <c r="P5" s="376"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3" t="str">
        <f>IFERROR(__xludf.DUMMYFUNCTION("GOOGLETRANSLATE(A5,""zh-tw"",""es-MX"")"),"Arroz al curry")</f>
        <v>Arroz al curry</v>
      </c>
      <c r="V5" s="368"/>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9"/>
      <c r="AB5" s="121" t="str">
        <f>IFERROR(__xludf.DUMMYFUNCTION("GOOGLETRANSLATE(C5,""zh-tw"",""KO"")"),"흰쌀")</f>
        <v>흰쌀</v>
      </c>
      <c r="AC5" s="117" t="s">
        <v>5860</v>
      </c>
      <c r="AD5" s="121"/>
      <c r="AE5" s="373" t="str">
        <f>IFERROR(__xludf.DUMMYFUNCTION("GOOGLETRANSLATE(A5,""zh-tw"",""ru"")"),"Карри с рисом")</f>
        <v>Карри с рисом</v>
      </c>
      <c r="AF5" s="368"/>
      <c r="AG5" s="114" t="str">
        <f>IFERROR(__xludf.DUMMYFUNCTION("GOOGLETRANSLATE(C5,""zh-tw"",""ru"")"),"Белый рис")</f>
        <v>Белый рис</v>
      </c>
      <c r="AH5" s="114" t="str">
        <f>IFERROR(__xludf.DUMMYFUNCTION("GOOGLETRANSLATE(D5,""zh-tw"",""ru"")"),"Кубики карри")</f>
        <v>Кубики карри</v>
      </c>
      <c r="AI5" s="114"/>
      <c r="AJ5" s="101" t="s">
        <v>5861</v>
      </c>
      <c r="AK5" s="369"/>
      <c r="AL5" s="117" t="s">
        <v>5862</v>
      </c>
      <c r="AM5" s="117" t="s">
        <v>5863</v>
      </c>
      <c r="AN5" s="121"/>
      <c r="AO5" s="140" t="s">
        <v>5864</v>
      </c>
      <c r="AP5" s="183"/>
      <c r="AQ5" s="177" t="s">
        <v>5865</v>
      </c>
      <c r="AR5" s="177" t="s">
        <v>5866</v>
      </c>
      <c r="AS5" s="142"/>
    </row>
    <row r="6">
      <c r="A6" s="373" t="s">
        <v>5867</v>
      </c>
      <c r="B6" s="374"/>
      <c r="C6" s="114" t="s">
        <v>5868</v>
      </c>
      <c r="D6" s="114" t="s">
        <v>5869</v>
      </c>
      <c r="E6" s="127"/>
      <c r="F6" s="373" t="s">
        <v>5870</v>
      </c>
      <c r="G6" s="374"/>
      <c r="H6" s="114" t="s">
        <v>5871</v>
      </c>
      <c r="I6" s="114" t="s">
        <v>5872</v>
      </c>
      <c r="J6" s="127"/>
      <c r="K6" s="375" t="s">
        <v>5873</v>
      </c>
      <c r="L6" s="374"/>
      <c r="M6" s="117" t="s">
        <v>5874</v>
      </c>
      <c r="N6" s="117" t="s">
        <v>5875</v>
      </c>
      <c r="O6" s="121"/>
      <c r="P6" s="376"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3" t="str">
        <f>IFERROR(__xludf.DUMMYFUNCTION("GOOGLETRANSLATE(A6,""zh-tw"",""es-MX"")"),"Tarta de manzana")</f>
        <v>Tarta de manzana</v>
      </c>
      <c r="V6" s="368"/>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9"/>
      <c r="AB6" s="121" t="str">
        <f>IFERROR(__xludf.DUMMYFUNCTION("GOOGLETRANSLATE(C6,""zh-tw"",""KO"")"),"사과")</f>
        <v>사과</v>
      </c>
      <c r="AC6" s="121" t="str">
        <f>IFERROR(__xludf.DUMMYFUNCTION("GOOGLETRANSLATE(D6,""zh-tw"",""KO"")"),"밀가루")</f>
        <v>밀가루</v>
      </c>
      <c r="AD6" s="121"/>
      <c r="AE6" s="373" t="str">
        <f>IFERROR(__xludf.DUMMYFUNCTION("GOOGLETRANSLATE(A6,""zh-tw"",""ru"")"),"Яблочный пирог")</f>
        <v>Яблочный пирог</v>
      </c>
      <c r="AF6" s="368"/>
      <c r="AG6" s="114" t="str">
        <f>IFERROR(__xludf.DUMMYFUNCTION("GOOGLETRANSLATE(C6,""zh-tw"",""ru"")"),"яблоко")</f>
        <v>яблоко</v>
      </c>
      <c r="AH6" s="114" t="str">
        <f>IFERROR(__xludf.DUMMYFUNCTION("GOOGLETRANSLATE(D6,""zh-tw"",""ru"")"),"пшеничная мука")</f>
        <v>пшеничная мука</v>
      </c>
      <c r="AI6" s="114"/>
      <c r="AJ6" s="101" t="s">
        <v>5876</v>
      </c>
      <c r="AK6" s="369"/>
      <c r="AL6" s="117" t="s">
        <v>5877</v>
      </c>
      <c r="AM6" s="117" t="s">
        <v>5878</v>
      </c>
      <c r="AN6" s="121"/>
      <c r="AO6" s="140" t="s">
        <v>5879</v>
      </c>
      <c r="AP6" s="183"/>
      <c r="AQ6" s="177" t="s">
        <v>5880</v>
      </c>
      <c r="AR6" s="177" t="s">
        <v>5881</v>
      </c>
      <c r="AS6" s="142"/>
    </row>
    <row r="7">
      <c r="A7" s="373" t="s">
        <v>5882</v>
      </c>
      <c r="B7" s="374"/>
      <c r="C7" s="114" t="s">
        <v>5868</v>
      </c>
      <c r="D7" s="127"/>
      <c r="E7" s="127"/>
      <c r="F7" s="373" t="s">
        <v>5883</v>
      </c>
      <c r="G7" s="374"/>
      <c r="H7" s="114" t="s">
        <v>5871</v>
      </c>
      <c r="I7" s="127"/>
      <c r="J7" s="127"/>
      <c r="K7" s="375" t="s">
        <v>5884</v>
      </c>
      <c r="L7" s="374"/>
      <c r="M7" s="117" t="s">
        <v>5874</v>
      </c>
      <c r="N7" s="121"/>
      <c r="O7" s="121"/>
      <c r="P7" s="376" t="str">
        <f>IFERROR(__xludf.DUMMYFUNCTION("GOOGLETRANSLATE(A7,""zh-tw"",""zh"")"),"烤苹果")</f>
        <v>烤苹果</v>
      </c>
      <c r="Q7" s="66"/>
      <c r="R7" s="69" t="str">
        <f>IFERROR(__xludf.DUMMYFUNCTION("GOOGLETRANSLATE(C7,""zh-tw"",""zh"")"),"苹果")</f>
        <v>苹果</v>
      </c>
      <c r="S7" s="69"/>
      <c r="T7" s="69"/>
      <c r="U7" s="373" t="str">
        <f>IFERROR(__xludf.DUMMYFUNCTION("GOOGLETRANSLATE(A7,""zh-tw"",""es-MX"")"),"manzanas horneadas")</f>
        <v>manzanas horneadas</v>
      </c>
      <c r="V7" s="368"/>
      <c r="W7" s="114" t="str">
        <f>IFERROR(__xludf.DUMMYFUNCTION("GOOGLETRANSLATE(C7,""zh-tw"",""es-MX"")"),"manzana")</f>
        <v>manzana</v>
      </c>
      <c r="X7" s="114"/>
      <c r="Y7" s="114"/>
      <c r="Z7" s="118" t="str">
        <f>IFERROR(__xludf.DUMMYFUNCTION("GOOGLETRANSLATE(A7,""zh-tw"",""KO"")"),"구운 사과")</f>
        <v>구운 사과</v>
      </c>
      <c r="AA7" s="369"/>
      <c r="AB7" s="121" t="str">
        <f>IFERROR(__xludf.DUMMYFUNCTION("GOOGLETRANSLATE(C7,""zh-tw"",""KO"")"),"사과")</f>
        <v>사과</v>
      </c>
      <c r="AC7" s="121"/>
      <c r="AD7" s="121"/>
      <c r="AE7" s="373" t="str">
        <f>IFERROR(__xludf.DUMMYFUNCTION("GOOGLETRANSLATE(A7,""zh-tw"",""ru"")"),"печеные яблоки")</f>
        <v>печеные яблоки</v>
      </c>
      <c r="AF7" s="368"/>
      <c r="AG7" s="114" t="str">
        <f>IFERROR(__xludf.DUMMYFUNCTION("GOOGLETRANSLATE(C7,""zh-tw"",""ru"")"),"яблоко")</f>
        <v>яблоко</v>
      </c>
      <c r="AH7" s="114"/>
      <c r="AI7" s="114"/>
      <c r="AJ7" s="101" t="s">
        <v>5885</v>
      </c>
      <c r="AK7" s="369"/>
      <c r="AL7" s="117" t="s">
        <v>5877</v>
      </c>
      <c r="AM7" s="121"/>
      <c r="AN7" s="121"/>
      <c r="AO7" s="140" t="s">
        <v>5886</v>
      </c>
      <c r="AP7" s="183"/>
      <c r="AQ7" s="177" t="s">
        <v>5880</v>
      </c>
      <c r="AR7" s="142"/>
      <c r="AS7" s="142"/>
    </row>
    <row r="8">
      <c r="A8" s="373" t="s">
        <v>5887</v>
      </c>
      <c r="B8" s="374"/>
      <c r="C8" s="114" t="s">
        <v>5888</v>
      </c>
      <c r="F8" s="373" t="s">
        <v>5889</v>
      </c>
      <c r="G8" s="374"/>
      <c r="H8" s="114" t="s">
        <v>593</v>
      </c>
      <c r="I8" s="127"/>
      <c r="J8" s="127"/>
      <c r="K8" s="375" t="s">
        <v>5890</v>
      </c>
      <c r="L8" s="374"/>
      <c r="M8" s="117" t="s">
        <v>5891</v>
      </c>
      <c r="N8" s="121"/>
      <c r="O8" s="121"/>
      <c r="P8" s="376" t="str">
        <f>IFERROR(__xludf.DUMMYFUNCTION("GOOGLETRANSLATE(A8,""zh-tw"",""zh"")"),"炒贝类")</f>
        <v>炒贝类</v>
      </c>
      <c r="Q8" s="66"/>
      <c r="R8" s="69" t="str">
        <f>IFERROR(__xludf.DUMMYFUNCTION("GOOGLETRANSLATE(C8,""zh-tw"",""zh"")"),"未实装(之后河边炸鱼可以炸出贝壳)")</f>
        <v>未实装(之后河边炸鱼可以炸出贝壳)</v>
      </c>
      <c r="U8" s="373" t="str">
        <f>IFERROR(__xludf.DUMMYFUNCTION("GOOGLETRANSLATE(A8,""zh-tw"",""es-MX"")"),"Mariscos salteados")</f>
        <v>Mariscos salteados</v>
      </c>
      <c r="V8" s="368"/>
      <c r="W8" s="114" t="str">
        <f>IFERROR(__xludf.DUMMYFUNCTION("GOOGLETRANSLATE(C8,""zh-tw"",""es-MX"")"),"Aún no implementado (puedes freír peces en el río para obtener conchas más tarde)")</f>
        <v>Aún no implementado (puedes freír peces en el río para obtener conchas más tarde)</v>
      </c>
      <c r="Z8" s="101" t="s">
        <v>5892</v>
      </c>
      <c r="AA8" s="369"/>
      <c r="AB8" s="117" t="s">
        <v>602</v>
      </c>
      <c r="AE8" s="373" t="str">
        <f>IFERROR(__xludf.DUMMYFUNCTION("GOOGLETRANSLATE(A8,""zh-tw"",""ru"")"),"Жареные моллюски")</f>
        <v>Жареные моллюски</v>
      </c>
      <c r="AF8" s="368"/>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5893</v>
      </c>
      <c r="AK8" s="369"/>
      <c r="AL8" s="117" t="s">
        <v>5894</v>
      </c>
      <c r="AO8" s="140" t="s">
        <v>5895</v>
      </c>
      <c r="AP8" s="183"/>
      <c r="AQ8" s="177" t="s">
        <v>5896</v>
      </c>
      <c r="AR8" s="142"/>
      <c r="AS8" s="142"/>
    </row>
    <row r="9">
      <c r="A9" s="373" t="s">
        <v>5897</v>
      </c>
      <c r="B9" s="374"/>
      <c r="C9" s="114" t="s">
        <v>5898</v>
      </c>
      <c r="D9" s="127"/>
      <c r="E9" s="127"/>
      <c r="F9" s="373" t="s">
        <v>5899</v>
      </c>
      <c r="G9" s="374"/>
      <c r="H9" s="114" t="s">
        <v>5898</v>
      </c>
      <c r="I9" s="127"/>
      <c r="J9" s="127"/>
      <c r="K9" s="375" t="s">
        <v>5900</v>
      </c>
      <c r="L9" s="374"/>
      <c r="M9" s="117" t="s">
        <v>5901</v>
      </c>
      <c r="N9" s="121"/>
      <c r="O9" s="121"/>
      <c r="P9" s="376" t="str">
        <f>IFERROR(__xludf.DUMMYFUNCTION("GOOGLETRANSLATE(A9,""zh-tw"",""zh"")"),"煎鱼")</f>
        <v>煎鱼</v>
      </c>
      <c r="Q9" s="66"/>
      <c r="R9" s="69" t="str">
        <f>IFERROR(__xludf.DUMMYFUNCTION("GOOGLETRANSLATE(C9,""zh-tw"",""zh"")"),"鱼类")</f>
        <v>鱼类</v>
      </c>
      <c r="S9" s="69"/>
      <c r="T9" s="69"/>
      <c r="U9" s="373" t="str">
        <f>IFERROR(__xludf.DUMMYFUNCTION("GOOGLETRANSLATE(A9,""zh-tw"",""es-MX"")"),"Pescado frito")</f>
        <v>Pescado frito</v>
      </c>
      <c r="V9" s="368"/>
      <c r="W9" s="114" t="str">
        <f>IFERROR(__xludf.DUMMYFUNCTION("GOOGLETRANSLATE(C9,""zh-tw"",""es-MX"")"),"pez")</f>
        <v>pez</v>
      </c>
      <c r="X9" s="114"/>
      <c r="Y9" s="114"/>
      <c r="Z9" s="101" t="s">
        <v>5902</v>
      </c>
      <c r="AA9" s="369"/>
      <c r="AB9" s="121" t="str">
        <f>IFERROR(__xludf.DUMMYFUNCTION("GOOGLETRANSLATE(C9,""zh-tw"",""KO"")"),"물고기")</f>
        <v>물고기</v>
      </c>
      <c r="AC9" s="121"/>
      <c r="AD9" s="121"/>
      <c r="AE9" s="373" t="str">
        <f>IFERROR(__xludf.DUMMYFUNCTION("GOOGLETRANSLATE(A9,""zh-tw"",""ru"")"),"Жареная рыба")</f>
        <v>Жареная рыба</v>
      </c>
      <c r="AF9" s="368"/>
      <c r="AG9" s="114" t="str">
        <f>IFERROR(__xludf.DUMMYFUNCTION("GOOGLETRANSLATE(C9,""zh-tw"",""ru"")"),"рыба")</f>
        <v>рыба</v>
      </c>
      <c r="AH9" s="114"/>
      <c r="AI9" s="114"/>
      <c r="AJ9" s="101" t="s">
        <v>5903</v>
      </c>
      <c r="AK9" s="369"/>
      <c r="AL9" s="117" t="s">
        <v>5904</v>
      </c>
      <c r="AM9" s="121"/>
      <c r="AN9" s="121"/>
      <c r="AO9" s="140" t="s">
        <v>5905</v>
      </c>
      <c r="AP9" s="183"/>
      <c r="AQ9" s="177" t="s">
        <v>5906</v>
      </c>
      <c r="AR9" s="142"/>
      <c r="AS9" s="142"/>
    </row>
    <row r="10">
      <c r="A10" s="373" t="s">
        <v>5907</v>
      </c>
      <c r="B10" s="374"/>
      <c r="C10" s="114" t="s">
        <v>3875</v>
      </c>
      <c r="D10" s="114" t="s">
        <v>3875</v>
      </c>
      <c r="E10" s="114" t="s">
        <v>3875</v>
      </c>
      <c r="F10" s="373" t="s">
        <v>5908</v>
      </c>
      <c r="G10" s="374"/>
      <c r="H10" s="114" t="s">
        <v>5909</v>
      </c>
      <c r="I10" s="114" t="s">
        <v>5909</v>
      </c>
      <c r="J10" s="114" t="s">
        <v>5909</v>
      </c>
      <c r="K10" s="375" t="s">
        <v>5910</v>
      </c>
      <c r="L10" s="374"/>
      <c r="M10" s="117" t="s">
        <v>3880</v>
      </c>
      <c r="N10" s="117" t="s">
        <v>3880</v>
      </c>
      <c r="O10" s="117" t="s">
        <v>3880</v>
      </c>
      <c r="P10" s="376"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3" t="str">
        <f>IFERROR(__xludf.DUMMYFUNCTION("GOOGLETRANSLATE(A10,""zh-tw"",""es-MX"")"),"Champiñones salteados")</f>
        <v>Champiñones salteados</v>
      </c>
      <c r="V10" s="368"/>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5911</v>
      </c>
      <c r="AA10" s="369"/>
      <c r="AB10" s="121" t="str">
        <f>IFERROR(__xludf.DUMMYFUNCTION("GOOGLETRANSLATE(C10,""zh-tw"",""KO"")"),"버섯")</f>
        <v>버섯</v>
      </c>
      <c r="AC10" s="121" t="str">
        <f>IFERROR(__xludf.DUMMYFUNCTION("GOOGLETRANSLATE(D10,""zh-tw"",""KO"")"),"버섯")</f>
        <v>버섯</v>
      </c>
      <c r="AD10" s="121" t="str">
        <f>IFERROR(__xludf.DUMMYFUNCTION("GOOGLETRANSLATE(E10,""zh-tw"",""KO"")"),"버섯")</f>
        <v>버섯</v>
      </c>
      <c r="AE10" s="373" t="str">
        <f>IFERROR(__xludf.DUMMYFUNCTION("GOOGLETRANSLATE(A10,""zh-tw"",""ru"")"),"Жареные грибы")</f>
        <v>Жареные грибы</v>
      </c>
      <c r="AF10" s="368"/>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5912</v>
      </c>
      <c r="AK10" s="369"/>
      <c r="AL10" s="117" t="s">
        <v>5913</v>
      </c>
      <c r="AM10" s="117" t="s">
        <v>5913</v>
      </c>
      <c r="AN10" s="117" t="s">
        <v>5913</v>
      </c>
      <c r="AO10" s="140" t="s">
        <v>5914</v>
      </c>
      <c r="AP10" s="183"/>
      <c r="AQ10" s="177" t="s">
        <v>3888</v>
      </c>
      <c r="AR10" s="177" t="s">
        <v>3888</v>
      </c>
      <c r="AS10" s="177" t="s">
        <v>3888</v>
      </c>
    </row>
    <row r="11">
      <c r="A11" s="378" t="s">
        <v>5915</v>
      </c>
      <c r="B11" s="374"/>
      <c r="C11" s="114" t="s">
        <v>5916</v>
      </c>
      <c r="D11" s="114" t="s">
        <v>4052</v>
      </c>
      <c r="E11" s="127"/>
      <c r="F11" s="373" t="s">
        <v>5917</v>
      </c>
      <c r="G11" s="374"/>
      <c r="H11" s="114" t="s">
        <v>5918</v>
      </c>
      <c r="I11" s="114" t="s">
        <v>5919</v>
      </c>
      <c r="J11" s="127"/>
      <c r="K11" s="375" t="s">
        <v>5920</v>
      </c>
      <c r="L11" s="374"/>
      <c r="M11" s="117" t="s">
        <v>5921</v>
      </c>
      <c r="N11" s="117" t="s">
        <v>4054</v>
      </c>
      <c r="O11" s="121"/>
      <c r="P11" s="376"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3" t="str">
        <f>IFERROR(__xludf.DUMMYFUNCTION("GOOGLETRANSLATE(A11,""zh-tw"",""es-MX"")"),"kebabs")</f>
        <v>kebabs</v>
      </c>
      <c r="V11" s="368"/>
      <c r="W11" s="114" t="str">
        <f>IFERROR(__xludf.DUMMYFUNCTION("GOOGLETRANSLATE(C11,""zh-tw"",""es-MX"")"),"Trozos grandes de carne")</f>
        <v>Trozos grandes de carne</v>
      </c>
      <c r="X11" s="114" t="str">
        <f>IFERROR(__xludf.DUMMYFUNCTION("GOOGLETRANSLATE(D11,""zh-tw"",""es-MX"")"),"Papa")</f>
        <v>Papa</v>
      </c>
      <c r="Y11" s="114"/>
      <c r="Z11" s="101" t="s">
        <v>5922</v>
      </c>
      <c r="AA11" s="369"/>
      <c r="AB11" s="117" t="s">
        <v>5923</v>
      </c>
      <c r="AC11" s="121" t="str">
        <f>IFERROR(__xludf.DUMMYFUNCTION("GOOGLETRANSLATE(D11,""zh-tw"",""KO"")"),"감자")</f>
        <v>감자</v>
      </c>
      <c r="AD11" s="121"/>
      <c r="AE11" s="373" t="str">
        <f>IFERROR(__xludf.DUMMYFUNCTION("GOOGLETRANSLATE(A11,""zh-tw"",""ru"")"),"кебабы")</f>
        <v>кебабы</v>
      </c>
      <c r="AF11" s="368"/>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5924</v>
      </c>
      <c r="AK11" s="369"/>
      <c r="AL11" s="117" t="s">
        <v>5925</v>
      </c>
      <c r="AM11" s="117" t="s">
        <v>4057</v>
      </c>
      <c r="AN11" s="121"/>
      <c r="AO11" s="94" t="s">
        <v>5920</v>
      </c>
      <c r="AP11" s="183"/>
      <c r="AQ11" s="177" t="s">
        <v>5926</v>
      </c>
      <c r="AR11" s="177" t="s">
        <v>4059</v>
      </c>
      <c r="AS11" s="142"/>
    </row>
    <row r="12">
      <c r="A12" s="373" t="s">
        <v>5927</v>
      </c>
      <c r="B12" s="374"/>
      <c r="C12" s="114" t="s">
        <v>5852</v>
      </c>
      <c r="D12" s="127"/>
      <c r="E12" s="127"/>
      <c r="F12" s="373" t="s">
        <v>5928</v>
      </c>
      <c r="G12" s="374"/>
      <c r="H12" s="114" t="s">
        <v>5855</v>
      </c>
      <c r="I12" s="127"/>
      <c r="J12" s="127"/>
      <c r="K12" s="375" t="s">
        <v>5929</v>
      </c>
      <c r="L12" s="374"/>
      <c r="M12" s="117" t="s">
        <v>5858</v>
      </c>
      <c r="N12" s="121"/>
      <c r="O12" s="121"/>
      <c r="P12" s="376" t="str">
        <f>IFERROR(__xludf.DUMMYFUNCTION("GOOGLETRANSLATE(A12,""zh-tw"",""zh"")"),"饭团")</f>
        <v>饭团</v>
      </c>
      <c r="Q12" s="66"/>
      <c r="R12" s="69" t="str">
        <f>IFERROR(__xludf.DUMMYFUNCTION("GOOGLETRANSLATE(C12,""zh-tw"",""zh"")"),"白米饭")</f>
        <v>白米饭</v>
      </c>
      <c r="S12" s="69"/>
      <c r="T12" s="69"/>
      <c r="U12" s="373" t="str">
        <f>IFERROR(__xludf.DUMMYFUNCTION("GOOGLETRANSLATE(A12,""zh-tw"",""es-MX"")"),"bolas de arroz")</f>
        <v>bolas de arroz</v>
      </c>
      <c r="V12" s="368"/>
      <c r="W12" s="114" t="str">
        <f>IFERROR(__xludf.DUMMYFUNCTION("GOOGLETRANSLATE(C12,""zh-tw"",""es-MX"")"),"arroz blanco")</f>
        <v>arroz blanco</v>
      </c>
      <c r="X12" s="114"/>
      <c r="Y12" s="114"/>
      <c r="Z12" s="118" t="str">
        <f>IFERROR(__xludf.DUMMYFUNCTION("GOOGLETRANSLATE(A12,""zh-tw"",""KO"")"),"주먹밥")</f>
        <v>주먹밥</v>
      </c>
      <c r="AA12" s="369"/>
      <c r="AB12" s="121" t="str">
        <f>IFERROR(__xludf.DUMMYFUNCTION("GOOGLETRANSLATE(C12,""zh-tw"",""KO"")"),"흰쌀")</f>
        <v>흰쌀</v>
      </c>
      <c r="AC12" s="121"/>
      <c r="AD12" s="121"/>
      <c r="AE12" s="373" t="str">
        <f>IFERROR(__xludf.DUMMYFUNCTION("GOOGLETRANSLATE(A12,""zh-tw"",""ru"")"),"Рисовые шарики")</f>
        <v>Рисовые шарики</v>
      </c>
      <c r="AF12" s="368"/>
      <c r="AG12" s="114" t="str">
        <f>IFERROR(__xludf.DUMMYFUNCTION("GOOGLETRANSLATE(C12,""zh-tw"",""ru"")"),"Белый рис")</f>
        <v>Белый рис</v>
      </c>
      <c r="AH12" s="114"/>
      <c r="AI12" s="114"/>
      <c r="AJ12" s="101" t="s">
        <v>5930</v>
      </c>
      <c r="AK12" s="369"/>
      <c r="AL12" s="117" t="s">
        <v>5862</v>
      </c>
      <c r="AM12" s="121"/>
      <c r="AN12" s="121"/>
      <c r="AO12" s="140" t="s">
        <v>5931</v>
      </c>
      <c r="AP12" s="183"/>
      <c r="AQ12" s="177" t="s">
        <v>5865</v>
      </c>
      <c r="AR12" s="142"/>
      <c r="AS12" s="142"/>
    </row>
    <row r="13">
      <c r="A13" s="373" t="s">
        <v>5932</v>
      </c>
      <c r="B13" s="374"/>
      <c r="C13" s="114" t="s">
        <v>5852</v>
      </c>
      <c r="D13" s="114" t="s">
        <v>5853</v>
      </c>
      <c r="E13" s="114" t="s">
        <v>5916</v>
      </c>
      <c r="F13" s="373" t="s">
        <v>5933</v>
      </c>
      <c r="G13" s="374"/>
      <c r="H13" s="114" t="s">
        <v>5855</v>
      </c>
      <c r="I13" s="114" t="s">
        <v>5856</v>
      </c>
      <c r="J13" s="114" t="s">
        <v>5918</v>
      </c>
      <c r="K13" s="377" t="s">
        <v>5934</v>
      </c>
      <c r="L13" s="374"/>
      <c r="M13" s="117" t="s">
        <v>5858</v>
      </c>
      <c r="N13" s="117" t="s">
        <v>5859</v>
      </c>
      <c r="O13" s="117" t="s">
        <v>5921</v>
      </c>
      <c r="P13" s="376"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3" t="str">
        <f>IFERROR(__xludf.DUMMYFUNCTION("GOOGLETRANSLATE(A13,""zh-tw"",""es-MX"")"),"Arroz al curry con chuletas de cerdo")</f>
        <v>Arroz al curry con chuletas de cerdo</v>
      </c>
      <c r="V13" s="368"/>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5935</v>
      </c>
      <c r="AA13" s="369"/>
      <c r="AB13" s="121" t="str">
        <f>IFERROR(__xludf.DUMMYFUNCTION("GOOGLETRANSLATE(C13,""zh-tw"",""KO"")"),"흰쌀")</f>
        <v>흰쌀</v>
      </c>
      <c r="AC13" s="117" t="s">
        <v>5860</v>
      </c>
      <c r="AD13" s="117" t="s">
        <v>5923</v>
      </c>
      <c r="AE13" s="373" t="str">
        <f>IFERROR(__xludf.DUMMYFUNCTION("GOOGLETRANSLATE(A13,""zh-tw"",""ru"")"),"Свиная котлета с карри и рисом")</f>
        <v>Свиная котлета с карри и рисом</v>
      </c>
      <c r="AF13" s="368"/>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5936</v>
      </c>
      <c r="AK13" s="369"/>
      <c r="AL13" s="117" t="s">
        <v>5862</v>
      </c>
      <c r="AM13" s="117" t="s">
        <v>5863</v>
      </c>
      <c r="AN13" s="117" t="s">
        <v>5925</v>
      </c>
      <c r="AO13" s="140" t="s">
        <v>5937</v>
      </c>
      <c r="AP13" s="183"/>
      <c r="AQ13" s="177" t="s">
        <v>5865</v>
      </c>
      <c r="AR13" s="177" t="s">
        <v>5866</v>
      </c>
      <c r="AS13" s="177" t="s">
        <v>5926</v>
      </c>
    </row>
    <row r="14">
      <c r="A14" s="373" t="s">
        <v>5938</v>
      </c>
      <c r="B14" s="360" t="s">
        <v>236</v>
      </c>
      <c r="C14" s="114" t="s">
        <v>5939</v>
      </c>
      <c r="D14" s="127"/>
      <c r="E14" s="127"/>
      <c r="F14" s="373" t="s">
        <v>5940</v>
      </c>
      <c r="G14" s="360" t="s">
        <v>236</v>
      </c>
      <c r="H14" s="114" t="s">
        <v>5941</v>
      </c>
      <c r="I14" s="127"/>
      <c r="J14" s="127"/>
      <c r="K14" s="375" t="s">
        <v>5942</v>
      </c>
      <c r="L14" s="360" t="s">
        <v>236</v>
      </c>
      <c r="M14" s="117" t="s">
        <v>4080</v>
      </c>
      <c r="N14" s="121"/>
      <c r="O14" s="121"/>
      <c r="P14" s="376"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3" t="str">
        <f>IFERROR(__xludf.DUMMYFUNCTION("GOOGLETRANSLATE(A14,""zh-tw"",""es-MX"")"),"caldo")</f>
        <v>caldo</v>
      </c>
      <c r="V14" s="368" t="str">
        <f>IFERROR(__xludf.DUMMYFUNCTION("GOOGLETRANSLATE(B14,""zh-tw"",""es-MX"")"),"A")</f>
        <v>A</v>
      </c>
      <c r="W14" s="114" t="str">
        <f>IFERROR(__xludf.DUMMYFUNCTION("GOOGLETRANSLATE(C14,""zh-tw"",""es-MX"")"),"Pequeños trozos de carne animal")</f>
        <v>Pequeños trozos de carne animal</v>
      </c>
      <c r="X14" s="114"/>
      <c r="Y14" s="114"/>
      <c r="Z14" s="101" t="s">
        <v>5943</v>
      </c>
      <c r="AA14" s="369" t="s">
        <v>236</v>
      </c>
      <c r="AB14" s="117" t="s">
        <v>4082</v>
      </c>
      <c r="AC14" s="121"/>
      <c r="AD14" s="121"/>
      <c r="AE14" s="373" t="str">
        <f>IFERROR(__xludf.DUMMYFUNCTION("GOOGLETRANSLATE(A14,""zh-tw"",""ru"")"),"бульон")</f>
        <v>бульон</v>
      </c>
      <c r="AF14" s="368"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5944</v>
      </c>
      <c r="AK14" s="369" t="s">
        <v>236</v>
      </c>
      <c r="AL14" s="117" t="s">
        <v>5945</v>
      </c>
      <c r="AM14" s="121"/>
      <c r="AN14" s="121"/>
      <c r="AO14" s="140" t="s">
        <v>5946</v>
      </c>
      <c r="AP14" s="379" t="s">
        <v>236</v>
      </c>
      <c r="AQ14" s="177" t="s">
        <v>4086</v>
      </c>
      <c r="AR14" s="142"/>
      <c r="AS14" s="142"/>
    </row>
    <row r="15">
      <c r="A15" s="373" t="s">
        <v>5947</v>
      </c>
      <c r="B15" s="360" t="s">
        <v>236</v>
      </c>
      <c r="C15" s="114" t="s">
        <v>5916</v>
      </c>
      <c r="D15" s="127"/>
      <c r="E15" s="127"/>
      <c r="F15" s="373" t="s">
        <v>5948</v>
      </c>
      <c r="G15" s="360" t="s">
        <v>236</v>
      </c>
      <c r="H15" s="114" t="s">
        <v>5918</v>
      </c>
      <c r="I15" s="127"/>
      <c r="J15" s="127"/>
      <c r="K15" s="375" t="s">
        <v>5949</v>
      </c>
      <c r="L15" s="360" t="s">
        <v>236</v>
      </c>
      <c r="M15" s="117" t="s">
        <v>5921</v>
      </c>
      <c r="N15" s="121"/>
      <c r="O15" s="121"/>
      <c r="P15" s="376"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3" t="str">
        <f>IFERROR(__xludf.DUMMYFUNCTION("GOOGLETRANSLATE(A15,""zh-tw"",""es-MX"")"),"Carne a la parrilla")</f>
        <v>Carne a la parrilla</v>
      </c>
      <c r="V15" s="368"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9" t="s">
        <v>236</v>
      </c>
      <c r="AB15" s="117" t="s">
        <v>5923</v>
      </c>
      <c r="AC15" s="121"/>
      <c r="AD15" s="121"/>
      <c r="AE15" s="373" t="str">
        <f>IFERROR(__xludf.DUMMYFUNCTION("GOOGLETRANSLATE(A15,""zh-tw"",""ru"")"),"Мясо на гриле")</f>
        <v>Мясо на гриле</v>
      </c>
      <c r="AF15" s="368" t="str">
        <f>IFERROR(__xludf.DUMMYFUNCTION("GOOGLETRANSLATE(L15,""zh-tw"",""es-MX"")"),"A")</f>
        <v>A</v>
      </c>
      <c r="AG15" s="114" t="str">
        <f>IFERROR(__xludf.DUMMYFUNCTION("GOOGLETRANSLATE(C15,""zh-tw"",""ru"")"),"Большие куски мяса")</f>
        <v>Большие куски мяса</v>
      </c>
      <c r="AH15" s="114"/>
      <c r="AI15" s="114"/>
      <c r="AJ15" s="101" t="s">
        <v>5950</v>
      </c>
      <c r="AK15" s="369" t="s">
        <v>236</v>
      </c>
      <c r="AL15" s="117" t="s">
        <v>5925</v>
      </c>
      <c r="AM15" s="121"/>
      <c r="AN15" s="121"/>
      <c r="AO15" s="140" t="s">
        <v>5951</v>
      </c>
      <c r="AP15" s="379" t="s">
        <v>236</v>
      </c>
      <c r="AQ15" s="177" t="s">
        <v>5926</v>
      </c>
      <c r="AR15" s="142"/>
      <c r="AS15" s="142"/>
    </row>
    <row r="16">
      <c r="A16" s="373" t="s">
        <v>5952</v>
      </c>
      <c r="B16" s="360" t="s">
        <v>236</v>
      </c>
      <c r="C16" s="114" t="s">
        <v>5916</v>
      </c>
      <c r="D16" s="114" t="s">
        <v>5916</v>
      </c>
      <c r="E16" s="127"/>
      <c r="F16" s="373" t="s">
        <v>5953</v>
      </c>
      <c r="G16" s="360" t="s">
        <v>236</v>
      </c>
      <c r="H16" s="114" t="s">
        <v>5918</v>
      </c>
      <c r="I16" s="114" t="s">
        <v>5918</v>
      </c>
      <c r="J16" s="127"/>
      <c r="K16" s="375" t="s">
        <v>5954</v>
      </c>
      <c r="L16" s="360" t="s">
        <v>236</v>
      </c>
      <c r="M16" s="117" t="s">
        <v>5921</v>
      </c>
      <c r="N16" s="117" t="s">
        <v>5921</v>
      </c>
      <c r="O16" s="121"/>
      <c r="P16" s="376"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3" t="str">
        <f>IFERROR(__xludf.DUMMYFUNCTION("GOOGLETRANSLATE(A16,""zh-tw"",""es-MX"")"),"bife")</f>
        <v>bife</v>
      </c>
      <c r="V16" s="368"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5955</v>
      </c>
      <c r="AA16" s="369" t="s">
        <v>236</v>
      </c>
      <c r="AB16" s="117" t="s">
        <v>5923</v>
      </c>
      <c r="AC16" s="117" t="s">
        <v>5923</v>
      </c>
      <c r="AD16" s="121"/>
      <c r="AE16" s="373" t="str">
        <f>IFERROR(__xludf.DUMMYFUNCTION("GOOGLETRANSLATE(A16,""zh-tw"",""ru"")"),"стейк")</f>
        <v>стейк</v>
      </c>
      <c r="AF16" s="368"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5956</v>
      </c>
      <c r="AK16" s="369" t="s">
        <v>236</v>
      </c>
      <c r="AL16" s="117" t="s">
        <v>5925</v>
      </c>
      <c r="AM16" s="117" t="s">
        <v>5925</v>
      </c>
      <c r="AN16" s="121"/>
      <c r="AO16" s="140" t="s">
        <v>5957</v>
      </c>
      <c r="AP16" s="379" t="s">
        <v>236</v>
      </c>
      <c r="AQ16" s="177" t="s">
        <v>5926</v>
      </c>
      <c r="AR16" s="177" t="s">
        <v>5926</v>
      </c>
      <c r="AS16" s="142"/>
    </row>
    <row r="17">
      <c r="A17" s="378" t="s">
        <v>5958</v>
      </c>
      <c r="B17" s="360" t="s">
        <v>236</v>
      </c>
      <c r="C17" s="114" t="s">
        <v>5916</v>
      </c>
      <c r="D17" s="114" t="s">
        <v>5916</v>
      </c>
      <c r="E17" s="114" t="s">
        <v>5916</v>
      </c>
      <c r="F17" s="373" t="s">
        <v>5959</v>
      </c>
      <c r="G17" s="360" t="s">
        <v>236</v>
      </c>
      <c r="H17" s="114" t="s">
        <v>5918</v>
      </c>
      <c r="I17" s="114" t="s">
        <v>5918</v>
      </c>
      <c r="J17" s="114" t="s">
        <v>5918</v>
      </c>
      <c r="K17" s="375" t="s">
        <v>5960</v>
      </c>
      <c r="L17" s="360" t="s">
        <v>236</v>
      </c>
      <c r="M17" s="117" t="s">
        <v>5921</v>
      </c>
      <c r="N17" s="117" t="s">
        <v>5921</v>
      </c>
      <c r="O17" s="117" t="s">
        <v>5921</v>
      </c>
      <c r="P17" s="376"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3" t="str">
        <f>IFERROR(__xludf.DUMMYFUNCTION("GOOGLETRANSLATE(A17,""zh-tw"",""es-MX"")"),"Carne de res estofada con salsa de soja")</f>
        <v>Carne de res estofada con salsa de soja</v>
      </c>
      <c r="V17" s="368"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5961</v>
      </c>
      <c r="AA17" s="369" t="s">
        <v>236</v>
      </c>
      <c r="AB17" s="117" t="s">
        <v>5923</v>
      </c>
      <c r="AC17" s="310" t="s">
        <v>5923</v>
      </c>
      <c r="AD17" s="310" t="s">
        <v>5923</v>
      </c>
      <c r="AE17" s="373" t="str">
        <f>IFERROR(__xludf.DUMMYFUNCTION("GOOGLETRANSLATE(A17,""zh-tw"",""ru"")"),"Тушеная говядина с соевым соусом")</f>
        <v>Тушеная говядина с соевым соусом</v>
      </c>
      <c r="AF17" s="368"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5962</v>
      </c>
      <c r="AK17" s="369" t="s">
        <v>236</v>
      </c>
      <c r="AL17" s="117" t="s">
        <v>5925</v>
      </c>
      <c r="AM17" s="117" t="s">
        <v>5925</v>
      </c>
      <c r="AN17" s="117" t="s">
        <v>5925</v>
      </c>
      <c r="AO17" s="94" t="s">
        <v>5963</v>
      </c>
      <c r="AP17" s="379" t="s">
        <v>236</v>
      </c>
      <c r="AQ17" s="177" t="s">
        <v>5926</v>
      </c>
      <c r="AR17" s="177" t="s">
        <v>5926</v>
      </c>
      <c r="AS17" s="177" t="s">
        <v>5926</v>
      </c>
    </row>
    <row r="18">
      <c r="A18" s="373" t="s">
        <v>5964</v>
      </c>
      <c r="B18" s="360" t="s">
        <v>236</v>
      </c>
      <c r="C18" s="114" t="s">
        <v>5852</v>
      </c>
      <c r="D18" s="114" t="s">
        <v>5916</v>
      </c>
      <c r="E18" s="127"/>
      <c r="F18" s="373" t="s">
        <v>5965</v>
      </c>
      <c r="G18" s="360" t="s">
        <v>236</v>
      </c>
      <c r="H18" s="114" t="s">
        <v>5855</v>
      </c>
      <c r="I18" s="114" t="s">
        <v>5918</v>
      </c>
      <c r="J18" s="127"/>
      <c r="K18" s="375" t="s">
        <v>5966</v>
      </c>
      <c r="L18" s="360" t="s">
        <v>236</v>
      </c>
      <c r="M18" s="117" t="s">
        <v>5967</v>
      </c>
      <c r="N18" s="117" t="s">
        <v>5921</v>
      </c>
      <c r="O18" s="121"/>
      <c r="P18" s="376"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3" t="str">
        <f>IFERROR(__xludf.DUMMYFUNCTION("GOOGLETRANSLATE(A18,""zh-tw"",""es-MX"")"),"Bolas de arroz con carne de res")</f>
        <v>Bolas de arroz con carne de res</v>
      </c>
      <c r="V18" s="368"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5968</v>
      </c>
      <c r="AA18" s="369" t="s">
        <v>236</v>
      </c>
      <c r="AB18" s="121" t="str">
        <f>IFERROR(__xludf.DUMMYFUNCTION("GOOGLETRANSLATE(C18,""zh-tw"",""KO"")"),"흰쌀")</f>
        <v>흰쌀</v>
      </c>
      <c r="AC18" s="117" t="s">
        <v>5923</v>
      </c>
      <c r="AD18" s="121"/>
      <c r="AE18" s="373" t="str">
        <f>IFERROR(__xludf.DUMMYFUNCTION("GOOGLETRANSLATE(A18,""zh-tw"",""ru"")"),"Рисовые шарики с говядиной")</f>
        <v>Рисовые шарики с говядиной</v>
      </c>
      <c r="AF18" s="368"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5969</v>
      </c>
      <c r="AK18" s="369" t="s">
        <v>236</v>
      </c>
      <c r="AL18" s="117" t="s">
        <v>5862</v>
      </c>
      <c r="AM18" s="117" t="s">
        <v>5925</v>
      </c>
      <c r="AN18" s="121"/>
      <c r="AO18" s="140" t="s">
        <v>5970</v>
      </c>
      <c r="AP18" s="379" t="s">
        <v>236</v>
      </c>
      <c r="AQ18" s="177" t="s">
        <v>5865</v>
      </c>
      <c r="AR18" s="177" t="s">
        <v>5926</v>
      </c>
      <c r="AS18" s="142"/>
    </row>
    <row r="19">
      <c r="A19" s="373" t="s">
        <v>5971</v>
      </c>
      <c r="B19" s="374"/>
      <c r="C19" s="114" t="s">
        <v>5972</v>
      </c>
      <c r="D19" s="127"/>
      <c r="E19" s="127"/>
      <c r="F19" s="373" t="s">
        <v>5973</v>
      </c>
      <c r="G19" s="374"/>
      <c r="H19" s="114" t="s">
        <v>5974</v>
      </c>
      <c r="I19" s="127"/>
      <c r="J19" s="127"/>
      <c r="K19" s="377" t="s">
        <v>5975</v>
      </c>
      <c r="L19" s="374"/>
      <c r="M19" s="117" t="s">
        <v>5976</v>
      </c>
      <c r="N19" s="121"/>
      <c r="O19" s="121"/>
      <c r="P19" s="376" t="str">
        <f>IFERROR(__xludf.DUMMYFUNCTION("GOOGLETRANSLATE(A19,""zh-tw"",""zh"")"),"奇怪的史莱姆果冻(蓝色)")</f>
        <v>奇怪的史莱姆果冻(蓝色)</v>
      </c>
      <c r="Q19" s="66"/>
      <c r="R19" s="69" t="str">
        <f>IFERROR(__xludf.DUMMYFUNCTION("GOOGLETRANSLATE(C19,""zh-tw"",""zh"")"),"水怪黏液")</f>
        <v>水怪黏液</v>
      </c>
      <c r="S19" s="69"/>
      <c r="T19" s="69"/>
      <c r="U19" s="373" t="str">
        <f>IFERROR(__xludf.DUMMYFUNCTION("GOOGLETRANSLATE(A19,""zh-tw"",""es-MX"")"),"Gelatina de limo extraña (azul)")</f>
        <v>Gelatina de limo extraña (azul)</v>
      </c>
      <c r="V19" s="368"/>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9"/>
      <c r="AB19" s="117" t="s">
        <v>5977</v>
      </c>
      <c r="AC19" s="121"/>
      <c r="AD19" s="121"/>
      <c r="AE19" s="373" t="str">
        <f>IFERROR(__xludf.DUMMYFUNCTION("GOOGLETRANSLATE(A19,""zh-tw"",""ru"")"),"Странное желеобразное лизун (синее)")</f>
        <v>Странное желеобразное лизун (синее)</v>
      </c>
      <c r="AF19" s="368"/>
      <c r="AG19" s="114" t="str">
        <f>IFERROR(__xludf.DUMMYFUNCTION("GOOGLETRANSLATE(C19,""zh-tw"",""ru"")"),"Водяной монстр-слизь")</f>
        <v>Водяной монстр-слизь</v>
      </c>
      <c r="AH19" s="114"/>
      <c r="AI19" s="114"/>
      <c r="AJ19" s="101" t="s">
        <v>5978</v>
      </c>
      <c r="AK19" s="369"/>
      <c r="AL19" s="117" t="s">
        <v>5979</v>
      </c>
      <c r="AM19" s="121"/>
      <c r="AN19" s="121"/>
      <c r="AO19" s="140" t="s">
        <v>5980</v>
      </c>
      <c r="AP19" s="183"/>
      <c r="AQ19" s="177" t="s">
        <v>5981</v>
      </c>
      <c r="AR19" s="142"/>
      <c r="AS19" s="142"/>
    </row>
    <row r="20">
      <c r="A20" s="373" t="s">
        <v>5982</v>
      </c>
      <c r="B20" s="374"/>
      <c r="C20" s="114" t="s">
        <v>5841</v>
      </c>
      <c r="D20" s="114" t="s">
        <v>3717</v>
      </c>
      <c r="E20" s="127"/>
      <c r="F20" s="373" t="s">
        <v>5983</v>
      </c>
      <c r="G20" s="374"/>
      <c r="H20" s="114" t="s">
        <v>5843</v>
      </c>
      <c r="I20" s="114" t="s">
        <v>5984</v>
      </c>
      <c r="J20" s="127"/>
      <c r="K20" s="375" t="s">
        <v>5985</v>
      </c>
      <c r="L20" s="374"/>
      <c r="M20" s="117" t="s">
        <v>5845</v>
      </c>
      <c r="N20" s="117" t="s">
        <v>3719</v>
      </c>
      <c r="O20" s="121"/>
      <c r="P20" s="376"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3" t="str">
        <f>IFERROR(__xludf.DUMMYFUNCTION("GOOGLETRANSLATE(A20,""zh-tw"",""es-MX"")"),"Gelatina de slime extraña (rosa)")</f>
        <v>Gelatina de slime extraña (rosa)</v>
      </c>
      <c r="V20" s="368"/>
      <c r="W20" s="114" t="str">
        <f>IFERROR(__xludf.DUMMYFUNCTION("GOOGLETRANSLATE(C20,""zh-tw"",""es-MX"")"),"Limo")</f>
        <v>Limo</v>
      </c>
      <c r="X20" s="114" t="str">
        <f>IFERROR(__xludf.DUMMYFUNCTION("GOOGLETRANSLATE(D20,""zh-tw"",""es-MX"")"),"Hada de la manzana")</f>
        <v>Hada de la manzana</v>
      </c>
      <c r="Y20" s="114"/>
      <c r="Z20" s="101" t="s">
        <v>5986</v>
      </c>
      <c r="AA20" s="369"/>
      <c r="AB20" s="117" t="s">
        <v>5846</v>
      </c>
      <c r="AC20" s="117" t="s">
        <v>3721</v>
      </c>
      <c r="AD20" s="121"/>
      <c r="AE20" s="373" t="str">
        <f>IFERROR(__xludf.DUMMYFUNCTION("GOOGLETRANSLATE(A20,""zh-tw"",""ru"")"),"Странное желеобразное лизун (розовое)")</f>
        <v>Странное желеобразное лизун (розовое)</v>
      </c>
      <c r="AF20" s="368"/>
      <c r="AG20" s="114" t="str">
        <f>IFERROR(__xludf.DUMMYFUNCTION("GOOGLETRANSLATE(C20,""zh-tw"",""ru"")"),"Слизь")</f>
        <v>Слизь</v>
      </c>
      <c r="AH20" s="114" t="str">
        <f>IFERROR(__xludf.DUMMYFUNCTION("GOOGLETRANSLATE(D20,""zh-tw"",""ru"")"),"Яблочная Фея")</f>
        <v>Яблочная Фея</v>
      </c>
      <c r="AI20" s="114"/>
      <c r="AJ20" s="101" t="s">
        <v>5987</v>
      </c>
      <c r="AK20" s="369"/>
      <c r="AL20" s="117" t="s">
        <v>5848</v>
      </c>
      <c r="AM20" s="117" t="s">
        <v>3723</v>
      </c>
      <c r="AN20" s="121"/>
      <c r="AO20" s="140" t="s">
        <v>5988</v>
      </c>
      <c r="AP20" s="183"/>
      <c r="AQ20" s="177" t="s">
        <v>5850</v>
      </c>
      <c r="AR20" s="177" t="s">
        <v>5989</v>
      </c>
      <c r="AS20" s="142"/>
    </row>
    <row r="21">
      <c r="A21" s="373" t="s">
        <v>5990</v>
      </c>
      <c r="B21" s="374"/>
      <c r="C21" s="114" t="s">
        <v>5841</v>
      </c>
      <c r="D21" s="114" t="s">
        <v>5991</v>
      </c>
      <c r="E21" s="127"/>
      <c r="F21" s="373" t="s">
        <v>5992</v>
      </c>
      <c r="G21" s="374"/>
      <c r="H21" s="114" t="s">
        <v>5843</v>
      </c>
      <c r="I21" s="114" t="s">
        <v>5993</v>
      </c>
      <c r="J21" s="127"/>
      <c r="K21" s="375" t="s">
        <v>5994</v>
      </c>
      <c r="L21" s="374"/>
      <c r="M21" s="117" t="s">
        <v>5845</v>
      </c>
      <c r="N21" s="117" t="s">
        <v>5995</v>
      </c>
      <c r="O21" s="121"/>
      <c r="P21" s="376"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3" t="str">
        <f>IFERROR(__xludf.DUMMYFUNCTION("GOOGLETRANSLATE(A21,""zh-tw"",""es-MX"")"),"Gelatina de baba extraña (negra)")</f>
        <v>Gelatina de baba extraña (negra)</v>
      </c>
      <c r="V21" s="368"/>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9"/>
      <c r="AB21" s="117" t="s">
        <v>5846</v>
      </c>
      <c r="AC21" s="121" t="str">
        <f>IFERROR(__xludf.DUMMYFUNCTION("GOOGLETRANSLATE(D21,""zh-tw"",""KO"")"),"쓰레기")</f>
        <v>쓰레기</v>
      </c>
      <c r="AD21" s="121"/>
      <c r="AE21" s="373" t="str">
        <f>IFERROR(__xludf.DUMMYFUNCTION("GOOGLETRANSLATE(A21,""zh-tw"",""ru"")"),"Странное желеобразное лизун (черное)")</f>
        <v>Странное желеобразное лизун (черное)</v>
      </c>
      <c r="AF21" s="368"/>
      <c r="AG21" s="114" t="str">
        <f>IFERROR(__xludf.DUMMYFUNCTION("GOOGLETRANSLATE(C21,""zh-tw"",""ru"")"),"Слизь")</f>
        <v>Слизь</v>
      </c>
      <c r="AH21" s="114" t="str">
        <f>IFERROR(__xludf.DUMMYFUNCTION("GOOGLETRANSLATE(D21,""zh-tw"",""ru"")"),"Мусор")</f>
        <v>Мусор</v>
      </c>
      <c r="AI21" s="114"/>
      <c r="AJ21" s="101" t="s">
        <v>5996</v>
      </c>
      <c r="AK21" s="369"/>
      <c r="AL21" s="117" t="s">
        <v>5848</v>
      </c>
      <c r="AM21" s="117" t="s">
        <v>5997</v>
      </c>
      <c r="AN21" s="121"/>
      <c r="AO21" s="140" t="s">
        <v>5998</v>
      </c>
      <c r="AP21" s="183"/>
      <c r="AQ21" s="177" t="s">
        <v>5850</v>
      </c>
      <c r="AR21" s="177" t="s">
        <v>5999</v>
      </c>
      <c r="AS21" s="142"/>
    </row>
    <row r="22">
      <c r="A22" s="373" t="s">
        <v>6000</v>
      </c>
      <c r="B22" s="374"/>
      <c r="C22" s="114" t="s">
        <v>5972</v>
      </c>
      <c r="D22" s="114" t="s">
        <v>543</v>
      </c>
      <c r="E22" s="127"/>
      <c r="F22" s="373" t="s">
        <v>6001</v>
      </c>
      <c r="G22" s="374"/>
      <c r="H22" s="114" t="s">
        <v>5843</v>
      </c>
      <c r="I22" s="114" t="s">
        <v>546</v>
      </c>
      <c r="J22" s="127"/>
      <c r="K22" s="375" t="s">
        <v>6002</v>
      </c>
      <c r="L22" s="374"/>
      <c r="M22" s="117" t="s">
        <v>5845</v>
      </c>
      <c r="N22" s="117" t="s">
        <v>6003</v>
      </c>
      <c r="O22" s="121"/>
      <c r="P22" s="376"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3" t="str">
        <f>IFERROR(__xludf.DUMMYFUNCTION("GOOGLETRANSLATE(A22,""zh-tw"",""es-MX"")"),"Gelatina de baba extraña (color)")</f>
        <v>Gelatina de baba extraña (color)</v>
      </c>
      <c r="V22" s="368"/>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9"/>
      <c r="AB22" s="117" t="s">
        <v>5977</v>
      </c>
      <c r="AC22" s="117" t="s">
        <v>555</v>
      </c>
      <c r="AD22" s="121"/>
      <c r="AE22" s="373" t="str">
        <f>IFERROR(__xludf.DUMMYFUNCTION("GOOGLETRANSLATE(A22,""zh-tw"",""ru"")"),"Странное слизкое желе (цветное)")</f>
        <v>Странное слизкое желе (цветное)</v>
      </c>
      <c r="AF22" s="368"/>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6004</v>
      </c>
      <c r="AK22" s="369"/>
      <c r="AL22" s="117" t="s">
        <v>5979</v>
      </c>
      <c r="AM22" s="117" t="s">
        <v>6005</v>
      </c>
      <c r="AN22" s="121"/>
      <c r="AO22" s="140" t="s">
        <v>6006</v>
      </c>
      <c r="AP22" s="183"/>
      <c r="AQ22" s="177" t="s">
        <v>5850</v>
      </c>
      <c r="AR22" s="177" t="s">
        <v>6007</v>
      </c>
      <c r="AS22" s="142"/>
    </row>
    <row r="23">
      <c r="A23" s="373" t="s">
        <v>6008</v>
      </c>
      <c r="B23" s="374"/>
      <c r="C23" s="114" t="s">
        <v>6009</v>
      </c>
      <c r="D23" s="127"/>
      <c r="E23" s="127"/>
      <c r="F23" s="373" t="s">
        <v>6010</v>
      </c>
      <c r="G23" s="374"/>
      <c r="H23" s="114" t="s">
        <v>6011</v>
      </c>
      <c r="I23" s="127"/>
      <c r="J23" s="127"/>
      <c r="K23" s="377" t="s">
        <v>6012</v>
      </c>
      <c r="L23" s="374"/>
      <c r="M23" s="117" t="s">
        <v>6013</v>
      </c>
      <c r="N23" s="121"/>
      <c r="O23" s="121"/>
      <c r="P23" s="376" t="str">
        <f>IFERROR(__xludf.DUMMYFUNCTION("GOOGLETRANSLATE(A23,""zh-tw"",""zh"")"),"烤香蕉")</f>
        <v>烤香蕉</v>
      </c>
      <c r="Q23" s="66"/>
      <c r="R23" s="69" t="str">
        <f>IFERROR(__xludf.DUMMYFUNCTION("GOOGLETRANSLATE(C23,""zh-tw"",""zh"")"),"香蕉")</f>
        <v>香蕉</v>
      </c>
      <c r="S23" s="69"/>
      <c r="T23" s="69"/>
      <c r="U23" s="373" t="str">
        <f>IFERROR(__xludf.DUMMYFUNCTION("GOOGLETRANSLATE(A23,""zh-tw"",""es-MX"")"),"Plátanos a la parrilla")</f>
        <v>Plátanos a la parrilla</v>
      </c>
      <c r="V23" s="368"/>
      <c r="W23" s="114" t="str">
        <f>IFERROR(__xludf.DUMMYFUNCTION("GOOGLETRANSLATE(C23,""zh-tw"",""es-MX"")"),"banana")</f>
        <v>banana</v>
      </c>
      <c r="X23" s="114"/>
      <c r="Y23" s="114"/>
      <c r="Z23" s="118" t="str">
        <f>IFERROR(__xludf.DUMMYFUNCTION("GOOGLETRANSLATE(A23,""zh-tw"",""KO"")"),"구운 바나나")</f>
        <v>구운 바나나</v>
      </c>
      <c r="AA23" s="369"/>
      <c r="AB23" s="121" t="str">
        <f>IFERROR(__xludf.DUMMYFUNCTION("GOOGLETRANSLATE(C23,""zh-tw"",""KO"")"),"바나나")</f>
        <v>바나나</v>
      </c>
      <c r="AC23" s="121"/>
      <c r="AD23" s="121"/>
      <c r="AE23" s="373" t="str">
        <f>IFERROR(__xludf.DUMMYFUNCTION("GOOGLETRANSLATE(A23,""zh-tw"",""ru"")"),"Бананы на гриле")</f>
        <v>Бананы на гриле</v>
      </c>
      <c r="AF23" s="368"/>
      <c r="AG23" s="114" t="str">
        <f>IFERROR(__xludf.DUMMYFUNCTION("GOOGLETRANSLATE(C23,""zh-tw"",""ru"")"),"банан")</f>
        <v>банан</v>
      </c>
      <c r="AH23" s="114"/>
      <c r="AI23" s="114"/>
      <c r="AJ23" s="101" t="s">
        <v>6014</v>
      </c>
      <c r="AK23" s="369"/>
      <c r="AL23" s="117" t="s">
        <v>6015</v>
      </c>
      <c r="AM23" s="121"/>
      <c r="AN23" s="121"/>
      <c r="AO23" s="140" t="s">
        <v>6016</v>
      </c>
      <c r="AP23" s="183"/>
      <c r="AQ23" s="177" t="s">
        <v>6017</v>
      </c>
      <c r="AR23" s="142"/>
      <c r="AS23" s="142"/>
    </row>
    <row r="24">
      <c r="A24" s="373" t="s">
        <v>6018</v>
      </c>
      <c r="B24" s="374"/>
      <c r="C24" s="114" t="s">
        <v>5939</v>
      </c>
      <c r="D24" s="114" t="s">
        <v>4052</v>
      </c>
      <c r="E24" s="114" t="s">
        <v>6019</v>
      </c>
      <c r="F24" s="373" t="s">
        <v>6020</v>
      </c>
      <c r="G24" s="374"/>
      <c r="H24" s="114" t="s">
        <v>5941</v>
      </c>
      <c r="I24" s="114" t="s">
        <v>6021</v>
      </c>
      <c r="J24" s="114" t="s">
        <v>6022</v>
      </c>
      <c r="K24" s="375" t="s">
        <v>6023</v>
      </c>
      <c r="L24" s="374"/>
      <c r="M24" s="117" t="s">
        <v>4080</v>
      </c>
      <c r="N24" s="117" t="s">
        <v>4054</v>
      </c>
      <c r="O24" s="117" t="s">
        <v>6024</v>
      </c>
      <c r="P24" s="376"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3" t="str">
        <f>IFERROR(__xludf.DUMMYFUNCTION("GOOGLETRANSLATE(A24,""zh-tw"",""es-MX"")"),"Sopa de remolacha")</f>
        <v>Sopa de remolacha</v>
      </c>
      <c r="V24" s="368"/>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9"/>
      <c r="AB24" s="117" t="s">
        <v>4082</v>
      </c>
      <c r="AC24" s="121" t="str">
        <f>IFERROR(__xludf.DUMMYFUNCTION("GOOGLETRANSLATE(D24,""zh-tw"",""KO"")"),"감자")</f>
        <v>감자</v>
      </c>
      <c r="AD24" s="121" t="str">
        <f>IFERROR(__xludf.DUMMYFUNCTION("GOOGLETRANSLATE(E24,""zh-tw"",""KO"")"),"당근")</f>
        <v>당근</v>
      </c>
      <c r="AE24" s="373" t="str">
        <f>IFERROR(__xludf.DUMMYFUNCTION("GOOGLETRANSLATE(A24,""zh-tw"",""ru"")"),"Борщ")</f>
        <v>Борщ</v>
      </c>
      <c r="AF24" s="368"/>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6025</v>
      </c>
      <c r="AK24" s="369"/>
      <c r="AL24" s="117" t="s">
        <v>5945</v>
      </c>
      <c r="AM24" s="117" t="s">
        <v>4057</v>
      </c>
      <c r="AN24" s="117" t="s">
        <v>4057</v>
      </c>
      <c r="AO24" s="140" t="s">
        <v>6026</v>
      </c>
      <c r="AP24" s="183"/>
      <c r="AQ24" s="177" t="s">
        <v>4086</v>
      </c>
      <c r="AR24" s="177" t="s">
        <v>4059</v>
      </c>
      <c r="AS24" s="177" t="s">
        <v>6027</v>
      </c>
    </row>
    <row r="25">
      <c r="A25" s="373" t="s">
        <v>6028</v>
      </c>
      <c r="B25" s="374"/>
      <c r="C25" s="114" t="s">
        <v>6029</v>
      </c>
      <c r="D25" s="127"/>
      <c r="E25" s="127"/>
      <c r="F25" s="373" t="s">
        <v>6030</v>
      </c>
      <c r="G25" s="374"/>
      <c r="H25" s="114" t="s">
        <v>6031</v>
      </c>
      <c r="I25" s="127"/>
      <c r="J25" s="127"/>
      <c r="K25" s="375" t="s">
        <v>6032</v>
      </c>
      <c r="L25" s="374"/>
      <c r="M25" s="117" t="s">
        <v>6033</v>
      </c>
      <c r="N25" s="121"/>
      <c r="O25" s="121"/>
      <c r="P25" s="376" t="str">
        <f>IFERROR(__xludf.DUMMYFUNCTION("GOOGLETRANSLATE(A25,""zh-tw"",""zh"")"),"烤章鱼脚")</f>
        <v>烤章鱼脚</v>
      </c>
      <c r="Q25" s="66"/>
      <c r="R25" s="69" t="str">
        <f>IFERROR(__xludf.DUMMYFUNCTION("GOOGLETRANSLATE(C25,""zh-tw"",""zh"")"),"章鱼脚")</f>
        <v>章鱼脚</v>
      </c>
      <c r="S25" s="69"/>
      <c r="T25" s="69"/>
      <c r="U25" s="373" t="str">
        <f>IFERROR(__xludf.DUMMYFUNCTION("GOOGLETRANSLATE(A25,""zh-tw"",""es-MX"")"),"Patas de pulpo a la plancha")</f>
        <v>Patas de pulpo a la plancha</v>
      </c>
      <c r="V25" s="368"/>
      <c r="W25" s="114" t="str">
        <f>IFERROR(__xludf.DUMMYFUNCTION("GOOGLETRANSLATE(C25,""zh-tw"",""es-MX"")"),"Patas de pulpo")</f>
        <v>Patas de pulpo</v>
      </c>
      <c r="X25" s="114"/>
      <c r="Y25" s="114"/>
      <c r="Z25" s="101" t="s">
        <v>6034</v>
      </c>
      <c r="AA25" s="369"/>
      <c r="AB25" s="117" t="s">
        <v>6035</v>
      </c>
      <c r="AC25" s="121"/>
      <c r="AD25" s="121"/>
      <c r="AE25" s="373" t="str">
        <f>IFERROR(__xludf.DUMMYFUNCTION("GOOGLETRANSLATE(A25,""zh-tw"",""ru"")"),"Жареные ножки осьминога")</f>
        <v>Жареные ножки осьминога</v>
      </c>
      <c r="AF25" s="368"/>
      <c r="AG25" s="114" t="str">
        <f>IFERROR(__xludf.DUMMYFUNCTION("GOOGLETRANSLATE(C25,""zh-tw"",""ru"")"),"Ноги осьминога")</f>
        <v>Ноги осьминога</v>
      </c>
      <c r="AH25" s="114"/>
      <c r="AI25" s="114"/>
      <c r="AJ25" s="101" t="s">
        <v>6036</v>
      </c>
      <c r="AK25" s="369"/>
      <c r="AL25" s="117" t="s">
        <v>6037</v>
      </c>
      <c r="AM25" s="121"/>
      <c r="AN25" s="121"/>
      <c r="AO25" s="140" t="s">
        <v>6038</v>
      </c>
      <c r="AP25" s="183"/>
      <c r="AQ25" s="177" t="s">
        <v>6039</v>
      </c>
      <c r="AR25" s="142"/>
      <c r="AS25" s="142"/>
    </row>
    <row r="26">
      <c r="A26" s="378" t="s">
        <v>6040</v>
      </c>
      <c r="B26" s="374"/>
      <c r="C26" s="114" t="s">
        <v>6041</v>
      </c>
      <c r="D26" s="114" t="s">
        <v>6041</v>
      </c>
      <c r="E26" s="114" t="s">
        <v>6041</v>
      </c>
      <c r="F26" s="373" t="s">
        <v>6042</v>
      </c>
      <c r="G26" s="374"/>
      <c r="H26" s="114" t="s">
        <v>6022</v>
      </c>
      <c r="I26" s="114" t="s">
        <v>6022</v>
      </c>
      <c r="J26" s="114" t="s">
        <v>6022</v>
      </c>
      <c r="K26" s="377" t="s">
        <v>6043</v>
      </c>
      <c r="L26" s="374"/>
      <c r="M26" s="117" t="s">
        <v>6024</v>
      </c>
      <c r="N26" s="117" t="s">
        <v>6024</v>
      </c>
      <c r="O26" s="117" t="s">
        <v>6024</v>
      </c>
      <c r="P26" s="376"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3" t="str">
        <f>IFERROR(__xludf.DUMMYFUNCTION("GOOGLETRANSLATE(A26,""zh-tw"",""es-MX"")"),"ensalada de verduras")</f>
        <v>ensalada de verduras</v>
      </c>
      <c r="V26" s="368"/>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6044</v>
      </c>
      <c r="AA26" s="369"/>
      <c r="AB26" s="380" t="s">
        <v>6045</v>
      </c>
      <c r="AC26" s="380" t="s">
        <v>6045</v>
      </c>
      <c r="AD26" s="117" t="s">
        <v>6045</v>
      </c>
      <c r="AE26" s="373" t="str">
        <f>IFERROR(__xludf.DUMMYFUNCTION("GOOGLETRANSLATE(A26,""zh-tw"",""ru"")"),"овощной салат")</f>
        <v>овощной салат</v>
      </c>
      <c r="AF26" s="368"/>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6046</v>
      </c>
      <c r="AK26" s="369"/>
      <c r="AL26" s="117" t="s">
        <v>6047</v>
      </c>
      <c r="AM26" s="117" t="s">
        <v>6047</v>
      </c>
      <c r="AN26" s="117" t="s">
        <v>6047</v>
      </c>
      <c r="AO26" s="94" t="s">
        <v>6048</v>
      </c>
      <c r="AP26" s="183"/>
      <c r="AQ26" s="177" t="s">
        <v>6027</v>
      </c>
      <c r="AR26" s="177" t="s">
        <v>6027</v>
      </c>
      <c r="AS26" s="177" t="s">
        <v>6027</v>
      </c>
    </row>
    <row r="27">
      <c r="A27" s="373" t="s">
        <v>6049</v>
      </c>
      <c r="B27" s="374"/>
      <c r="C27" s="114" t="s">
        <v>4052</v>
      </c>
      <c r="D27" s="127"/>
      <c r="E27" s="127"/>
      <c r="F27" s="373" t="s">
        <v>6050</v>
      </c>
      <c r="G27" s="374"/>
      <c r="H27" s="114" t="s">
        <v>6021</v>
      </c>
      <c r="I27" s="127"/>
      <c r="J27" s="127"/>
      <c r="K27" s="375" t="s">
        <v>6051</v>
      </c>
      <c r="L27" s="374"/>
      <c r="M27" s="117" t="s">
        <v>4054</v>
      </c>
      <c r="N27" s="121"/>
      <c r="O27" s="121"/>
      <c r="P27" s="376" t="str">
        <f>IFERROR(__xludf.DUMMYFUNCTION("GOOGLETRANSLATE(A27,""zh-tw"",""zh"")"),"土豆泥")</f>
        <v>土豆泥</v>
      </c>
      <c r="Q27" s="66"/>
      <c r="R27" s="69" t="str">
        <f>IFERROR(__xludf.DUMMYFUNCTION("GOOGLETRANSLATE(C27,""zh-tw"",""zh"")"),"土豆")</f>
        <v>土豆</v>
      </c>
      <c r="S27" s="69"/>
      <c r="T27" s="69"/>
      <c r="U27" s="373" t="str">
        <f>IFERROR(__xludf.DUMMYFUNCTION("GOOGLETRANSLATE(A27,""zh-tw"",""es-MX"")"),"puré de papas")</f>
        <v>puré de papas</v>
      </c>
      <c r="V27" s="368"/>
      <c r="W27" s="114" t="str">
        <f>IFERROR(__xludf.DUMMYFUNCTION("GOOGLETRANSLATE(C27,""zh-tw"",""es-MX"")"),"Papa")</f>
        <v>Papa</v>
      </c>
      <c r="X27" s="114"/>
      <c r="Y27" s="114"/>
      <c r="Z27" s="101" t="s">
        <v>6052</v>
      </c>
      <c r="AA27" s="369"/>
      <c r="AB27" s="121" t="str">
        <f>IFERROR(__xludf.DUMMYFUNCTION("GOOGLETRANSLATE(C27,""zh-tw"",""KO"")"),"감자")</f>
        <v>감자</v>
      </c>
      <c r="AC27" s="121"/>
      <c r="AD27" s="121"/>
      <c r="AE27" s="373" t="str">
        <f>IFERROR(__xludf.DUMMYFUNCTION("GOOGLETRANSLATE(A27,""zh-tw"",""ru"")"),"картофельное пюре")</f>
        <v>картофельное пюре</v>
      </c>
      <c r="AF27" s="368"/>
      <c r="AG27" s="114" t="str">
        <f>IFERROR(__xludf.DUMMYFUNCTION("GOOGLETRANSLATE(C27,""zh-tw"",""ru"")"),"Картофель")</f>
        <v>Картофель</v>
      </c>
      <c r="AH27" s="114"/>
      <c r="AI27" s="114"/>
      <c r="AJ27" s="101" t="s">
        <v>6053</v>
      </c>
      <c r="AK27" s="369"/>
      <c r="AL27" s="117" t="s">
        <v>4057</v>
      </c>
      <c r="AM27" s="121"/>
      <c r="AN27" s="121"/>
      <c r="AO27" s="140" t="s">
        <v>6054</v>
      </c>
      <c r="AP27" s="183"/>
      <c r="AQ27" s="177" t="s">
        <v>4059</v>
      </c>
      <c r="AR27" s="142"/>
      <c r="AS27" s="142"/>
    </row>
    <row r="28">
      <c r="A28" s="373" t="s">
        <v>6055</v>
      </c>
      <c r="B28" s="374"/>
      <c r="C28" s="114" t="s">
        <v>6019</v>
      </c>
      <c r="D28" s="114" t="s">
        <v>6056</v>
      </c>
      <c r="E28" s="127"/>
      <c r="F28" s="373" t="s">
        <v>6057</v>
      </c>
      <c r="G28" s="374"/>
      <c r="H28" s="114" t="s">
        <v>6022</v>
      </c>
      <c r="I28" s="114" t="s">
        <v>6058</v>
      </c>
      <c r="J28" s="127"/>
      <c r="K28" s="375" t="s">
        <v>6059</v>
      </c>
      <c r="L28" s="374"/>
      <c r="M28" s="117" t="s">
        <v>6024</v>
      </c>
      <c r="N28" s="117" t="s">
        <v>3880</v>
      </c>
      <c r="O28" s="121"/>
      <c r="P28" s="376"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3" t="str">
        <f>IFERROR(__xludf.DUMMYFUNCTION("GOOGLETRANSLATE(A28,""zh-tw"",""es-MX"")"),"Sopa de rábanos y champiñones")</f>
        <v>Sopa de rábanos y champiñones</v>
      </c>
      <c r="V28" s="368"/>
      <c r="W28" s="114" t="str">
        <f>IFERROR(__xludf.DUMMYFUNCTION("GOOGLETRANSLATE(C28,""zh-tw"",""es-MX"")"),"zanahoria")</f>
        <v>zanahoria</v>
      </c>
      <c r="X28" s="114" t="str">
        <f>IFERROR(__xludf.DUMMYFUNCTION("GOOGLETRANSLATE(D28,""zh-tw"",""es-MX"")"),"hongos")</f>
        <v>hongos</v>
      </c>
      <c r="Y28" s="114"/>
      <c r="Z28" s="101" t="s">
        <v>6060</v>
      </c>
      <c r="AA28" s="369"/>
      <c r="AB28" s="121" t="str">
        <f>IFERROR(__xludf.DUMMYFUNCTION("GOOGLETRANSLATE(C28,""zh-tw"",""KO"")"),"당근")</f>
        <v>당근</v>
      </c>
      <c r="AC28" s="121" t="str">
        <f>IFERROR(__xludf.DUMMYFUNCTION("GOOGLETRANSLATE(D28,""zh-tw"",""KO"")"),"버섯")</f>
        <v>버섯</v>
      </c>
      <c r="AD28" s="121"/>
      <c r="AE28" s="373" t="str">
        <f>IFERROR(__xludf.DUMMYFUNCTION("GOOGLETRANSLATE(A28,""zh-tw"",""ru"")"),"Суп из редиса и грибов")</f>
        <v>Суп из редиса и грибов</v>
      </c>
      <c r="AF28" s="368"/>
      <c r="AG28" s="114" t="str">
        <f>IFERROR(__xludf.DUMMYFUNCTION("GOOGLETRANSLATE(C28,""zh-tw"",""ru"")"),"морковь")</f>
        <v>морковь</v>
      </c>
      <c r="AH28" s="114" t="str">
        <f>IFERROR(__xludf.DUMMYFUNCTION("GOOGLETRANSLATE(D28,""zh-tw"",""ru"")"),"грибы")</f>
        <v>грибы</v>
      </c>
      <c r="AI28" s="114"/>
      <c r="AJ28" s="101" t="s">
        <v>6061</v>
      </c>
      <c r="AK28" s="369"/>
      <c r="AL28" s="117" t="s">
        <v>6062</v>
      </c>
      <c r="AM28" s="121" t="str">
        <f>IFERROR(__xludf.DUMMYFUNCTION("GOOGLETRANSLATE(D28,""zh-tw"",""de"")"),"Pilze")</f>
        <v>Pilze</v>
      </c>
      <c r="AN28" s="121"/>
      <c r="AO28" s="140" t="s">
        <v>6063</v>
      </c>
      <c r="AP28" s="183"/>
      <c r="AQ28" s="177" t="s">
        <v>6027</v>
      </c>
      <c r="AR28" s="177" t="s">
        <v>3888</v>
      </c>
      <c r="AS28" s="142"/>
    </row>
    <row r="29">
      <c r="A29" s="373" t="s">
        <v>6064</v>
      </c>
      <c r="B29" s="374"/>
      <c r="C29" s="114" t="s">
        <v>6065</v>
      </c>
      <c r="D29" s="127"/>
      <c r="E29" s="127"/>
      <c r="F29" s="373" t="s">
        <v>6066</v>
      </c>
      <c r="G29" s="374"/>
      <c r="H29" s="114" t="s">
        <v>6067</v>
      </c>
      <c r="I29" s="127"/>
      <c r="J29" s="127"/>
      <c r="K29" s="375" t="s">
        <v>6068</v>
      </c>
      <c r="L29" s="374"/>
      <c r="M29" s="117" t="s">
        <v>6069</v>
      </c>
      <c r="N29" s="121"/>
      <c r="O29" s="121"/>
      <c r="P29" s="376" t="str">
        <f>IFERROR(__xludf.DUMMYFUNCTION("GOOGLETRANSLATE(A29,""zh-tw"",""zh"")"),"意面")</f>
        <v>意面</v>
      </c>
      <c r="Q29" s="66"/>
      <c r="R29" s="69" t="str">
        <f>IFERROR(__xludf.DUMMYFUNCTION("GOOGLETRANSLATE(C29,""zh-tw"",""zh"")"),"意大利面")</f>
        <v>意大利面</v>
      </c>
      <c r="S29" s="69"/>
      <c r="T29" s="69"/>
      <c r="U29" s="373" t="str">
        <f>IFERROR(__xludf.DUMMYFUNCTION("GOOGLETRANSLATE(A29,""zh-tw"",""es-MX"")"),"pastas")</f>
        <v>pastas</v>
      </c>
      <c r="V29" s="368"/>
      <c r="W29" s="114" t="str">
        <f>IFERROR(__xludf.DUMMYFUNCTION("GOOGLETRANSLATE(C29,""zh-tw"",""es-MX"")"),"espaguetis")</f>
        <v>espaguetis</v>
      </c>
      <c r="X29" s="114"/>
      <c r="Y29" s="114"/>
      <c r="Z29" s="118" t="str">
        <f>IFERROR(__xludf.DUMMYFUNCTION("GOOGLETRANSLATE(A29,""zh-tw"",""KO"")"),"파스타")</f>
        <v>파스타</v>
      </c>
      <c r="AA29" s="369"/>
      <c r="AB29" s="121" t="str">
        <f>IFERROR(__xludf.DUMMYFUNCTION("GOOGLETRANSLATE(C29,""zh-tw"",""KO"")"),"스파게티")</f>
        <v>스파게티</v>
      </c>
      <c r="AC29" s="121"/>
      <c r="AD29" s="121"/>
      <c r="AE29" s="373" t="str">
        <f>IFERROR(__xludf.DUMMYFUNCTION("GOOGLETRANSLATE(A29,""zh-tw"",""ru"")"),"макароны")</f>
        <v>макароны</v>
      </c>
      <c r="AF29" s="368"/>
      <c r="AG29" s="114" t="str">
        <f>IFERROR(__xludf.DUMMYFUNCTION("GOOGLETRANSLATE(C29,""zh-tw"",""ru"")"),"спагетти")</f>
        <v>спагетти</v>
      </c>
      <c r="AH29" s="114"/>
      <c r="AI29" s="114"/>
      <c r="AJ29" s="101" t="s">
        <v>6070</v>
      </c>
      <c r="AK29" s="369"/>
      <c r="AL29" s="117" t="s">
        <v>6069</v>
      </c>
      <c r="AM29" s="121"/>
      <c r="AN29" s="121"/>
      <c r="AO29" s="140" t="s">
        <v>6068</v>
      </c>
      <c r="AP29" s="183"/>
      <c r="AQ29" s="177" t="s">
        <v>6071</v>
      </c>
      <c r="AR29" s="142"/>
      <c r="AS29" s="142"/>
    </row>
    <row r="30">
      <c r="A30" s="373" t="s">
        <v>6072</v>
      </c>
      <c r="B30" s="374"/>
      <c r="C30" s="114" t="s">
        <v>6065</v>
      </c>
      <c r="D30" s="114" t="s">
        <v>6073</v>
      </c>
      <c r="E30" s="127"/>
      <c r="F30" s="373" t="s">
        <v>6074</v>
      </c>
      <c r="G30" s="374"/>
      <c r="H30" s="114" t="s">
        <v>6067</v>
      </c>
      <c r="I30" s="114" t="s">
        <v>6075</v>
      </c>
      <c r="J30" s="127"/>
      <c r="K30" s="375" t="s">
        <v>6076</v>
      </c>
      <c r="L30" s="374"/>
      <c r="M30" s="117" t="s">
        <v>6069</v>
      </c>
      <c r="N30" s="117" t="s">
        <v>6077</v>
      </c>
      <c r="O30" s="121"/>
      <c r="P30" s="376"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3" t="str">
        <f>IFERROR(__xludf.DUMMYFUNCTION("GOOGLETRANSLATE(A30,""zh-tw"",""es-MX"")"),"Pasta de tomate")</f>
        <v>Pasta de tomate</v>
      </c>
      <c r="V30" s="368"/>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9"/>
      <c r="AB30" s="121" t="str">
        <f>IFERROR(__xludf.DUMMYFUNCTION("GOOGLETRANSLATE(C30,""zh-tw"",""KO"")"),"스파게티")</f>
        <v>스파게티</v>
      </c>
      <c r="AC30" s="121" t="str">
        <f>IFERROR(__xludf.DUMMYFUNCTION("GOOGLETRANSLATE(D30,""zh-tw"",""KO"")"),"토마토 소스")</f>
        <v>토마토 소스</v>
      </c>
      <c r="AD30" s="121"/>
      <c r="AE30" s="373" t="str">
        <f>IFERROR(__xludf.DUMMYFUNCTION("GOOGLETRANSLATE(A30,""zh-tw"",""ru"")"),"Томатная паста")</f>
        <v>Томатная паста</v>
      </c>
      <c r="AF30" s="368"/>
      <c r="AG30" s="114" t="str">
        <f>IFERROR(__xludf.DUMMYFUNCTION("GOOGLETRANSLATE(C30,""zh-tw"",""ru"")"),"спагетти")</f>
        <v>спагетти</v>
      </c>
      <c r="AH30" s="114" t="str">
        <f>IFERROR(__xludf.DUMMYFUNCTION("GOOGLETRANSLATE(D30,""zh-tw"",""ru"")"),"томатный соус")</f>
        <v>томатный соус</v>
      </c>
      <c r="AI30" s="114"/>
      <c r="AJ30" s="101" t="s">
        <v>6078</v>
      </c>
      <c r="AK30" s="369"/>
      <c r="AL30" s="117" t="s">
        <v>6069</v>
      </c>
      <c r="AM30" s="117" t="s">
        <v>6079</v>
      </c>
      <c r="AN30" s="121"/>
      <c r="AO30" s="140" t="s">
        <v>6080</v>
      </c>
      <c r="AP30" s="183"/>
      <c r="AQ30" s="177" t="s">
        <v>6071</v>
      </c>
      <c r="AR30" s="177" t="s">
        <v>6081</v>
      </c>
      <c r="AS30" s="142"/>
    </row>
    <row r="31">
      <c r="A31" s="373" t="s">
        <v>6082</v>
      </c>
      <c r="B31" s="374"/>
      <c r="C31" s="114" t="s">
        <v>6065</v>
      </c>
      <c r="D31" s="114" t="s">
        <v>6083</v>
      </c>
      <c r="E31" s="127"/>
      <c r="F31" s="373" t="s">
        <v>6084</v>
      </c>
      <c r="G31" s="374"/>
      <c r="H31" s="114" t="s">
        <v>6067</v>
      </c>
      <c r="I31" s="114" t="s">
        <v>6085</v>
      </c>
      <c r="J31" s="127"/>
      <c r="K31" s="375" t="s">
        <v>6086</v>
      </c>
      <c r="L31" s="374"/>
      <c r="M31" s="117" t="s">
        <v>6069</v>
      </c>
      <c r="N31" s="117" t="s">
        <v>6087</v>
      </c>
      <c r="O31" s="121"/>
      <c r="P31" s="376"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3" t="str">
        <f>IFERROR(__xludf.DUMMYFUNCTION("GOOGLETRANSLATE(A31,""zh-tw"",""es-MX"")"),"Pasta con mariscos")</f>
        <v>Pasta con mariscos</v>
      </c>
      <c r="V31" s="368"/>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9"/>
      <c r="AB31" s="121" t="str">
        <f>IFERROR(__xludf.DUMMYFUNCTION("GOOGLETRANSLATE(C31,""zh-tw"",""KO"")"),"스파게티")</f>
        <v>스파게티</v>
      </c>
      <c r="AC31" s="117" t="s">
        <v>6088</v>
      </c>
      <c r="AD31" s="121"/>
      <c r="AE31" s="373" t="str">
        <f>IFERROR(__xludf.DUMMYFUNCTION("GOOGLETRANSLATE(A31,""zh-tw"",""ru"")"),"Паста с морепродуктами")</f>
        <v>Паста с морепродуктами</v>
      </c>
      <c r="AF31" s="368"/>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6089</v>
      </c>
      <c r="AK31" s="369"/>
      <c r="AL31" s="117" t="s">
        <v>6069</v>
      </c>
      <c r="AM31" s="117" t="s">
        <v>6090</v>
      </c>
      <c r="AN31" s="121"/>
      <c r="AO31" s="140" t="s">
        <v>6091</v>
      </c>
      <c r="AP31" s="183"/>
      <c r="AQ31" s="177" t="s">
        <v>6071</v>
      </c>
      <c r="AR31" s="177" t="s">
        <v>6092</v>
      </c>
      <c r="AS31" s="142"/>
    </row>
    <row r="32">
      <c r="A32" s="373" t="s">
        <v>6093</v>
      </c>
      <c r="B32" s="374"/>
      <c r="C32" s="114" t="s">
        <v>5852</v>
      </c>
      <c r="D32" s="114" t="s">
        <v>5853</v>
      </c>
      <c r="E32" s="114" t="s">
        <v>3862</v>
      </c>
      <c r="F32" s="373" t="s">
        <v>6094</v>
      </c>
      <c r="G32" s="374"/>
      <c r="H32" s="114" t="s">
        <v>5855</v>
      </c>
      <c r="I32" s="114" t="s">
        <v>5856</v>
      </c>
      <c r="J32" s="114" t="s">
        <v>6095</v>
      </c>
      <c r="K32" s="377" t="s">
        <v>6096</v>
      </c>
      <c r="L32" s="374"/>
      <c r="M32" s="117" t="s">
        <v>5858</v>
      </c>
      <c r="N32" s="117" t="s">
        <v>5859</v>
      </c>
      <c r="O32" s="117" t="s">
        <v>3865</v>
      </c>
      <c r="P32" s="376"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3" t="str">
        <f>IFERROR(__xludf.DUMMYFUNCTION("GOOGLETRANSLATE(A32,""zh-tw"",""es-MX"")"),"Arroz con curry y huevo")</f>
        <v>Arroz con curry y huevo</v>
      </c>
      <c r="V32" s="368"/>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9"/>
      <c r="AB32" s="121" t="str">
        <f>IFERROR(__xludf.DUMMYFUNCTION("GOOGLETRANSLATE(C32,""zh-tw"",""KO"")"),"흰쌀")</f>
        <v>흰쌀</v>
      </c>
      <c r="AC32" s="117" t="s">
        <v>5860</v>
      </c>
      <c r="AD32" s="117" t="s">
        <v>3867</v>
      </c>
      <c r="AE32" s="373" t="str">
        <f>IFERROR(__xludf.DUMMYFUNCTION("GOOGLETRANSLATE(A32,""zh-tw"",""ru"")"),"Рис с яйцом и карри")</f>
        <v>Рис с яйцом и карри</v>
      </c>
      <c r="AF32" s="368"/>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6097</v>
      </c>
      <c r="AK32" s="369"/>
      <c r="AL32" s="117" t="s">
        <v>5862</v>
      </c>
      <c r="AM32" s="117" t="s">
        <v>5863</v>
      </c>
      <c r="AN32" s="117" t="s">
        <v>6098</v>
      </c>
      <c r="AO32" s="140" t="s">
        <v>6099</v>
      </c>
      <c r="AP32" s="183"/>
      <c r="AQ32" s="177" t="s">
        <v>5865</v>
      </c>
      <c r="AR32" s="177" t="s">
        <v>5866</v>
      </c>
      <c r="AS32" s="177" t="s">
        <v>3872</v>
      </c>
    </row>
    <row r="33">
      <c r="A33" s="373" t="s">
        <v>6100</v>
      </c>
      <c r="B33" s="374"/>
      <c r="C33" s="114" t="s">
        <v>5852</v>
      </c>
      <c r="D33" s="114" t="s">
        <v>3862</v>
      </c>
      <c r="E33" s="127"/>
      <c r="F33" s="373" t="s">
        <v>6101</v>
      </c>
      <c r="G33" s="374"/>
      <c r="H33" s="114" t="s">
        <v>5855</v>
      </c>
      <c r="I33" s="114" t="s">
        <v>6095</v>
      </c>
      <c r="J33" s="127"/>
      <c r="K33" s="375" t="s">
        <v>6102</v>
      </c>
      <c r="L33" s="374"/>
      <c r="M33" s="117" t="s">
        <v>5858</v>
      </c>
      <c r="N33" s="117" t="s">
        <v>6103</v>
      </c>
      <c r="O33" s="121"/>
      <c r="P33" s="376"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3" t="str">
        <f>IFERROR(__xludf.DUMMYFUNCTION("GOOGLETRANSLATE(A33,""zh-tw"",""es-MX"")"),"Arroz con tortilla")</f>
        <v>Arroz con tortilla</v>
      </c>
      <c r="V33" s="368"/>
      <c r="W33" s="114" t="str">
        <f>IFERROR(__xludf.DUMMYFUNCTION("GOOGLETRANSLATE(C33,""zh-tw"",""es-MX"")"),"arroz blanco")</f>
        <v>arroz blanco</v>
      </c>
      <c r="X33" s="114" t="str">
        <f>IFERROR(__xludf.DUMMYFUNCTION("GOOGLETRANSLATE(D33,""zh-tw"",""es-MX"")"),"Huevo muy grande")</f>
        <v>Huevo muy grande</v>
      </c>
      <c r="Y33" s="114"/>
      <c r="Z33" s="101" t="s">
        <v>6104</v>
      </c>
      <c r="AA33" s="369"/>
      <c r="AB33" s="121" t="str">
        <f>IFERROR(__xludf.DUMMYFUNCTION("GOOGLETRANSLATE(C33,""zh-tw"",""KO"")"),"흰쌀")</f>
        <v>흰쌀</v>
      </c>
      <c r="AC33" s="310" t="s">
        <v>3867</v>
      </c>
      <c r="AD33" s="121"/>
      <c r="AE33" s="373" t="str">
        <f>IFERROR(__xludf.DUMMYFUNCTION("GOOGLETRANSLATE(A33,""zh-tw"",""ru"")"),"Омлет с рисом")</f>
        <v>Омлет с рисом</v>
      </c>
      <c r="AF33" s="368"/>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6105</v>
      </c>
      <c r="AK33" s="369"/>
      <c r="AL33" s="117" t="s">
        <v>5862</v>
      </c>
      <c r="AM33" s="117" t="s">
        <v>6098</v>
      </c>
      <c r="AN33" s="121"/>
      <c r="AO33" s="140" t="s">
        <v>6102</v>
      </c>
      <c r="AP33" s="183"/>
      <c r="AQ33" s="177" t="s">
        <v>5865</v>
      </c>
      <c r="AR33" s="177" t="s">
        <v>3872</v>
      </c>
      <c r="AS33" s="142"/>
    </row>
    <row r="34">
      <c r="A34" s="373" t="s">
        <v>6106</v>
      </c>
      <c r="B34" s="374"/>
      <c r="C34" s="114" t="s">
        <v>5852</v>
      </c>
      <c r="D34" s="114" t="s">
        <v>3862</v>
      </c>
      <c r="E34" s="114" t="s">
        <v>4061</v>
      </c>
      <c r="F34" s="373" t="s">
        <v>6107</v>
      </c>
      <c r="G34" s="374"/>
      <c r="H34" s="114" t="s">
        <v>5855</v>
      </c>
      <c r="I34" s="114" t="s">
        <v>6095</v>
      </c>
      <c r="J34" s="114" t="s">
        <v>6108</v>
      </c>
      <c r="K34" s="375" t="s">
        <v>6109</v>
      </c>
      <c r="L34" s="374"/>
      <c r="M34" s="117" t="s">
        <v>5858</v>
      </c>
      <c r="N34" s="117" t="s">
        <v>6103</v>
      </c>
      <c r="O34" s="117" t="s">
        <v>4063</v>
      </c>
      <c r="P34" s="376"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3" t="str">
        <f>IFERROR(__xludf.DUMMYFUNCTION("GOOGLETRANSLATE(A34,""zh-tw"",""es-MX"")"),"Arroz con tortilla de tomate")</f>
        <v>Arroz con tortilla de tomate</v>
      </c>
      <c r="V34" s="368"/>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6110</v>
      </c>
      <c r="AA34" s="369"/>
      <c r="AB34" s="121" t="str">
        <f>IFERROR(__xludf.DUMMYFUNCTION("GOOGLETRANSLATE(C34,""zh-tw"",""KO"")"),"흰쌀")</f>
        <v>흰쌀</v>
      </c>
      <c r="AC34" s="310" t="s">
        <v>3867</v>
      </c>
      <c r="AD34" s="121" t="str">
        <f>IFERROR(__xludf.DUMMYFUNCTION("GOOGLETRANSLATE(E34,""zh-tw"",""KO"")"),"토마토")</f>
        <v>토마토</v>
      </c>
      <c r="AE34" s="373" t="str">
        <f>IFERROR(__xludf.DUMMYFUNCTION("GOOGLETRANSLATE(A34,""zh-tw"",""ru"")"),"Рис с томатным омлетом")</f>
        <v>Рис с томатным омлетом</v>
      </c>
      <c r="AF34" s="368"/>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6111</v>
      </c>
      <c r="AK34" s="369"/>
      <c r="AL34" s="117" t="s">
        <v>5862</v>
      </c>
      <c r="AM34" s="117" t="s">
        <v>6098</v>
      </c>
      <c r="AN34" s="117" t="s">
        <v>6112</v>
      </c>
      <c r="AO34" s="140" t="s">
        <v>6113</v>
      </c>
      <c r="AP34" s="183"/>
      <c r="AQ34" s="177" t="s">
        <v>5865</v>
      </c>
      <c r="AR34" s="177" t="s">
        <v>3872</v>
      </c>
      <c r="AS34" s="177" t="s">
        <v>4067</v>
      </c>
    </row>
    <row r="35">
      <c r="A35" s="373" t="s">
        <v>6114</v>
      </c>
      <c r="B35" s="374"/>
      <c r="C35" s="114" t="s">
        <v>5852</v>
      </c>
      <c r="D35" s="114" t="s">
        <v>6115</v>
      </c>
      <c r="E35" s="127"/>
      <c r="F35" s="373" t="s">
        <v>6116</v>
      </c>
      <c r="G35" s="374"/>
      <c r="H35" s="114" t="s">
        <v>5855</v>
      </c>
      <c r="I35" s="114" t="s">
        <v>6117</v>
      </c>
      <c r="J35" s="127"/>
      <c r="K35" s="375" t="s">
        <v>6118</v>
      </c>
      <c r="L35" s="374"/>
      <c r="M35" s="117" t="s">
        <v>5858</v>
      </c>
      <c r="N35" s="117" t="s">
        <v>6087</v>
      </c>
      <c r="O35" s="121"/>
      <c r="P35" s="376"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3" t="str">
        <f>IFERROR(__xludf.DUMMYFUNCTION("GOOGLETRANSLATE(A35,""zh-tw"",""es-MX"")"),"Arroz con mariscos")</f>
        <v>Arroz con mariscos</v>
      </c>
      <c r="V35" s="368"/>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9"/>
      <c r="AB35" s="121" t="str">
        <f>IFERROR(__xludf.DUMMYFUNCTION("GOOGLETRANSLATE(C35,""zh-tw"",""KO"")"),"흰쌀")</f>
        <v>흰쌀</v>
      </c>
      <c r="AC35" s="117" t="s">
        <v>6119</v>
      </c>
      <c r="AD35" s="121"/>
      <c r="AE35" s="373" t="str">
        <f>IFERROR(__xludf.DUMMYFUNCTION("GOOGLETRANSLATE(A35,""zh-tw"",""ru"")"),"Рис с морепродуктами")</f>
        <v>Рис с морепродуктами</v>
      </c>
      <c r="AF35" s="368"/>
      <c r="AG35" s="114" t="str">
        <f>IFERROR(__xludf.DUMMYFUNCTION("GOOGLETRANSLATE(C35,""zh-tw"",""ru"")"),"Белый рис")</f>
        <v>Белый рис</v>
      </c>
      <c r="AH35" s="114" t="str">
        <f>IFERROR(__xludf.DUMMYFUNCTION("GOOGLETRANSLATE(D35,""zh-tw"",""ru"")"),"Омар")</f>
        <v>Омар</v>
      </c>
      <c r="AI35" s="114"/>
      <c r="AJ35" s="101" t="s">
        <v>6120</v>
      </c>
      <c r="AK35" s="369"/>
      <c r="AL35" s="117" t="s">
        <v>5862</v>
      </c>
      <c r="AM35" s="117" t="s">
        <v>6121</v>
      </c>
      <c r="AN35" s="121"/>
      <c r="AO35" s="140" t="s">
        <v>6122</v>
      </c>
      <c r="AP35" s="183"/>
      <c r="AQ35" s="177" t="s">
        <v>5865</v>
      </c>
      <c r="AR35" s="177" t="s">
        <v>6092</v>
      </c>
      <c r="AS35" s="142"/>
    </row>
    <row r="36">
      <c r="A36" s="373" t="s">
        <v>6123</v>
      </c>
      <c r="B36" s="374"/>
      <c r="C36" s="114" t="s">
        <v>6124</v>
      </c>
      <c r="D36" s="127"/>
      <c r="E36" s="127"/>
      <c r="F36" s="373" t="s">
        <v>6125</v>
      </c>
      <c r="G36" s="374"/>
      <c r="H36" s="114" t="s">
        <v>6126</v>
      </c>
      <c r="I36" s="127"/>
      <c r="J36" s="127"/>
      <c r="K36" s="377" t="s">
        <v>6127</v>
      </c>
      <c r="L36" s="374"/>
      <c r="M36" s="117" t="s">
        <v>6128</v>
      </c>
      <c r="N36" s="121"/>
      <c r="O36" s="121"/>
      <c r="P36" s="376" t="str">
        <f>IFERROR(__xludf.DUMMYFUNCTION("GOOGLETRANSLATE(A36,""zh-tw"",""zh"")"),"菠萝饮")</f>
        <v>菠萝饮</v>
      </c>
      <c r="Q36" s="66"/>
      <c r="R36" s="69" t="str">
        <f>IFERROR(__xludf.DUMMYFUNCTION("GOOGLETRANSLATE(C36,""zh-tw"",""zh"")"),"菠萝")</f>
        <v>菠萝</v>
      </c>
      <c r="S36" s="69"/>
      <c r="T36" s="69"/>
      <c r="U36" s="373" t="str">
        <f>IFERROR(__xludf.DUMMYFUNCTION("GOOGLETRANSLATE(A36,""zh-tw"",""es-MX"")"),"bebida de piña")</f>
        <v>bebida de piña</v>
      </c>
      <c r="V36" s="368"/>
      <c r="W36" s="114" t="str">
        <f>IFERROR(__xludf.DUMMYFUNCTION("GOOGLETRANSLATE(C36,""zh-tw"",""es-MX"")"),"Piña")</f>
        <v>Piña</v>
      </c>
      <c r="X36" s="114"/>
      <c r="Y36" s="114"/>
      <c r="Z36" s="101" t="s">
        <v>6129</v>
      </c>
      <c r="AA36" s="369"/>
      <c r="AB36" s="121" t="str">
        <f>IFERROR(__xludf.DUMMYFUNCTION("GOOGLETRANSLATE(C36,""zh-tw"",""KO"")"),"파인애플")</f>
        <v>파인애플</v>
      </c>
      <c r="AC36" s="121"/>
      <c r="AD36" s="121"/>
      <c r="AE36" s="373" t="str">
        <f>IFERROR(__xludf.DUMMYFUNCTION("GOOGLETRANSLATE(A36,""zh-tw"",""ru"")"),"ананасовый напиток")</f>
        <v>ананасовый напиток</v>
      </c>
      <c r="AF36" s="368"/>
      <c r="AG36" s="114" t="str">
        <f>IFERROR(__xludf.DUMMYFUNCTION("GOOGLETRANSLATE(C36,""zh-tw"",""ru"")"),"Ананас")</f>
        <v>Ананас</v>
      </c>
      <c r="AH36" s="114"/>
      <c r="AI36" s="114"/>
      <c r="AJ36" s="101" t="s">
        <v>6130</v>
      </c>
      <c r="AK36" s="369"/>
      <c r="AL36" s="117" t="s">
        <v>6131</v>
      </c>
      <c r="AM36" s="121"/>
      <c r="AN36" s="121"/>
      <c r="AO36" s="140" t="s">
        <v>6132</v>
      </c>
      <c r="AP36" s="183"/>
      <c r="AQ36" s="177" t="s">
        <v>6133</v>
      </c>
      <c r="AR36" s="142"/>
      <c r="AS36" s="142"/>
    </row>
    <row r="37">
      <c r="A37" s="378" t="s">
        <v>6134</v>
      </c>
      <c r="B37" s="374"/>
      <c r="C37" s="114" t="s">
        <v>6041</v>
      </c>
      <c r="D37" s="114" t="s">
        <v>6041</v>
      </c>
      <c r="E37" s="127"/>
      <c r="F37" s="373" t="s">
        <v>6135</v>
      </c>
      <c r="G37" s="374"/>
      <c r="H37" s="114" t="s">
        <v>6136</v>
      </c>
      <c r="I37" s="114" t="s">
        <v>6136</v>
      </c>
      <c r="J37" s="127"/>
      <c r="K37" s="375" t="s">
        <v>6137</v>
      </c>
      <c r="L37" s="374"/>
      <c r="M37" s="117" t="s">
        <v>6138</v>
      </c>
      <c r="N37" s="117" t="s">
        <v>6138</v>
      </c>
      <c r="O37" s="121"/>
      <c r="P37" s="376"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3" t="str">
        <f>IFERROR(__xludf.DUMMYFUNCTION("GOOGLETRANSLATE(A37,""zh-tw"",""es-MX"")"),"Salteado de Okinawa")</f>
        <v>Salteado de Okinawa</v>
      </c>
      <c r="V37" s="368"/>
      <c r="W37" s="114" t="str">
        <f>IFERROR(__xludf.DUMMYFUNCTION("GOOGLETRANSLATE(C37,""zh-tw"",""es-MX"")"),"verdura")</f>
        <v>verdura</v>
      </c>
      <c r="X37" s="114" t="str">
        <f>IFERROR(__xludf.DUMMYFUNCTION("GOOGLETRANSLATE(D37,""zh-tw"",""es-MX"")"),"verdura")</f>
        <v>verdura</v>
      </c>
      <c r="Y37" s="114"/>
      <c r="Z37" s="101" t="s">
        <v>6139</v>
      </c>
      <c r="AA37" s="369"/>
      <c r="AB37" s="121" t="str">
        <f>IFERROR(__xludf.DUMMYFUNCTION("GOOGLETRANSLATE(C37,""zh-tw"",""KO"")"),"채소")</f>
        <v>채소</v>
      </c>
      <c r="AC37" s="121" t="str">
        <f>IFERROR(__xludf.DUMMYFUNCTION("GOOGLETRANSLATE(D37,""zh-tw"",""KO"")"),"채소")</f>
        <v>채소</v>
      </c>
      <c r="AD37" s="121"/>
      <c r="AE37" s="373" t="str">
        <f>IFERROR(__xludf.DUMMYFUNCTION("GOOGLETRANSLATE(A37,""zh-tw"",""ru"")"),"Окинавское жаркое")</f>
        <v>Окинавское жаркое</v>
      </c>
      <c r="AF37" s="368"/>
      <c r="AG37" s="114" t="str">
        <f>IFERROR(__xludf.DUMMYFUNCTION("GOOGLETRANSLATE(C37,""zh-tw"",""ru"")"),"овощ")</f>
        <v>овощ</v>
      </c>
      <c r="AH37" s="114" t="str">
        <f>IFERROR(__xludf.DUMMYFUNCTION("GOOGLETRANSLATE(D37,""zh-tw"",""ru"")"),"овощ")</f>
        <v>овощ</v>
      </c>
      <c r="AI37" s="114"/>
      <c r="AJ37" s="101" t="s">
        <v>6140</v>
      </c>
      <c r="AK37" s="369"/>
      <c r="AL37" s="117" t="s">
        <v>6047</v>
      </c>
      <c r="AM37" s="117" t="s">
        <v>6047</v>
      </c>
      <c r="AN37" s="121"/>
      <c r="AO37" s="94" t="s">
        <v>6141</v>
      </c>
      <c r="AP37" s="183"/>
      <c r="AQ37" s="177" t="s">
        <v>6142</v>
      </c>
      <c r="AR37" s="177" t="s">
        <v>6142</v>
      </c>
      <c r="AS37" s="142"/>
    </row>
    <row r="38">
      <c r="A38" s="373" t="s">
        <v>6143</v>
      </c>
      <c r="B38" s="360" t="s">
        <v>236</v>
      </c>
      <c r="C38" s="114" t="s">
        <v>6144</v>
      </c>
      <c r="D38" s="114" t="s">
        <v>6144</v>
      </c>
      <c r="E38" s="114" t="s">
        <v>5869</v>
      </c>
      <c r="F38" s="373" t="s">
        <v>6145</v>
      </c>
      <c r="G38" s="360" t="s">
        <v>236</v>
      </c>
      <c r="H38" s="114" t="s">
        <v>6146</v>
      </c>
      <c r="I38" s="114" t="s">
        <v>6146</v>
      </c>
      <c r="J38" s="114" t="s">
        <v>5872</v>
      </c>
      <c r="K38" s="377" t="s">
        <v>6147</v>
      </c>
      <c r="L38" s="360" t="s">
        <v>236</v>
      </c>
      <c r="M38" s="117" t="s">
        <v>6148</v>
      </c>
      <c r="N38" s="117" t="s">
        <v>6148</v>
      </c>
      <c r="O38" s="117" t="s">
        <v>5875</v>
      </c>
      <c r="P38" s="376"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3" t="str">
        <f>IFERROR(__xludf.DUMMYFUNCTION("GOOGLETRANSLATE(A38,""zh-tw"",""es-MX"")"),"Cubo de pollo frito")</f>
        <v>Cubo de pollo frito</v>
      </c>
      <c r="V38" s="368"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6149</v>
      </c>
      <c r="AA38" s="381" t="s">
        <v>236</v>
      </c>
      <c r="AB38" s="117" t="s">
        <v>6150</v>
      </c>
      <c r="AC38" s="117" t="s">
        <v>6150</v>
      </c>
      <c r="AD38" s="121" t="str">
        <f>IFERROR(__xludf.DUMMYFUNCTION("GOOGLETRANSLATE(E38,""zh-tw"",""KO"")"),"밀가루")</f>
        <v>밀가루</v>
      </c>
      <c r="AE38" s="373" t="str">
        <f>IFERROR(__xludf.DUMMYFUNCTION("GOOGLETRANSLATE(A38,""zh-tw"",""ru"")"),"Ведро жареной курицы")</f>
        <v>Ведро жареной курицы</v>
      </c>
      <c r="AF38" s="368"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6151</v>
      </c>
      <c r="AK38" s="369" t="s">
        <v>236</v>
      </c>
      <c r="AL38" s="117" t="s">
        <v>6152</v>
      </c>
      <c r="AM38" s="117" t="s">
        <v>6152</v>
      </c>
      <c r="AN38" s="117" t="s">
        <v>5878</v>
      </c>
      <c r="AO38" s="140" t="s">
        <v>6153</v>
      </c>
      <c r="AP38" s="379" t="s">
        <v>236</v>
      </c>
      <c r="AQ38" s="177" t="s">
        <v>6154</v>
      </c>
      <c r="AR38" s="177" t="s">
        <v>6154</v>
      </c>
      <c r="AS38" s="177" t="s">
        <v>5881</v>
      </c>
    </row>
    <row r="39">
      <c r="A39" s="378" t="s">
        <v>6155</v>
      </c>
      <c r="B39" s="360" t="s">
        <v>236</v>
      </c>
      <c r="C39" s="114" t="s">
        <v>6144</v>
      </c>
      <c r="D39" s="127"/>
      <c r="E39" s="127"/>
      <c r="F39" s="373" t="s">
        <v>6156</v>
      </c>
      <c r="G39" s="360" t="s">
        <v>236</v>
      </c>
      <c r="H39" s="114" t="s">
        <v>6146</v>
      </c>
      <c r="I39" s="127"/>
      <c r="J39" s="127"/>
      <c r="K39" s="375" t="s">
        <v>6157</v>
      </c>
      <c r="L39" s="360" t="s">
        <v>236</v>
      </c>
      <c r="M39" s="117" t="s">
        <v>6148</v>
      </c>
      <c r="N39" s="121"/>
      <c r="O39" s="121"/>
      <c r="P39" s="376"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3" t="str">
        <f>IFERROR(__xludf.DUMMYFUNCTION("GOOGLETRANSLATE(A39,""zh-tw"",""es-MX"")"),"Piernas de pollo fritas")</f>
        <v>Piernas de pollo fritas</v>
      </c>
      <c r="V39" s="368"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1" t="s">
        <v>236</v>
      </c>
      <c r="AB39" s="117" t="s">
        <v>6150</v>
      </c>
      <c r="AC39" s="121"/>
      <c r="AD39" s="121"/>
      <c r="AE39" s="373" t="str">
        <f>IFERROR(__xludf.DUMMYFUNCTION("GOOGLETRANSLATE(A39,""zh-tw"",""ru"")"),"Жареные куриные ножки")</f>
        <v>Жареные куриные ножки</v>
      </c>
      <c r="AF39" s="368" t="str">
        <f>IFERROR(__xludf.DUMMYFUNCTION("GOOGLETRANSLATE(L39,""zh-tw"",""es-MX"")"),"A")</f>
        <v>A</v>
      </c>
      <c r="AG39" s="114" t="str">
        <f>IFERROR(__xludf.DUMMYFUNCTION("GOOGLETRANSLATE(C39,""zh-tw"",""ru"")"),"куриное бедро")</f>
        <v>куриное бедро</v>
      </c>
      <c r="AH39" s="114"/>
      <c r="AI39" s="114"/>
      <c r="AJ39" s="101" t="s">
        <v>6158</v>
      </c>
      <c r="AK39" s="369" t="s">
        <v>236</v>
      </c>
      <c r="AL39" s="117" t="s">
        <v>6152</v>
      </c>
      <c r="AM39" s="121"/>
      <c r="AN39" s="121"/>
      <c r="AO39" s="94" t="s">
        <v>6159</v>
      </c>
      <c r="AP39" s="379" t="s">
        <v>236</v>
      </c>
      <c r="AQ39" s="177" t="s">
        <v>6154</v>
      </c>
      <c r="AR39" s="142"/>
      <c r="AS39" s="142"/>
    </row>
    <row r="40">
      <c r="A40" s="373" t="s">
        <v>6160</v>
      </c>
      <c r="B40" s="360" t="s">
        <v>236</v>
      </c>
      <c r="C40" s="114" t="s">
        <v>5852</v>
      </c>
      <c r="D40" s="114" t="s">
        <v>6144</v>
      </c>
      <c r="E40" s="127"/>
      <c r="F40" s="373" t="s">
        <v>6161</v>
      </c>
      <c r="G40" s="360" t="s">
        <v>236</v>
      </c>
      <c r="H40" s="114" t="s">
        <v>5855</v>
      </c>
      <c r="I40" s="114" t="s">
        <v>6146</v>
      </c>
      <c r="J40" s="127"/>
      <c r="K40" s="375" t="s">
        <v>6162</v>
      </c>
      <c r="L40" s="360" t="s">
        <v>236</v>
      </c>
      <c r="M40" s="117" t="s">
        <v>5967</v>
      </c>
      <c r="N40" s="117" t="s">
        <v>6148</v>
      </c>
      <c r="O40" s="121"/>
      <c r="P40" s="376"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3" t="str">
        <f>IFERROR(__xludf.DUMMYFUNCTION("GOOGLETRANSLATE(A40,""zh-tw"",""es-MX"")"),"Bolas de arroz tempura")</f>
        <v>Bolas de arroz tempura</v>
      </c>
      <c r="V40" s="368"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6163</v>
      </c>
      <c r="AA40" s="381" t="s">
        <v>236</v>
      </c>
      <c r="AB40" s="121" t="str">
        <f>IFERROR(__xludf.DUMMYFUNCTION("GOOGLETRANSLATE(C40,""zh-tw"",""KO"")"),"흰쌀")</f>
        <v>흰쌀</v>
      </c>
      <c r="AC40" s="117" t="s">
        <v>6150</v>
      </c>
      <c r="AD40" s="121"/>
      <c r="AE40" s="373" t="str">
        <f>IFERROR(__xludf.DUMMYFUNCTION("GOOGLETRANSLATE(A40,""zh-tw"",""ru"")"),"Рисовые шарики темпура")</f>
        <v>Рисовые шарики темпура</v>
      </c>
      <c r="AF40" s="368"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6164</v>
      </c>
      <c r="AK40" s="369" t="s">
        <v>236</v>
      </c>
      <c r="AL40" s="117" t="s">
        <v>5862</v>
      </c>
      <c r="AM40" s="117" t="s">
        <v>6152</v>
      </c>
      <c r="AN40" s="121"/>
      <c r="AO40" s="140" t="s">
        <v>6162</v>
      </c>
      <c r="AP40" s="379" t="s">
        <v>236</v>
      </c>
      <c r="AQ40" s="177" t="s">
        <v>5865</v>
      </c>
      <c r="AR40" s="177" t="s">
        <v>6154</v>
      </c>
      <c r="AS40" s="142"/>
    </row>
    <row r="41">
      <c r="A41" s="373" t="s">
        <v>6165</v>
      </c>
      <c r="B41" s="374"/>
      <c r="C41" s="114" t="s">
        <v>6166</v>
      </c>
      <c r="D41" s="114" t="s">
        <v>6166</v>
      </c>
      <c r="E41" s="114" t="s">
        <v>6166</v>
      </c>
      <c r="F41" s="373" t="s">
        <v>6167</v>
      </c>
      <c r="G41" s="374"/>
      <c r="H41" s="114" t="s">
        <v>6117</v>
      </c>
      <c r="I41" s="114" t="s">
        <v>6117</v>
      </c>
      <c r="J41" s="114" t="s">
        <v>6117</v>
      </c>
      <c r="K41" s="375" t="s">
        <v>6168</v>
      </c>
      <c r="L41" s="374"/>
      <c r="M41" s="117" t="s">
        <v>6169</v>
      </c>
      <c r="N41" s="117" t="s">
        <v>6169</v>
      </c>
      <c r="O41" s="117" t="s">
        <v>6169</v>
      </c>
      <c r="P41" s="376"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3" t="str">
        <f>IFERROR(__xludf.DUMMYFUNCTION("GOOGLETRANSLATE(A41,""zh-tw"",""es-MX"")"),"Langosta al horno")</f>
        <v>Langosta al horno</v>
      </c>
      <c r="V41" s="368"/>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6170</v>
      </c>
      <c r="AA41" s="369"/>
      <c r="AB41" s="117" t="s">
        <v>6119</v>
      </c>
      <c r="AC41" s="117" t="s">
        <v>6119</v>
      </c>
      <c r="AD41" s="117" t="s">
        <v>6119</v>
      </c>
      <c r="AE41" s="373" t="str">
        <f>IFERROR(__xludf.DUMMYFUNCTION("GOOGLETRANSLATE(A41,""zh-tw"",""ru"")"),"Запеченный лобстер")</f>
        <v>Запеченный лобстер</v>
      </c>
      <c r="AF41" s="368"/>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6171</v>
      </c>
      <c r="AK41" s="369"/>
      <c r="AL41" s="117" t="s">
        <v>6121</v>
      </c>
      <c r="AM41" s="117" t="s">
        <v>6121</v>
      </c>
      <c r="AN41" s="117" t="s">
        <v>6121</v>
      </c>
      <c r="AO41" s="140" t="s">
        <v>6172</v>
      </c>
      <c r="AP41" s="183"/>
      <c r="AQ41" s="177" t="s">
        <v>6173</v>
      </c>
      <c r="AR41" s="177" t="s">
        <v>6173</v>
      </c>
      <c r="AS41" s="177" t="s">
        <v>6173</v>
      </c>
    </row>
    <row r="42">
      <c r="A42" s="373" t="s">
        <v>6174</v>
      </c>
      <c r="B42" s="374"/>
      <c r="C42" s="114" t="s">
        <v>6175</v>
      </c>
      <c r="D42" s="114" t="s">
        <v>6175</v>
      </c>
      <c r="E42" s="114" t="s">
        <v>6175</v>
      </c>
      <c r="F42" s="373" t="s">
        <v>6176</v>
      </c>
      <c r="G42" s="374"/>
      <c r="H42" s="114" t="s">
        <v>6177</v>
      </c>
      <c r="I42" s="114" t="s">
        <v>6177</v>
      </c>
      <c r="J42" s="114" t="s">
        <v>6177</v>
      </c>
      <c r="K42" s="375" t="s">
        <v>6178</v>
      </c>
      <c r="L42" s="374"/>
      <c r="M42" s="117" t="s">
        <v>6179</v>
      </c>
      <c r="N42" s="117" t="s">
        <v>6179</v>
      </c>
      <c r="O42" s="117" t="s">
        <v>6179</v>
      </c>
      <c r="P42" s="376"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3" t="str">
        <f>IFERROR(__xludf.DUMMYFUNCTION("GOOGLETRANSLATE(A42,""zh-tw"",""es-MX"")"),"cangrejos hervidos")</f>
        <v>cangrejos hervidos</v>
      </c>
      <c r="V42" s="368"/>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6180</v>
      </c>
      <c r="AA42" s="369"/>
      <c r="AB42" s="121" t="str">
        <f>IFERROR(__xludf.DUMMYFUNCTION("GOOGLETRANSLATE(C42,""zh-tw"",""KO"")"),"털게")</f>
        <v>털게</v>
      </c>
      <c r="AC42" s="121" t="str">
        <f>IFERROR(__xludf.DUMMYFUNCTION("GOOGLETRANSLATE(D42,""zh-tw"",""KO"")"),"털게")</f>
        <v>털게</v>
      </c>
      <c r="AD42" s="121" t="str">
        <f>IFERROR(__xludf.DUMMYFUNCTION("GOOGLETRANSLATE(E42,""zh-tw"",""KO"")"),"털게")</f>
        <v>털게</v>
      </c>
      <c r="AE42" s="373" t="str">
        <f>IFERROR(__xludf.DUMMYFUNCTION("GOOGLETRANSLATE(A42,""zh-tw"",""ru"")"),"Вареные крабы")</f>
        <v>Вареные крабы</v>
      </c>
      <c r="AF42" s="368"/>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6181</v>
      </c>
      <c r="AK42" s="369"/>
      <c r="AL42" s="117" t="s">
        <v>6182</v>
      </c>
      <c r="AM42" s="117" t="s">
        <v>6182</v>
      </c>
      <c r="AN42" s="117" t="s">
        <v>6182</v>
      </c>
      <c r="AO42" s="140" t="s">
        <v>6183</v>
      </c>
      <c r="AP42" s="183"/>
      <c r="AQ42" s="177" t="s">
        <v>6184</v>
      </c>
      <c r="AR42" s="177" t="s">
        <v>6184</v>
      </c>
      <c r="AS42" s="177" t="s">
        <v>6184</v>
      </c>
    </row>
    <row r="43">
      <c r="A43" s="378" t="s">
        <v>6185</v>
      </c>
      <c r="B43" s="374"/>
      <c r="C43" s="114" t="s">
        <v>6186</v>
      </c>
      <c r="D43" s="127"/>
      <c r="E43" s="127"/>
      <c r="F43" s="373" t="s">
        <v>6187</v>
      </c>
      <c r="G43" s="374"/>
      <c r="H43" s="114" t="s">
        <v>6188</v>
      </c>
      <c r="I43" s="127"/>
      <c r="J43" s="127"/>
      <c r="K43" s="375" t="s">
        <v>6189</v>
      </c>
      <c r="L43" s="374"/>
      <c r="M43" s="117" t="s">
        <v>6190</v>
      </c>
      <c r="N43" s="121"/>
      <c r="O43" s="121"/>
      <c r="P43" s="376" t="str">
        <f>IFERROR(__xludf.DUMMYFUNCTION("GOOGLETRANSLATE(A43,""zh-tw"",""zh"")"),"金枪鱼头")</f>
        <v>金枪鱼头</v>
      </c>
      <c r="Q43" s="66"/>
      <c r="R43" s="69" t="str">
        <f>IFERROR(__xludf.DUMMYFUNCTION("GOOGLETRANSLATE(C43,""zh-tw"",""zh"")"),"金枪鱼")</f>
        <v>金枪鱼</v>
      </c>
      <c r="S43" s="69"/>
      <c r="T43" s="69"/>
      <c r="U43" s="373" t="str">
        <f>IFERROR(__xludf.DUMMYFUNCTION("GOOGLETRANSLATE(A43,""zh-tw"",""es-MX"")"),"cabeza de atún")</f>
        <v>cabeza de atún</v>
      </c>
      <c r="V43" s="368"/>
      <c r="W43" s="114" t="str">
        <f>IFERROR(__xludf.DUMMYFUNCTION("GOOGLETRANSLATE(C43,""zh-tw"",""es-MX"")"),"atún")</f>
        <v>atún</v>
      </c>
      <c r="X43" s="114"/>
      <c r="Y43" s="114"/>
      <c r="Z43" s="118" t="str">
        <f>IFERROR(__xludf.DUMMYFUNCTION("GOOGLETRANSLATE(A43,""zh-tw"",""KO"")"),"참치 머리")</f>
        <v>참치 머리</v>
      </c>
      <c r="AA43" s="369"/>
      <c r="AB43" s="121" t="str">
        <f>IFERROR(__xludf.DUMMYFUNCTION("GOOGLETRANSLATE(C43,""zh-tw"",""KO"")"),"참치")</f>
        <v>참치</v>
      </c>
      <c r="AC43" s="121"/>
      <c r="AD43" s="121"/>
      <c r="AE43" s="373" t="str">
        <f>IFERROR(__xludf.DUMMYFUNCTION("GOOGLETRANSLATE(A43,""zh-tw"",""ru"")"),"голова тунца")</f>
        <v>голова тунца</v>
      </c>
      <c r="AF43" s="368"/>
      <c r="AG43" s="114" t="str">
        <f>IFERROR(__xludf.DUMMYFUNCTION("GOOGLETRANSLATE(C43,""zh-tw"",""ru"")"),"тунец")</f>
        <v>тунец</v>
      </c>
      <c r="AH43" s="114"/>
      <c r="AI43" s="114"/>
      <c r="AJ43" s="101" t="s">
        <v>6191</v>
      </c>
      <c r="AK43" s="369"/>
      <c r="AL43" s="117" t="s">
        <v>6192</v>
      </c>
      <c r="AM43" s="121"/>
      <c r="AN43" s="121"/>
      <c r="AO43" s="94" t="s">
        <v>6193</v>
      </c>
      <c r="AP43" s="183"/>
      <c r="AQ43" s="177" t="s">
        <v>6194</v>
      </c>
      <c r="AR43" s="177" t="s">
        <v>5881</v>
      </c>
      <c r="AS43" s="142"/>
    </row>
    <row r="44">
      <c r="A44" s="373" t="s">
        <v>6195</v>
      </c>
      <c r="B44" s="374"/>
      <c r="C44" s="114" t="s">
        <v>6029</v>
      </c>
      <c r="D44" s="114" t="s">
        <v>5869</v>
      </c>
      <c r="E44" s="127"/>
      <c r="F44" s="373" t="s">
        <v>6196</v>
      </c>
      <c r="G44" s="374"/>
      <c r="H44" s="114" t="s">
        <v>6031</v>
      </c>
      <c r="I44" s="114" t="s">
        <v>5872</v>
      </c>
      <c r="J44" s="127"/>
      <c r="K44" s="375" t="s">
        <v>6197</v>
      </c>
      <c r="L44" s="374"/>
      <c r="M44" s="117" t="s">
        <v>6033</v>
      </c>
      <c r="N44" s="117" t="s">
        <v>5875</v>
      </c>
      <c r="O44" s="121"/>
      <c r="P44" s="376"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3" t="str">
        <f>IFERROR(__xludf.DUMMYFUNCTION("GOOGLETRANSLATE(A44,""zh-tw"",""es-MX"")"),"bolas de pulpo")</f>
        <v>bolas de pulpo</v>
      </c>
      <c r="V44" s="368"/>
      <c r="W44" s="114" t="str">
        <f>IFERROR(__xludf.DUMMYFUNCTION("GOOGLETRANSLATE(C44,""zh-tw"",""es-MX"")"),"Patas de pulpo")</f>
        <v>Patas de pulpo</v>
      </c>
      <c r="X44" s="114" t="str">
        <f>IFERROR(__xludf.DUMMYFUNCTION("GOOGLETRANSLATE(D44,""zh-tw"",""es-MX"")"),"harina de trigo")</f>
        <v>harina de trigo</v>
      </c>
      <c r="Y44" s="114"/>
      <c r="Z44" s="101" t="s">
        <v>6198</v>
      </c>
      <c r="AA44" s="369"/>
      <c r="AB44" s="117" t="s">
        <v>6035</v>
      </c>
      <c r="AC44" s="121" t="str">
        <f>IFERROR(__xludf.DUMMYFUNCTION("GOOGLETRANSLATE(D44,""zh-tw"",""KO"")"),"밀가루")</f>
        <v>밀가루</v>
      </c>
      <c r="AD44" s="121"/>
      <c r="AE44" s="373" t="str">
        <f>IFERROR(__xludf.DUMMYFUNCTION("GOOGLETRANSLATE(A44,""zh-tw"",""ru"")"),"шарики из осьминога")</f>
        <v>шарики из осьминога</v>
      </c>
      <c r="AF44" s="368"/>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6199</v>
      </c>
      <c r="AK44" s="369"/>
      <c r="AL44" s="117" t="s">
        <v>6037</v>
      </c>
      <c r="AM44" s="117" t="s">
        <v>5878</v>
      </c>
      <c r="AN44" s="121"/>
      <c r="AO44" s="140" t="s">
        <v>6197</v>
      </c>
      <c r="AP44" s="183"/>
      <c r="AQ44" s="177" t="s">
        <v>6039</v>
      </c>
      <c r="AR44" s="142"/>
      <c r="AS44" s="142"/>
    </row>
    <row r="45">
      <c r="A45" s="373" t="s">
        <v>6200</v>
      </c>
      <c r="B45" s="374"/>
      <c r="C45" s="114" t="s">
        <v>5916</v>
      </c>
      <c r="D45" s="127"/>
      <c r="E45" s="127"/>
      <c r="F45" s="373" t="s">
        <v>5948</v>
      </c>
      <c r="G45" s="374"/>
      <c r="H45" s="114" t="s">
        <v>5918</v>
      </c>
      <c r="I45" s="127"/>
      <c r="J45" s="127"/>
      <c r="K45" s="375" t="s">
        <v>6201</v>
      </c>
      <c r="L45" s="374"/>
      <c r="M45" s="117" t="s">
        <v>5921</v>
      </c>
      <c r="N45" s="121"/>
      <c r="O45" s="121"/>
      <c r="P45" s="376" t="str">
        <f>IFERROR(__xludf.DUMMYFUNCTION("GOOGLETRANSLATE(A45,""zh-tw"",""zh"")"),"汉堡肉")</f>
        <v>汉堡肉</v>
      </c>
      <c r="Q45" s="66"/>
      <c r="R45" s="69" t="str">
        <f>IFERROR(__xludf.DUMMYFUNCTION("GOOGLETRANSLATE(C45,""zh-tw"",""zh"")"),"大块兽肉")</f>
        <v>大块兽肉</v>
      </c>
      <c r="S45" s="69"/>
      <c r="T45" s="69"/>
      <c r="U45" s="373" t="str">
        <f>IFERROR(__xludf.DUMMYFUNCTION("GOOGLETRANSLATE(A45,""zh-tw"",""es-MX"")"),"Carne de hamburguesa")</f>
        <v>Carne de hamburguesa</v>
      </c>
      <c r="V45" s="368"/>
      <c r="W45" s="114" t="str">
        <f>IFERROR(__xludf.DUMMYFUNCTION("GOOGLETRANSLATE(C45,""zh-tw"",""es-MX"")"),"Trozos grandes de carne")</f>
        <v>Trozos grandes de carne</v>
      </c>
      <c r="X45" s="114"/>
      <c r="Y45" s="114"/>
      <c r="Z45" s="101" t="s">
        <v>6202</v>
      </c>
      <c r="AA45" s="369"/>
      <c r="AB45" s="117" t="s">
        <v>5923</v>
      </c>
      <c r="AC45" s="121"/>
      <c r="AD45" s="121"/>
      <c r="AE45" s="373" t="str">
        <f>IFERROR(__xludf.DUMMYFUNCTION("GOOGLETRANSLATE(A45,""zh-tw"",""ru"")"),"Мясо для гамбургера")</f>
        <v>Мясо для гамбургера</v>
      </c>
      <c r="AF45" s="368"/>
      <c r="AG45" s="114" t="str">
        <f>IFERROR(__xludf.DUMMYFUNCTION("GOOGLETRANSLATE(C45,""zh-tw"",""ru"")"),"Большие куски мяса")</f>
        <v>Большие куски мяса</v>
      </c>
      <c r="AH45" s="114"/>
      <c r="AI45" s="114"/>
      <c r="AJ45" s="101" t="s">
        <v>6203</v>
      </c>
      <c r="AK45" s="369"/>
      <c r="AL45" s="117" t="s">
        <v>5925</v>
      </c>
      <c r="AM45" s="121"/>
      <c r="AN45" s="121"/>
      <c r="AO45" s="140" t="s">
        <v>6204</v>
      </c>
      <c r="AP45" s="183"/>
      <c r="AQ45" s="177" t="s">
        <v>5926</v>
      </c>
      <c r="AR45" s="142"/>
      <c r="AS45" s="142"/>
    </row>
    <row r="46">
      <c r="A46" s="373" t="s">
        <v>6205</v>
      </c>
      <c r="B46" s="360" t="s">
        <v>757</v>
      </c>
      <c r="C46" s="114" t="s">
        <v>4052</v>
      </c>
      <c r="D46" s="114" t="s">
        <v>4069</v>
      </c>
      <c r="E46" s="127"/>
      <c r="F46" s="373" t="s">
        <v>6206</v>
      </c>
      <c r="G46" s="360" t="s">
        <v>757</v>
      </c>
      <c r="H46" s="114" t="s">
        <v>6021</v>
      </c>
      <c r="I46" s="114" t="s">
        <v>6207</v>
      </c>
      <c r="J46" s="127"/>
      <c r="K46" s="375" t="s">
        <v>6208</v>
      </c>
      <c r="L46" s="360" t="s">
        <v>757</v>
      </c>
      <c r="M46" s="117" t="s">
        <v>4054</v>
      </c>
      <c r="N46" s="117" t="s">
        <v>4071</v>
      </c>
      <c r="O46" s="121"/>
      <c r="P46" s="376"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3" t="str">
        <f>IFERROR(__xludf.DUMMYFUNCTION("GOOGLETRANSLATE(A46,""zh-tw"",""es-MX"")"),"Puré de papas picante")</f>
        <v>Puré de papas picante</v>
      </c>
      <c r="V46" s="368" t="str">
        <f>IFERROR(__xludf.DUMMYFUNCTION("GOOGLETRANSLATE(B46,""zh-tw"",""es-MX"")"),"B")</f>
        <v>B</v>
      </c>
      <c r="W46" s="114" t="str">
        <f>IFERROR(__xludf.DUMMYFUNCTION("GOOGLETRANSLATE(C46,""zh-tw"",""es-MX"")"),"Papa")</f>
        <v>Papa</v>
      </c>
      <c r="X46" s="114" t="str">
        <f>IFERROR(__xludf.DUMMYFUNCTION("GOOGLETRANSLATE(D46,""zh-tw"",""es-MX"")"),"chile")</f>
        <v>chile</v>
      </c>
      <c r="Y46" s="114"/>
      <c r="Z46" s="101" t="s">
        <v>6209</v>
      </c>
      <c r="AA46" s="381" t="s">
        <v>757</v>
      </c>
      <c r="AB46" s="121" t="str">
        <f>IFERROR(__xludf.DUMMYFUNCTION("GOOGLETRANSLATE(C46,""zh-tw"",""KO"")"),"감자")</f>
        <v>감자</v>
      </c>
      <c r="AC46" s="310" t="s">
        <v>6210</v>
      </c>
      <c r="AD46" s="121"/>
      <c r="AE46" s="373" t="str">
        <f>IFERROR(__xludf.DUMMYFUNCTION("GOOGLETRANSLATE(A46,""zh-tw"",""ru"")"),"Острое картофельное пюре")</f>
        <v>Острое картофельное пюре</v>
      </c>
      <c r="AF46" s="368"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6211</v>
      </c>
      <c r="AK46" s="369" t="s">
        <v>757</v>
      </c>
      <c r="AL46" s="117" t="s">
        <v>4057</v>
      </c>
      <c r="AM46" s="117" t="s">
        <v>6212</v>
      </c>
      <c r="AN46" s="121"/>
      <c r="AO46" s="140" t="s">
        <v>6213</v>
      </c>
      <c r="AP46" s="379" t="s">
        <v>757</v>
      </c>
      <c r="AQ46" s="177" t="s">
        <v>4059</v>
      </c>
      <c r="AR46" s="177" t="s">
        <v>4075</v>
      </c>
      <c r="AS46" s="142"/>
    </row>
    <row r="47">
      <c r="A47" s="373" t="s">
        <v>6214</v>
      </c>
      <c r="B47" s="360" t="s">
        <v>757</v>
      </c>
      <c r="C47" s="114" t="s">
        <v>4069</v>
      </c>
      <c r="D47" s="127"/>
      <c r="E47" s="127"/>
      <c r="F47" s="373" t="s">
        <v>6215</v>
      </c>
      <c r="G47" s="360" t="s">
        <v>757</v>
      </c>
      <c r="H47" s="114" t="s">
        <v>6207</v>
      </c>
      <c r="I47" s="127"/>
      <c r="J47" s="127"/>
      <c r="K47" s="375" t="s">
        <v>6216</v>
      </c>
      <c r="L47" s="360" t="s">
        <v>757</v>
      </c>
      <c r="M47" s="117" t="s">
        <v>4071</v>
      </c>
      <c r="N47" s="121"/>
      <c r="O47" s="121"/>
      <c r="P47" s="376" t="str">
        <f>IFERROR(__xludf.DUMMYFUNCTION("GOOGLETRANSLATE(A47,""zh-tw"",""zh"")"),"辣椒水")</f>
        <v>辣椒水</v>
      </c>
      <c r="Q47" s="66" t="str">
        <f>IFERROR(__xludf.DUMMYFUNCTION("GOOGLETRANSLATE(B47,""zh-tw"",""zh"")"),"B")</f>
        <v>B</v>
      </c>
      <c r="R47" s="69" t="str">
        <f>IFERROR(__xludf.DUMMYFUNCTION("GOOGLETRANSLATE(C47,""zh-tw"",""zh"")"),"辣椒")</f>
        <v>辣椒</v>
      </c>
      <c r="S47" s="69"/>
      <c r="T47" s="69"/>
      <c r="U47" s="373" t="str">
        <f>IFERROR(__xludf.DUMMYFUNCTION("GOOGLETRANSLATE(A47,""zh-tw"",""es-MX"")"),"gas pimienta")</f>
        <v>gas pimienta</v>
      </c>
      <c r="V47" s="368" t="str">
        <f>IFERROR(__xludf.DUMMYFUNCTION("GOOGLETRANSLATE(B47,""zh-tw"",""es-MX"")"),"B")</f>
        <v>B</v>
      </c>
      <c r="W47" s="114" t="str">
        <f>IFERROR(__xludf.DUMMYFUNCTION("GOOGLETRANSLATE(C47,""zh-tw"",""es-MX"")"),"chile")</f>
        <v>chile</v>
      </c>
      <c r="X47" s="114"/>
      <c r="Y47" s="114"/>
      <c r="Z47" s="101" t="s">
        <v>6217</v>
      </c>
      <c r="AA47" s="381" t="s">
        <v>757</v>
      </c>
      <c r="AB47" s="310" t="s">
        <v>6210</v>
      </c>
      <c r="AC47" s="121"/>
      <c r="AD47" s="121"/>
      <c r="AE47" s="373" t="str">
        <f>IFERROR(__xludf.DUMMYFUNCTION("GOOGLETRANSLATE(A47,""zh-tw"",""ru"")"),"перцовый баллончик")</f>
        <v>перцовый баллончик</v>
      </c>
      <c r="AF47" s="368" t="str">
        <f>IFERROR(__xludf.DUMMYFUNCTION("GOOGLETRANSLATE(L47,""zh-tw"",""es-MX"")"),"B")</f>
        <v>B</v>
      </c>
      <c r="AG47" s="114" t="str">
        <f>IFERROR(__xludf.DUMMYFUNCTION("GOOGLETRANSLATE(C47,""zh-tw"",""ru"")"),"чили")</f>
        <v>чили</v>
      </c>
      <c r="AH47" s="114"/>
      <c r="AI47" s="114"/>
      <c r="AJ47" s="101" t="s">
        <v>6218</v>
      </c>
      <c r="AK47" s="369" t="s">
        <v>757</v>
      </c>
      <c r="AL47" s="117" t="s">
        <v>6212</v>
      </c>
      <c r="AM47" s="121"/>
      <c r="AN47" s="121"/>
      <c r="AO47" s="140" t="s">
        <v>6219</v>
      </c>
      <c r="AP47" s="379" t="s">
        <v>757</v>
      </c>
      <c r="AQ47" s="177" t="s">
        <v>4075</v>
      </c>
      <c r="AR47" s="142"/>
      <c r="AS47" s="142"/>
    </row>
    <row r="48">
      <c r="A48" s="373" t="s">
        <v>6220</v>
      </c>
      <c r="B48" s="374"/>
      <c r="C48" s="114" t="s">
        <v>5841</v>
      </c>
      <c r="D48" s="114" t="s">
        <v>5972</v>
      </c>
      <c r="E48" s="127"/>
      <c r="F48" s="373" t="s">
        <v>6221</v>
      </c>
      <c r="G48" s="374"/>
      <c r="H48" s="114" t="s">
        <v>5843</v>
      </c>
      <c r="I48" s="114" t="s">
        <v>5974</v>
      </c>
      <c r="J48" s="127"/>
      <c r="K48" s="375" t="s">
        <v>6222</v>
      </c>
      <c r="L48" s="374"/>
      <c r="M48" s="117" t="s">
        <v>5845</v>
      </c>
      <c r="N48" s="117" t="s">
        <v>5976</v>
      </c>
      <c r="O48" s="121"/>
      <c r="P48" s="376"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3" t="str">
        <f>IFERROR(__xludf.DUMMYFUNCTION("GOOGLETRANSLATE(A48,""zh-tw"",""es-MX"")"),"Gomitas de monstruo de agua")</f>
        <v>Gomitas de monstruo de agua</v>
      </c>
      <c r="V48" s="368"/>
      <c r="W48" s="114" t="str">
        <f>IFERROR(__xludf.DUMMYFUNCTION("GOOGLETRANSLATE(C48,""zh-tw"",""es-MX"")"),"Limo")</f>
        <v>Limo</v>
      </c>
      <c r="X48" s="114" t="str">
        <f>IFERROR(__xludf.DUMMYFUNCTION("GOOGLETRANSLATE(D48,""zh-tw"",""es-MX"")"),"Slime de monstruo de agua")</f>
        <v>Slime de monstruo de agua</v>
      </c>
      <c r="Y48" s="114"/>
      <c r="Z48" s="101" t="s">
        <v>6223</v>
      </c>
      <c r="AA48" s="369"/>
      <c r="AB48" s="310" t="s">
        <v>5846</v>
      </c>
      <c r="AC48" s="117" t="s">
        <v>5977</v>
      </c>
      <c r="AD48" s="121"/>
      <c r="AE48" s="373" t="str">
        <f>IFERROR(__xludf.DUMMYFUNCTION("GOOGLETRANSLATE(A48,""zh-tw"",""ru"")"),"Водный монстр жевательная резинка")</f>
        <v>Водный монстр жевательная резинка</v>
      </c>
      <c r="AF48" s="368"/>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6224</v>
      </c>
      <c r="AK48" s="369"/>
      <c r="AL48" s="117" t="s">
        <v>5848</v>
      </c>
      <c r="AM48" s="117" t="s">
        <v>5979</v>
      </c>
      <c r="AN48" s="121"/>
      <c r="AO48" s="140" t="s">
        <v>6225</v>
      </c>
      <c r="AP48" s="183"/>
      <c r="AQ48" s="177" t="s">
        <v>5850</v>
      </c>
      <c r="AR48" s="177" t="s">
        <v>5981</v>
      </c>
      <c r="AS48" s="142"/>
    </row>
    <row r="49">
      <c r="A49" s="373" t="s">
        <v>6226</v>
      </c>
      <c r="B49" s="374"/>
      <c r="C49" s="114" t="s">
        <v>5841</v>
      </c>
      <c r="D49" s="114" t="s">
        <v>5972</v>
      </c>
      <c r="E49" s="127"/>
      <c r="F49" s="373" t="s">
        <v>6227</v>
      </c>
      <c r="G49" s="374"/>
      <c r="H49" s="114" t="s">
        <v>5843</v>
      </c>
      <c r="I49" s="114" t="s">
        <v>5974</v>
      </c>
      <c r="J49" s="127"/>
      <c r="K49" s="375" t="s">
        <v>6228</v>
      </c>
      <c r="L49" s="374"/>
      <c r="M49" s="117" t="s">
        <v>5845</v>
      </c>
      <c r="N49" s="117" t="s">
        <v>5976</v>
      </c>
      <c r="O49" s="121"/>
      <c r="P49" s="376"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3" t="str">
        <f>IFERROR(__xludf.DUMMYFUNCTION("GOOGLETRANSLATE(A49,""zh-tw"",""es-MX"")"),"Hielo raspado Water Monster")</f>
        <v>Hielo raspado Water Monster</v>
      </c>
      <c r="V49" s="368"/>
      <c r="W49" s="114" t="str">
        <f>IFERROR(__xludf.DUMMYFUNCTION("GOOGLETRANSLATE(C49,""zh-tw"",""es-MX"")"),"Limo")</f>
        <v>Limo</v>
      </c>
      <c r="X49" s="114" t="str">
        <f>IFERROR(__xludf.DUMMYFUNCTION("GOOGLETRANSLATE(D49,""zh-tw"",""es-MX"")"),"Slime de monstruo de agua")</f>
        <v>Slime de monstruo de agua</v>
      </c>
      <c r="Y49" s="114"/>
      <c r="Z49" s="101" t="s">
        <v>6229</v>
      </c>
      <c r="AA49" s="369"/>
      <c r="AB49" s="310" t="s">
        <v>5846</v>
      </c>
      <c r="AC49" s="310" t="s">
        <v>5977</v>
      </c>
      <c r="AD49" s="121"/>
      <c r="AE49" s="373" t="str">
        <f>IFERROR(__xludf.DUMMYFUNCTION("GOOGLETRANSLATE(A49,""zh-tw"",""ru"")"),"Водяной монстр, стругающийся лед")</f>
        <v>Водяной монстр, стругающийся лед</v>
      </c>
      <c r="AF49" s="368"/>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6230</v>
      </c>
      <c r="AK49" s="369"/>
      <c r="AL49" s="117" t="s">
        <v>5848</v>
      </c>
      <c r="AM49" s="117" t="s">
        <v>5979</v>
      </c>
      <c r="AN49" s="121"/>
      <c r="AO49" s="140" t="s">
        <v>6231</v>
      </c>
      <c r="AP49" s="183"/>
      <c r="AQ49" s="177" t="s">
        <v>5850</v>
      </c>
      <c r="AR49" s="177" t="s">
        <v>5981</v>
      </c>
      <c r="AS49" s="142"/>
    </row>
    <row r="50">
      <c r="A50" s="373" t="s">
        <v>6232</v>
      </c>
      <c r="B50" s="170" t="s">
        <v>6233</v>
      </c>
      <c r="C50" s="114" t="s">
        <v>5841</v>
      </c>
      <c r="D50" s="114" t="s">
        <v>5972</v>
      </c>
      <c r="E50" s="114" t="s">
        <v>6234</v>
      </c>
      <c r="F50" s="373" t="s">
        <v>6235</v>
      </c>
      <c r="G50" s="170" t="s">
        <v>6236</v>
      </c>
      <c r="H50" s="114" t="s">
        <v>5843</v>
      </c>
      <c r="I50" s="114" t="s">
        <v>5974</v>
      </c>
      <c r="J50" s="114" t="s">
        <v>6237</v>
      </c>
      <c r="K50" s="375" t="s">
        <v>6238</v>
      </c>
      <c r="L50" s="170" t="s">
        <v>6239</v>
      </c>
      <c r="M50" s="117" t="s">
        <v>5845</v>
      </c>
      <c r="N50" s="117" t="s">
        <v>5976</v>
      </c>
      <c r="O50" s="117" t="s">
        <v>6240</v>
      </c>
      <c r="P50" s="376"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3" t="str">
        <f>IFERROR(__xludf.DUMMYFUNCTION("GOOGLETRANSLATE(A50,""zh-tw"",""es-MX"")"),"Caramelos de goma Water Monster (rojos)")</f>
        <v>Caramelos de goma Water Monster (rojos)</v>
      </c>
      <c r="V50" s="368"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6241</v>
      </c>
      <c r="AA50" s="381" t="s">
        <v>6242</v>
      </c>
      <c r="AB50" s="117" t="s">
        <v>5846</v>
      </c>
      <c r="AC50" s="310" t="s">
        <v>5977</v>
      </c>
      <c r="AD50" s="121" t="str">
        <f>IFERROR(__xludf.DUMMYFUNCTION("GOOGLETRANSLATE(E50,""zh-tw"",""KO"")"),"토마토/고추")</f>
        <v>토마토/고추</v>
      </c>
      <c r="AE50" s="373" t="str">
        <f>IFERROR(__xludf.DUMMYFUNCTION("GOOGLETRANSLATE(A50,""zh-tw"",""ru"")"),"Жевательные конфеты «Водный монстр» (красные)")</f>
        <v>Жевательные конфеты «Водный монстр» (красные)</v>
      </c>
      <c r="AF50" s="368"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6243</v>
      </c>
      <c r="AK50" s="369" t="s">
        <v>757</v>
      </c>
      <c r="AL50" s="117" t="s">
        <v>5848</v>
      </c>
      <c r="AM50" s="117" t="s">
        <v>5979</v>
      </c>
      <c r="AN50" s="121" t="str">
        <f>IFERROR(__xludf.DUMMYFUNCTION("GOOGLETRANSLATE(E50,""zh-tw"",""de"")"),"Tomate/Paprika")</f>
        <v>Tomate/Paprika</v>
      </c>
      <c r="AO50" s="140" t="s">
        <v>6244</v>
      </c>
      <c r="AP50" s="382" t="s">
        <v>6245</v>
      </c>
      <c r="AQ50" s="177" t="s">
        <v>5850</v>
      </c>
      <c r="AR50" s="177" t="s">
        <v>5981</v>
      </c>
      <c r="AS50" s="177" t="s">
        <v>6246</v>
      </c>
    </row>
    <row r="51">
      <c r="A51" s="373" t="s">
        <v>6247</v>
      </c>
      <c r="B51" s="374"/>
      <c r="C51" s="114" t="s">
        <v>5869</v>
      </c>
      <c r="D51" s="127"/>
      <c r="E51" s="127"/>
      <c r="F51" s="373" t="s">
        <v>6248</v>
      </c>
      <c r="G51" s="374"/>
      <c r="H51" s="114" t="s">
        <v>5872</v>
      </c>
      <c r="I51" s="127"/>
      <c r="J51" s="127"/>
      <c r="K51" s="375" t="s">
        <v>6249</v>
      </c>
      <c r="L51" s="374"/>
      <c r="M51" s="117" t="s">
        <v>5875</v>
      </c>
      <c r="N51" s="121"/>
      <c r="O51" s="121"/>
      <c r="P51" s="376" t="str">
        <f>IFERROR(__xludf.DUMMYFUNCTION("GOOGLETRANSLATE(A51,""zh-tw"",""zh"")"),"煎薄饼")</f>
        <v>煎薄饼</v>
      </c>
      <c r="Q51" s="66"/>
      <c r="R51" s="69" t="str">
        <f>IFERROR(__xludf.DUMMYFUNCTION("GOOGLETRANSLATE(C51,""zh-tw"",""zh"")"),"小麦粉")</f>
        <v>小麦粉</v>
      </c>
      <c r="S51" s="69"/>
      <c r="T51" s="69"/>
      <c r="U51" s="373" t="str">
        <f>IFERROR(__xludf.DUMMYFUNCTION("GOOGLETRANSLATE(A51,""zh-tw"",""es-MX"")"),"Panqueques")</f>
        <v>Panqueques</v>
      </c>
      <c r="V51" s="368"/>
      <c r="W51" s="114" t="str">
        <f>IFERROR(__xludf.DUMMYFUNCTION("GOOGLETRANSLATE(C51,""zh-tw"",""es-MX"")"),"harina de trigo")</f>
        <v>harina de trigo</v>
      </c>
      <c r="X51" s="114"/>
      <c r="Y51" s="114"/>
      <c r="Z51" s="118" t="str">
        <f>IFERROR(__xludf.DUMMYFUNCTION("GOOGLETRANSLATE(A51,""zh-tw"",""KO"")"),"팬케이크")</f>
        <v>팬케이크</v>
      </c>
      <c r="AA51" s="369"/>
      <c r="AB51" s="121" t="str">
        <f>IFERROR(__xludf.DUMMYFUNCTION("GOOGLETRANSLATE(C51,""zh-tw"",""KO"")"),"밀가루")</f>
        <v>밀가루</v>
      </c>
      <c r="AC51" s="121"/>
      <c r="AD51" s="121"/>
      <c r="AE51" s="373" t="str">
        <f>IFERROR(__xludf.DUMMYFUNCTION("GOOGLETRANSLATE(A51,""zh-tw"",""ru"")"),"Блины")</f>
        <v>Блины</v>
      </c>
      <c r="AF51" s="368"/>
      <c r="AG51" s="114" t="str">
        <f>IFERROR(__xludf.DUMMYFUNCTION("GOOGLETRANSLATE(C51,""zh-tw"",""ru"")"),"пшеничная мука")</f>
        <v>пшеничная мука</v>
      </c>
      <c r="AH51" s="114"/>
      <c r="AI51" s="114"/>
      <c r="AJ51" s="101" t="s">
        <v>6250</v>
      </c>
      <c r="AK51" s="369"/>
      <c r="AL51" s="117" t="s">
        <v>5878</v>
      </c>
      <c r="AM51" s="121"/>
      <c r="AN51" s="121"/>
      <c r="AO51" s="140" t="s">
        <v>6251</v>
      </c>
      <c r="AP51" s="183"/>
      <c r="AQ51" s="177" t="s">
        <v>5881</v>
      </c>
      <c r="AR51" s="142"/>
      <c r="AS51" s="142"/>
    </row>
    <row r="52">
      <c r="A52" s="373" t="s">
        <v>6252</v>
      </c>
      <c r="B52" s="374"/>
      <c r="C52" s="114" t="s">
        <v>4042</v>
      </c>
      <c r="D52" s="114" t="s">
        <v>5869</v>
      </c>
      <c r="E52" s="127"/>
      <c r="F52" s="373" t="s">
        <v>6253</v>
      </c>
      <c r="G52" s="374"/>
      <c r="H52" s="114" t="s">
        <v>6254</v>
      </c>
      <c r="I52" s="114" t="s">
        <v>5872</v>
      </c>
      <c r="J52" s="127"/>
      <c r="K52" s="375" t="s">
        <v>6255</v>
      </c>
      <c r="L52" s="374"/>
      <c r="M52" s="117" t="s">
        <v>4044</v>
      </c>
      <c r="N52" s="117" t="s">
        <v>5875</v>
      </c>
      <c r="O52" s="121"/>
      <c r="P52" s="376"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3" t="str">
        <f>IFERROR(__xludf.DUMMYFUNCTION("GOOGLETRANSLATE(A52,""zh-tw"",""es-MX"")"),"Panqueques de fresa")</f>
        <v>Panqueques de fresa</v>
      </c>
      <c r="V52" s="368"/>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9"/>
      <c r="AB52" s="121" t="str">
        <f>IFERROR(__xludf.DUMMYFUNCTION("GOOGLETRANSLATE(C52,""zh-tw"",""KO"")"),"딸기")</f>
        <v>딸기</v>
      </c>
      <c r="AC52" s="121" t="str">
        <f>IFERROR(__xludf.DUMMYFUNCTION("GOOGLETRANSLATE(D52,""zh-tw"",""KO"")"),"밀가루")</f>
        <v>밀가루</v>
      </c>
      <c r="AD52" s="121"/>
      <c r="AE52" s="373" t="str">
        <f>IFERROR(__xludf.DUMMYFUNCTION("GOOGLETRANSLATE(A52,""zh-tw"",""ru"")"),"Клубничные блинчики")</f>
        <v>Клубничные блинчики</v>
      </c>
      <c r="AF52" s="368"/>
      <c r="AG52" s="114" t="str">
        <f>IFERROR(__xludf.DUMMYFUNCTION("GOOGLETRANSLATE(C52,""zh-tw"",""ru"")"),"клубника")</f>
        <v>клубника</v>
      </c>
      <c r="AH52" s="114" t="str">
        <f>IFERROR(__xludf.DUMMYFUNCTION("GOOGLETRANSLATE(D52,""zh-tw"",""ru"")"),"пшеничная мука")</f>
        <v>пшеничная мука</v>
      </c>
      <c r="AI52" s="114"/>
      <c r="AJ52" s="101" t="s">
        <v>6256</v>
      </c>
      <c r="AK52" s="369"/>
      <c r="AL52" s="117" t="s">
        <v>6257</v>
      </c>
      <c r="AM52" s="117" t="s">
        <v>5878</v>
      </c>
      <c r="AN52" s="121"/>
      <c r="AO52" s="140" t="s">
        <v>6258</v>
      </c>
      <c r="AP52" s="183"/>
      <c r="AQ52" s="177" t="s">
        <v>4050</v>
      </c>
      <c r="AR52" s="177" t="s">
        <v>5881</v>
      </c>
      <c r="AS52" s="142"/>
    </row>
    <row r="53">
      <c r="A53" s="373" t="s">
        <v>6259</v>
      </c>
      <c r="B53" s="374"/>
      <c r="C53" s="114" t="s">
        <v>4061</v>
      </c>
      <c r="D53" s="127"/>
      <c r="E53" s="127"/>
      <c r="F53" s="373" t="s">
        <v>6260</v>
      </c>
      <c r="G53" s="374"/>
      <c r="H53" s="114" t="s">
        <v>6108</v>
      </c>
      <c r="I53" s="127"/>
      <c r="J53" s="127"/>
      <c r="K53" s="375" t="s">
        <v>6261</v>
      </c>
      <c r="L53" s="374"/>
      <c r="M53" s="117" t="s">
        <v>4063</v>
      </c>
      <c r="N53" s="121"/>
      <c r="O53" s="121"/>
      <c r="P53" s="376" t="str">
        <f>IFERROR(__xludf.DUMMYFUNCTION("GOOGLETRANSLATE(A53,""zh-tw"",""zh"")"),"番茄汤")</f>
        <v>番茄汤</v>
      </c>
      <c r="Q53" s="66"/>
      <c r="R53" s="69" t="str">
        <f>IFERROR(__xludf.DUMMYFUNCTION("GOOGLETRANSLATE(C53,""zh-tw"",""zh"")"),"番茄")</f>
        <v>番茄</v>
      </c>
      <c r="S53" s="69"/>
      <c r="T53" s="69"/>
      <c r="U53" s="373" t="str">
        <f>IFERROR(__xludf.DUMMYFUNCTION("GOOGLETRANSLATE(A53,""zh-tw"",""es-MX"")"),"Sopa de tomate")</f>
        <v>Sopa de tomate</v>
      </c>
      <c r="V53" s="368"/>
      <c r="W53" s="114" t="str">
        <f>IFERROR(__xludf.DUMMYFUNCTION("GOOGLETRANSLATE(C53,""zh-tw"",""es-MX"")"),"tomate")</f>
        <v>tomate</v>
      </c>
      <c r="X53" s="114"/>
      <c r="Y53" s="114"/>
      <c r="Z53" s="118" t="str">
        <f>IFERROR(__xludf.DUMMYFUNCTION("GOOGLETRANSLATE(A53,""zh-tw"",""KO"")"),"토마토 수프")</f>
        <v>토마토 수프</v>
      </c>
      <c r="AA53" s="369"/>
      <c r="AB53" s="121" t="str">
        <f>IFERROR(__xludf.DUMMYFUNCTION("GOOGLETRANSLATE(C53,""zh-tw"",""KO"")"),"토마토")</f>
        <v>토마토</v>
      </c>
      <c r="AC53" s="121"/>
      <c r="AD53" s="121"/>
      <c r="AE53" s="373" t="str">
        <f>IFERROR(__xludf.DUMMYFUNCTION("GOOGLETRANSLATE(A53,""zh-tw"",""ru"")"),"Томатный суп")</f>
        <v>Томатный суп</v>
      </c>
      <c r="AF53" s="368"/>
      <c r="AG53" s="114" t="str">
        <f>IFERROR(__xludf.DUMMYFUNCTION("GOOGLETRANSLATE(C53,""zh-tw"",""ru"")"),"помидор")</f>
        <v>помидор</v>
      </c>
      <c r="AH53" s="114"/>
      <c r="AI53" s="114"/>
      <c r="AJ53" s="101" t="s">
        <v>6262</v>
      </c>
      <c r="AK53" s="369"/>
      <c r="AL53" s="117" t="s">
        <v>6112</v>
      </c>
      <c r="AM53" s="121"/>
      <c r="AN53" s="121"/>
      <c r="AO53" s="140" t="s">
        <v>6263</v>
      </c>
      <c r="AP53" s="183"/>
      <c r="AQ53" s="177" t="s">
        <v>4059</v>
      </c>
      <c r="AR53" s="142"/>
      <c r="AS53" s="142"/>
    </row>
    <row r="54">
      <c r="A54" s="373" t="s">
        <v>4042</v>
      </c>
      <c r="B54" s="374"/>
      <c r="C54" s="114" t="s">
        <v>4042</v>
      </c>
      <c r="D54" s="127"/>
      <c r="E54" s="127"/>
      <c r="F54" s="373" t="s">
        <v>6264</v>
      </c>
      <c r="G54" s="374"/>
      <c r="H54" s="114" t="s">
        <v>6254</v>
      </c>
      <c r="I54" s="127"/>
      <c r="J54" s="127"/>
      <c r="K54" s="375" t="s">
        <v>4044</v>
      </c>
      <c r="L54" s="374"/>
      <c r="M54" s="117" t="s">
        <v>4044</v>
      </c>
      <c r="N54" s="121"/>
      <c r="O54" s="121"/>
      <c r="P54" s="376" t="str">
        <f>IFERROR(__xludf.DUMMYFUNCTION("GOOGLETRANSLATE(A54,""zh-tw"",""zh"")"),"草莓")</f>
        <v>草莓</v>
      </c>
      <c r="Q54" s="66"/>
      <c r="R54" s="69" t="str">
        <f>IFERROR(__xludf.DUMMYFUNCTION("GOOGLETRANSLATE(C54,""zh-tw"",""zh"")"),"草莓")</f>
        <v>草莓</v>
      </c>
      <c r="S54" s="69"/>
      <c r="T54" s="69"/>
      <c r="U54" s="373" t="str">
        <f>IFERROR(__xludf.DUMMYFUNCTION("GOOGLETRANSLATE(A54,""zh-tw"",""es-MX"")"),"fresa")</f>
        <v>fresa</v>
      </c>
      <c r="V54" s="368"/>
      <c r="W54" s="114" t="str">
        <f>IFERROR(__xludf.DUMMYFUNCTION("GOOGLETRANSLATE(C54,""zh-tw"",""es-MX"")"),"fresa")</f>
        <v>fresa</v>
      </c>
      <c r="X54" s="114"/>
      <c r="Y54" s="114"/>
      <c r="Z54" s="118" t="str">
        <f>IFERROR(__xludf.DUMMYFUNCTION("GOOGLETRANSLATE(A54,""zh-tw"",""KO"")"),"딸기")</f>
        <v>딸기</v>
      </c>
      <c r="AA54" s="369"/>
      <c r="AB54" s="121" t="str">
        <f>IFERROR(__xludf.DUMMYFUNCTION("GOOGLETRANSLATE(C54,""zh-tw"",""KO"")"),"딸기")</f>
        <v>딸기</v>
      </c>
      <c r="AC54" s="121"/>
      <c r="AD54" s="121"/>
      <c r="AE54" s="373" t="str">
        <f>IFERROR(__xludf.DUMMYFUNCTION("GOOGLETRANSLATE(A54,""zh-tw"",""ru"")"),"клубника")</f>
        <v>клубника</v>
      </c>
      <c r="AF54" s="368"/>
      <c r="AG54" s="114" t="str">
        <f>IFERROR(__xludf.DUMMYFUNCTION("GOOGLETRANSLATE(C54,""zh-tw"",""ru"")"),"клубника")</f>
        <v>клубника</v>
      </c>
      <c r="AH54" s="114"/>
      <c r="AI54" s="114"/>
      <c r="AJ54" s="101" t="s">
        <v>6257</v>
      </c>
      <c r="AK54" s="369"/>
      <c r="AL54" s="117" t="s">
        <v>6257</v>
      </c>
      <c r="AM54" s="121"/>
      <c r="AN54" s="121"/>
      <c r="AO54" s="140" t="s">
        <v>4050</v>
      </c>
      <c r="AP54" s="183"/>
      <c r="AQ54" s="177" t="s">
        <v>4050</v>
      </c>
      <c r="AR54" s="142"/>
      <c r="AS54" s="142"/>
    </row>
    <row r="55">
      <c r="A55" s="131"/>
      <c r="B55" s="374"/>
      <c r="C55" s="127"/>
      <c r="D55" s="127"/>
      <c r="E55" s="127"/>
      <c r="F55" s="131"/>
      <c r="G55" s="374"/>
      <c r="H55" s="127"/>
      <c r="I55" s="127"/>
      <c r="J55" s="127"/>
      <c r="K55" s="377"/>
      <c r="L55" s="164"/>
      <c r="M55" s="117"/>
      <c r="N55" s="117"/>
      <c r="O55" s="121"/>
      <c r="P55" s="383"/>
      <c r="Q55" s="164"/>
      <c r="R55" s="127"/>
      <c r="S55" s="127"/>
      <c r="T55" s="127"/>
      <c r="U55" s="131"/>
      <c r="V55" s="374"/>
      <c r="W55" s="127"/>
      <c r="X55" s="127"/>
      <c r="Y55" s="127"/>
      <c r="Z55" s="131"/>
      <c r="AA55" s="374"/>
      <c r="AB55" s="127"/>
      <c r="AC55" s="127"/>
      <c r="AD55" s="127"/>
      <c r="AE55" s="131"/>
      <c r="AF55" s="374"/>
      <c r="AG55" s="127"/>
      <c r="AH55" s="127"/>
      <c r="AI55" s="127"/>
      <c r="AJ55" s="131"/>
      <c r="AK55" s="374"/>
      <c r="AL55" s="127"/>
      <c r="AM55" s="127"/>
      <c r="AN55" s="127"/>
      <c r="AO55" s="184"/>
      <c r="AP55" s="183"/>
      <c r="AQ55" s="142"/>
      <c r="AR55" s="142"/>
      <c r="AS55" s="142"/>
    </row>
    <row r="56">
      <c r="A56" s="131"/>
      <c r="B56" s="374"/>
      <c r="C56" s="127"/>
      <c r="D56" s="127"/>
      <c r="E56" s="127"/>
      <c r="F56" s="131"/>
      <c r="G56" s="374"/>
      <c r="H56" s="127"/>
      <c r="I56" s="127"/>
      <c r="J56" s="127"/>
      <c r="K56" s="383"/>
      <c r="L56" s="374"/>
      <c r="M56" s="127"/>
      <c r="N56" s="127"/>
      <c r="O56" s="127"/>
      <c r="P56" s="383"/>
      <c r="Q56" s="164"/>
      <c r="R56" s="127"/>
      <c r="S56" s="127"/>
      <c r="T56" s="127"/>
      <c r="U56" s="131"/>
      <c r="V56" s="374"/>
      <c r="W56" s="127"/>
      <c r="X56" s="127"/>
      <c r="Y56" s="127"/>
      <c r="Z56" s="131"/>
      <c r="AA56" s="374"/>
      <c r="AB56" s="127"/>
      <c r="AC56" s="127"/>
      <c r="AD56" s="127"/>
      <c r="AE56" s="131"/>
      <c r="AF56" s="374"/>
      <c r="AG56" s="127"/>
      <c r="AH56" s="127"/>
      <c r="AI56" s="127"/>
      <c r="AJ56" s="131"/>
      <c r="AK56" s="374"/>
      <c r="AL56" s="127"/>
      <c r="AM56" s="127"/>
      <c r="AN56" s="127"/>
      <c r="AO56" s="184"/>
      <c r="AP56" s="183"/>
      <c r="AQ56" s="142"/>
      <c r="AR56" s="142"/>
      <c r="AS56" s="142"/>
    </row>
    <row r="57">
      <c r="A57" s="131"/>
      <c r="B57" s="374"/>
      <c r="C57" s="127"/>
      <c r="D57" s="127"/>
      <c r="E57" s="127"/>
      <c r="F57" s="131"/>
      <c r="G57" s="374"/>
      <c r="H57" s="127"/>
      <c r="I57" s="127"/>
      <c r="J57" s="127"/>
      <c r="K57" s="383"/>
      <c r="L57" s="374"/>
      <c r="M57" s="127"/>
      <c r="N57" s="127"/>
      <c r="O57" s="127"/>
      <c r="P57" s="383"/>
      <c r="Q57" s="164"/>
      <c r="R57" s="127"/>
      <c r="S57" s="127"/>
      <c r="T57" s="127"/>
      <c r="U57" s="131"/>
      <c r="V57" s="374"/>
      <c r="W57" s="127"/>
      <c r="X57" s="127"/>
      <c r="Y57" s="127"/>
      <c r="Z57" s="131"/>
      <c r="AA57" s="374"/>
      <c r="AB57" s="127"/>
      <c r="AC57" s="127"/>
      <c r="AD57" s="127"/>
      <c r="AE57" s="131"/>
      <c r="AF57" s="374"/>
      <c r="AG57" s="127"/>
      <c r="AH57" s="127"/>
      <c r="AI57" s="127"/>
      <c r="AJ57" s="131"/>
      <c r="AK57" s="374"/>
      <c r="AL57" s="127"/>
      <c r="AM57" s="127"/>
      <c r="AN57" s="127"/>
      <c r="AO57" s="184"/>
      <c r="AP57" s="183"/>
      <c r="AQ57" s="142"/>
      <c r="AR57" s="142"/>
      <c r="AS57" s="142"/>
    </row>
    <row r="58">
      <c r="A58" s="131"/>
      <c r="B58" s="374"/>
      <c r="C58" s="127"/>
      <c r="D58" s="127"/>
      <c r="E58" s="127"/>
      <c r="F58" s="131"/>
      <c r="G58" s="374"/>
      <c r="H58" s="127"/>
      <c r="I58" s="127"/>
      <c r="J58" s="127"/>
      <c r="K58" s="383"/>
      <c r="L58" s="374"/>
      <c r="M58" s="127"/>
      <c r="N58" s="127"/>
      <c r="O58" s="127"/>
      <c r="P58" s="383"/>
      <c r="Q58" s="164"/>
      <c r="R58" s="127"/>
      <c r="S58" s="127"/>
      <c r="T58" s="127"/>
      <c r="U58" s="131"/>
      <c r="V58" s="374"/>
      <c r="W58" s="127"/>
      <c r="X58" s="127"/>
      <c r="Y58" s="127"/>
      <c r="Z58" s="131"/>
      <c r="AA58" s="374"/>
      <c r="AB58" s="127"/>
      <c r="AC58" s="127"/>
      <c r="AD58" s="127"/>
      <c r="AE58" s="131"/>
      <c r="AF58" s="374"/>
      <c r="AG58" s="127"/>
      <c r="AH58" s="127"/>
      <c r="AI58" s="127"/>
      <c r="AJ58" s="131"/>
      <c r="AK58" s="374"/>
      <c r="AL58" s="127"/>
      <c r="AM58" s="127"/>
      <c r="AN58" s="127"/>
      <c r="AO58" s="184"/>
      <c r="AP58" s="183"/>
      <c r="AQ58" s="142"/>
      <c r="AR58" s="142"/>
      <c r="AS58" s="142"/>
    </row>
    <row r="59">
      <c r="A59" s="131"/>
      <c r="B59" s="374"/>
      <c r="C59" s="127"/>
      <c r="D59" s="127"/>
      <c r="E59" s="127"/>
      <c r="F59" s="131"/>
      <c r="G59" s="374"/>
      <c r="H59" s="127"/>
      <c r="I59" s="127"/>
      <c r="J59" s="127"/>
      <c r="K59" s="383"/>
      <c r="L59" s="374"/>
      <c r="M59" s="127"/>
      <c r="N59" s="127"/>
      <c r="O59" s="127"/>
      <c r="P59" s="383"/>
      <c r="Q59" s="164"/>
      <c r="R59" s="127"/>
      <c r="S59" s="127"/>
      <c r="T59" s="127"/>
      <c r="U59" s="131"/>
      <c r="V59" s="374"/>
      <c r="W59" s="127"/>
      <c r="X59" s="127"/>
      <c r="Y59" s="127"/>
      <c r="Z59" s="131"/>
      <c r="AA59" s="374"/>
      <c r="AB59" s="127"/>
      <c r="AC59" s="127"/>
      <c r="AD59" s="127"/>
      <c r="AE59" s="131"/>
      <c r="AF59" s="374"/>
      <c r="AG59" s="127"/>
      <c r="AH59" s="127"/>
      <c r="AI59" s="127"/>
      <c r="AJ59" s="131"/>
      <c r="AK59" s="374"/>
      <c r="AL59" s="127"/>
      <c r="AM59" s="127"/>
      <c r="AN59" s="127"/>
      <c r="AO59" s="184"/>
      <c r="AP59" s="183"/>
      <c r="AQ59" s="142"/>
      <c r="AR59" s="142"/>
      <c r="AS59" s="142"/>
    </row>
    <row r="60">
      <c r="A60" s="131"/>
      <c r="B60" s="374"/>
      <c r="C60" s="127"/>
      <c r="D60" s="127"/>
      <c r="E60" s="127"/>
      <c r="F60" s="131"/>
      <c r="G60" s="374"/>
      <c r="H60" s="127"/>
      <c r="I60" s="127"/>
      <c r="J60" s="127"/>
      <c r="K60" s="383"/>
      <c r="L60" s="374"/>
      <c r="M60" s="127"/>
      <c r="N60" s="127"/>
      <c r="O60" s="127"/>
      <c r="P60" s="383"/>
      <c r="Q60" s="164"/>
      <c r="R60" s="127"/>
      <c r="S60" s="127"/>
      <c r="T60" s="127"/>
      <c r="U60" s="131"/>
      <c r="V60" s="374"/>
      <c r="W60" s="127"/>
      <c r="X60" s="127"/>
      <c r="Y60" s="127"/>
      <c r="Z60" s="131"/>
      <c r="AA60" s="374"/>
      <c r="AB60" s="127"/>
      <c r="AC60" s="127"/>
      <c r="AD60" s="127"/>
      <c r="AE60" s="131"/>
      <c r="AF60" s="374"/>
      <c r="AG60" s="127"/>
      <c r="AH60" s="127"/>
      <c r="AI60" s="127"/>
      <c r="AJ60" s="131"/>
      <c r="AK60" s="374"/>
      <c r="AL60" s="127"/>
      <c r="AM60" s="127"/>
      <c r="AN60" s="127"/>
      <c r="AO60" s="184"/>
      <c r="AP60" s="183"/>
      <c r="AQ60" s="142"/>
      <c r="AR60" s="142"/>
      <c r="AS60" s="142"/>
    </row>
    <row r="61">
      <c r="A61" s="131"/>
      <c r="B61" s="374"/>
      <c r="C61" s="127"/>
      <c r="D61" s="127"/>
      <c r="E61" s="127"/>
      <c r="F61" s="131"/>
      <c r="G61" s="374"/>
      <c r="H61" s="127"/>
      <c r="I61" s="127"/>
      <c r="J61" s="127"/>
      <c r="K61" s="383"/>
      <c r="L61" s="374"/>
      <c r="M61" s="127"/>
      <c r="N61" s="127"/>
      <c r="O61" s="127"/>
      <c r="P61" s="383"/>
      <c r="Q61" s="164"/>
      <c r="R61" s="127"/>
      <c r="S61" s="127"/>
      <c r="T61" s="127"/>
      <c r="U61" s="131"/>
      <c r="V61" s="374"/>
      <c r="W61" s="127"/>
      <c r="X61" s="127"/>
      <c r="Y61" s="127"/>
      <c r="Z61" s="131"/>
      <c r="AA61" s="374"/>
      <c r="AB61" s="127"/>
      <c r="AC61" s="127"/>
      <c r="AD61" s="127"/>
      <c r="AE61" s="131"/>
      <c r="AF61" s="374"/>
      <c r="AG61" s="127"/>
      <c r="AH61" s="127"/>
      <c r="AI61" s="127"/>
      <c r="AJ61" s="131"/>
      <c r="AK61" s="374"/>
      <c r="AL61" s="127"/>
      <c r="AM61" s="127"/>
      <c r="AN61" s="127"/>
      <c r="AO61" s="184"/>
      <c r="AP61" s="183"/>
      <c r="AQ61" s="142"/>
      <c r="AR61" s="142"/>
      <c r="AS61" s="142"/>
    </row>
    <row r="62">
      <c r="A62" s="131"/>
      <c r="B62" s="374"/>
      <c r="C62" s="127"/>
      <c r="D62" s="127"/>
      <c r="E62" s="127"/>
      <c r="F62" s="131"/>
      <c r="G62" s="374"/>
      <c r="H62" s="127"/>
      <c r="I62" s="127"/>
      <c r="J62" s="127"/>
      <c r="K62" s="383"/>
      <c r="L62" s="374"/>
      <c r="M62" s="127"/>
      <c r="N62" s="127"/>
      <c r="O62" s="127"/>
      <c r="P62" s="383"/>
      <c r="Q62" s="164"/>
      <c r="R62" s="127"/>
      <c r="S62" s="127"/>
      <c r="T62" s="127"/>
      <c r="U62" s="131"/>
      <c r="V62" s="374"/>
      <c r="W62" s="127"/>
      <c r="X62" s="127"/>
      <c r="Y62" s="127"/>
      <c r="Z62" s="131"/>
      <c r="AA62" s="374"/>
      <c r="AB62" s="127"/>
      <c r="AC62" s="127"/>
      <c r="AD62" s="127"/>
      <c r="AE62" s="131"/>
      <c r="AF62" s="374"/>
      <c r="AG62" s="127"/>
      <c r="AH62" s="127"/>
      <c r="AI62" s="127"/>
      <c r="AJ62" s="131"/>
      <c r="AK62" s="374"/>
      <c r="AL62" s="127"/>
      <c r="AM62" s="127"/>
      <c r="AN62" s="127"/>
      <c r="AO62" s="184"/>
      <c r="AP62" s="183"/>
      <c r="AQ62" s="142"/>
      <c r="AR62" s="142"/>
      <c r="AS62" s="142"/>
    </row>
    <row r="63">
      <c r="A63" s="131"/>
      <c r="B63" s="374"/>
      <c r="C63" s="127"/>
      <c r="D63" s="127"/>
      <c r="E63" s="127"/>
      <c r="F63" s="131"/>
      <c r="G63" s="374"/>
      <c r="H63" s="127"/>
      <c r="I63" s="127"/>
      <c r="J63" s="127"/>
      <c r="K63" s="383"/>
      <c r="L63" s="374"/>
      <c r="M63" s="127"/>
      <c r="N63" s="127"/>
      <c r="O63" s="127"/>
      <c r="P63" s="383"/>
      <c r="Q63" s="164"/>
      <c r="R63" s="127"/>
      <c r="S63" s="127"/>
      <c r="T63" s="127"/>
      <c r="U63" s="131"/>
      <c r="V63" s="374"/>
      <c r="W63" s="127"/>
      <c r="X63" s="127"/>
      <c r="Y63" s="127"/>
      <c r="Z63" s="131"/>
      <c r="AA63" s="374"/>
      <c r="AB63" s="127"/>
      <c r="AC63" s="127"/>
      <c r="AD63" s="127"/>
      <c r="AE63" s="131"/>
      <c r="AF63" s="374"/>
      <c r="AG63" s="127"/>
      <c r="AH63" s="127"/>
      <c r="AI63" s="127"/>
      <c r="AJ63" s="131"/>
      <c r="AK63" s="374"/>
      <c r="AL63" s="127"/>
      <c r="AM63" s="127"/>
      <c r="AN63" s="127"/>
      <c r="AO63" s="184"/>
      <c r="AP63" s="183"/>
      <c r="AQ63" s="142"/>
      <c r="AR63" s="142"/>
      <c r="AS63" s="142"/>
    </row>
    <row r="64">
      <c r="A64" s="131"/>
      <c r="B64" s="374"/>
      <c r="C64" s="127"/>
      <c r="D64" s="127"/>
      <c r="E64" s="127"/>
      <c r="F64" s="131"/>
      <c r="G64" s="374"/>
      <c r="H64" s="127"/>
      <c r="I64" s="127"/>
      <c r="J64" s="127"/>
      <c r="K64" s="383"/>
      <c r="L64" s="374"/>
      <c r="M64" s="127"/>
      <c r="N64" s="127"/>
      <c r="O64" s="127"/>
      <c r="P64" s="383"/>
      <c r="Q64" s="164"/>
      <c r="R64" s="127"/>
      <c r="S64" s="127"/>
      <c r="T64" s="127"/>
      <c r="U64" s="131"/>
      <c r="V64" s="374"/>
      <c r="W64" s="127"/>
      <c r="X64" s="127"/>
      <c r="Y64" s="127"/>
      <c r="Z64" s="131"/>
      <c r="AA64" s="374"/>
      <c r="AB64" s="127"/>
      <c r="AC64" s="127"/>
      <c r="AD64" s="127"/>
      <c r="AE64" s="131"/>
      <c r="AF64" s="374"/>
      <c r="AG64" s="127"/>
      <c r="AH64" s="127"/>
      <c r="AI64" s="127"/>
      <c r="AJ64" s="131"/>
      <c r="AK64" s="374"/>
      <c r="AL64" s="127"/>
      <c r="AM64" s="127"/>
      <c r="AN64" s="127"/>
      <c r="AO64" s="184"/>
      <c r="AP64" s="183"/>
      <c r="AQ64" s="142"/>
      <c r="AR64" s="142"/>
      <c r="AS64" s="142"/>
    </row>
    <row r="65">
      <c r="A65" s="131"/>
      <c r="B65" s="374"/>
      <c r="C65" s="127"/>
      <c r="D65" s="127"/>
      <c r="E65" s="127"/>
      <c r="F65" s="131"/>
      <c r="G65" s="374"/>
      <c r="H65" s="127"/>
      <c r="I65" s="127"/>
      <c r="J65" s="127"/>
      <c r="K65" s="383"/>
      <c r="L65" s="374"/>
      <c r="M65" s="127"/>
      <c r="N65" s="127"/>
      <c r="O65" s="127"/>
      <c r="P65" s="383"/>
      <c r="Q65" s="164"/>
      <c r="R65" s="127"/>
      <c r="S65" s="127"/>
      <c r="T65" s="127"/>
      <c r="U65" s="131"/>
      <c r="V65" s="374"/>
      <c r="W65" s="127"/>
      <c r="X65" s="127"/>
      <c r="Y65" s="127"/>
      <c r="Z65" s="131"/>
      <c r="AA65" s="374"/>
      <c r="AB65" s="127"/>
      <c r="AC65" s="127"/>
      <c r="AD65" s="127"/>
      <c r="AE65" s="131"/>
      <c r="AF65" s="374"/>
      <c r="AG65" s="127"/>
      <c r="AH65" s="127"/>
      <c r="AI65" s="127"/>
      <c r="AJ65" s="131"/>
      <c r="AK65" s="374"/>
      <c r="AL65" s="127"/>
      <c r="AM65" s="127"/>
      <c r="AN65" s="127"/>
      <c r="AO65" s="184"/>
      <c r="AP65" s="183"/>
      <c r="AQ65" s="142"/>
      <c r="AR65" s="142"/>
      <c r="AS65" s="142"/>
    </row>
    <row r="66">
      <c r="A66" s="131"/>
      <c r="B66" s="374"/>
      <c r="C66" s="127"/>
      <c r="D66" s="127"/>
      <c r="E66" s="127"/>
      <c r="F66" s="131"/>
      <c r="G66" s="374"/>
      <c r="H66" s="127"/>
      <c r="I66" s="127"/>
      <c r="J66" s="127"/>
      <c r="K66" s="383"/>
      <c r="L66" s="374"/>
      <c r="M66" s="127"/>
      <c r="N66" s="127"/>
      <c r="O66" s="127"/>
      <c r="P66" s="383"/>
      <c r="Q66" s="164"/>
      <c r="R66" s="127"/>
      <c r="S66" s="127"/>
      <c r="T66" s="127"/>
      <c r="U66" s="131"/>
      <c r="V66" s="374"/>
      <c r="W66" s="127"/>
      <c r="X66" s="127"/>
      <c r="Y66" s="127"/>
      <c r="Z66" s="131"/>
      <c r="AA66" s="374"/>
      <c r="AB66" s="127"/>
      <c r="AC66" s="127"/>
      <c r="AD66" s="127"/>
      <c r="AE66" s="131"/>
      <c r="AF66" s="374"/>
      <c r="AG66" s="127"/>
      <c r="AH66" s="127"/>
      <c r="AI66" s="127"/>
      <c r="AJ66" s="131"/>
      <c r="AK66" s="374"/>
      <c r="AL66" s="127"/>
      <c r="AM66" s="127"/>
      <c r="AN66" s="127"/>
      <c r="AO66" s="184"/>
      <c r="AP66" s="183"/>
      <c r="AQ66" s="142"/>
      <c r="AR66" s="142"/>
      <c r="AS66" s="142"/>
    </row>
    <row r="67">
      <c r="A67" s="131"/>
      <c r="B67" s="374"/>
      <c r="C67" s="127"/>
      <c r="D67" s="127"/>
      <c r="E67" s="127"/>
      <c r="F67" s="131"/>
      <c r="G67" s="374"/>
      <c r="H67" s="127"/>
      <c r="I67" s="127"/>
      <c r="J67" s="127"/>
      <c r="K67" s="383"/>
      <c r="L67" s="374"/>
      <c r="M67" s="127"/>
      <c r="N67" s="127"/>
      <c r="O67" s="127"/>
      <c r="P67" s="383"/>
      <c r="Q67" s="164"/>
      <c r="R67" s="127"/>
      <c r="S67" s="127"/>
      <c r="T67" s="127"/>
      <c r="U67" s="131"/>
      <c r="V67" s="374"/>
      <c r="W67" s="127"/>
      <c r="X67" s="127"/>
      <c r="Y67" s="127"/>
      <c r="Z67" s="131"/>
      <c r="AA67" s="374"/>
      <c r="AB67" s="127"/>
      <c r="AC67" s="127"/>
      <c r="AD67" s="127"/>
      <c r="AE67" s="131"/>
      <c r="AF67" s="374"/>
      <c r="AG67" s="127"/>
      <c r="AH67" s="127"/>
      <c r="AI67" s="127"/>
      <c r="AJ67" s="131"/>
      <c r="AK67" s="374"/>
      <c r="AL67" s="127"/>
      <c r="AM67" s="127"/>
      <c r="AN67" s="127"/>
      <c r="AO67" s="184"/>
      <c r="AP67" s="183"/>
      <c r="AQ67" s="142"/>
      <c r="AR67" s="142"/>
      <c r="AS67" s="142"/>
    </row>
    <row r="68">
      <c r="A68" s="131"/>
      <c r="B68" s="374"/>
      <c r="C68" s="127"/>
      <c r="D68" s="127"/>
      <c r="E68" s="127"/>
      <c r="F68" s="131"/>
      <c r="G68" s="374"/>
      <c r="H68" s="127"/>
      <c r="I68" s="127"/>
      <c r="J68" s="127"/>
      <c r="K68" s="383"/>
      <c r="L68" s="374"/>
      <c r="M68" s="127"/>
      <c r="N68" s="127"/>
      <c r="O68" s="127"/>
      <c r="P68" s="383"/>
      <c r="Q68" s="164"/>
      <c r="R68" s="127"/>
      <c r="S68" s="127"/>
      <c r="T68" s="127"/>
      <c r="U68" s="131"/>
      <c r="V68" s="374"/>
      <c r="W68" s="127"/>
      <c r="X68" s="127"/>
      <c r="Y68" s="127"/>
      <c r="Z68" s="131"/>
      <c r="AA68" s="374"/>
      <c r="AB68" s="127"/>
      <c r="AC68" s="127"/>
      <c r="AD68" s="127"/>
      <c r="AE68" s="131"/>
      <c r="AF68" s="374"/>
      <c r="AG68" s="127"/>
      <c r="AH68" s="127"/>
      <c r="AI68" s="127"/>
      <c r="AJ68" s="131"/>
      <c r="AK68" s="374"/>
      <c r="AL68" s="127"/>
      <c r="AM68" s="127"/>
      <c r="AN68" s="127"/>
      <c r="AO68" s="184"/>
      <c r="AP68" s="183"/>
      <c r="AQ68" s="142"/>
      <c r="AR68" s="142"/>
      <c r="AS68" s="142"/>
    </row>
    <row r="69">
      <c r="A69" s="131"/>
      <c r="B69" s="374"/>
      <c r="C69" s="127"/>
      <c r="D69" s="127"/>
      <c r="E69" s="127"/>
      <c r="F69" s="131"/>
      <c r="G69" s="374"/>
      <c r="H69" s="127"/>
      <c r="I69" s="127"/>
      <c r="J69" s="127"/>
      <c r="K69" s="383"/>
      <c r="L69" s="374"/>
      <c r="M69" s="127"/>
      <c r="N69" s="127"/>
      <c r="O69" s="127"/>
      <c r="P69" s="383"/>
      <c r="Q69" s="164"/>
      <c r="R69" s="127"/>
      <c r="S69" s="127"/>
      <c r="T69" s="127"/>
      <c r="U69" s="131"/>
      <c r="V69" s="374"/>
      <c r="W69" s="127"/>
      <c r="X69" s="127"/>
      <c r="Y69" s="127"/>
      <c r="Z69" s="131"/>
      <c r="AA69" s="374"/>
      <c r="AB69" s="127"/>
      <c r="AC69" s="127"/>
      <c r="AD69" s="127"/>
      <c r="AE69" s="131"/>
      <c r="AF69" s="374"/>
      <c r="AG69" s="127"/>
      <c r="AH69" s="127"/>
      <c r="AI69" s="127"/>
      <c r="AJ69" s="131"/>
      <c r="AK69" s="374"/>
      <c r="AL69" s="127"/>
      <c r="AM69" s="127"/>
      <c r="AN69" s="127"/>
      <c r="AO69" s="184"/>
      <c r="AP69" s="183"/>
      <c r="AQ69" s="142"/>
      <c r="AR69" s="142"/>
      <c r="AS69" s="142"/>
    </row>
    <row r="70">
      <c r="A70" s="131"/>
      <c r="B70" s="374"/>
      <c r="C70" s="127"/>
      <c r="D70" s="127"/>
      <c r="E70" s="127"/>
      <c r="F70" s="131"/>
      <c r="G70" s="374"/>
      <c r="H70" s="127"/>
      <c r="I70" s="127"/>
      <c r="J70" s="127"/>
      <c r="K70" s="383"/>
      <c r="L70" s="374"/>
      <c r="M70" s="127"/>
      <c r="N70" s="127"/>
      <c r="O70" s="127"/>
      <c r="P70" s="383"/>
      <c r="Q70" s="164"/>
      <c r="R70" s="127"/>
      <c r="S70" s="127"/>
      <c r="T70" s="127"/>
      <c r="U70" s="131"/>
      <c r="V70" s="374"/>
      <c r="W70" s="127"/>
      <c r="X70" s="127"/>
      <c r="Y70" s="127"/>
      <c r="Z70" s="131"/>
      <c r="AA70" s="374"/>
      <c r="AB70" s="127"/>
      <c r="AC70" s="127"/>
      <c r="AD70" s="127"/>
      <c r="AE70" s="131"/>
      <c r="AF70" s="374"/>
      <c r="AG70" s="127"/>
      <c r="AH70" s="127"/>
      <c r="AI70" s="127"/>
      <c r="AJ70" s="131"/>
      <c r="AK70" s="374"/>
      <c r="AL70" s="127"/>
      <c r="AM70" s="127"/>
      <c r="AN70" s="127"/>
      <c r="AO70" s="184"/>
      <c r="AP70" s="183"/>
      <c r="AQ70" s="142"/>
      <c r="AR70" s="142"/>
      <c r="AS70" s="142"/>
    </row>
    <row r="71">
      <c r="A71" s="131"/>
      <c r="B71" s="374"/>
      <c r="C71" s="127"/>
      <c r="D71" s="127"/>
      <c r="E71" s="127"/>
      <c r="F71" s="131"/>
      <c r="G71" s="374"/>
      <c r="H71" s="127"/>
      <c r="I71" s="127"/>
      <c r="J71" s="127"/>
      <c r="K71" s="383"/>
      <c r="L71" s="374"/>
      <c r="M71" s="127"/>
      <c r="N71" s="127"/>
      <c r="O71" s="127"/>
      <c r="P71" s="383"/>
      <c r="Q71" s="164"/>
      <c r="R71" s="127"/>
      <c r="S71" s="127"/>
      <c r="T71" s="127"/>
      <c r="U71" s="131"/>
      <c r="V71" s="374"/>
      <c r="W71" s="127"/>
      <c r="X71" s="127"/>
      <c r="Y71" s="127"/>
      <c r="Z71" s="131"/>
      <c r="AA71" s="374"/>
      <c r="AB71" s="127"/>
      <c r="AC71" s="127"/>
      <c r="AD71" s="127"/>
      <c r="AE71" s="131"/>
      <c r="AF71" s="374"/>
      <c r="AG71" s="127"/>
      <c r="AH71" s="127"/>
      <c r="AI71" s="127"/>
      <c r="AJ71" s="131"/>
      <c r="AK71" s="374"/>
      <c r="AL71" s="127"/>
      <c r="AM71" s="127"/>
      <c r="AN71" s="127"/>
      <c r="AO71" s="184"/>
      <c r="AP71" s="183"/>
      <c r="AQ71" s="142"/>
      <c r="AR71" s="142"/>
      <c r="AS71" s="142"/>
    </row>
    <row r="72">
      <c r="A72" s="131"/>
      <c r="B72" s="374"/>
      <c r="C72" s="127"/>
      <c r="D72" s="127"/>
      <c r="E72" s="127"/>
      <c r="F72" s="131"/>
      <c r="G72" s="374"/>
      <c r="H72" s="127"/>
      <c r="I72" s="127"/>
      <c r="J72" s="127"/>
      <c r="K72" s="383"/>
      <c r="L72" s="374"/>
      <c r="M72" s="127"/>
      <c r="N72" s="127"/>
      <c r="O72" s="127"/>
      <c r="P72" s="383"/>
      <c r="Q72" s="164"/>
      <c r="R72" s="127"/>
      <c r="S72" s="127"/>
      <c r="T72" s="127"/>
      <c r="U72" s="131"/>
      <c r="V72" s="374"/>
      <c r="W72" s="127"/>
      <c r="X72" s="127"/>
      <c r="Y72" s="127"/>
      <c r="Z72" s="131"/>
      <c r="AA72" s="374"/>
      <c r="AB72" s="127"/>
      <c r="AC72" s="127"/>
      <c r="AD72" s="127"/>
      <c r="AE72" s="131"/>
      <c r="AF72" s="374"/>
      <c r="AG72" s="127"/>
      <c r="AH72" s="127"/>
      <c r="AI72" s="127"/>
      <c r="AJ72" s="131"/>
      <c r="AK72" s="374"/>
      <c r="AL72" s="127"/>
      <c r="AM72" s="127"/>
      <c r="AN72" s="127"/>
      <c r="AO72" s="184"/>
      <c r="AP72" s="183"/>
      <c r="AQ72" s="142"/>
      <c r="AR72" s="142"/>
      <c r="AS72" s="142"/>
    </row>
    <row r="73">
      <c r="A73" s="131"/>
      <c r="B73" s="374"/>
      <c r="C73" s="127"/>
      <c r="D73" s="127"/>
      <c r="E73" s="127"/>
      <c r="F73" s="131"/>
      <c r="G73" s="374"/>
      <c r="H73" s="127"/>
      <c r="I73" s="127"/>
      <c r="J73" s="127"/>
      <c r="K73" s="383"/>
      <c r="L73" s="374"/>
      <c r="M73" s="127"/>
      <c r="N73" s="127"/>
      <c r="O73" s="127"/>
      <c r="P73" s="383"/>
      <c r="Q73" s="164"/>
      <c r="R73" s="127"/>
      <c r="S73" s="127"/>
      <c r="T73" s="127"/>
      <c r="U73" s="131"/>
      <c r="V73" s="374"/>
      <c r="W73" s="127"/>
      <c r="X73" s="127"/>
      <c r="Y73" s="127"/>
      <c r="Z73" s="131"/>
      <c r="AA73" s="374"/>
      <c r="AB73" s="127"/>
      <c r="AC73" s="127"/>
      <c r="AD73" s="127"/>
      <c r="AE73" s="131"/>
      <c r="AF73" s="374"/>
      <c r="AG73" s="127"/>
      <c r="AH73" s="127"/>
      <c r="AI73" s="127"/>
      <c r="AJ73" s="131"/>
      <c r="AK73" s="374"/>
      <c r="AL73" s="127"/>
      <c r="AM73" s="127"/>
      <c r="AN73" s="127"/>
      <c r="AO73" s="184"/>
      <c r="AP73" s="183"/>
      <c r="AQ73" s="142"/>
      <c r="AR73" s="142"/>
      <c r="AS73" s="142"/>
    </row>
    <row r="74">
      <c r="A74" s="131"/>
      <c r="B74" s="374"/>
      <c r="C74" s="127"/>
      <c r="D74" s="127"/>
      <c r="E74" s="127"/>
      <c r="F74" s="131"/>
      <c r="G74" s="374"/>
      <c r="H74" s="127"/>
      <c r="I74" s="127"/>
      <c r="J74" s="127"/>
      <c r="K74" s="383"/>
      <c r="L74" s="374"/>
      <c r="M74" s="127"/>
      <c r="N74" s="127"/>
      <c r="O74" s="127"/>
      <c r="P74" s="383"/>
      <c r="Q74" s="164"/>
      <c r="R74" s="127"/>
      <c r="S74" s="127"/>
      <c r="T74" s="127"/>
      <c r="U74" s="131"/>
      <c r="V74" s="374"/>
      <c r="W74" s="127"/>
      <c r="X74" s="127"/>
      <c r="Y74" s="127"/>
      <c r="Z74" s="131"/>
      <c r="AA74" s="374"/>
      <c r="AB74" s="127"/>
      <c r="AC74" s="127"/>
      <c r="AD74" s="127"/>
      <c r="AE74" s="131"/>
      <c r="AF74" s="374"/>
      <c r="AG74" s="127"/>
      <c r="AH74" s="127"/>
      <c r="AI74" s="127"/>
      <c r="AJ74" s="131"/>
      <c r="AK74" s="374"/>
      <c r="AL74" s="127"/>
      <c r="AM74" s="127"/>
      <c r="AN74" s="127"/>
      <c r="AO74" s="184"/>
      <c r="AP74" s="183"/>
      <c r="AQ74" s="142"/>
      <c r="AR74" s="142"/>
      <c r="AS74" s="142"/>
    </row>
    <row r="75">
      <c r="A75" s="131"/>
      <c r="B75" s="374"/>
      <c r="C75" s="127"/>
      <c r="D75" s="127"/>
      <c r="E75" s="127"/>
      <c r="F75" s="131"/>
      <c r="G75" s="374"/>
      <c r="H75" s="127"/>
      <c r="I75" s="127"/>
      <c r="J75" s="127"/>
      <c r="K75" s="383"/>
      <c r="L75" s="374"/>
      <c r="M75" s="127"/>
      <c r="N75" s="127"/>
      <c r="O75" s="127"/>
      <c r="P75" s="383"/>
      <c r="Q75" s="164"/>
      <c r="R75" s="127"/>
      <c r="S75" s="127"/>
      <c r="T75" s="127"/>
      <c r="U75" s="131"/>
      <c r="V75" s="374"/>
      <c r="W75" s="127"/>
      <c r="X75" s="127"/>
      <c r="Y75" s="127"/>
      <c r="Z75" s="131"/>
      <c r="AA75" s="374"/>
      <c r="AB75" s="127"/>
      <c r="AC75" s="127"/>
      <c r="AD75" s="127"/>
      <c r="AE75" s="131"/>
      <c r="AF75" s="374"/>
      <c r="AG75" s="127"/>
      <c r="AH75" s="127"/>
      <c r="AI75" s="127"/>
      <c r="AJ75" s="131"/>
      <c r="AK75" s="374"/>
      <c r="AL75" s="127"/>
      <c r="AM75" s="127"/>
      <c r="AN75" s="127"/>
      <c r="AO75" s="184"/>
      <c r="AP75" s="183"/>
      <c r="AQ75" s="142"/>
      <c r="AR75" s="142"/>
      <c r="AS75" s="142"/>
    </row>
    <row r="76">
      <c r="A76" s="131"/>
      <c r="B76" s="374"/>
      <c r="C76" s="127"/>
      <c r="D76" s="127"/>
      <c r="E76" s="127"/>
      <c r="F76" s="131"/>
      <c r="G76" s="374"/>
      <c r="H76" s="127"/>
      <c r="I76" s="127"/>
      <c r="J76" s="127"/>
      <c r="K76" s="383"/>
      <c r="L76" s="374"/>
      <c r="M76" s="127"/>
      <c r="N76" s="127"/>
      <c r="O76" s="127"/>
      <c r="P76" s="383"/>
      <c r="Q76" s="164"/>
      <c r="R76" s="127"/>
      <c r="S76" s="127"/>
      <c r="T76" s="127"/>
      <c r="U76" s="131"/>
      <c r="V76" s="374"/>
      <c r="W76" s="127"/>
      <c r="X76" s="127"/>
      <c r="Y76" s="127"/>
      <c r="Z76" s="131"/>
      <c r="AA76" s="374"/>
      <c r="AB76" s="127"/>
      <c r="AC76" s="127"/>
      <c r="AD76" s="127"/>
      <c r="AE76" s="131"/>
      <c r="AF76" s="374"/>
      <c r="AG76" s="127"/>
      <c r="AH76" s="127"/>
      <c r="AI76" s="127"/>
      <c r="AJ76" s="131"/>
      <c r="AK76" s="374"/>
      <c r="AL76" s="127"/>
      <c r="AM76" s="127"/>
      <c r="AN76" s="127"/>
      <c r="AO76" s="184"/>
      <c r="AP76" s="183"/>
      <c r="AQ76" s="142"/>
      <c r="AR76" s="142"/>
      <c r="AS76" s="142"/>
    </row>
    <row r="77">
      <c r="A77" s="131"/>
      <c r="B77" s="374"/>
      <c r="C77" s="127"/>
      <c r="D77" s="127"/>
      <c r="E77" s="127"/>
      <c r="F77" s="131"/>
      <c r="G77" s="374"/>
      <c r="H77" s="127"/>
      <c r="I77" s="127"/>
      <c r="J77" s="127"/>
      <c r="K77" s="383"/>
      <c r="L77" s="374"/>
      <c r="M77" s="127"/>
      <c r="N77" s="127"/>
      <c r="O77" s="127"/>
      <c r="P77" s="383"/>
      <c r="Q77" s="164"/>
      <c r="R77" s="127"/>
      <c r="S77" s="127"/>
      <c r="T77" s="127"/>
      <c r="U77" s="131"/>
      <c r="V77" s="374"/>
      <c r="W77" s="127"/>
      <c r="X77" s="127"/>
      <c r="Y77" s="127"/>
      <c r="Z77" s="131"/>
      <c r="AA77" s="374"/>
      <c r="AB77" s="127"/>
      <c r="AC77" s="127"/>
      <c r="AD77" s="127"/>
      <c r="AE77" s="131"/>
      <c r="AF77" s="374"/>
      <c r="AG77" s="127"/>
      <c r="AH77" s="127"/>
      <c r="AI77" s="127"/>
      <c r="AJ77" s="131"/>
      <c r="AK77" s="374"/>
      <c r="AL77" s="127"/>
      <c r="AM77" s="127"/>
      <c r="AN77" s="127"/>
      <c r="AO77" s="184"/>
      <c r="AP77" s="183"/>
      <c r="AQ77" s="142"/>
      <c r="AR77" s="142"/>
      <c r="AS77" s="142"/>
    </row>
    <row r="78">
      <c r="A78" s="131"/>
      <c r="B78" s="374"/>
      <c r="C78" s="127"/>
      <c r="D78" s="127"/>
      <c r="E78" s="127"/>
      <c r="F78" s="131"/>
      <c r="G78" s="374"/>
      <c r="H78" s="127"/>
      <c r="I78" s="127"/>
      <c r="J78" s="127"/>
      <c r="K78" s="383"/>
      <c r="L78" s="374"/>
      <c r="M78" s="127"/>
      <c r="N78" s="127"/>
      <c r="O78" s="127"/>
      <c r="P78" s="383"/>
      <c r="Q78" s="164"/>
      <c r="R78" s="127"/>
      <c r="S78" s="127"/>
      <c r="T78" s="127"/>
      <c r="U78" s="131"/>
      <c r="V78" s="374"/>
      <c r="W78" s="127"/>
      <c r="X78" s="127"/>
      <c r="Y78" s="127"/>
      <c r="Z78" s="131"/>
      <c r="AA78" s="374"/>
      <c r="AB78" s="127"/>
      <c r="AC78" s="127"/>
      <c r="AD78" s="127"/>
      <c r="AE78" s="131"/>
      <c r="AF78" s="374"/>
      <c r="AG78" s="127"/>
      <c r="AH78" s="127"/>
      <c r="AI78" s="127"/>
      <c r="AJ78" s="131"/>
      <c r="AK78" s="374"/>
      <c r="AL78" s="127"/>
      <c r="AM78" s="127"/>
      <c r="AN78" s="127"/>
      <c r="AO78" s="184"/>
      <c r="AP78" s="183"/>
      <c r="AQ78" s="142"/>
      <c r="AR78" s="142"/>
      <c r="AS78" s="142"/>
    </row>
    <row r="79">
      <c r="A79" s="131"/>
      <c r="B79" s="374"/>
      <c r="C79" s="127"/>
      <c r="D79" s="127"/>
      <c r="E79" s="127"/>
      <c r="F79" s="131"/>
      <c r="G79" s="374"/>
      <c r="H79" s="127"/>
      <c r="I79" s="127"/>
      <c r="J79" s="127"/>
      <c r="K79" s="383"/>
      <c r="L79" s="374"/>
      <c r="M79" s="127"/>
      <c r="N79" s="127"/>
      <c r="O79" s="127"/>
      <c r="P79" s="383"/>
      <c r="Q79" s="164"/>
      <c r="R79" s="127"/>
      <c r="S79" s="127"/>
      <c r="T79" s="127"/>
      <c r="U79" s="131"/>
      <c r="V79" s="374"/>
      <c r="W79" s="127"/>
      <c r="X79" s="127"/>
      <c r="Y79" s="127"/>
      <c r="Z79" s="131"/>
      <c r="AA79" s="374"/>
      <c r="AB79" s="127"/>
      <c r="AC79" s="127"/>
      <c r="AD79" s="127"/>
      <c r="AE79" s="131"/>
      <c r="AF79" s="374"/>
      <c r="AG79" s="127"/>
      <c r="AH79" s="127"/>
      <c r="AI79" s="127"/>
      <c r="AJ79" s="131"/>
      <c r="AK79" s="374"/>
      <c r="AL79" s="127"/>
      <c r="AM79" s="127"/>
      <c r="AN79" s="127"/>
      <c r="AO79" s="184"/>
      <c r="AP79" s="183"/>
      <c r="AQ79" s="142"/>
      <c r="AR79" s="142"/>
      <c r="AS79" s="142"/>
    </row>
    <row r="80">
      <c r="A80" s="131"/>
      <c r="B80" s="374"/>
      <c r="C80" s="127"/>
      <c r="D80" s="127"/>
      <c r="E80" s="127"/>
      <c r="F80" s="131"/>
      <c r="G80" s="374"/>
      <c r="H80" s="127"/>
      <c r="I80" s="127"/>
      <c r="J80" s="127"/>
      <c r="K80" s="383"/>
      <c r="L80" s="374"/>
      <c r="M80" s="127"/>
      <c r="N80" s="127"/>
      <c r="O80" s="127"/>
      <c r="P80" s="383"/>
      <c r="Q80" s="164"/>
      <c r="R80" s="127"/>
      <c r="S80" s="127"/>
      <c r="T80" s="127"/>
      <c r="U80" s="131"/>
      <c r="V80" s="374"/>
      <c r="W80" s="127"/>
      <c r="X80" s="127"/>
      <c r="Y80" s="127"/>
      <c r="Z80" s="131"/>
      <c r="AA80" s="374"/>
      <c r="AB80" s="127"/>
      <c r="AC80" s="127"/>
      <c r="AD80" s="127"/>
      <c r="AE80" s="131"/>
      <c r="AF80" s="374"/>
      <c r="AG80" s="127"/>
      <c r="AH80" s="127"/>
      <c r="AI80" s="127"/>
      <c r="AJ80" s="131"/>
      <c r="AK80" s="374"/>
      <c r="AL80" s="127"/>
      <c r="AM80" s="127"/>
      <c r="AN80" s="127"/>
      <c r="AO80" s="184"/>
      <c r="AP80" s="183"/>
      <c r="AQ80" s="142"/>
      <c r="AR80" s="142"/>
      <c r="AS80" s="142"/>
    </row>
    <row r="81">
      <c r="A81" s="131"/>
      <c r="B81" s="374"/>
      <c r="C81" s="127"/>
      <c r="D81" s="127"/>
      <c r="E81" s="127"/>
      <c r="F81" s="131"/>
      <c r="G81" s="374"/>
      <c r="H81" s="127"/>
      <c r="I81" s="127"/>
      <c r="J81" s="127"/>
      <c r="K81" s="383"/>
      <c r="L81" s="374"/>
      <c r="M81" s="127"/>
      <c r="N81" s="127"/>
      <c r="O81" s="127"/>
      <c r="P81" s="383"/>
      <c r="Q81" s="164"/>
      <c r="R81" s="127"/>
      <c r="S81" s="127"/>
      <c r="T81" s="127"/>
      <c r="U81" s="131"/>
      <c r="V81" s="374"/>
      <c r="W81" s="127"/>
      <c r="X81" s="127"/>
      <c r="Y81" s="127"/>
      <c r="Z81" s="131"/>
      <c r="AA81" s="374"/>
      <c r="AB81" s="127"/>
      <c r="AC81" s="127"/>
      <c r="AD81" s="127"/>
      <c r="AE81" s="131"/>
      <c r="AF81" s="374"/>
      <c r="AG81" s="127"/>
      <c r="AH81" s="127"/>
      <c r="AI81" s="127"/>
      <c r="AJ81" s="131"/>
      <c r="AK81" s="374"/>
      <c r="AL81" s="127"/>
      <c r="AM81" s="127"/>
      <c r="AN81" s="127"/>
      <c r="AO81" s="184"/>
      <c r="AP81" s="183"/>
      <c r="AQ81" s="142"/>
      <c r="AR81" s="142"/>
      <c r="AS81" s="142"/>
    </row>
    <row r="82">
      <c r="A82" s="131"/>
      <c r="B82" s="374"/>
      <c r="C82" s="127"/>
      <c r="D82" s="127"/>
      <c r="E82" s="127"/>
      <c r="F82" s="131"/>
      <c r="G82" s="374"/>
      <c r="H82" s="127"/>
      <c r="I82" s="127"/>
      <c r="J82" s="127"/>
      <c r="K82" s="383"/>
      <c r="L82" s="374"/>
      <c r="M82" s="127"/>
      <c r="N82" s="127"/>
      <c r="O82" s="127"/>
      <c r="P82" s="383"/>
      <c r="Q82" s="164"/>
      <c r="R82" s="127"/>
      <c r="S82" s="127"/>
      <c r="T82" s="127"/>
      <c r="U82" s="131"/>
      <c r="V82" s="374"/>
      <c r="W82" s="127"/>
      <c r="X82" s="127"/>
      <c r="Y82" s="127"/>
      <c r="Z82" s="131"/>
      <c r="AA82" s="374"/>
      <c r="AB82" s="127"/>
      <c r="AC82" s="127"/>
      <c r="AD82" s="127"/>
      <c r="AE82" s="131"/>
      <c r="AF82" s="374"/>
      <c r="AG82" s="127"/>
      <c r="AH82" s="127"/>
      <c r="AI82" s="127"/>
      <c r="AJ82" s="131"/>
      <c r="AK82" s="374"/>
      <c r="AL82" s="127"/>
      <c r="AM82" s="127"/>
      <c r="AN82" s="127"/>
      <c r="AO82" s="184"/>
      <c r="AP82" s="183"/>
      <c r="AQ82" s="142"/>
      <c r="AR82" s="142"/>
      <c r="AS82" s="142"/>
    </row>
    <row r="83">
      <c r="A83" s="131"/>
      <c r="B83" s="374"/>
      <c r="C83" s="127"/>
      <c r="D83" s="127"/>
      <c r="E83" s="127"/>
      <c r="F83" s="131"/>
      <c r="G83" s="374"/>
      <c r="H83" s="127"/>
      <c r="I83" s="127"/>
      <c r="J83" s="127"/>
      <c r="K83" s="383"/>
      <c r="L83" s="374"/>
      <c r="M83" s="127"/>
      <c r="N83" s="127"/>
      <c r="O83" s="127"/>
      <c r="P83" s="383"/>
      <c r="Q83" s="164"/>
      <c r="R83" s="127"/>
      <c r="S83" s="127"/>
      <c r="T83" s="127"/>
      <c r="U83" s="131"/>
      <c r="V83" s="374"/>
      <c r="W83" s="127"/>
      <c r="X83" s="127"/>
      <c r="Y83" s="127"/>
      <c r="Z83" s="131"/>
      <c r="AA83" s="374"/>
      <c r="AB83" s="127"/>
      <c r="AC83" s="127"/>
      <c r="AD83" s="127"/>
      <c r="AE83" s="131"/>
      <c r="AF83" s="374"/>
      <c r="AG83" s="127"/>
      <c r="AH83" s="127"/>
      <c r="AI83" s="127"/>
      <c r="AJ83" s="131"/>
      <c r="AK83" s="374"/>
      <c r="AL83" s="127"/>
      <c r="AM83" s="127"/>
      <c r="AN83" s="127"/>
      <c r="AO83" s="184"/>
      <c r="AP83" s="183"/>
      <c r="AQ83" s="142"/>
      <c r="AR83" s="142"/>
      <c r="AS83" s="142"/>
    </row>
    <row r="84">
      <c r="A84" s="131"/>
      <c r="B84" s="374"/>
      <c r="C84" s="127"/>
      <c r="D84" s="127"/>
      <c r="E84" s="127"/>
      <c r="F84" s="131"/>
      <c r="G84" s="374"/>
      <c r="H84" s="127"/>
      <c r="I84" s="127"/>
      <c r="J84" s="127"/>
      <c r="K84" s="383"/>
      <c r="L84" s="374"/>
      <c r="M84" s="127"/>
      <c r="N84" s="127"/>
      <c r="O84" s="127"/>
      <c r="P84" s="383"/>
      <c r="Q84" s="164"/>
      <c r="R84" s="127"/>
      <c r="S84" s="127"/>
      <c r="T84" s="127"/>
      <c r="U84" s="131"/>
      <c r="V84" s="374"/>
      <c r="W84" s="127"/>
      <c r="X84" s="127"/>
      <c r="Y84" s="127"/>
      <c r="Z84" s="131"/>
      <c r="AA84" s="374"/>
      <c r="AB84" s="127"/>
      <c r="AC84" s="127"/>
      <c r="AD84" s="127"/>
      <c r="AE84" s="131"/>
      <c r="AF84" s="374"/>
      <c r="AG84" s="127"/>
      <c r="AH84" s="127"/>
      <c r="AI84" s="127"/>
      <c r="AJ84" s="131"/>
      <c r="AK84" s="374"/>
      <c r="AL84" s="127"/>
      <c r="AM84" s="127"/>
      <c r="AN84" s="127"/>
      <c r="AO84" s="184"/>
      <c r="AP84" s="183"/>
      <c r="AQ84" s="142"/>
      <c r="AR84" s="142"/>
      <c r="AS84" s="142"/>
    </row>
    <row r="85">
      <c r="A85" s="131"/>
      <c r="B85" s="374"/>
      <c r="C85" s="127"/>
      <c r="D85" s="127"/>
      <c r="E85" s="127"/>
      <c r="F85" s="131"/>
      <c r="G85" s="374"/>
      <c r="H85" s="127"/>
      <c r="I85" s="127"/>
      <c r="J85" s="127"/>
      <c r="K85" s="383"/>
      <c r="L85" s="374"/>
      <c r="M85" s="127"/>
      <c r="N85" s="127"/>
      <c r="O85" s="127"/>
      <c r="P85" s="383"/>
      <c r="Q85" s="164"/>
      <c r="R85" s="127"/>
      <c r="S85" s="127"/>
      <c r="T85" s="127"/>
      <c r="U85" s="131"/>
      <c r="V85" s="374"/>
      <c r="W85" s="127"/>
      <c r="X85" s="127"/>
      <c r="Y85" s="127"/>
      <c r="Z85" s="131"/>
      <c r="AA85" s="374"/>
      <c r="AB85" s="127"/>
      <c r="AC85" s="127"/>
      <c r="AD85" s="127"/>
      <c r="AE85" s="131"/>
      <c r="AF85" s="374"/>
      <c r="AG85" s="127"/>
      <c r="AH85" s="127"/>
      <c r="AI85" s="127"/>
      <c r="AJ85" s="131"/>
      <c r="AK85" s="374"/>
      <c r="AL85" s="127"/>
      <c r="AM85" s="127"/>
      <c r="AN85" s="127"/>
      <c r="AO85" s="184"/>
      <c r="AP85" s="183"/>
      <c r="AQ85" s="142"/>
      <c r="AR85" s="142"/>
      <c r="AS85" s="142"/>
    </row>
    <row r="86">
      <c r="A86" s="131"/>
      <c r="B86" s="374"/>
      <c r="C86" s="127"/>
      <c r="D86" s="127"/>
      <c r="E86" s="127"/>
      <c r="F86" s="131"/>
      <c r="G86" s="374"/>
      <c r="H86" s="127"/>
      <c r="I86" s="127"/>
      <c r="J86" s="127"/>
      <c r="K86" s="383"/>
      <c r="L86" s="374"/>
      <c r="M86" s="127"/>
      <c r="N86" s="127"/>
      <c r="O86" s="127"/>
      <c r="P86" s="383"/>
      <c r="Q86" s="164"/>
      <c r="R86" s="127"/>
      <c r="S86" s="127"/>
      <c r="T86" s="127"/>
      <c r="U86" s="131"/>
      <c r="V86" s="374"/>
      <c r="W86" s="127"/>
      <c r="X86" s="127"/>
      <c r="Y86" s="127"/>
      <c r="Z86" s="131"/>
      <c r="AA86" s="374"/>
      <c r="AB86" s="127"/>
      <c r="AC86" s="127"/>
      <c r="AD86" s="127"/>
      <c r="AE86" s="131"/>
      <c r="AF86" s="374"/>
      <c r="AG86" s="127"/>
      <c r="AH86" s="127"/>
      <c r="AI86" s="127"/>
      <c r="AJ86" s="131"/>
      <c r="AK86" s="374"/>
      <c r="AL86" s="127"/>
      <c r="AM86" s="127"/>
      <c r="AN86" s="127"/>
      <c r="AO86" s="184"/>
      <c r="AP86" s="183"/>
      <c r="AQ86" s="142"/>
      <c r="AR86" s="142"/>
      <c r="AS86" s="142"/>
    </row>
    <row r="87">
      <c r="A87" s="131"/>
      <c r="B87" s="374"/>
      <c r="C87" s="127"/>
      <c r="D87" s="127"/>
      <c r="E87" s="127"/>
      <c r="F87" s="131"/>
      <c r="G87" s="374"/>
      <c r="H87" s="127"/>
      <c r="I87" s="127"/>
      <c r="J87" s="127"/>
      <c r="K87" s="383"/>
      <c r="L87" s="374"/>
      <c r="M87" s="127"/>
      <c r="N87" s="127"/>
      <c r="O87" s="127"/>
      <c r="P87" s="383"/>
      <c r="Q87" s="164"/>
      <c r="R87" s="127"/>
      <c r="S87" s="127"/>
      <c r="T87" s="127"/>
      <c r="U87" s="131"/>
      <c r="V87" s="374"/>
      <c r="W87" s="127"/>
      <c r="X87" s="127"/>
      <c r="Y87" s="127"/>
      <c r="Z87" s="131"/>
      <c r="AA87" s="374"/>
      <c r="AB87" s="127"/>
      <c r="AC87" s="127"/>
      <c r="AD87" s="127"/>
      <c r="AE87" s="131"/>
      <c r="AF87" s="374"/>
      <c r="AG87" s="127"/>
      <c r="AH87" s="127"/>
      <c r="AI87" s="127"/>
      <c r="AJ87" s="131"/>
      <c r="AK87" s="374"/>
      <c r="AL87" s="127"/>
      <c r="AM87" s="127"/>
      <c r="AN87" s="127"/>
      <c r="AO87" s="184"/>
      <c r="AP87" s="183"/>
      <c r="AQ87" s="142"/>
      <c r="AR87" s="142"/>
      <c r="AS87" s="142"/>
    </row>
    <row r="88">
      <c r="A88" s="131"/>
      <c r="B88" s="374"/>
      <c r="C88" s="127"/>
      <c r="D88" s="127"/>
      <c r="E88" s="127"/>
      <c r="F88" s="131"/>
      <c r="G88" s="374"/>
      <c r="H88" s="127"/>
      <c r="I88" s="127"/>
      <c r="J88" s="127"/>
      <c r="K88" s="383"/>
      <c r="L88" s="374"/>
      <c r="M88" s="127"/>
      <c r="N88" s="127"/>
      <c r="O88" s="127"/>
      <c r="P88" s="383"/>
      <c r="Q88" s="164"/>
      <c r="R88" s="127"/>
      <c r="S88" s="127"/>
      <c r="T88" s="127"/>
      <c r="U88" s="131"/>
      <c r="V88" s="374"/>
      <c r="W88" s="127"/>
      <c r="X88" s="127"/>
      <c r="Y88" s="127"/>
      <c r="Z88" s="131"/>
      <c r="AA88" s="374"/>
      <c r="AB88" s="127"/>
      <c r="AC88" s="127"/>
      <c r="AD88" s="127"/>
      <c r="AE88" s="131"/>
      <c r="AF88" s="374"/>
      <c r="AG88" s="127"/>
      <c r="AH88" s="127"/>
      <c r="AI88" s="127"/>
      <c r="AJ88" s="131"/>
      <c r="AK88" s="374"/>
      <c r="AL88" s="127"/>
      <c r="AM88" s="127"/>
      <c r="AN88" s="127"/>
      <c r="AO88" s="184"/>
      <c r="AP88" s="183"/>
      <c r="AQ88" s="142"/>
      <c r="AR88" s="142"/>
      <c r="AS88" s="142"/>
    </row>
    <row r="89">
      <c r="A89" s="131"/>
      <c r="B89" s="374"/>
      <c r="C89" s="127"/>
      <c r="D89" s="127"/>
      <c r="E89" s="127"/>
      <c r="F89" s="131"/>
      <c r="G89" s="374"/>
      <c r="H89" s="127"/>
      <c r="I89" s="127"/>
      <c r="J89" s="127"/>
      <c r="K89" s="383"/>
      <c r="L89" s="374"/>
      <c r="M89" s="127"/>
      <c r="N89" s="127"/>
      <c r="O89" s="127"/>
      <c r="P89" s="383"/>
      <c r="Q89" s="164"/>
      <c r="R89" s="127"/>
      <c r="S89" s="127"/>
      <c r="T89" s="127"/>
      <c r="U89" s="131"/>
      <c r="V89" s="374"/>
      <c r="W89" s="127"/>
      <c r="X89" s="127"/>
      <c r="Y89" s="127"/>
      <c r="Z89" s="131"/>
      <c r="AA89" s="374"/>
      <c r="AB89" s="127"/>
      <c r="AC89" s="127"/>
      <c r="AD89" s="127"/>
      <c r="AE89" s="131"/>
      <c r="AF89" s="374"/>
      <c r="AG89" s="127"/>
      <c r="AH89" s="127"/>
      <c r="AI89" s="127"/>
      <c r="AJ89" s="131"/>
      <c r="AK89" s="374"/>
      <c r="AL89" s="127"/>
      <c r="AM89" s="127"/>
      <c r="AN89" s="127"/>
      <c r="AO89" s="184"/>
      <c r="AP89" s="183"/>
      <c r="AQ89" s="142"/>
      <c r="AR89" s="142"/>
      <c r="AS89" s="142"/>
    </row>
    <row r="90">
      <c r="A90" s="131"/>
      <c r="B90" s="374"/>
      <c r="C90" s="127"/>
      <c r="D90" s="127"/>
      <c r="E90" s="127"/>
      <c r="F90" s="131"/>
      <c r="G90" s="374"/>
      <c r="H90" s="127"/>
      <c r="I90" s="127"/>
      <c r="J90" s="127"/>
      <c r="K90" s="383"/>
      <c r="L90" s="374"/>
      <c r="M90" s="127"/>
      <c r="N90" s="127"/>
      <c r="O90" s="127"/>
      <c r="P90" s="383"/>
      <c r="Q90" s="164"/>
      <c r="R90" s="127"/>
      <c r="S90" s="127"/>
      <c r="T90" s="127"/>
      <c r="U90" s="131"/>
      <c r="V90" s="374"/>
      <c r="W90" s="127"/>
      <c r="X90" s="127"/>
      <c r="Y90" s="127"/>
      <c r="Z90" s="131"/>
      <c r="AA90" s="374"/>
      <c r="AB90" s="127"/>
      <c r="AC90" s="127"/>
      <c r="AD90" s="127"/>
      <c r="AE90" s="131"/>
      <c r="AF90" s="374"/>
      <c r="AG90" s="127"/>
      <c r="AH90" s="127"/>
      <c r="AI90" s="127"/>
      <c r="AJ90" s="131"/>
      <c r="AK90" s="374"/>
      <c r="AL90" s="127"/>
      <c r="AM90" s="127"/>
      <c r="AN90" s="127"/>
      <c r="AO90" s="184"/>
      <c r="AP90" s="183"/>
      <c r="AQ90" s="142"/>
      <c r="AR90" s="142"/>
      <c r="AS90" s="142"/>
    </row>
    <row r="91">
      <c r="A91" s="131"/>
      <c r="B91" s="374"/>
      <c r="C91" s="127"/>
      <c r="D91" s="127"/>
      <c r="E91" s="127"/>
      <c r="F91" s="131"/>
      <c r="G91" s="374"/>
      <c r="H91" s="127"/>
      <c r="I91" s="127"/>
      <c r="J91" s="127"/>
      <c r="K91" s="383"/>
      <c r="L91" s="374"/>
      <c r="M91" s="127"/>
      <c r="N91" s="127"/>
      <c r="O91" s="127"/>
      <c r="P91" s="383"/>
      <c r="Q91" s="164"/>
      <c r="R91" s="127"/>
      <c r="S91" s="127"/>
      <c r="T91" s="127"/>
      <c r="U91" s="131"/>
      <c r="V91" s="374"/>
      <c r="W91" s="127"/>
      <c r="X91" s="127"/>
      <c r="Y91" s="127"/>
      <c r="Z91" s="131"/>
      <c r="AA91" s="374"/>
      <c r="AB91" s="127"/>
      <c r="AC91" s="127"/>
      <c r="AD91" s="127"/>
      <c r="AE91" s="131"/>
      <c r="AF91" s="374"/>
      <c r="AG91" s="127"/>
      <c r="AH91" s="127"/>
      <c r="AI91" s="127"/>
      <c r="AJ91" s="131"/>
      <c r="AK91" s="374"/>
      <c r="AL91" s="127"/>
      <c r="AM91" s="127"/>
      <c r="AN91" s="127"/>
      <c r="AO91" s="184"/>
      <c r="AP91" s="183"/>
      <c r="AQ91" s="142"/>
      <c r="AR91" s="142"/>
      <c r="AS91" s="142"/>
    </row>
    <row r="92">
      <c r="A92" s="131"/>
      <c r="B92" s="374"/>
      <c r="C92" s="127"/>
      <c r="D92" s="127"/>
      <c r="E92" s="127"/>
      <c r="F92" s="131"/>
      <c r="G92" s="374"/>
      <c r="H92" s="127"/>
      <c r="I92" s="127"/>
      <c r="J92" s="127"/>
      <c r="K92" s="383"/>
      <c r="L92" s="374"/>
      <c r="M92" s="127"/>
      <c r="N92" s="127"/>
      <c r="O92" s="127"/>
      <c r="P92" s="383"/>
      <c r="Q92" s="164"/>
      <c r="R92" s="127"/>
      <c r="S92" s="127"/>
      <c r="T92" s="127"/>
      <c r="U92" s="131"/>
      <c r="V92" s="374"/>
      <c r="W92" s="127"/>
      <c r="X92" s="127"/>
      <c r="Y92" s="127"/>
      <c r="Z92" s="131"/>
      <c r="AA92" s="374"/>
      <c r="AB92" s="127"/>
      <c r="AC92" s="127"/>
      <c r="AD92" s="127"/>
      <c r="AE92" s="131"/>
      <c r="AF92" s="374"/>
      <c r="AG92" s="127"/>
      <c r="AH92" s="127"/>
      <c r="AI92" s="127"/>
      <c r="AJ92" s="131"/>
      <c r="AK92" s="374"/>
      <c r="AL92" s="127"/>
      <c r="AM92" s="127"/>
      <c r="AN92" s="127"/>
      <c r="AO92" s="184"/>
      <c r="AP92" s="183"/>
      <c r="AQ92" s="142"/>
      <c r="AR92" s="142"/>
      <c r="AS92" s="142"/>
    </row>
    <row r="93">
      <c r="A93" s="131"/>
      <c r="B93" s="374"/>
      <c r="C93" s="127"/>
      <c r="D93" s="127"/>
      <c r="E93" s="127"/>
      <c r="F93" s="131"/>
      <c r="G93" s="374"/>
      <c r="H93" s="127"/>
      <c r="I93" s="127"/>
      <c r="J93" s="127"/>
      <c r="K93" s="383"/>
      <c r="L93" s="374"/>
      <c r="M93" s="127"/>
      <c r="N93" s="127"/>
      <c r="O93" s="127"/>
      <c r="P93" s="383"/>
      <c r="Q93" s="164"/>
      <c r="R93" s="127"/>
      <c r="S93" s="127"/>
      <c r="T93" s="127"/>
      <c r="U93" s="131"/>
      <c r="V93" s="374"/>
      <c r="W93" s="127"/>
      <c r="X93" s="127"/>
      <c r="Y93" s="127"/>
      <c r="Z93" s="131"/>
      <c r="AA93" s="374"/>
      <c r="AB93" s="127"/>
      <c r="AC93" s="127"/>
      <c r="AD93" s="127"/>
      <c r="AE93" s="131"/>
      <c r="AF93" s="374"/>
      <c r="AG93" s="127"/>
      <c r="AH93" s="127"/>
      <c r="AI93" s="127"/>
      <c r="AJ93" s="131"/>
      <c r="AK93" s="374"/>
      <c r="AL93" s="127"/>
      <c r="AM93" s="127"/>
      <c r="AN93" s="127"/>
      <c r="AO93" s="184"/>
      <c r="AP93" s="183"/>
      <c r="AQ93" s="142"/>
      <c r="AR93" s="142"/>
      <c r="AS93" s="142"/>
    </row>
    <row r="94">
      <c r="A94" s="131"/>
      <c r="B94" s="374"/>
      <c r="C94" s="127"/>
      <c r="D94" s="127"/>
      <c r="E94" s="127"/>
      <c r="F94" s="131"/>
      <c r="G94" s="374"/>
      <c r="H94" s="127"/>
      <c r="I94" s="127"/>
      <c r="J94" s="127"/>
      <c r="K94" s="383"/>
      <c r="L94" s="374"/>
      <c r="M94" s="127"/>
      <c r="N94" s="127"/>
      <c r="O94" s="127"/>
      <c r="P94" s="383"/>
      <c r="Q94" s="164"/>
      <c r="R94" s="127"/>
      <c r="S94" s="127"/>
      <c r="T94" s="127"/>
      <c r="U94" s="131"/>
      <c r="V94" s="374"/>
      <c r="W94" s="127"/>
      <c r="X94" s="127"/>
      <c r="Y94" s="127"/>
      <c r="Z94" s="131"/>
      <c r="AA94" s="374"/>
      <c r="AB94" s="127"/>
      <c r="AC94" s="127"/>
      <c r="AD94" s="127"/>
      <c r="AE94" s="131"/>
      <c r="AF94" s="374"/>
      <c r="AG94" s="127"/>
      <c r="AH94" s="127"/>
      <c r="AI94" s="127"/>
      <c r="AJ94" s="131"/>
      <c r="AK94" s="374"/>
      <c r="AL94" s="127"/>
      <c r="AM94" s="127"/>
      <c r="AN94" s="127"/>
      <c r="AO94" s="184"/>
      <c r="AP94" s="183"/>
      <c r="AQ94" s="142"/>
      <c r="AR94" s="142"/>
      <c r="AS94" s="142"/>
    </row>
    <row r="95">
      <c r="A95" s="131"/>
      <c r="B95" s="374"/>
      <c r="C95" s="127"/>
      <c r="D95" s="127"/>
      <c r="E95" s="127"/>
      <c r="F95" s="131"/>
      <c r="G95" s="374"/>
      <c r="H95" s="127"/>
      <c r="I95" s="127"/>
      <c r="J95" s="127"/>
      <c r="K95" s="383"/>
      <c r="L95" s="374"/>
      <c r="M95" s="127"/>
      <c r="N95" s="127"/>
      <c r="O95" s="127"/>
      <c r="P95" s="383"/>
      <c r="Q95" s="164"/>
      <c r="R95" s="127"/>
      <c r="S95" s="127"/>
      <c r="T95" s="127"/>
      <c r="U95" s="131"/>
      <c r="V95" s="374"/>
      <c r="W95" s="127"/>
      <c r="X95" s="127"/>
      <c r="Y95" s="127"/>
      <c r="Z95" s="131"/>
      <c r="AA95" s="374"/>
      <c r="AB95" s="127"/>
      <c r="AC95" s="127"/>
      <c r="AD95" s="127"/>
      <c r="AE95" s="131"/>
      <c r="AF95" s="374"/>
      <c r="AG95" s="127"/>
      <c r="AH95" s="127"/>
      <c r="AI95" s="127"/>
      <c r="AJ95" s="131"/>
      <c r="AK95" s="374"/>
      <c r="AL95" s="127"/>
      <c r="AM95" s="127"/>
      <c r="AN95" s="127"/>
      <c r="AO95" s="184"/>
      <c r="AP95" s="183"/>
      <c r="AQ95" s="142"/>
      <c r="AR95" s="142"/>
      <c r="AS95" s="142"/>
    </row>
    <row r="96">
      <c r="A96" s="131"/>
      <c r="B96" s="374"/>
      <c r="C96" s="127"/>
      <c r="D96" s="127"/>
      <c r="E96" s="127"/>
      <c r="F96" s="131"/>
      <c r="G96" s="374"/>
      <c r="H96" s="127"/>
      <c r="I96" s="127"/>
      <c r="J96" s="127"/>
      <c r="K96" s="383"/>
      <c r="L96" s="374"/>
      <c r="M96" s="127"/>
      <c r="N96" s="127"/>
      <c r="O96" s="127"/>
      <c r="P96" s="383"/>
      <c r="Q96" s="164"/>
      <c r="R96" s="127"/>
      <c r="S96" s="127"/>
      <c r="T96" s="127"/>
      <c r="U96" s="131"/>
      <c r="V96" s="374"/>
      <c r="W96" s="127"/>
      <c r="X96" s="127"/>
      <c r="Y96" s="127"/>
      <c r="Z96" s="131"/>
      <c r="AA96" s="374"/>
      <c r="AB96" s="127"/>
      <c r="AC96" s="127"/>
      <c r="AD96" s="127"/>
      <c r="AE96" s="131"/>
      <c r="AF96" s="374"/>
      <c r="AG96" s="127"/>
      <c r="AH96" s="127"/>
      <c r="AI96" s="127"/>
      <c r="AJ96" s="131"/>
      <c r="AK96" s="374"/>
      <c r="AL96" s="127"/>
      <c r="AM96" s="127"/>
      <c r="AN96" s="127"/>
      <c r="AO96" s="184"/>
      <c r="AP96" s="183"/>
      <c r="AQ96" s="142"/>
      <c r="AR96" s="142"/>
      <c r="AS96" s="142"/>
    </row>
    <row r="97">
      <c r="A97" s="131"/>
      <c r="B97" s="374"/>
      <c r="C97" s="127"/>
      <c r="D97" s="127"/>
      <c r="E97" s="127"/>
      <c r="F97" s="131"/>
      <c r="G97" s="374"/>
      <c r="H97" s="127"/>
      <c r="I97" s="127"/>
      <c r="J97" s="127"/>
      <c r="K97" s="383"/>
      <c r="L97" s="374"/>
      <c r="M97" s="127"/>
      <c r="N97" s="127"/>
      <c r="O97" s="127"/>
      <c r="P97" s="383"/>
      <c r="Q97" s="164"/>
      <c r="R97" s="127"/>
      <c r="S97" s="127"/>
      <c r="T97" s="127"/>
      <c r="U97" s="131"/>
      <c r="V97" s="374"/>
      <c r="W97" s="127"/>
      <c r="X97" s="127"/>
      <c r="Y97" s="127"/>
      <c r="Z97" s="131"/>
      <c r="AA97" s="374"/>
      <c r="AB97" s="127"/>
      <c r="AC97" s="127"/>
      <c r="AD97" s="127"/>
      <c r="AE97" s="131"/>
      <c r="AF97" s="374"/>
      <c r="AG97" s="127"/>
      <c r="AH97" s="127"/>
      <c r="AI97" s="127"/>
      <c r="AJ97" s="131"/>
      <c r="AK97" s="374"/>
      <c r="AL97" s="127"/>
      <c r="AM97" s="127"/>
      <c r="AN97" s="127"/>
      <c r="AO97" s="184"/>
      <c r="AP97" s="183"/>
      <c r="AQ97" s="142"/>
      <c r="AR97" s="142"/>
      <c r="AS97" s="142"/>
    </row>
    <row r="98">
      <c r="A98" s="131"/>
      <c r="B98" s="374"/>
      <c r="C98" s="127"/>
      <c r="D98" s="127"/>
      <c r="E98" s="127"/>
      <c r="F98" s="131"/>
      <c r="G98" s="374"/>
      <c r="H98" s="127"/>
      <c r="I98" s="127"/>
      <c r="J98" s="127"/>
      <c r="K98" s="383"/>
      <c r="L98" s="374"/>
      <c r="M98" s="127"/>
      <c r="N98" s="127"/>
      <c r="O98" s="127"/>
      <c r="P98" s="383"/>
      <c r="Q98" s="164"/>
      <c r="R98" s="127"/>
      <c r="S98" s="127"/>
      <c r="T98" s="127"/>
      <c r="U98" s="131"/>
      <c r="V98" s="374"/>
      <c r="W98" s="127"/>
      <c r="X98" s="127"/>
      <c r="Y98" s="127"/>
      <c r="Z98" s="131"/>
      <c r="AA98" s="374"/>
      <c r="AB98" s="127"/>
      <c r="AC98" s="127"/>
      <c r="AD98" s="127"/>
      <c r="AE98" s="131"/>
      <c r="AF98" s="374"/>
      <c r="AG98" s="127"/>
      <c r="AH98" s="127"/>
      <c r="AI98" s="127"/>
      <c r="AJ98" s="131"/>
      <c r="AK98" s="374"/>
      <c r="AL98" s="127"/>
      <c r="AM98" s="127"/>
      <c r="AN98" s="127"/>
      <c r="AO98" s="184"/>
      <c r="AP98" s="183"/>
      <c r="AQ98" s="142"/>
      <c r="AR98" s="142"/>
      <c r="AS98" s="142"/>
    </row>
    <row r="99">
      <c r="A99" s="131"/>
      <c r="B99" s="374"/>
      <c r="C99" s="127"/>
      <c r="D99" s="127"/>
      <c r="E99" s="127"/>
      <c r="F99" s="131"/>
      <c r="G99" s="374"/>
      <c r="H99" s="127"/>
      <c r="I99" s="127"/>
      <c r="J99" s="127"/>
      <c r="K99" s="383"/>
      <c r="L99" s="374"/>
      <c r="M99" s="127"/>
      <c r="N99" s="127"/>
      <c r="O99" s="127"/>
      <c r="P99" s="383"/>
      <c r="Q99" s="164"/>
      <c r="R99" s="127"/>
      <c r="S99" s="127"/>
      <c r="T99" s="127"/>
      <c r="U99" s="131"/>
      <c r="V99" s="374"/>
      <c r="W99" s="127"/>
      <c r="X99" s="127"/>
      <c r="Y99" s="127"/>
      <c r="Z99" s="131"/>
      <c r="AA99" s="374"/>
      <c r="AB99" s="127"/>
      <c r="AC99" s="127"/>
      <c r="AD99" s="127"/>
      <c r="AE99" s="131"/>
      <c r="AF99" s="374"/>
      <c r="AG99" s="127"/>
      <c r="AH99" s="127"/>
      <c r="AI99" s="127"/>
      <c r="AJ99" s="131"/>
      <c r="AK99" s="374"/>
      <c r="AL99" s="127"/>
      <c r="AM99" s="127"/>
      <c r="AN99" s="127"/>
      <c r="AO99" s="184"/>
      <c r="AP99" s="183"/>
      <c r="AQ99" s="142"/>
      <c r="AR99" s="142"/>
      <c r="AS99" s="142"/>
    </row>
    <row r="100">
      <c r="A100" s="131"/>
      <c r="B100" s="374"/>
      <c r="C100" s="127"/>
      <c r="D100" s="127"/>
      <c r="E100" s="127"/>
      <c r="F100" s="131"/>
      <c r="G100" s="374"/>
      <c r="H100" s="127"/>
      <c r="I100" s="127"/>
      <c r="J100" s="127"/>
      <c r="K100" s="383"/>
      <c r="L100" s="374"/>
      <c r="M100" s="127"/>
      <c r="N100" s="127"/>
      <c r="O100" s="127"/>
      <c r="P100" s="383"/>
      <c r="Q100" s="164"/>
      <c r="R100" s="127"/>
      <c r="S100" s="127"/>
      <c r="T100" s="127"/>
      <c r="U100" s="131"/>
      <c r="V100" s="374"/>
      <c r="W100" s="127"/>
      <c r="X100" s="127"/>
      <c r="Y100" s="127"/>
      <c r="Z100" s="131"/>
      <c r="AA100" s="374"/>
      <c r="AB100" s="127"/>
      <c r="AC100" s="127"/>
      <c r="AD100" s="127"/>
      <c r="AE100" s="131"/>
      <c r="AF100" s="374"/>
      <c r="AG100" s="127"/>
      <c r="AH100" s="127"/>
      <c r="AI100" s="127"/>
      <c r="AJ100" s="131"/>
      <c r="AK100" s="374"/>
      <c r="AL100" s="127"/>
      <c r="AM100" s="127"/>
      <c r="AN100" s="127"/>
      <c r="AO100" s="184"/>
      <c r="AP100" s="183"/>
      <c r="AQ100" s="142"/>
      <c r="AR100" s="142"/>
      <c r="AS100" s="142"/>
    </row>
    <row r="101">
      <c r="A101" s="131"/>
      <c r="B101" s="374"/>
      <c r="C101" s="127"/>
      <c r="D101" s="127"/>
      <c r="E101" s="127"/>
      <c r="F101" s="131"/>
      <c r="G101" s="374"/>
      <c r="H101" s="127"/>
      <c r="I101" s="127"/>
      <c r="J101" s="127"/>
      <c r="K101" s="383"/>
      <c r="L101" s="374"/>
      <c r="M101" s="127"/>
      <c r="N101" s="127"/>
      <c r="O101" s="127"/>
      <c r="P101" s="383"/>
      <c r="Q101" s="164"/>
      <c r="R101" s="127"/>
      <c r="S101" s="127"/>
      <c r="T101" s="127"/>
      <c r="U101" s="131"/>
      <c r="V101" s="374"/>
      <c r="W101" s="127"/>
      <c r="X101" s="127"/>
      <c r="Y101" s="127"/>
      <c r="Z101" s="131"/>
      <c r="AA101" s="374"/>
      <c r="AB101" s="127"/>
      <c r="AC101" s="127"/>
      <c r="AD101" s="127"/>
      <c r="AE101" s="131"/>
      <c r="AF101" s="374"/>
      <c r="AG101" s="127"/>
      <c r="AH101" s="127"/>
      <c r="AI101" s="127"/>
      <c r="AJ101" s="131"/>
      <c r="AK101" s="374"/>
      <c r="AL101" s="127"/>
      <c r="AM101" s="127"/>
      <c r="AN101" s="127"/>
      <c r="AO101" s="184"/>
      <c r="AP101" s="183"/>
      <c r="AQ101" s="142"/>
      <c r="AR101" s="142"/>
      <c r="AS101" s="142"/>
    </row>
    <row r="102">
      <c r="A102" s="131"/>
      <c r="B102" s="374"/>
      <c r="C102" s="127"/>
      <c r="D102" s="127"/>
      <c r="E102" s="127"/>
      <c r="F102" s="131"/>
      <c r="G102" s="374"/>
      <c r="H102" s="127"/>
      <c r="I102" s="127"/>
      <c r="J102" s="127"/>
      <c r="K102" s="383"/>
      <c r="L102" s="374"/>
      <c r="M102" s="127"/>
      <c r="N102" s="127"/>
      <c r="O102" s="127"/>
      <c r="P102" s="383"/>
      <c r="Q102" s="164"/>
      <c r="R102" s="127"/>
      <c r="S102" s="127"/>
      <c r="T102" s="127"/>
      <c r="U102" s="131"/>
      <c r="V102" s="374"/>
      <c r="W102" s="127"/>
      <c r="X102" s="127"/>
      <c r="Y102" s="127"/>
      <c r="Z102" s="131"/>
      <c r="AA102" s="374"/>
      <c r="AB102" s="127"/>
      <c r="AC102" s="127"/>
      <c r="AD102" s="127"/>
      <c r="AE102" s="131"/>
      <c r="AF102" s="374"/>
      <c r="AG102" s="127"/>
      <c r="AH102" s="127"/>
      <c r="AI102" s="127"/>
      <c r="AJ102" s="131"/>
      <c r="AK102" s="374"/>
      <c r="AL102" s="127"/>
      <c r="AM102" s="127"/>
      <c r="AN102" s="127"/>
      <c r="AO102" s="184"/>
      <c r="AP102" s="183"/>
      <c r="AQ102" s="142"/>
      <c r="AR102" s="142"/>
      <c r="AS102" s="142"/>
    </row>
    <row r="103">
      <c r="A103" s="131"/>
      <c r="B103" s="374"/>
      <c r="C103" s="127"/>
      <c r="D103" s="127"/>
      <c r="E103" s="127"/>
      <c r="F103" s="131"/>
      <c r="G103" s="374"/>
      <c r="H103" s="127"/>
      <c r="I103" s="127"/>
      <c r="J103" s="127"/>
      <c r="K103" s="383"/>
      <c r="L103" s="374"/>
      <c r="M103" s="127"/>
      <c r="N103" s="127"/>
      <c r="O103" s="127"/>
      <c r="P103" s="383"/>
      <c r="Q103" s="164"/>
      <c r="R103" s="127"/>
      <c r="S103" s="127"/>
      <c r="T103" s="127"/>
      <c r="U103" s="131"/>
      <c r="V103" s="374"/>
      <c r="W103" s="127"/>
      <c r="X103" s="127"/>
      <c r="Y103" s="127"/>
      <c r="Z103" s="131"/>
      <c r="AA103" s="374"/>
      <c r="AB103" s="127"/>
      <c r="AC103" s="127"/>
      <c r="AD103" s="127"/>
      <c r="AE103" s="131"/>
      <c r="AF103" s="374"/>
      <c r="AG103" s="127"/>
      <c r="AH103" s="127"/>
      <c r="AI103" s="127"/>
      <c r="AJ103" s="131"/>
      <c r="AK103" s="374"/>
      <c r="AL103" s="127"/>
      <c r="AM103" s="127"/>
      <c r="AN103" s="127"/>
      <c r="AO103" s="184"/>
      <c r="AP103" s="183"/>
      <c r="AQ103" s="142"/>
      <c r="AR103" s="142"/>
      <c r="AS103" s="142"/>
    </row>
    <row r="104">
      <c r="A104" s="131"/>
      <c r="B104" s="374"/>
      <c r="C104" s="127"/>
      <c r="D104" s="127"/>
      <c r="E104" s="127"/>
      <c r="F104" s="131"/>
      <c r="G104" s="374"/>
      <c r="H104" s="127"/>
      <c r="I104" s="127"/>
      <c r="J104" s="127"/>
      <c r="K104" s="383"/>
      <c r="L104" s="374"/>
      <c r="M104" s="127"/>
      <c r="N104" s="127"/>
      <c r="O104" s="127"/>
      <c r="P104" s="383"/>
      <c r="Q104" s="164"/>
      <c r="R104" s="127"/>
      <c r="S104" s="127"/>
      <c r="T104" s="127"/>
      <c r="U104" s="131"/>
      <c r="V104" s="374"/>
      <c r="W104" s="127"/>
      <c r="X104" s="127"/>
      <c r="Y104" s="127"/>
      <c r="Z104" s="131"/>
      <c r="AA104" s="374"/>
      <c r="AB104" s="127"/>
      <c r="AC104" s="127"/>
      <c r="AD104" s="127"/>
      <c r="AE104" s="131"/>
      <c r="AF104" s="374"/>
      <c r="AG104" s="127"/>
      <c r="AH104" s="127"/>
      <c r="AI104" s="127"/>
      <c r="AJ104" s="131"/>
      <c r="AK104" s="374"/>
      <c r="AL104" s="127"/>
      <c r="AM104" s="127"/>
      <c r="AN104" s="127"/>
      <c r="AO104" s="184"/>
      <c r="AP104" s="183"/>
      <c r="AQ104" s="142"/>
      <c r="AR104" s="142"/>
      <c r="AS104" s="142"/>
    </row>
    <row r="105">
      <c r="A105" s="131"/>
      <c r="B105" s="374"/>
      <c r="C105" s="127"/>
      <c r="D105" s="127"/>
      <c r="E105" s="127"/>
      <c r="F105" s="131"/>
      <c r="G105" s="374"/>
      <c r="H105" s="127"/>
      <c r="I105" s="127"/>
      <c r="J105" s="127"/>
      <c r="K105" s="383"/>
      <c r="L105" s="374"/>
      <c r="M105" s="127"/>
      <c r="N105" s="127"/>
      <c r="O105" s="127"/>
      <c r="P105" s="383"/>
      <c r="Q105" s="164"/>
      <c r="R105" s="127"/>
      <c r="S105" s="127"/>
      <c r="T105" s="127"/>
      <c r="U105" s="131"/>
      <c r="V105" s="374"/>
      <c r="W105" s="127"/>
      <c r="X105" s="127"/>
      <c r="Y105" s="127"/>
      <c r="Z105" s="131"/>
      <c r="AA105" s="374"/>
      <c r="AB105" s="127"/>
      <c r="AC105" s="127"/>
      <c r="AD105" s="127"/>
      <c r="AE105" s="131"/>
      <c r="AF105" s="374"/>
      <c r="AG105" s="127"/>
      <c r="AH105" s="127"/>
      <c r="AI105" s="127"/>
      <c r="AJ105" s="131"/>
      <c r="AK105" s="374"/>
      <c r="AL105" s="127"/>
      <c r="AM105" s="127"/>
      <c r="AN105" s="127"/>
      <c r="AO105" s="184"/>
      <c r="AP105" s="183"/>
      <c r="AQ105" s="142"/>
      <c r="AR105" s="142"/>
      <c r="AS105" s="142"/>
    </row>
    <row r="106">
      <c r="A106" s="131"/>
      <c r="B106" s="374"/>
      <c r="C106" s="127"/>
      <c r="D106" s="127"/>
      <c r="E106" s="127"/>
      <c r="F106" s="131"/>
      <c r="G106" s="374"/>
      <c r="H106" s="127"/>
      <c r="I106" s="127"/>
      <c r="J106" s="127"/>
      <c r="K106" s="383"/>
      <c r="L106" s="374"/>
      <c r="M106" s="127"/>
      <c r="N106" s="127"/>
      <c r="O106" s="127"/>
      <c r="P106" s="383"/>
      <c r="Q106" s="164"/>
      <c r="R106" s="127"/>
      <c r="S106" s="127"/>
      <c r="T106" s="127"/>
      <c r="U106" s="131"/>
      <c r="V106" s="374"/>
      <c r="W106" s="127"/>
      <c r="X106" s="127"/>
      <c r="Y106" s="127"/>
      <c r="Z106" s="131"/>
      <c r="AA106" s="374"/>
      <c r="AB106" s="127"/>
      <c r="AC106" s="127"/>
      <c r="AD106" s="127"/>
      <c r="AE106" s="131"/>
      <c r="AF106" s="374"/>
      <c r="AG106" s="127"/>
      <c r="AH106" s="127"/>
      <c r="AI106" s="127"/>
      <c r="AJ106" s="131"/>
      <c r="AK106" s="374"/>
      <c r="AL106" s="127"/>
      <c r="AM106" s="127"/>
      <c r="AN106" s="127"/>
      <c r="AO106" s="184"/>
      <c r="AP106" s="183"/>
      <c r="AQ106" s="142"/>
      <c r="AR106" s="142"/>
      <c r="AS106" s="142"/>
    </row>
    <row r="107">
      <c r="A107" s="131"/>
      <c r="B107" s="374"/>
      <c r="C107" s="127"/>
      <c r="D107" s="127"/>
      <c r="E107" s="127"/>
      <c r="F107" s="131"/>
      <c r="G107" s="374"/>
      <c r="H107" s="127"/>
      <c r="I107" s="127"/>
      <c r="J107" s="127"/>
      <c r="K107" s="383"/>
      <c r="L107" s="374"/>
      <c r="M107" s="127"/>
      <c r="N107" s="127"/>
      <c r="O107" s="127"/>
      <c r="P107" s="383"/>
      <c r="Q107" s="164"/>
      <c r="R107" s="127"/>
      <c r="S107" s="127"/>
      <c r="T107" s="127"/>
      <c r="U107" s="131"/>
      <c r="V107" s="374"/>
      <c r="W107" s="127"/>
      <c r="X107" s="127"/>
      <c r="Y107" s="127"/>
      <c r="Z107" s="131"/>
      <c r="AA107" s="374"/>
      <c r="AB107" s="127"/>
      <c r="AC107" s="127"/>
      <c r="AD107" s="127"/>
      <c r="AE107" s="131"/>
      <c r="AF107" s="374"/>
      <c r="AG107" s="127"/>
      <c r="AH107" s="127"/>
      <c r="AI107" s="127"/>
      <c r="AJ107" s="131"/>
      <c r="AK107" s="374"/>
      <c r="AL107" s="127"/>
      <c r="AM107" s="127"/>
      <c r="AN107" s="127"/>
      <c r="AO107" s="184"/>
      <c r="AP107" s="183"/>
      <c r="AQ107" s="142"/>
      <c r="AR107" s="142"/>
      <c r="AS107" s="142"/>
    </row>
    <row r="108">
      <c r="A108" s="131"/>
      <c r="B108" s="374"/>
      <c r="C108" s="127"/>
      <c r="D108" s="127"/>
      <c r="E108" s="127"/>
      <c r="F108" s="131"/>
      <c r="G108" s="374"/>
      <c r="H108" s="127"/>
      <c r="I108" s="127"/>
      <c r="J108" s="127"/>
      <c r="K108" s="383"/>
      <c r="L108" s="374"/>
      <c r="M108" s="127"/>
      <c r="N108" s="127"/>
      <c r="O108" s="127"/>
      <c r="P108" s="383"/>
      <c r="Q108" s="164"/>
      <c r="R108" s="127"/>
      <c r="S108" s="127"/>
      <c r="T108" s="127"/>
      <c r="U108" s="131"/>
      <c r="V108" s="374"/>
      <c r="W108" s="127"/>
      <c r="X108" s="127"/>
      <c r="Y108" s="127"/>
      <c r="Z108" s="131"/>
      <c r="AA108" s="374"/>
      <c r="AB108" s="127"/>
      <c r="AC108" s="127"/>
      <c r="AD108" s="127"/>
      <c r="AE108" s="131"/>
      <c r="AF108" s="374"/>
      <c r="AG108" s="127"/>
      <c r="AH108" s="127"/>
      <c r="AI108" s="127"/>
      <c r="AJ108" s="131"/>
      <c r="AK108" s="374"/>
      <c r="AL108" s="127"/>
      <c r="AM108" s="127"/>
      <c r="AN108" s="127"/>
      <c r="AO108" s="184"/>
      <c r="AP108" s="183"/>
      <c r="AQ108" s="142"/>
      <c r="AR108" s="142"/>
      <c r="AS108" s="142"/>
    </row>
    <row r="109">
      <c r="A109" s="131"/>
      <c r="B109" s="374"/>
      <c r="C109" s="127"/>
      <c r="D109" s="127"/>
      <c r="E109" s="127"/>
      <c r="F109" s="131"/>
      <c r="G109" s="374"/>
      <c r="H109" s="127"/>
      <c r="I109" s="127"/>
      <c r="J109" s="127"/>
      <c r="K109" s="383"/>
      <c r="L109" s="374"/>
      <c r="M109" s="127"/>
      <c r="N109" s="127"/>
      <c r="O109" s="127"/>
      <c r="P109" s="383"/>
      <c r="Q109" s="164"/>
      <c r="R109" s="127"/>
      <c r="S109" s="127"/>
      <c r="T109" s="127"/>
      <c r="U109" s="131"/>
      <c r="V109" s="374"/>
      <c r="W109" s="127"/>
      <c r="X109" s="127"/>
      <c r="Y109" s="127"/>
      <c r="Z109" s="131"/>
      <c r="AA109" s="374"/>
      <c r="AB109" s="127"/>
      <c r="AC109" s="127"/>
      <c r="AD109" s="127"/>
      <c r="AE109" s="131"/>
      <c r="AF109" s="374"/>
      <c r="AG109" s="127"/>
      <c r="AH109" s="127"/>
      <c r="AI109" s="127"/>
      <c r="AJ109" s="131"/>
      <c r="AK109" s="374"/>
      <c r="AL109" s="127"/>
      <c r="AM109" s="127"/>
      <c r="AN109" s="127"/>
      <c r="AO109" s="184"/>
      <c r="AP109" s="183"/>
      <c r="AQ109" s="142"/>
      <c r="AR109" s="142"/>
      <c r="AS109" s="142"/>
    </row>
    <row r="110">
      <c r="A110" s="131"/>
      <c r="B110" s="374"/>
      <c r="C110" s="127"/>
      <c r="D110" s="127"/>
      <c r="E110" s="127"/>
      <c r="F110" s="131"/>
      <c r="G110" s="374"/>
      <c r="H110" s="127"/>
      <c r="I110" s="127"/>
      <c r="J110" s="127"/>
      <c r="K110" s="383"/>
      <c r="L110" s="374"/>
      <c r="M110" s="127"/>
      <c r="N110" s="127"/>
      <c r="O110" s="127"/>
      <c r="P110" s="383"/>
      <c r="Q110" s="164"/>
      <c r="R110" s="127"/>
      <c r="S110" s="127"/>
      <c r="T110" s="127"/>
      <c r="U110" s="131"/>
      <c r="V110" s="374"/>
      <c r="W110" s="127"/>
      <c r="X110" s="127"/>
      <c r="Y110" s="127"/>
      <c r="Z110" s="131"/>
      <c r="AA110" s="374"/>
      <c r="AB110" s="127"/>
      <c r="AC110" s="127"/>
      <c r="AD110" s="127"/>
      <c r="AE110" s="131"/>
      <c r="AF110" s="374"/>
      <c r="AG110" s="127"/>
      <c r="AH110" s="127"/>
      <c r="AI110" s="127"/>
      <c r="AJ110" s="131"/>
      <c r="AK110" s="374"/>
      <c r="AL110" s="127"/>
      <c r="AM110" s="127"/>
      <c r="AN110" s="127"/>
      <c r="AO110" s="184"/>
      <c r="AP110" s="183"/>
      <c r="AQ110" s="142"/>
      <c r="AR110" s="142"/>
      <c r="AS110" s="142"/>
    </row>
    <row r="111">
      <c r="A111" s="131"/>
      <c r="B111" s="374"/>
      <c r="C111" s="127"/>
      <c r="D111" s="127"/>
      <c r="E111" s="127"/>
      <c r="F111" s="131"/>
      <c r="G111" s="374"/>
      <c r="H111" s="127"/>
      <c r="I111" s="127"/>
      <c r="J111" s="127"/>
      <c r="K111" s="383"/>
      <c r="L111" s="374"/>
      <c r="M111" s="127"/>
      <c r="N111" s="127"/>
      <c r="O111" s="127"/>
      <c r="P111" s="383"/>
      <c r="Q111" s="164"/>
      <c r="R111" s="127"/>
      <c r="S111" s="127"/>
      <c r="T111" s="127"/>
      <c r="U111" s="131"/>
      <c r="V111" s="374"/>
      <c r="W111" s="127"/>
      <c r="X111" s="127"/>
      <c r="Y111" s="127"/>
      <c r="Z111" s="131"/>
      <c r="AA111" s="374"/>
      <c r="AB111" s="127"/>
      <c r="AC111" s="127"/>
      <c r="AD111" s="127"/>
      <c r="AE111" s="131"/>
      <c r="AF111" s="374"/>
      <c r="AG111" s="127"/>
      <c r="AH111" s="127"/>
      <c r="AI111" s="127"/>
      <c r="AJ111" s="131"/>
      <c r="AK111" s="374"/>
      <c r="AL111" s="127"/>
      <c r="AM111" s="127"/>
      <c r="AN111" s="127"/>
      <c r="AO111" s="184"/>
      <c r="AP111" s="183"/>
      <c r="AQ111" s="142"/>
      <c r="AR111" s="142"/>
      <c r="AS111" s="142"/>
    </row>
    <row r="112">
      <c r="A112" s="131"/>
      <c r="B112" s="374"/>
      <c r="C112" s="127"/>
      <c r="D112" s="127"/>
      <c r="E112" s="127"/>
      <c r="F112" s="131"/>
      <c r="G112" s="374"/>
      <c r="H112" s="127"/>
      <c r="I112" s="127"/>
      <c r="J112" s="127"/>
      <c r="K112" s="383"/>
      <c r="L112" s="374"/>
      <c r="M112" s="127"/>
      <c r="N112" s="127"/>
      <c r="O112" s="127"/>
      <c r="P112" s="383"/>
      <c r="Q112" s="164"/>
      <c r="R112" s="127"/>
      <c r="S112" s="127"/>
      <c r="T112" s="127"/>
      <c r="U112" s="131"/>
      <c r="V112" s="374"/>
      <c r="W112" s="127"/>
      <c r="X112" s="127"/>
      <c r="Y112" s="127"/>
      <c r="Z112" s="131"/>
      <c r="AA112" s="374"/>
      <c r="AB112" s="127"/>
      <c r="AC112" s="127"/>
      <c r="AD112" s="127"/>
      <c r="AE112" s="131"/>
      <c r="AF112" s="374"/>
      <c r="AG112" s="127"/>
      <c r="AH112" s="127"/>
      <c r="AI112" s="127"/>
      <c r="AJ112" s="131"/>
      <c r="AK112" s="374"/>
      <c r="AL112" s="127"/>
      <c r="AM112" s="127"/>
      <c r="AN112" s="127"/>
      <c r="AO112" s="184"/>
      <c r="AP112" s="183"/>
      <c r="AQ112" s="142"/>
      <c r="AR112" s="142"/>
      <c r="AS112" s="142"/>
    </row>
    <row r="113">
      <c r="A113" s="131"/>
      <c r="B113" s="374"/>
      <c r="C113" s="127"/>
      <c r="D113" s="127"/>
      <c r="E113" s="127"/>
      <c r="F113" s="131"/>
      <c r="G113" s="374"/>
      <c r="H113" s="127"/>
      <c r="I113" s="127"/>
      <c r="J113" s="127"/>
      <c r="K113" s="383"/>
      <c r="L113" s="374"/>
      <c r="M113" s="127"/>
      <c r="N113" s="127"/>
      <c r="O113" s="127"/>
      <c r="P113" s="383"/>
      <c r="Q113" s="164"/>
      <c r="R113" s="127"/>
      <c r="S113" s="127"/>
      <c r="T113" s="127"/>
      <c r="U113" s="131"/>
      <c r="V113" s="374"/>
      <c r="W113" s="127"/>
      <c r="X113" s="127"/>
      <c r="Y113" s="127"/>
      <c r="Z113" s="131"/>
      <c r="AA113" s="374"/>
      <c r="AB113" s="127"/>
      <c r="AC113" s="127"/>
      <c r="AD113" s="127"/>
      <c r="AE113" s="131"/>
      <c r="AF113" s="374"/>
      <c r="AG113" s="127"/>
      <c r="AH113" s="127"/>
      <c r="AI113" s="127"/>
      <c r="AJ113" s="131"/>
      <c r="AK113" s="374"/>
      <c r="AL113" s="127"/>
      <c r="AM113" s="127"/>
      <c r="AN113" s="127"/>
      <c r="AO113" s="184"/>
      <c r="AP113" s="183"/>
      <c r="AQ113" s="142"/>
      <c r="AR113" s="142"/>
      <c r="AS113" s="142"/>
    </row>
    <row r="114">
      <c r="A114" s="131"/>
      <c r="B114" s="374"/>
      <c r="C114" s="127"/>
      <c r="D114" s="127"/>
      <c r="E114" s="127"/>
      <c r="F114" s="131"/>
      <c r="G114" s="374"/>
      <c r="H114" s="127"/>
      <c r="I114" s="127"/>
      <c r="J114" s="127"/>
      <c r="K114" s="383"/>
      <c r="L114" s="374"/>
      <c r="M114" s="127"/>
      <c r="N114" s="127"/>
      <c r="O114" s="127"/>
      <c r="P114" s="383"/>
      <c r="Q114" s="164"/>
      <c r="R114" s="127"/>
      <c r="S114" s="127"/>
      <c r="T114" s="127"/>
      <c r="U114" s="131"/>
      <c r="V114" s="374"/>
      <c r="W114" s="127"/>
      <c r="X114" s="127"/>
      <c r="Y114" s="127"/>
      <c r="Z114" s="131"/>
      <c r="AA114" s="374"/>
      <c r="AB114" s="127"/>
      <c r="AC114" s="127"/>
      <c r="AD114" s="127"/>
      <c r="AE114" s="131"/>
      <c r="AF114" s="374"/>
      <c r="AG114" s="127"/>
      <c r="AH114" s="127"/>
      <c r="AI114" s="127"/>
      <c r="AJ114" s="131"/>
      <c r="AK114" s="374"/>
      <c r="AL114" s="127"/>
      <c r="AM114" s="127"/>
      <c r="AN114" s="127"/>
      <c r="AO114" s="184"/>
      <c r="AP114" s="183"/>
      <c r="AQ114" s="142"/>
      <c r="AR114" s="142"/>
      <c r="AS114" s="142"/>
    </row>
    <row r="115">
      <c r="A115" s="131"/>
      <c r="B115" s="374"/>
      <c r="C115" s="127"/>
      <c r="D115" s="127"/>
      <c r="E115" s="127"/>
      <c r="F115" s="131"/>
      <c r="G115" s="374"/>
      <c r="H115" s="127"/>
      <c r="I115" s="127"/>
      <c r="J115" s="127"/>
      <c r="K115" s="383"/>
      <c r="L115" s="374"/>
      <c r="M115" s="127"/>
      <c r="N115" s="127"/>
      <c r="O115" s="127"/>
      <c r="P115" s="383"/>
      <c r="Q115" s="164"/>
      <c r="R115" s="127"/>
      <c r="S115" s="127"/>
      <c r="T115" s="127"/>
      <c r="U115" s="131"/>
      <c r="V115" s="374"/>
      <c r="W115" s="127"/>
      <c r="X115" s="127"/>
      <c r="Y115" s="127"/>
      <c r="Z115" s="131"/>
      <c r="AA115" s="374"/>
      <c r="AB115" s="127"/>
      <c r="AC115" s="127"/>
      <c r="AD115" s="127"/>
      <c r="AE115" s="131"/>
      <c r="AF115" s="374"/>
      <c r="AG115" s="127"/>
      <c r="AH115" s="127"/>
      <c r="AI115" s="127"/>
      <c r="AJ115" s="131"/>
      <c r="AK115" s="374"/>
      <c r="AL115" s="127"/>
      <c r="AM115" s="127"/>
      <c r="AN115" s="127"/>
      <c r="AO115" s="184"/>
      <c r="AP115" s="183"/>
      <c r="AQ115" s="142"/>
      <c r="AR115" s="142"/>
      <c r="AS115" s="142"/>
    </row>
    <row r="116">
      <c r="A116" s="131"/>
      <c r="B116" s="374"/>
      <c r="C116" s="127"/>
      <c r="D116" s="127"/>
      <c r="E116" s="127"/>
      <c r="F116" s="131"/>
      <c r="G116" s="374"/>
      <c r="H116" s="127"/>
      <c r="I116" s="127"/>
      <c r="J116" s="127"/>
      <c r="K116" s="383"/>
      <c r="L116" s="374"/>
      <c r="M116" s="127"/>
      <c r="N116" s="127"/>
      <c r="O116" s="127"/>
      <c r="P116" s="383"/>
      <c r="Q116" s="164"/>
      <c r="R116" s="127"/>
      <c r="S116" s="127"/>
      <c r="T116" s="127"/>
      <c r="U116" s="131"/>
      <c r="V116" s="374"/>
      <c r="W116" s="127"/>
      <c r="X116" s="127"/>
      <c r="Y116" s="127"/>
      <c r="Z116" s="131"/>
      <c r="AA116" s="374"/>
      <c r="AB116" s="127"/>
      <c r="AC116" s="127"/>
      <c r="AD116" s="127"/>
      <c r="AE116" s="131"/>
      <c r="AF116" s="374"/>
      <c r="AG116" s="127"/>
      <c r="AH116" s="127"/>
      <c r="AI116" s="127"/>
      <c r="AJ116" s="131"/>
      <c r="AK116" s="374"/>
      <c r="AL116" s="127"/>
      <c r="AM116" s="127"/>
      <c r="AN116" s="127"/>
      <c r="AO116" s="184"/>
      <c r="AP116" s="183"/>
      <c r="AQ116" s="142"/>
      <c r="AR116" s="142"/>
      <c r="AS116" s="142"/>
    </row>
    <row r="117">
      <c r="A117" s="131"/>
      <c r="B117" s="374"/>
      <c r="C117" s="127"/>
      <c r="D117" s="127"/>
      <c r="E117" s="127"/>
      <c r="F117" s="131"/>
      <c r="G117" s="374"/>
      <c r="H117" s="127"/>
      <c r="I117" s="127"/>
      <c r="J117" s="127"/>
      <c r="K117" s="383"/>
      <c r="L117" s="374"/>
      <c r="M117" s="127"/>
      <c r="N117" s="127"/>
      <c r="O117" s="127"/>
      <c r="P117" s="383"/>
      <c r="Q117" s="164"/>
      <c r="R117" s="127"/>
      <c r="S117" s="127"/>
      <c r="T117" s="127"/>
      <c r="U117" s="131"/>
      <c r="V117" s="374"/>
      <c r="W117" s="127"/>
      <c r="X117" s="127"/>
      <c r="Y117" s="127"/>
      <c r="Z117" s="131"/>
      <c r="AA117" s="374"/>
      <c r="AB117" s="127"/>
      <c r="AC117" s="127"/>
      <c r="AD117" s="127"/>
      <c r="AE117" s="131"/>
      <c r="AF117" s="374"/>
      <c r="AG117" s="127"/>
      <c r="AH117" s="127"/>
      <c r="AI117" s="127"/>
      <c r="AJ117" s="131"/>
      <c r="AK117" s="374"/>
      <c r="AL117" s="127"/>
      <c r="AM117" s="127"/>
      <c r="AN117" s="127"/>
      <c r="AO117" s="184"/>
      <c r="AP117" s="183"/>
      <c r="AQ117" s="142"/>
      <c r="AR117" s="142"/>
      <c r="AS117" s="142"/>
    </row>
    <row r="118">
      <c r="A118" s="131"/>
      <c r="B118" s="374"/>
      <c r="C118" s="127"/>
      <c r="D118" s="127"/>
      <c r="E118" s="127"/>
      <c r="F118" s="131"/>
      <c r="G118" s="374"/>
      <c r="H118" s="127"/>
      <c r="I118" s="127"/>
      <c r="J118" s="127"/>
      <c r="K118" s="383"/>
      <c r="L118" s="374"/>
      <c r="M118" s="127"/>
      <c r="N118" s="127"/>
      <c r="O118" s="127"/>
      <c r="P118" s="383"/>
      <c r="Q118" s="164"/>
      <c r="R118" s="127"/>
      <c r="S118" s="127"/>
      <c r="T118" s="127"/>
      <c r="U118" s="131"/>
      <c r="V118" s="374"/>
      <c r="W118" s="127"/>
      <c r="X118" s="127"/>
      <c r="Y118" s="127"/>
      <c r="Z118" s="131"/>
      <c r="AA118" s="374"/>
      <c r="AB118" s="127"/>
      <c r="AC118" s="127"/>
      <c r="AD118" s="127"/>
      <c r="AE118" s="131"/>
      <c r="AF118" s="374"/>
      <c r="AG118" s="127"/>
      <c r="AH118" s="127"/>
      <c r="AI118" s="127"/>
      <c r="AJ118" s="131"/>
      <c r="AK118" s="374"/>
      <c r="AL118" s="127"/>
      <c r="AM118" s="127"/>
      <c r="AN118" s="127"/>
      <c r="AO118" s="184"/>
      <c r="AP118" s="183"/>
      <c r="AQ118" s="142"/>
      <c r="AR118" s="142"/>
      <c r="AS118" s="142"/>
    </row>
    <row r="119">
      <c r="A119" s="131"/>
      <c r="B119" s="374"/>
      <c r="C119" s="127"/>
      <c r="D119" s="127"/>
      <c r="E119" s="127"/>
      <c r="F119" s="131"/>
      <c r="G119" s="374"/>
      <c r="H119" s="127"/>
      <c r="I119" s="127"/>
      <c r="J119" s="127"/>
      <c r="K119" s="383"/>
      <c r="L119" s="374"/>
      <c r="M119" s="127"/>
      <c r="N119" s="127"/>
      <c r="O119" s="127"/>
      <c r="P119" s="383"/>
      <c r="Q119" s="164"/>
      <c r="R119" s="127"/>
      <c r="S119" s="127"/>
      <c r="T119" s="127"/>
      <c r="U119" s="131"/>
      <c r="V119" s="374"/>
      <c r="W119" s="127"/>
      <c r="X119" s="127"/>
      <c r="Y119" s="127"/>
      <c r="Z119" s="131"/>
      <c r="AA119" s="374"/>
      <c r="AB119" s="127"/>
      <c r="AC119" s="127"/>
      <c r="AD119" s="127"/>
      <c r="AE119" s="131"/>
      <c r="AF119" s="374"/>
      <c r="AG119" s="127"/>
      <c r="AH119" s="127"/>
      <c r="AI119" s="127"/>
      <c r="AJ119" s="131"/>
      <c r="AK119" s="374"/>
      <c r="AL119" s="127"/>
      <c r="AM119" s="127"/>
      <c r="AN119" s="127"/>
      <c r="AO119" s="184"/>
      <c r="AP119" s="183"/>
      <c r="AQ119" s="142"/>
      <c r="AR119" s="142"/>
      <c r="AS119" s="142"/>
    </row>
    <row r="120">
      <c r="A120" s="131"/>
      <c r="B120" s="374"/>
      <c r="C120" s="127"/>
      <c r="D120" s="127"/>
      <c r="E120" s="127"/>
      <c r="F120" s="131"/>
      <c r="G120" s="374"/>
      <c r="H120" s="127"/>
      <c r="I120" s="127"/>
      <c r="J120" s="127"/>
      <c r="K120" s="383"/>
      <c r="L120" s="374"/>
      <c r="M120" s="127"/>
      <c r="N120" s="127"/>
      <c r="O120" s="127"/>
      <c r="P120" s="383"/>
      <c r="Q120" s="164"/>
      <c r="R120" s="127"/>
      <c r="S120" s="127"/>
      <c r="T120" s="127"/>
      <c r="U120" s="131"/>
      <c r="V120" s="374"/>
      <c r="W120" s="127"/>
      <c r="X120" s="127"/>
      <c r="Y120" s="127"/>
      <c r="Z120" s="131"/>
      <c r="AA120" s="374"/>
      <c r="AB120" s="127"/>
      <c r="AC120" s="127"/>
      <c r="AD120" s="127"/>
      <c r="AE120" s="131"/>
      <c r="AF120" s="374"/>
      <c r="AG120" s="127"/>
      <c r="AH120" s="127"/>
      <c r="AI120" s="127"/>
      <c r="AJ120" s="131"/>
      <c r="AK120" s="374"/>
      <c r="AL120" s="127"/>
      <c r="AM120" s="127"/>
      <c r="AN120" s="127"/>
      <c r="AO120" s="184"/>
      <c r="AP120" s="183"/>
      <c r="AQ120" s="142"/>
      <c r="AR120" s="142"/>
      <c r="AS120" s="142"/>
    </row>
    <row r="121">
      <c r="A121" s="131"/>
      <c r="B121" s="374"/>
      <c r="C121" s="127"/>
      <c r="D121" s="127"/>
      <c r="E121" s="127"/>
      <c r="F121" s="131"/>
      <c r="G121" s="374"/>
      <c r="H121" s="127"/>
      <c r="I121" s="127"/>
      <c r="J121" s="127"/>
      <c r="K121" s="383"/>
      <c r="L121" s="374"/>
      <c r="M121" s="127"/>
      <c r="N121" s="127"/>
      <c r="O121" s="127"/>
      <c r="P121" s="383"/>
      <c r="Q121" s="164"/>
      <c r="R121" s="127"/>
      <c r="S121" s="127"/>
      <c r="T121" s="127"/>
      <c r="U121" s="131"/>
      <c r="V121" s="374"/>
      <c r="W121" s="127"/>
      <c r="X121" s="127"/>
      <c r="Y121" s="127"/>
      <c r="Z121" s="131"/>
      <c r="AA121" s="374"/>
      <c r="AB121" s="127"/>
      <c r="AC121" s="127"/>
      <c r="AD121" s="127"/>
      <c r="AE121" s="131"/>
      <c r="AF121" s="374"/>
      <c r="AG121" s="127"/>
      <c r="AH121" s="127"/>
      <c r="AI121" s="127"/>
      <c r="AJ121" s="131"/>
      <c r="AK121" s="374"/>
      <c r="AL121" s="127"/>
      <c r="AM121" s="127"/>
      <c r="AN121" s="127"/>
      <c r="AO121" s="184"/>
      <c r="AP121" s="183"/>
      <c r="AQ121" s="142"/>
      <c r="AR121" s="142"/>
      <c r="AS121" s="142"/>
    </row>
    <row r="122">
      <c r="A122" s="131"/>
      <c r="B122" s="374"/>
      <c r="C122" s="127"/>
      <c r="D122" s="127"/>
      <c r="E122" s="127"/>
      <c r="F122" s="131"/>
      <c r="G122" s="374"/>
      <c r="H122" s="127"/>
      <c r="I122" s="127"/>
      <c r="J122" s="127"/>
      <c r="K122" s="383"/>
      <c r="L122" s="374"/>
      <c r="M122" s="127"/>
      <c r="N122" s="127"/>
      <c r="O122" s="127"/>
      <c r="P122" s="383"/>
      <c r="Q122" s="164"/>
      <c r="R122" s="127"/>
      <c r="S122" s="127"/>
      <c r="T122" s="127"/>
      <c r="U122" s="131"/>
      <c r="V122" s="374"/>
      <c r="W122" s="127"/>
      <c r="X122" s="127"/>
      <c r="Y122" s="127"/>
      <c r="Z122" s="131"/>
      <c r="AA122" s="374"/>
      <c r="AB122" s="127"/>
      <c r="AC122" s="127"/>
      <c r="AD122" s="127"/>
      <c r="AE122" s="131"/>
      <c r="AF122" s="374"/>
      <c r="AG122" s="127"/>
      <c r="AH122" s="127"/>
      <c r="AI122" s="127"/>
      <c r="AJ122" s="131"/>
      <c r="AK122" s="374"/>
      <c r="AL122" s="127"/>
      <c r="AM122" s="127"/>
      <c r="AN122" s="127"/>
      <c r="AO122" s="184"/>
      <c r="AP122" s="183"/>
      <c r="AQ122" s="142"/>
      <c r="AR122" s="142"/>
      <c r="AS122" s="142"/>
    </row>
    <row r="123">
      <c r="A123" s="131"/>
      <c r="B123" s="374"/>
      <c r="C123" s="127"/>
      <c r="D123" s="127"/>
      <c r="E123" s="127"/>
      <c r="F123" s="131"/>
      <c r="G123" s="374"/>
      <c r="H123" s="127"/>
      <c r="I123" s="127"/>
      <c r="J123" s="127"/>
      <c r="K123" s="383"/>
      <c r="L123" s="374"/>
      <c r="M123" s="127"/>
      <c r="N123" s="127"/>
      <c r="O123" s="127"/>
      <c r="P123" s="383"/>
      <c r="Q123" s="164"/>
      <c r="R123" s="127"/>
      <c r="S123" s="127"/>
      <c r="T123" s="127"/>
      <c r="U123" s="131"/>
      <c r="V123" s="374"/>
      <c r="W123" s="127"/>
      <c r="X123" s="127"/>
      <c r="Y123" s="127"/>
      <c r="Z123" s="131"/>
      <c r="AA123" s="374"/>
      <c r="AB123" s="127"/>
      <c r="AC123" s="127"/>
      <c r="AD123" s="127"/>
      <c r="AE123" s="131"/>
      <c r="AF123" s="374"/>
      <c r="AG123" s="127"/>
      <c r="AH123" s="127"/>
      <c r="AI123" s="127"/>
      <c r="AJ123" s="131"/>
      <c r="AK123" s="374"/>
      <c r="AL123" s="127"/>
      <c r="AM123" s="127"/>
      <c r="AN123" s="127"/>
      <c r="AO123" s="184"/>
      <c r="AP123" s="183"/>
      <c r="AQ123" s="142"/>
      <c r="AR123" s="142"/>
      <c r="AS123" s="142"/>
    </row>
    <row r="124">
      <c r="A124" s="131"/>
      <c r="B124" s="374"/>
      <c r="C124" s="127"/>
      <c r="D124" s="127"/>
      <c r="E124" s="127"/>
      <c r="F124" s="131"/>
      <c r="G124" s="374"/>
      <c r="H124" s="127"/>
      <c r="I124" s="127"/>
      <c r="J124" s="127"/>
      <c r="K124" s="383"/>
      <c r="L124" s="374"/>
      <c r="M124" s="127"/>
      <c r="N124" s="127"/>
      <c r="O124" s="127"/>
      <c r="P124" s="383"/>
      <c r="Q124" s="164"/>
      <c r="R124" s="127"/>
      <c r="S124" s="127"/>
      <c r="T124" s="127"/>
      <c r="U124" s="131"/>
      <c r="V124" s="374"/>
      <c r="W124" s="127"/>
      <c r="X124" s="127"/>
      <c r="Y124" s="127"/>
      <c r="Z124" s="131"/>
      <c r="AA124" s="374"/>
      <c r="AB124" s="127"/>
      <c r="AC124" s="127"/>
      <c r="AD124" s="127"/>
      <c r="AE124" s="131"/>
      <c r="AF124" s="374"/>
      <c r="AG124" s="127"/>
      <c r="AH124" s="127"/>
      <c r="AI124" s="127"/>
      <c r="AJ124" s="131"/>
      <c r="AK124" s="374"/>
      <c r="AL124" s="127"/>
      <c r="AM124" s="127"/>
      <c r="AN124" s="127"/>
      <c r="AO124" s="184"/>
      <c r="AP124" s="183"/>
      <c r="AQ124" s="142"/>
      <c r="AR124" s="142"/>
      <c r="AS124" s="142"/>
    </row>
    <row r="125">
      <c r="A125" s="131"/>
      <c r="B125" s="374"/>
      <c r="C125" s="127"/>
      <c r="D125" s="127"/>
      <c r="E125" s="127"/>
      <c r="F125" s="131"/>
      <c r="G125" s="374"/>
      <c r="H125" s="127"/>
      <c r="I125" s="127"/>
      <c r="J125" s="127"/>
      <c r="K125" s="383"/>
      <c r="L125" s="374"/>
      <c r="M125" s="127"/>
      <c r="N125" s="127"/>
      <c r="O125" s="127"/>
      <c r="P125" s="383"/>
      <c r="Q125" s="164"/>
      <c r="R125" s="127"/>
      <c r="S125" s="127"/>
      <c r="T125" s="127"/>
      <c r="U125" s="131"/>
      <c r="V125" s="374"/>
      <c r="W125" s="127"/>
      <c r="X125" s="127"/>
      <c r="Y125" s="127"/>
      <c r="Z125" s="131"/>
      <c r="AA125" s="374"/>
      <c r="AB125" s="127"/>
      <c r="AC125" s="127"/>
      <c r="AD125" s="127"/>
      <c r="AE125" s="131"/>
      <c r="AF125" s="374"/>
      <c r="AG125" s="127"/>
      <c r="AH125" s="127"/>
      <c r="AI125" s="127"/>
      <c r="AJ125" s="131"/>
      <c r="AK125" s="374"/>
      <c r="AL125" s="127"/>
      <c r="AM125" s="127"/>
      <c r="AN125" s="127"/>
      <c r="AO125" s="184"/>
      <c r="AP125" s="183"/>
      <c r="AQ125" s="142"/>
      <c r="AR125" s="142"/>
      <c r="AS125" s="142"/>
    </row>
    <row r="126">
      <c r="A126" s="131"/>
      <c r="B126" s="374"/>
      <c r="C126" s="127"/>
      <c r="D126" s="127"/>
      <c r="E126" s="127"/>
      <c r="F126" s="131"/>
      <c r="G126" s="374"/>
      <c r="H126" s="127"/>
      <c r="I126" s="127"/>
      <c r="J126" s="127"/>
      <c r="K126" s="383"/>
      <c r="L126" s="374"/>
      <c r="M126" s="127"/>
      <c r="N126" s="127"/>
      <c r="O126" s="127"/>
      <c r="P126" s="383"/>
      <c r="Q126" s="164"/>
      <c r="R126" s="127"/>
      <c r="S126" s="127"/>
      <c r="T126" s="127"/>
      <c r="U126" s="131"/>
      <c r="V126" s="374"/>
      <c r="W126" s="127"/>
      <c r="X126" s="127"/>
      <c r="Y126" s="127"/>
      <c r="Z126" s="131"/>
      <c r="AA126" s="374"/>
      <c r="AB126" s="127"/>
      <c r="AC126" s="127"/>
      <c r="AD126" s="127"/>
      <c r="AE126" s="131"/>
      <c r="AF126" s="374"/>
      <c r="AG126" s="127"/>
      <c r="AH126" s="127"/>
      <c r="AI126" s="127"/>
      <c r="AJ126" s="131"/>
      <c r="AK126" s="374"/>
      <c r="AL126" s="127"/>
      <c r="AM126" s="127"/>
      <c r="AN126" s="127"/>
      <c r="AO126" s="184"/>
      <c r="AP126" s="183"/>
      <c r="AQ126" s="142"/>
      <c r="AR126" s="142"/>
      <c r="AS126" s="142"/>
    </row>
    <row r="127">
      <c r="A127" s="131"/>
      <c r="B127" s="374"/>
      <c r="C127" s="127"/>
      <c r="D127" s="127"/>
      <c r="E127" s="127"/>
      <c r="F127" s="131"/>
      <c r="G127" s="374"/>
      <c r="H127" s="127"/>
      <c r="I127" s="127"/>
      <c r="J127" s="127"/>
      <c r="K127" s="383"/>
      <c r="L127" s="374"/>
      <c r="M127" s="127"/>
      <c r="N127" s="127"/>
      <c r="O127" s="127"/>
      <c r="P127" s="383"/>
      <c r="Q127" s="164"/>
      <c r="R127" s="127"/>
      <c r="S127" s="127"/>
      <c r="T127" s="127"/>
      <c r="U127" s="131"/>
      <c r="V127" s="374"/>
      <c r="W127" s="127"/>
      <c r="X127" s="127"/>
      <c r="Y127" s="127"/>
      <c r="Z127" s="131"/>
      <c r="AA127" s="374"/>
      <c r="AB127" s="127"/>
      <c r="AC127" s="127"/>
      <c r="AD127" s="127"/>
      <c r="AE127" s="131"/>
      <c r="AF127" s="374"/>
      <c r="AG127" s="127"/>
      <c r="AH127" s="127"/>
      <c r="AI127" s="127"/>
      <c r="AJ127" s="131"/>
      <c r="AK127" s="374"/>
      <c r="AL127" s="127"/>
      <c r="AM127" s="127"/>
      <c r="AN127" s="127"/>
      <c r="AO127" s="184"/>
      <c r="AP127" s="183"/>
      <c r="AQ127" s="142"/>
      <c r="AR127" s="142"/>
      <c r="AS127" s="142"/>
    </row>
    <row r="128">
      <c r="A128" s="131"/>
      <c r="B128" s="374"/>
      <c r="C128" s="127"/>
      <c r="D128" s="127"/>
      <c r="E128" s="127"/>
      <c r="F128" s="131"/>
      <c r="G128" s="374"/>
      <c r="H128" s="127"/>
      <c r="I128" s="127"/>
      <c r="J128" s="127"/>
      <c r="K128" s="383"/>
      <c r="L128" s="374"/>
      <c r="M128" s="127"/>
      <c r="N128" s="127"/>
      <c r="O128" s="127"/>
      <c r="P128" s="383"/>
      <c r="Q128" s="164"/>
      <c r="R128" s="127"/>
      <c r="S128" s="127"/>
      <c r="T128" s="127"/>
      <c r="U128" s="131"/>
      <c r="V128" s="374"/>
      <c r="W128" s="127"/>
      <c r="X128" s="127"/>
      <c r="Y128" s="127"/>
      <c r="Z128" s="131"/>
      <c r="AA128" s="374"/>
      <c r="AB128" s="127"/>
      <c r="AC128" s="127"/>
      <c r="AD128" s="127"/>
      <c r="AE128" s="131"/>
      <c r="AF128" s="374"/>
      <c r="AG128" s="127"/>
      <c r="AH128" s="127"/>
      <c r="AI128" s="127"/>
      <c r="AJ128" s="131"/>
      <c r="AK128" s="374"/>
      <c r="AL128" s="127"/>
      <c r="AM128" s="127"/>
      <c r="AN128" s="127"/>
      <c r="AO128" s="184"/>
      <c r="AP128" s="183"/>
      <c r="AQ128" s="142"/>
      <c r="AR128" s="142"/>
      <c r="AS128" s="142"/>
    </row>
    <row r="129">
      <c r="A129" s="131"/>
      <c r="B129" s="374"/>
      <c r="C129" s="127"/>
      <c r="D129" s="127"/>
      <c r="E129" s="127"/>
      <c r="F129" s="131"/>
      <c r="G129" s="374"/>
      <c r="H129" s="127"/>
      <c r="I129" s="127"/>
      <c r="J129" s="127"/>
      <c r="K129" s="383"/>
      <c r="L129" s="374"/>
      <c r="M129" s="127"/>
      <c r="N129" s="127"/>
      <c r="O129" s="127"/>
      <c r="P129" s="383"/>
      <c r="Q129" s="164"/>
      <c r="R129" s="127"/>
      <c r="S129" s="127"/>
      <c r="T129" s="127"/>
      <c r="U129" s="131"/>
      <c r="V129" s="374"/>
      <c r="W129" s="127"/>
      <c r="X129" s="127"/>
      <c r="Y129" s="127"/>
      <c r="Z129" s="131"/>
      <c r="AA129" s="374"/>
      <c r="AB129" s="127"/>
      <c r="AC129" s="127"/>
      <c r="AD129" s="127"/>
      <c r="AE129" s="131"/>
      <c r="AF129" s="374"/>
      <c r="AG129" s="127"/>
      <c r="AH129" s="127"/>
      <c r="AI129" s="127"/>
      <c r="AJ129" s="131"/>
      <c r="AK129" s="374"/>
      <c r="AL129" s="127"/>
      <c r="AM129" s="127"/>
      <c r="AN129" s="127"/>
      <c r="AO129" s="184"/>
      <c r="AP129" s="183"/>
      <c r="AQ129" s="142"/>
      <c r="AR129" s="142"/>
      <c r="AS129" s="142"/>
    </row>
    <row r="130">
      <c r="A130" s="131"/>
      <c r="B130" s="374"/>
      <c r="C130" s="127"/>
      <c r="D130" s="127"/>
      <c r="E130" s="127"/>
      <c r="F130" s="131"/>
      <c r="G130" s="374"/>
      <c r="H130" s="127"/>
      <c r="I130" s="127"/>
      <c r="J130" s="127"/>
      <c r="K130" s="383"/>
      <c r="L130" s="374"/>
      <c r="M130" s="127"/>
      <c r="N130" s="127"/>
      <c r="O130" s="127"/>
      <c r="P130" s="383"/>
      <c r="Q130" s="164"/>
      <c r="R130" s="127"/>
      <c r="S130" s="127"/>
      <c r="T130" s="127"/>
      <c r="U130" s="131"/>
      <c r="V130" s="374"/>
      <c r="W130" s="127"/>
      <c r="X130" s="127"/>
      <c r="Y130" s="127"/>
      <c r="Z130" s="131"/>
      <c r="AA130" s="374"/>
      <c r="AB130" s="127"/>
      <c r="AC130" s="127"/>
      <c r="AD130" s="127"/>
      <c r="AE130" s="131"/>
      <c r="AF130" s="374"/>
      <c r="AG130" s="127"/>
      <c r="AH130" s="127"/>
      <c r="AI130" s="127"/>
      <c r="AJ130" s="131"/>
      <c r="AK130" s="374"/>
      <c r="AL130" s="127"/>
      <c r="AM130" s="127"/>
      <c r="AN130" s="127"/>
      <c r="AO130" s="184"/>
      <c r="AP130" s="183"/>
      <c r="AQ130" s="142"/>
      <c r="AR130" s="142"/>
      <c r="AS130" s="142"/>
    </row>
    <row r="131">
      <c r="A131" s="131"/>
      <c r="B131" s="374"/>
      <c r="C131" s="127"/>
      <c r="D131" s="127"/>
      <c r="E131" s="127"/>
      <c r="F131" s="131"/>
      <c r="G131" s="374"/>
      <c r="H131" s="127"/>
      <c r="I131" s="127"/>
      <c r="J131" s="127"/>
      <c r="K131" s="383"/>
      <c r="L131" s="374"/>
      <c r="M131" s="127"/>
      <c r="N131" s="127"/>
      <c r="O131" s="127"/>
      <c r="P131" s="383"/>
      <c r="Q131" s="164"/>
      <c r="R131" s="127"/>
      <c r="S131" s="127"/>
      <c r="T131" s="127"/>
      <c r="U131" s="131"/>
      <c r="V131" s="374"/>
      <c r="W131" s="127"/>
      <c r="X131" s="127"/>
      <c r="Y131" s="127"/>
      <c r="Z131" s="131"/>
      <c r="AA131" s="374"/>
      <c r="AB131" s="127"/>
      <c r="AC131" s="127"/>
      <c r="AD131" s="127"/>
      <c r="AE131" s="131"/>
      <c r="AF131" s="374"/>
      <c r="AG131" s="127"/>
      <c r="AH131" s="127"/>
      <c r="AI131" s="127"/>
      <c r="AJ131" s="131"/>
      <c r="AK131" s="374"/>
      <c r="AL131" s="127"/>
      <c r="AM131" s="127"/>
      <c r="AN131" s="127"/>
      <c r="AO131" s="184"/>
      <c r="AP131" s="183"/>
      <c r="AQ131" s="142"/>
      <c r="AR131" s="142"/>
      <c r="AS131" s="142"/>
    </row>
    <row r="132">
      <c r="A132" s="131"/>
      <c r="B132" s="374"/>
      <c r="C132" s="127"/>
      <c r="D132" s="127"/>
      <c r="E132" s="127"/>
      <c r="F132" s="131"/>
      <c r="G132" s="374"/>
      <c r="H132" s="127"/>
      <c r="I132" s="127"/>
      <c r="J132" s="127"/>
      <c r="K132" s="383"/>
      <c r="L132" s="374"/>
      <c r="M132" s="127"/>
      <c r="N132" s="127"/>
      <c r="O132" s="127"/>
      <c r="P132" s="383"/>
      <c r="Q132" s="164"/>
      <c r="R132" s="127"/>
      <c r="S132" s="127"/>
      <c r="T132" s="127"/>
      <c r="U132" s="131"/>
      <c r="V132" s="374"/>
      <c r="W132" s="127"/>
      <c r="X132" s="127"/>
      <c r="Y132" s="127"/>
      <c r="Z132" s="131"/>
      <c r="AA132" s="374"/>
      <c r="AB132" s="127"/>
      <c r="AC132" s="127"/>
      <c r="AD132" s="127"/>
      <c r="AE132" s="131"/>
      <c r="AF132" s="374"/>
      <c r="AG132" s="127"/>
      <c r="AH132" s="127"/>
      <c r="AI132" s="127"/>
      <c r="AJ132" s="131"/>
      <c r="AK132" s="374"/>
      <c r="AL132" s="127"/>
      <c r="AM132" s="127"/>
      <c r="AN132" s="127"/>
      <c r="AO132" s="184"/>
      <c r="AP132" s="183"/>
      <c r="AQ132" s="142"/>
      <c r="AR132" s="142"/>
      <c r="AS132" s="142"/>
    </row>
    <row r="133">
      <c r="A133" s="131"/>
      <c r="B133" s="374"/>
      <c r="C133" s="127"/>
      <c r="D133" s="127"/>
      <c r="E133" s="127"/>
      <c r="F133" s="131"/>
      <c r="G133" s="374"/>
      <c r="H133" s="127"/>
      <c r="I133" s="127"/>
      <c r="J133" s="127"/>
      <c r="K133" s="383"/>
      <c r="L133" s="374"/>
      <c r="M133" s="127"/>
      <c r="N133" s="127"/>
      <c r="O133" s="127"/>
      <c r="P133" s="383"/>
      <c r="Q133" s="164"/>
      <c r="R133" s="127"/>
      <c r="S133" s="127"/>
      <c r="T133" s="127"/>
      <c r="U133" s="131"/>
      <c r="V133" s="374"/>
      <c r="W133" s="127"/>
      <c r="X133" s="127"/>
      <c r="Y133" s="127"/>
      <c r="Z133" s="131"/>
      <c r="AA133" s="374"/>
      <c r="AB133" s="127"/>
      <c r="AC133" s="127"/>
      <c r="AD133" s="127"/>
      <c r="AE133" s="131"/>
      <c r="AF133" s="374"/>
      <c r="AG133" s="127"/>
      <c r="AH133" s="127"/>
      <c r="AI133" s="127"/>
      <c r="AJ133" s="131"/>
      <c r="AK133" s="374"/>
      <c r="AL133" s="127"/>
      <c r="AM133" s="127"/>
      <c r="AN133" s="127"/>
      <c r="AO133" s="184"/>
      <c r="AP133" s="183"/>
      <c r="AQ133" s="142"/>
      <c r="AR133" s="142"/>
      <c r="AS133" s="142"/>
    </row>
    <row r="134">
      <c r="A134" s="131"/>
      <c r="B134" s="374"/>
      <c r="C134" s="127"/>
      <c r="D134" s="127"/>
      <c r="E134" s="127"/>
      <c r="F134" s="131"/>
      <c r="G134" s="374"/>
      <c r="H134" s="127"/>
      <c r="I134" s="127"/>
      <c r="J134" s="127"/>
      <c r="K134" s="383"/>
      <c r="L134" s="374"/>
      <c r="M134" s="127"/>
      <c r="N134" s="127"/>
      <c r="O134" s="127"/>
      <c r="P134" s="383"/>
      <c r="Q134" s="164"/>
      <c r="R134" s="127"/>
      <c r="S134" s="127"/>
      <c r="T134" s="127"/>
      <c r="U134" s="131"/>
      <c r="V134" s="374"/>
      <c r="W134" s="127"/>
      <c r="X134" s="127"/>
      <c r="Y134" s="127"/>
      <c r="Z134" s="131"/>
      <c r="AA134" s="374"/>
      <c r="AB134" s="127"/>
      <c r="AC134" s="127"/>
      <c r="AD134" s="127"/>
      <c r="AE134" s="131"/>
      <c r="AF134" s="374"/>
      <c r="AG134" s="127"/>
      <c r="AH134" s="127"/>
      <c r="AI134" s="127"/>
      <c r="AJ134" s="131"/>
      <c r="AK134" s="374"/>
      <c r="AL134" s="127"/>
      <c r="AM134" s="127"/>
      <c r="AN134" s="127"/>
      <c r="AO134" s="184"/>
      <c r="AP134" s="183"/>
      <c r="AQ134" s="142"/>
      <c r="AR134" s="142"/>
      <c r="AS134" s="142"/>
    </row>
    <row r="135">
      <c r="A135" s="131"/>
      <c r="B135" s="374"/>
      <c r="C135" s="127"/>
      <c r="D135" s="127"/>
      <c r="E135" s="127"/>
      <c r="F135" s="131"/>
      <c r="G135" s="374"/>
      <c r="H135" s="127"/>
      <c r="I135" s="127"/>
      <c r="J135" s="127"/>
      <c r="K135" s="383"/>
      <c r="L135" s="374"/>
      <c r="M135" s="127"/>
      <c r="N135" s="127"/>
      <c r="O135" s="127"/>
      <c r="P135" s="383"/>
      <c r="Q135" s="164"/>
      <c r="R135" s="127"/>
      <c r="S135" s="127"/>
      <c r="T135" s="127"/>
      <c r="U135" s="131"/>
      <c r="V135" s="374"/>
      <c r="W135" s="127"/>
      <c r="X135" s="127"/>
      <c r="Y135" s="127"/>
      <c r="Z135" s="131"/>
      <c r="AA135" s="374"/>
      <c r="AB135" s="127"/>
      <c r="AC135" s="127"/>
      <c r="AD135" s="127"/>
      <c r="AE135" s="131"/>
      <c r="AF135" s="374"/>
      <c r="AG135" s="127"/>
      <c r="AH135" s="127"/>
      <c r="AI135" s="127"/>
      <c r="AJ135" s="131"/>
      <c r="AK135" s="374"/>
      <c r="AL135" s="127"/>
      <c r="AM135" s="127"/>
      <c r="AN135" s="127"/>
      <c r="AO135" s="184"/>
      <c r="AP135" s="183"/>
      <c r="AQ135" s="142"/>
      <c r="AR135" s="142"/>
      <c r="AS135" s="142"/>
    </row>
    <row r="136">
      <c r="A136" s="131"/>
      <c r="B136" s="374"/>
      <c r="C136" s="127"/>
      <c r="D136" s="127"/>
      <c r="E136" s="127"/>
      <c r="F136" s="131"/>
      <c r="G136" s="374"/>
      <c r="H136" s="127"/>
      <c r="I136" s="127"/>
      <c r="J136" s="127"/>
      <c r="K136" s="383"/>
      <c r="L136" s="374"/>
      <c r="M136" s="127"/>
      <c r="N136" s="127"/>
      <c r="O136" s="127"/>
      <c r="P136" s="383"/>
      <c r="Q136" s="164"/>
      <c r="R136" s="127"/>
      <c r="S136" s="127"/>
      <c r="T136" s="127"/>
      <c r="U136" s="131"/>
      <c r="V136" s="374"/>
      <c r="W136" s="127"/>
      <c r="X136" s="127"/>
      <c r="Y136" s="127"/>
      <c r="Z136" s="131"/>
      <c r="AA136" s="374"/>
      <c r="AB136" s="127"/>
      <c r="AC136" s="127"/>
      <c r="AD136" s="127"/>
      <c r="AE136" s="131"/>
      <c r="AF136" s="374"/>
      <c r="AG136" s="127"/>
      <c r="AH136" s="127"/>
      <c r="AI136" s="127"/>
      <c r="AJ136" s="131"/>
      <c r="AK136" s="374"/>
      <c r="AL136" s="127"/>
      <c r="AM136" s="127"/>
      <c r="AN136" s="127"/>
      <c r="AO136" s="184"/>
      <c r="AP136" s="183"/>
      <c r="AQ136" s="142"/>
      <c r="AR136" s="142"/>
      <c r="AS136" s="142"/>
    </row>
    <row r="137">
      <c r="A137" s="131"/>
      <c r="B137" s="374"/>
      <c r="C137" s="127"/>
      <c r="D137" s="127"/>
      <c r="E137" s="127"/>
      <c r="F137" s="131"/>
      <c r="G137" s="374"/>
      <c r="H137" s="127"/>
      <c r="I137" s="127"/>
      <c r="J137" s="127"/>
      <c r="K137" s="383"/>
      <c r="L137" s="374"/>
      <c r="M137" s="127"/>
      <c r="N137" s="127"/>
      <c r="O137" s="127"/>
      <c r="P137" s="383"/>
      <c r="Q137" s="164"/>
      <c r="R137" s="127"/>
      <c r="S137" s="127"/>
      <c r="T137" s="127"/>
      <c r="U137" s="131"/>
      <c r="V137" s="374"/>
      <c r="W137" s="127"/>
      <c r="X137" s="127"/>
      <c r="Y137" s="127"/>
      <c r="Z137" s="131"/>
      <c r="AA137" s="374"/>
      <c r="AB137" s="127"/>
      <c r="AC137" s="127"/>
      <c r="AD137" s="127"/>
      <c r="AE137" s="131"/>
      <c r="AF137" s="374"/>
      <c r="AG137" s="127"/>
      <c r="AH137" s="127"/>
      <c r="AI137" s="127"/>
      <c r="AJ137" s="131"/>
      <c r="AK137" s="374"/>
      <c r="AL137" s="127"/>
      <c r="AM137" s="127"/>
      <c r="AN137" s="127"/>
      <c r="AO137" s="184"/>
      <c r="AP137" s="183"/>
      <c r="AQ137" s="142"/>
      <c r="AR137" s="142"/>
      <c r="AS137" s="142"/>
    </row>
    <row r="138">
      <c r="A138" s="131"/>
      <c r="B138" s="374"/>
      <c r="C138" s="127"/>
      <c r="D138" s="127"/>
      <c r="E138" s="127"/>
      <c r="F138" s="131"/>
      <c r="G138" s="374"/>
      <c r="H138" s="127"/>
      <c r="I138" s="127"/>
      <c r="J138" s="127"/>
      <c r="K138" s="383"/>
      <c r="L138" s="374"/>
      <c r="M138" s="127"/>
      <c r="N138" s="127"/>
      <c r="O138" s="127"/>
      <c r="P138" s="383"/>
      <c r="Q138" s="164"/>
      <c r="R138" s="127"/>
      <c r="S138" s="127"/>
      <c r="T138" s="127"/>
      <c r="U138" s="131"/>
      <c r="V138" s="374"/>
      <c r="W138" s="127"/>
      <c r="X138" s="127"/>
      <c r="Y138" s="127"/>
      <c r="Z138" s="131"/>
      <c r="AA138" s="374"/>
      <c r="AB138" s="127"/>
      <c r="AC138" s="127"/>
      <c r="AD138" s="127"/>
      <c r="AE138" s="131"/>
      <c r="AF138" s="374"/>
      <c r="AG138" s="127"/>
      <c r="AH138" s="127"/>
      <c r="AI138" s="127"/>
      <c r="AJ138" s="131"/>
      <c r="AK138" s="374"/>
      <c r="AL138" s="127"/>
      <c r="AM138" s="127"/>
      <c r="AN138" s="127"/>
      <c r="AO138" s="184"/>
      <c r="AP138" s="183"/>
      <c r="AQ138" s="142"/>
      <c r="AR138" s="142"/>
      <c r="AS138" s="142"/>
    </row>
    <row r="139">
      <c r="A139" s="131"/>
      <c r="B139" s="374"/>
      <c r="C139" s="127"/>
      <c r="D139" s="127"/>
      <c r="E139" s="127"/>
      <c r="F139" s="131"/>
      <c r="G139" s="374"/>
      <c r="H139" s="127"/>
      <c r="I139" s="127"/>
      <c r="J139" s="127"/>
      <c r="K139" s="383"/>
      <c r="L139" s="374"/>
      <c r="M139" s="127"/>
      <c r="N139" s="127"/>
      <c r="O139" s="127"/>
      <c r="P139" s="383"/>
      <c r="Q139" s="164"/>
      <c r="R139" s="127"/>
      <c r="S139" s="127"/>
      <c r="T139" s="127"/>
      <c r="U139" s="131"/>
      <c r="V139" s="374"/>
      <c r="W139" s="127"/>
      <c r="X139" s="127"/>
      <c r="Y139" s="127"/>
      <c r="Z139" s="131"/>
      <c r="AA139" s="374"/>
      <c r="AB139" s="127"/>
      <c r="AC139" s="127"/>
      <c r="AD139" s="127"/>
      <c r="AE139" s="131"/>
      <c r="AF139" s="374"/>
      <c r="AG139" s="127"/>
      <c r="AH139" s="127"/>
      <c r="AI139" s="127"/>
      <c r="AJ139" s="131"/>
      <c r="AK139" s="374"/>
      <c r="AL139" s="127"/>
      <c r="AM139" s="127"/>
      <c r="AN139" s="127"/>
      <c r="AO139" s="184"/>
      <c r="AP139" s="183"/>
      <c r="AQ139" s="142"/>
      <c r="AR139" s="142"/>
      <c r="AS139" s="142"/>
    </row>
    <row r="140">
      <c r="A140" s="131"/>
      <c r="B140" s="374"/>
      <c r="C140" s="127"/>
      <c r="D140" s="127"/>
      <c r="E140" s="127"/>
      <c r="F140" s="131"/>
      <c r="G140" s="374"/>
      <c r="H140" s="127"/>
      <c r="I140" s="127"/>
      <c r="J140" s="127"/>
      <c r="K140" s="383"/>
      <c r="L140" s="374"/>
      <c r="M140" s="127"/>
      <c r="N140" s="127"/>
      <c r="O140" s="127"/>
      <c r="P140" s="383"/>
      <c r="Q140" s="164"/>
      <c r="R140" s="127"/>
      <c r="S140" s="127"/>
      <c r="T140" s="127"/>
      <c r="U140" s="131"/>
      <c r="V140" s="374"/>
      <c r="W140" s="127"/>
      <c r="X140" s="127"/>
      <c r="Y140" s="127"/>
      <c r="Z140" s="131"/>
      <c r="AA140" s="374"/>
      <c r="AB140" s="127"/>
      <c r="AC140" s="127"/>
      <c r="AD140" s="127"/>
      <c r="AE140" s="131"/>
      <c r="AF140" s="374"/>
      <c r="AG140" s="127"/>
      <c r="AH140" s="127"/>
      <c r="AI140" s="127"/>
      <c r="AJ140" s="131"/>
      <c r="AK140" s="374"/>
      <c r="AL140" s="127"/>
      <c r="AM140" s="127"/>
      <c r="AN140" s="127"/>
      <c r="AO140" s="184"/>
      <c r="AP140" s="183"/>
      <c r="AQ140" s="142"/>
      <c r="AR140" s="142"/>
      <c r="AS140" s="142"/>
    </row>
    <row r="141">
      <c r="A141" s="131"/>
      <c r="B141" s="374"/>
      <c r="C141" s="127"/>
      <c r="D141" s="127"/>
      <c r="E141" s="127"/>
      <c r="F141" s="131"/>
      <c r="G141" s="374"/>
      <c r="H141" s="127"/>
      <c r="I141" s="127"/>
      <c r="J141" s="127"/>
      <c r="K141" s="383"/>
      <c r="L141" s="374"/>
      <c r="M141" s="127"/>
      <c r="N141" s="127"/>
      <c r="O141" s="127"/>
      <c r="P141" s="383"/>
      <c r="Q141" s="164"/>
      <c r="R141" s="127"/>
      <c r="S141" s="127"/>
      <c r="T141" s="127"/>
      <c r="U141" s="131"/>
      <c r="V141" s="374"/>
      <c r="W141" s="127"/>
      <c r="X141" s="127"/>
      <c r="Y141" s="127"/>
      <c r="Z141" s="131"/>
      <c r="AA141" s="374"/>
      <c r="AB141" s="127"/>
      <c r="AC141" s="127"/>
      <c r="AD141" s="127"/>
      <c r="AE141" s="131"/>
      <c r="AF141" s="374"/>
      <c r="AG141" s="127"/>
      <c r="AH141" s="127"/>
      <c r="AI141" s="127"/>
      <c r="AJ141" s="131"/>
      <c r="AK141" s="374"/>
      <c r="AL141" s="127"/>
      <c r="AM141" s="127"/>
      <c r="AN141" s="127"/>
      <c r="AO141" s="184"/>
      <c r="AP141" s="183"/>
      <c r="AQ141" s="142"/>
      <c r="AR141" s="142"/>
      <c r="AS141" s="142"/>
    </row>
    <row r="142">
      <c r="A142" s="131"/>
      <c r="B142" s="374"/>
      <c r="C142" s="127"/>
      <c r="D142" s="127"/>
      <c r="E142" s="127"/>
      <c r="F142" s="131"/>
      <c r="G142" s="374"/>
      <c r="H142" s="127"/>
      <c r="I142" s="127"/>
      <c r="J142" s="127"/>
      <c r="K142" s="383"/>
      <c r="L142" s="374"/>
      <c r="M142" s="127"/>
      <c r="N142" s="127"/>
      <c r="O142" s="127"/>
      <c r="P142" s="383"/>
      <c r="Q142" s="164"/>
      <c r="R142" s="127"/>
      <c r="S142" s="127"/>
      <c r="T142" s="127"/>
      <c r="U142" s="131"/>
      <c r="V142" s="374"/>
      <c r="W142" s="127"/>
      <c r="X142" s="127"/>
      <c r="Y142" s="127"/>
      <c r="Z142" s="131"/>
      <c r="AA142" s="374"/>
      <c r="AB142" s="127"/>
      <c r="AC142" s="127"/>
      <c r="AD142" s="127"/>
      <c r="AE142" s="131"/>
      <c r="AF142" s="374"/>
      <c r="AG142" s="127"/>
      <c r="AH142" s="127"/>
      <c r="AI142" s="127"/>
      <c r="AJ142" s="131"/>
      <c r="AK142" s="374"/>
      <c r="AL142" s="127"/>
      <c r="AM142" s="127"/>
      <c r="AN142" s="127"/>
      <c r="AO142" s="184"/>
      <c r="AP142" s="183"/>
      <c r="AQ142" s="142"/>
      <c r="AR142" s="142"/>
      <c r="AS142" s="142"/>
    </row>
    <row r="143">
      <c r="A143" s="131"/>
      <c r="B143" s="374"/>
      <c r="C143" s="127"/>
      <c r="D143" s="127"/>
      <c r="E143" s="127"/>
      <c r="F143" s="131"/>
      <c r="G143" s="374"/>
      <c r="H143" s="127"/>
      <c r="I143" s="127"/>
      <c r="J143" s="127"/>
      <c r="K143" s="383"/>
      <c r="L143" s="374"/>
      <c r="M143" s="127"/>
      <c r="N143" s="127"/>
      <c r="O143" s="127"/>
      <c r="P143" s="383"/>
      <c r="Q143" s="164"/>
      <c r="R143" s="127"/>
      <c r="S143" s="127"/>
      <c r="T143" s="127"/>
      <c r="U143" s="131"/>
      <c r="V143" s="374"/>
      <c r="W143" s="127"/>
      <c r="X143" s="127"/>
      <c r="Y143" s="127"/>
      <c r="Z143" s="131"/>
      <c r="AA143" s="374"/>
      <c r="AB143" s="127"/>
      <c r="AC143" s="127"/>
      <c r="AD143" s="127"/>
      <c r="AE143" s="131"/>
      <c r="AF143" s="374"/>
      <c r="AG143" s="127"/>
      <c r="AH143" s="127"/>
      <c r="AI143" s="127"/>
      <c r="AJ143" s="131"/>
      <c r="AK143" s="374"/>
      <c r="AL143" s="127"/>
      <c r="AM143" s="127"/>
      <c r="AN143" s="127"/>
      <c r="AO143" s="184"/>
      <c r="AP143" s="183"/>
      <c r="AQ143" s="142"/>
      <c r="AR143" s="142"/>
      <c r="AS143" s="142"/>
    </row>
    <row r="144">
      <c r="A144" s="131"/>
      <c r="B144" s="374"/>
      <c r="C144" s="127"/>
      <c r="D144" s="127"/>
      <c r="E144" s="127"/>
      <c r="F144" s="131"/>
      <c r="G144" s="374"/>
      <c r="H144" s="127"/>
      <c r="I144" s="127"/>
      <c r="J144" s="127"/>
      <c r="K144" s="383"/>
      <c r="L144" s="374"/>
      <c r="M144" s="127"/>
      <c r="N144" s="127"/>
      <c r="O144" s="127"/>
      <c r="P144" s="383"/>
      <c r="Q144" s="164"/>
      <c r="R144" s="127"/>
      <c r="S144" s="127"/>
      <c r="T144" s="127"/>
      <c r="U144" s="131"/>
      <c r="V144" s="374"/>
      <c r="W144" s="127"/>
      <c r="X144" s="127"/>
      <c r="Y144" s="127"/>
      <c r="Z144" s="131"/>
      <c r="AA144" s="374"/>
      <c r="AB144" s="127"/>
      <c r="AC144" s="127"/>
      <c r="AD144" s="127"/>
      <c r="AE144" s="131"/>
      <c r="AF144" s="374"/>
      <c r="AG144" s="127"/>
      <c r="AH144" s="127"/>
      <c r="AI144" s="127"/>
      <c r="AJ144" s="131"/>
      <c r="AK144" s="374"/>
      <c r="AL144" s="127"/>
      <c r="AM144" s="127"/>
      <c r="AN144" s="127"/>
      <c r="AO144" s="184"/>
      <c r="AP144" s="183"/>
      <c r="AQ144" s="142"/>
      <c r="AR144" s="142"/>
      <c r="AS144" s="142"/>
    </row>
    <row r="145">
      <c r="A145" s="131"/>
      <c r="B145" s="374"/>
      <c r="C145" s="127"/>
      <c r="D145" s="127"/>
      <c r="E145" s="127"/>
      <c r="F145" s="131"/>
      <c r="G145" s="374"/>
      <c r="H145" s="127"/>
      <c r="I145" s="127"/>
      <c r="J145" s="127"/>
      <c r="K145" s="383"/>
      <c r="L145" s="374"/>
      <c r="M145" s="127"/>
      <c r="N145" s="127"/>
      <c r="O145" s="127"/>
      <c r="P145" s="383"/>
      <c r="Q145" s="164"/>
      <c r="R145" s="127"/>
      <c r="S145" s="127"/>
      <c r="T145" s="127"/>
      <c r="U145" s="131"/>
      <c r="V145" s="374"/>
      <c r="W145" s="127"/>
      <c r="X145" s="127"/>
      <c r="Y145" s="127"/>
      <c r="Z145" s="131"/>
      <c r="AA145" s="374"/>
      <c r="AB145" s="127"/>
      <c r="AC145" s="127"/>
      <c r="AD145" s="127"/>
      <c r="AE145" s="131"/>
      <c r="AF145" s="374"/>
      <c r="AG145" s="127"/>
      <c r="AH145" s="127"/>
      <c r="AI145" s="127"/>
      <c r="AJ145" s="131"/>
      <c r="AK145" s="374"/>
      <c r="AL145" s="127"/>
      <c r="AM145" s="127"/>
      <c r="AN145" s="127"/>
      <c r="AO145" s="184"/>
      <c r="AP145" s="183"/>
      <c r="AQ145" s="142"/>
      <c r="AR145" s="142"/>
      <c r="AS145" s="142"/>
    </row>
    <row r="146">
      <c r="A146" s="131"/>
      <c r="B146" s="374"/>
      <c r="C146" s="127"/>
      <c r="D146" s="127"/>
      <c r="E146" s="127"/>
      <c r="F146" s="131"/>
      <c r="G146" s="374"/>
      <c r="H146" s="127"/>
      <c r="I146" s="127"/>
      <c r="J146" s="127"/>
      <c r="K146" s="383"/>
      <c r="L146" s="374"/>
      <c r="M146" s="127"/>
      <c r="N146" s="127"/>
      <c r="O146" s="127"/>
      <c r="P146" s="383"/>
      <c r="Q146" s="164"/>
      <c r="R146" s="127"/>
      <c r="S146" s="127"/>
      <c r="T146" s="127"/>
      <c r="U146" s="131"/>
      <c r="V146" s="374"/>
      <c r="W146" s="127"/>
      <c r="X146" s="127"/>
      <c r="Y146" s="127"/>
      <c r="Z146" s="131"/>
      <c r="AA146" s="374"/>
      <c r="AB146" s="127"/>
      <c r="AC146" s="127"/>
      <c r="AD146" s="127"/>
      <c r="AE146" s="131"/>
      <c r="AF146" s="374"/>
      <c r="AG146" s="127"/>
      <c r="AH146" s="127"/>
      <c r="AI146" s="127"/>
      <c r="AJ146" s="131"/>
      <c r="AK146" s="374"/>
      <c r="AL146" s="127"/>
      <c r="AM146" s="127"/>
      <c r="AN146" s="127"/>
      <c r="AO146" s="184"/>
      <c r="AP146" s="183"/>
      <c r="AQ146" s="142"/>
      <c r="AR146" s="142"/>
      <c r="AS146" s="142"/>
    </row>
    <row r="147">
      <c r="A147" s="131"/>
      <c r="B147" s="374"/>
      <c r="C147" s="127"/>
      <c r="D147" s="127"/>
      <c r="E147" s="127"/>
      <c r="F147" s="131"/>
      <c r="G147" s="374"/>
      <c r="H147" s="127"/>
      <c r="I147" s="127"/>
      <c r="J147" s="127"/>
      <c r="K147" s="383"/>
      <c r="L147" s="374"/>
      <c r="M147" s="127"/>
      <c r="N147" s="127"/>
      <c r="O147" s="127"/>
      <c r="P147" s="383"/>
      <c r="Q147" s="164"/>
      <c r="R147" s="127"/>
      <c r="S147" s="127"/>
      <c r="T147" s="127"/>
      <c r="U147" s="131"/>
      <c r="V147" s="374"/>
      <c r="W147" s="127"/>
      <c r="X147" s="127"/>
      <c r="Y147" s="127"/>
      <c r="Z147" s="131"/>
      <c r="AA147" s="374"/>
      <c r="AB147" s="127"/>
      <c r="AC147" s="127"/>
      <c r="AD147" s="127"/>
      <c r="AE147" s="131"/>
      <c r="AF147" s="374"/>
      <c r="AG147" s="127"/>
      <c r="AH147" s="127"/>
      <c r="AI147" s="127"/>
      <c r="AJ147" s="131"/>
      <c r="AK147" s="374"/>
      <c r="AL147" s="127"/>
      <c r="AM147" s="127"/>
      <c r="AN147" s="127"/>
      <c r="AO147" s="184"/>
      <c r="AP147" s="183"/>
      <c r="AQ147" s="142"/>
      <c r="AR147" s="142"/>
      <c r="AS147" s="142"/>
    </row>
    <row r="148">
      <c r="A148" s="131"/>
      <c r="B148" s="374"/>
      <c r="C148" s="127"/>
      <c r="D148" s="127"/>
      <c r="E148" s="127"/>
      <c r="F148" s="131"/>
      <c r="G148" s="374"/>
      <c r="H148" s="127"/>
      <c r="I148" s="127"/>
      <c r="J148" s="127"/>
      <c r="K148" s="383"/>
      <c r="L148" s="374"/>
      <c r="M148" s="127"/>
      <c r="N148" s="127"/>
      <c r="O148" s="127"/>
      <c r="P148" s="383"/>
      <c r="Q148" s="164"/>
      <c r="R148" s="127"/>
      <c r="S148" s="127"/>
      <c r="T148" s="127"/>
      <c r="U148" s="131"/>
      <c r="V148" s="374"/>
      <c r="W148" s="127"/>
      <c r="X148" s="127"/>
      <c r="Y148" s="127"/>
      <c r="Z148" s="131"/>
      <c r="AA148" s="374"/>
      <c r="AB148" s="127"/>
      <c r="AC148" s="127"/>
      <c r="AD148" s="127"/>
      <c r="AE148" s="131"/>
      <c r="AF148" s="374"/>
      <c r="AG148" s="127"/>
      <c r="AH148" s="127"/>
      <c r="AI148" s="127"/>
      <c r="AJ148" s="131"/>
      <c r="AK148" s="374"/>
      <c r="AL148" s="127"/>
      <c r="AM148" s="127"/>
      <c r="AN148" s="127"/>
      <c r="AO148" s="184"/>
      <c r="AP148" s="183"/>
      <c r="AQ148" s="142"/>
      <c r="AR148" s="142"/>
      <c r="AS148" s="142"/>
    </row>
    <row r="149">
      <c r="A149" s="131"/>
      <c r="B149" s="374"/>
      <c r="C149" s="127"/>
      <c r="D149" s="127"/>
      <c r="E149" s="127"/>
      <c r="F149" s="131"/>
      <c r="G149" s="374"/>
      <c r="H149" s="127"/>
      <c r="I149" s="127"/>
      <c r="J149" s="127"/>
      <c r="K149" s="383"/>
      <c r="L149" s="374"/>
      <c r="M149" s="127"/>
      <c r="N149" s="127"/>
      <c r="O149" s="127"/>
      <c r="P149" s="383"/>
      <c r="Q149" s="164"/>
      <c r="R149" s="127"/>
      <c r="S149" s="127"/>
      <c r="T149" s="127"/>
      <c r="U149" s="131"/>
      <c r="V149" s="374"/>
      <c r="W149" s="127"/>
      <c r="X149" s="127"/>
      <c r="Y149" s="127"/>
      <c r="Z149" s="131"/>
      <c r="AA149" s="374"/>
      <c r="AB149" s="127"/>
      <c r="AC149" s="127"/>
      <c r="AD149" s="127"/>
      <c r="AE149" s="131"/>
      <c r="AF149" s="374"/>
      <c r="AG149" s="127"/>
      <c r="AH149" s="127"/>
      <c r="AI149" s="127"/>
      <c r="AJ149" s="131"/>
      <c r="AK149" s="374"/>
      <c r="AL149" s="127"/>
      <c r="AM149" s="127"/>
      <c r="AN149" s="127"/>
      <c r="AO149" s="184"/>
      <c r="AP149" s="183"/>
      <c r="AQ149" s="142"/>
      <c r="AR149" s="142"/>
      <c r="AS149" s="142"/>
    </row>
    <row r="150">
      <c r="A150" s="131"/>
      <c r="B150" s="374"/>
      <c r="C150" s="127"/>
      <c r="D150" s="127"/>
      <c r="E150" s="127"/>
      <c r="F150" s="131"/>
      <c r="G150" s="374"/>
      <c r="H150" s="127"/>
      <c r="I150" s="127"/>
      <c r="J150" s="127"/>
      <c r="K150" s="383"/>
      <c r="L150" s="374"/>
      <c r="M150" s="127"/>
      <c r="N150" s="127"/>
      <c r="O150" s="127"/>
      <c r="P150" s="383"/>
      <c r="Q150" s="164"/>
      <c r="R150" s="127"/>
      <c r="S150" s="127"/>
      <c r="T150" s="127"/>
      <c r="U150" s="131"/>
      <c r="V150" s="374"/>
      <c r="W150" s="127"/>
      <c r="X150" s="127"/>
      <c r="Y150" s="127"/>
      <c r="Z150" s="131"/>
      <c r="AA150" s="374"/>
      <c r="AB150" s="127"/>
      <c r="AC150" s="127"/>
      <c r="AD150" s="127"/>
      <c r="AE150" s="131"/>
      <c r="AF150" s="374"/>
      <c r="AG150" s="127"/>
      <c r="AH150" s="127"/>
      <c r="AI150" s="127"/>
      <c r="AJ150" s="131"/>
      <c r="AK150" s="374"/>
      <c r="AL150" s="127"/>
      <c r="AM150" s="127"/>
      <c r="AN150" s="127"/>
      <c r="AO150" s="184"/>
      <c r="AP150" s="183"/>
      <c r="AQ150" s="142"/>
      <c r="AR150" s="142"/>
      <c r="AS150" s="142"/>
    </row>
    <row r="151">
      <c r="A151" s="131"/>
      <c r="B151" s="374"/>
      <c r="C151" s="127"/>
      <c r="D151" s="127"/>
      <c r="E151" s="127"/>
      <c r="F151" s="131"/>
      <c r="G151" s="374"/>
      <c r="H151" s="127"/>
      <c r="I151" s="127"/>
      <c r="J151" s="127"/>
      <c r="K151" s="383"/>
      <c r="L151" s="374"/>
      <c r="M151" s="127"/>
      <c r="N151" s="127"/>
      <c r="O151" s="127"/>
      <c r="P151" s="383"/>
      <c r="Q151" s="164"/>
      <c r="R151" s="127"/>
      <c r="S151" s="127"/>
      <c r="T151" s="127"/>
      <c r="U151" s="131"/>
      <c r="V151" s="374"/>
      <c r="W151" s="127"/>
      <c r="X151" s="127"/>
      <c r="Y151" s="127"/>
      <c r="Z151" s="131"/>
      <c r="AA151" s="374"/>
      <c r="AB151" s="127"/>
      <c r="AC151" s="127"/>
      <c r="AD151" s="127"/>
      <c r="AE151" s="131"/>
      <c r="AF151" s="374"/>
      <c r="AG151" s="127"/>
      <c r="AH151" s="127"/>
      <c r="AI151" s="127"/>
      <c r="AJ151" s="131"/>
      <c r="AK151" s="374"/>
      <c r="AL151" s="127"/>
      <c r="AM151" s="127"/>
      <c r="AN151" s="127"/>
      <c r="AO151" s="184"/>
      <c r="AP151" s="183"/>
      <c r="AQ151" s="142"/>
      <c r="AR151" s="142"/>
      <c r="AS151" s="142"/>
    </row>
    <row r="152">
      <c r="A152" s="131"/>
      <c r="B152" s="374"/>
      <c r="C152" s="127"/>
      <c r="D152" s="127"/>
      <c r="E152" s="127"/>
      <c r="F152" s="131"/>
      <c r="G152" s="374"/>
      <c r="H152" s="127"/>
      <c r="I152" s="127"/>
      <c r="J152" s="127"/>
      <c r="K152" s="383"/>
      <c r="L152" s="374"/>
      <c r="M152" s="127"/>
      <c r="N152" s="127"/>
      <c r="O152" s="127"/>
      <c r="P152" s="383"/>
      <c r="Q152" s="164"/>
      <c r="R152" s="127"/>
      <c r="S152" s="127"/>
      <c r="T152" s="127"/>
      <c r="U152" s="131"/>
      <c r="V152" s="374"/>
      <c r="W152" s="127"/>
      <c r="X152" s="127"/>
      <c r="Y152" s="127"/>
      <c r="Z152" s="131"/>
      <c r="AA152" s="374"/>
      <c r="AB152" s="127"/>
      <c r="AC152" s="127"/>
      <c r="AD152" s="127"/>
      <c r="AE152" s="131"/>
      <c r="AF152" s="374"/>
      <c r="AG152" s="127"/>
      <c r="AH152" s="127"/>
      <c r="AI152" s="127"/>
      <c r="AJ152" s="131"/>
      <c r="AK152" s="374"/>
      <c r="AL152" s="127"/>
      <c r="AM152" s="127"/>
      <c r="AN152" s="127"/>
      <c r="AO152" s="184"/>
      <c r="AP152" s="183"/>
      <c r="AQ152" s="142"/>
      <c r="AR152" s="142"/>
      <c r="AS152" s="142"/>
    </row>
    <row r="153">
      <c r="A153" s="131"/>
      <c r="B153" s="374"/>
      <c r="C153" s="127"/>
      <c r="D153" s="127"/>
      <c r="E153" s="127"/>
      <c r="F153" s="131"/>
      <c r="G153" s="374"/>
      <c r="H153" s="127"/>
      <c r="I153" s="127"/>
      <c r="J153" s="127"/>
      <c r="K153" s="383"/>
      <c r="L153" s="374"/>
      <c r="M153" s="127"/>
      <c r="N153" s="127"/>
      <c r="O153" s="127"/>
      <c r="P153" s="383"/>
      <c r="Q153" s="164"/>
      <c r="R153" s="127"/>
      <c r="S153" s="127"/>
      <c r="T153" s="127"/>
      <c r="U153" s="131"/>
      <c r="V153" s="374"/>
      <c r="W153" s="127"/>
      <c r="X153" s="127"/>
      <c r="Y153" s="127"/>
      <c r="Z153" s="131"/>
      <c r="AA153" s="374"/>
      <c r="AB153" s="127"/>
      <c r="AC153" s="127"/>
      <c r="AD153" s="127"/>
      <c r="AE153" s="131"/>
      <c r="AF153" s="374"/>
      <c r="AG153" s="127"/>
      <c r="AH153" s="127"/>
      <c r="AI153" s="127"/>
      <c r="AJ153" s="131"/>
      <c r="AK153" s="374"/>
      <c r="AL153" s="127"/>
      <c r="AM153" s="127"/>
      <c r="AN153" s="127"/>
      <c r="AO153" s="184"/>
      <c r="AP153" s="183"/>
      <c r="AQ153" s="142"/>
      <c r="AR153" s="142"/>
      <c r="AS153" s="142"/>
    </row>
    <row r="154">
      <c r="A154" s="131"/>
      <c r="B154" s="374"/>
      <c r="C154" s="127"/>
      <c r="D154" s="127"/>
      <c r="E154" s="127"/>
      <c r="F154" s="131"/>
      <c r="G154" s="374"/>
      <c r="H154" s="127"/>
      <c r="I154" s="127"/>
      <c r="J154" s="127"/>
      <c r="K154" s="383"/>
      <c r="L154" s="374"/>
      <c r="M154" s="127"/>
      <c r="N154" s="127"/>
      <c r="O154" s="127"/>
      <c r="P154" s="383"/>
      <c r="Q154" s="164"/>
      <c r="R154" s="127"/>
      <c r="S154" s="127"/>
      <c r="T154" s="127"/>
      <c r="U154" s="131"/>
      <c r="V154" s="374"/>
      <c r="W154" s="127"/>
      <c r="X154" s="127"/>
      <c r="Y154" s="127"/>
      <c r="Z154" s="131"/>
      <c r="AA154" s="374"/>
      <c r="AB154" s="127"/>
      <c r="AC154" s="127"/>
      <c r="AD154" s="127"/>
      <c r="AE154" s="131"/>
      <c r="AF154" s="374"/>
      <c r="AG154" s="127"/>
      <c r="AH154" s="127"/>
      <c r="AI154" s="127"/>
      <c r="AJ154" s="131"/>
      <c r="AK154" s="374"/>
      <c r="AL154" s="127"/>
      <c r="AM154" s="127"/>
      <c r="AN154" s="127"/>
      <c r="AO154" s="184"/>
      <c r="AP154" s="183"/>
      <c r="AQ154" s="142"/>
      <c r="AR154" s="142"/>
      <c r="AS154" s="142"/>
    </row>
    <row r="155">
      <c r="A155" s="131"/>
      <c r="B155" s="374"/>
      <c r="C155" s="127"/>
      <c r="D155" s="127"/>
      <c r="E155" s="127"/>
      <c r="F155" s="131"/>
      <c r="G155" s="374"/>
      <c r="H155" s="127"/>
      <c r="I155" s="127"/>
      <c r="J155" s="127"/>
      <c r="K155" s="383"/>
      <c r="L155" s="374"/>
      <c r="M155" s="127"/>
      <c r="N155" s="127"/>
      <c r="O155" s="127"/>
      <c r="P155" s="383"/>
      <c r="Q155" s="164"/>
      <c r="R155" s="127"/>
      <c r="S155" s="127"/>
      <c r="T155" s="127"/>
      <c r="U155" s="131"/>
      <c r="V155" s="374"/>
      <c r="W155" s="127"/>
      <c r="X155" s="127"/>
      <c r="Y155" s="127"/>
      <c r="Z155" s="131"/>
      <c r="AA155" s="374"/>
      <c r="AB155" s="127"/>
      <c r="AC155" s="127"/>
      <c r="AD155" s="127"/>
      <c r="AE155" s="131"/>
      <c r="AF155" s="374"/>
      <c r="AG155" s="127"/>
      <c r="AH155" s="127"/>
      <c r="AI155" s="127"/>
      <c r="AJ155" s="131"/>
      <c r="AK155" s="374"/>
      <c r="AL155" s="127"/>
      <c r="AM155" s="127"/>
      <c r="AN155" s="127"/>
      <c r="AO155" s="184"/>
      <c r="AP155" s="183"/>
      <c r="AQ155" s="142"/>
      <c r="AR155" s="142"/>
      <c r="AS155" s="142"/>
    </row>
    <row r="156">
      <c r="A156" s="131"/>
      <c r="B156" s="374"/>
      <c r="C156" s="127"/>
      <c r="D156" s="127"/>
      <c r="E156" s="127"/>
      <c r="F156" s="131"/>
      <c r="G156" s="374"/>
      <c r="H156" s="127"/>
      <c r="I156" s="127"/>
      <c r="J156" s="127"/>
      <c r="K156" s="383"/>
      <c r="L156" s="374"/>
      <c r="M156" s="127"/>
      <c r="N156" s="127"/>
      <c r="O156" s="127"/>
      <c r="P156" s="383"/>
      <c r="Q156" s="164"/>
      <c r="R156" s="127"/>
      <c r="S156" s="127"/>
      <c r="T156" s="127"/>
      <c r="U156" s="131"/>
      <c r="V156" s="374"/>
      <c r="W156" s="127"/>
      <c r="X156" s="127"/>
      <c r="Y156" s="127"/>
      <c r="Z156" s="131"/>
      <c r="AA156" s="374"/>
      <c r="AB156" s="127"/>
      <c r="AC156" s="127"/>
      <c r="AD156" s="127"/>
      <c r="AE156" s="131"/>
      <c r="AF156" s="374"/>
      <c r="AG156" s="127"/>
      <c r="AH156" s="127"/>
      <c r="AI156" s="127"/>
      <c r="AJ156" s="131"/>
      <c r="AK156" s="374"/>
      <c r="AL156" s="127"/>
      <c r="AM156" s="127"/>
      <c r="AN156" s="127"/>
      <c r="AO156" s="184"/>
      <c r="AP156" s="183"/>
      <c r="AQ156" s="142"/>
      <c r="AR156" s="142"/>
      <c r="AS156" s="142"/>
    </row>
    <row r="157">
      <c r="A157" s="131"/>
      <c r="B157" s="374"/>
      <c r="C157" s="127"/>
      <c r="D157" s="127"/>
      <c r="E157" s="127"/>
      <c r="F157" s="131"/>
      <c r="G157" s="374"/>
      <c r="H157" s="127"/>
      <c r="I157" s="127"/>
      <c r="J157" s="127"/>
      <c r="K157" s="383"/>
      <c r="L157" s="374"/>
      <c r="M157" s="127"/>
      <c r="N157" s="127"/>
      <c r="O157" s="127"/>
      <c r="P157" s="383"/>
      <c r="Q157" s="164"/>
      <c r="R157" s="127"/>
      <c r="S157" s="127"/>
      <c r="T157" s="127"/>
      <c r="U157" s="131"/>
      <c r="V157" s="374"/>
      <c r="W157" s="127"/>
      <c r="X157" s="127"/>
      <c r="Y157" s="127"/>
      <c r="Z157" s="131"/>
      <c r="AA157" s="374"/>
      <c r="AB157" s="127"/>
      <c r="AC157" s="127"/>
      <c r="AD157" s="127"/>
      <c r="AE157" s="131"/>
      <c r="AF157" s="374"/>
      <c r="AG157" s="127"/>
      <c r="AH157" s="127"/>
      <c r="AI157" s="127"/>
      <c r="AJ157" s="131"/>
      <c r="AK157" s="374"/>
      <c r="AL157" s="127"/>
      <c r="AM157" s="127"/>
      <c r="AN157" s="127"/>
      <c r="AO157" s="184"/>
      <c r="AP157" s="183"/>
      <c r="AQ157" s="142"/>
      <c r="AR157" s="142"/>
      <c r="AS157" s="142"/>
    </row>
    <row r="158">
      <c r="A158" s="131"/>
      <c r="B158" s="374"/>
      <c r="C158" s="127"/>
      <c r="D158" s="127"/>
      <c r="E158" s="127"/>
      <c r="F158" s="131"/>
      <c r="G158" s="374"/>
      <c r="H158" s="127"/>
      <c r="I158" s="127"/>
      <c r="J158" s="127"/>
      <c r="K158" s="383"/>
      <c r="L158" s="374"/>
      <c r="M158" s="127"/>
      <c r="N158" s="127"/>
      <c r="O158" s="127"/>
      <c r="P158" s="383"/>
      <c r="Q158" s="164"/>
      <c r="R158" s="127"/>
      <c r="S158" s="127"/>
      <c r="T158" s="127"/>
      <c r="U158" s="131"/>
      <c r="V158" s="374"/>
      <c r="W158" s="127"/>
      <c r="X158" s="127"/>
      <c r="Y158" s="127"/>
      <c r="Z158" s="131"/>
      <c r="AA158" s="374"/>
      <c r="AB158" s="127"/>
      <c r="AC158" s="127"/>
      <c r="AD158" s="127"/>
      <c r="AE158" s="131"/>
      <c r="AF158" s="374"/>
      <c r="AG158" s="127"/>
      <c r="AH158" s="127"/>
      <c r="AI158" s="127"/>
      <c r="AJ158" s="131"/>
      <c r="AK158" s="374"/>
      <c r="AL158" s="127"/>
      <c r="AM158" s="127"/>
      <c r="AN158" s="127"/>
      <c r="AO158" s="184"/>
      <c r="AP158" s="183"/>
      <c r="AQ158" s="142"/>
      <c r="AR158" s="142"/>
      <c r="AS158" s="142"/>
    </row>
    <row r="159">
      <c r="A159" s="131"/>
      <c r="B159" s="374"/>
      <c r="C159" s="127"/>
      <c r="D159" s="127"/>
      <c r="E159" s="127"/>
      <c r="F159" s="131"/>
      <c r="G159" s="374"/>
      <c r="H159" s="127"/>
      <c r="I159" s="127"/>
      <c r="J159" s="127"/>
      <c r="K159" s="383"/>
      <c r="L159" s="374"/>
      <c r="M159" s="127"/>
      <c r="N159" s="127"/>
      <c r="O159" s="127"/>
      <c r="P159" s="383"/>
      <c r="Q159" s="164"/>
      <c r="R159" s="127"/>
      <c r="S159" s="127"/>
      <c r="T159" s="127"/>
      <c r="U159" s="131"/>
      <c r="V159" s="374"/>
      <c r="W159" s="127"/>
      <c r="X159" s="127"/>
      <c r="Y159" s="127"/>
      <c r="Z159" s="131"/>
      <c r="AA159" s="374"/>
      <c r="AB159" s="127"/>
      <c r="AC159" s="127"/>
      <c r="AD159" s="127"/>
      <c r="AE159" s="131"/>
      <c r="AF159" s="374"/>
      <c r="AG159" s="127"/>
      <c r="AH159" s="127"/>
      <c r="AI159" s="127"/>
      <c r="AJ159" s="131"/>
      <c r="AK159" s="374"/>
      <c r="AL159" s="127"/>
      <c r="AM159" s="127"/>
      <c r="AN159" s="127"/>
      <c r="AO159" s="184"/>
      <c r="AP159" s="183"/>
      <c r="AQ159" s="142"/>
      <c r="AR159" s="142"/>
      <c r="AS159" s="142"/>
    </row>
    <row r="160">
      <c r="A160" s="131"/>
      <c r="B160" s="374"/>
      <c r="C160" s="127"/>
      <c r="D160" s="127"/>
      <c r="E160" s="127"/>
      <c r="F160" s="131"/>
      <c r="G160" s="374"/>
      <c r="H160" s="127"/>
      <c r="I160" s="127"/>
      <c r="J160" s="127"/>
      <c r="K160" s="383"/>
      <c r="L160" s="374"/>
      <c r="M160" s="127"/>
      <c r="N160" s="127"/>
      <c r="O160" s="127"/>
      <c r="P160" s="383"/>
      <c r="Q160" s="164"/>
      <c r="R160" s="127"/>
      <c r="S160" s="127"/>
      <c r="T160" s="127"/>
      <c r="U160" s="131"/>
      <c r="V160" s="374"/>
      <c r="W160" s="127"/>
      <c r="X160" s="127"/>
      <c r="Y160" s="127"/>
      <c r="Z160" s="131"/>
      <c r="AA160" s="374"/>
      <c r="AB160" s="127"/>
      <c r="AC160" s="127"/>
      <c r="AD160" s="127"/>
      <c r="AE160" s="131"/>
      <c r="AF160" s="374"/>
      <c r="AG160" s="127"/>
      <c r="AH160" s="127"/>
      <c r="AI160" s="127"/>
      <c r="AJ160" s="131"/>
      <c r="AK160" s="374"/>
      <c r="AL160" s="127"/>
      <c r="AM160" s="127"/>
      <c r="AN160" s="127"/>
      <c r="AO160" s="184"/>
      <c r="AP160" s="183"/>
      <c r="AQ160" s="142"/>
      <c r="AR160" s="142"/>
      <c r="AS160" s="142"/>
    </row>
    <row r="161">
      <c r="A161" s="131"/>
      <c r="B161" s="374"/>
      <c r="C161" s="127"/>
      <c r="D161" s="127"/>
      <c r="E161" s="127"/>
      <c r="F161" s="131"/>
      <c r="G161" s="374"/>
      <c r="H161" s="127"/>
      <c r="I161" s="127"/>
      <c r="J161" s="127"/>
      <c r="K161" s="383"/>
      <c r="L161" s="374"/>
      <c r="M161" s="127"/>
      <c r="N161" s="127"/>
      <c r="O161" s="127"/>
      <c r="P161" s="383"/>
      <c r="Q161" s="164"/>
      <c r="R161" s="127"/>
      <c r="S161" s="127"/>
      <c r="T161" s="127"/>
      <c r="U161" s="131"/>
      <c r="V161" s="374"/>
      <c r="W161" s="127"/>
      <c r="X161" s="127"/>
      <c r="Y161" s="127"/>
      <c r="Z161" s="131"/>
      <c r="AA161" s="374"/>
      <c r="AB161" s="127"/>
      <c r="AC161" s="127"/>
      <c r="AD161" s="127"/>
      <c r="AE161" s="131"/>
      <c r="AF161" s="374"/>
      <c r="AG161" s="127"/>
      <c r="AH161" s="127"/>
      <c r="AI161" s="127"/>
      <c r="AJ161" s="131"/>
      <c r="AK161" s="374"/>
      <c r="AL161" s="127"/>
      <c r="AM161" s="127"/>
      <c r="AN161" s="127"/>
      <c r="AO161" s="184"/>
      <c r="AP161" s="183"/>
      <c r="AQ161" s="142"/>
      <c r="AR161" s="142"/>
      <c r="AS161" s="142"/>
    </row>
    <row r="162">
      <c r="A162" s="131"/>
      <c r="B162" s="374"/>
      <c r="C162" s="127"/>
      <c r="D162" s="127"/>
      <c r="E162" s="127"/>
      <c r="F162" s="131"/>
      <c r="G162" s="374"/>
      <c r="H162" s="127"/>
      <c r="I162" s="127"/>
      <c r="J162" s="127"/>
      <c r="K162" s="383"/>
      <c r="L162" s="374"/>
      <c r="M162" s="127"/>
      <c r="N162" s="127"/>
      <c r="O162" s="127"/>
      <c r="P162" s="383"/>
      <c r="Q162" s="164"/>
      <c r="R162" s="127"/>
      <c r="S162" s="127"/>
      <c r="T162" s="127"/>
      <c r="U162" s="131"/>
      <c r="V162" s="374"/>
      <c r="W162" s="127"/>
      <c r="X162" s="127"/>
      <c r="Y162" s="127"/>
      <c r="Z162" s="131"/>
      <c r="AA162" s="374"/>
      <c r="AB162" s="127"/>
      <c r="AC162" s="127"/>
      <c r="AD162" s="127"/>
      <c r="AE162" s="131"/>
      <c r="AF162" s="374"/>
      <c r="AG162" s="127"/>
      <c r="AH162" s="127"/>
      <c r="AI162" s="127"/>
      <c r="AJ162" s="131"/>
      <c r="AK162" s="374"/>
      <c r="AL162" s="127"/>
      <c r="AM162" s="127"/>
      <c r="AN162" s="127"/>
      <c r="AO162" s="184"/>
      <c r="AP162" s="183"/>
      <c r="AQ162" s="142"/>
      <c r="AR162" s="142"/>
      <c r="AS162" s="142"/>
    </row>
    <row r="163">
      <c r="A163" s="131"/>
      <c r="B163" s="374"/>
      <c r="C163" s="127"/>
      <c r="D163" s="127"/>
      <c r="E163" s="127"/>
      <c r="F163" s="131"/>
      <c r="G163" s="374"/>
      <c r="H163" s="127"/>
      <c r="I163" s="127"/>
      <c r="J163" s="127"/>
      <c r="K163" s="383"/>
      <c r="L163" s="374"/>
      <c r="M163" s="127"/>
      <c r="N163" s="127"/>
      <c r="O163" s="127"/>
      <c r="P163" s="383"/>
      <c r="Q163" s="164"/>
      <c r="R163" s="127"/>
      <c r="S163" s="127"/>
      <c r="T163" s="127"/>
      <c r="U163" s="131"/>
      <c r="V163" s="374"/>
      <c r="W163" s="127"/>
      <c r="X163" s="127"/>
      <c r="Y163" s="127"/>
      <c r="Z163" s="131"/>
      <c r="AA163" s="374"/>
      <c r="AB163" s="127"/>
      <c r="AC163" s="127"/>
      <c r="AD163" s="127"/>
      <c r="AE163" s="131"/>
      <c r="AF163" s="374"/>
      <c r="AG163" s="127"/>
      <c r="AH163" s="127"/>
      <c r="AI163" s="127"/>
      <c r="AJ163" s="131"/>
      <c r="AK163" s="374"/>
      <c r="AL163" s="127"/>
      <c r="AM163" s="127"/>
      <c r="AN163" s="127"/>
      <c r="AO163" s="184"/>
      <c r="AP163" s="183"/>
      <c r="AQ163" s="142"/>
      <c r="AR163" s="142"/>
      <c r="AS163" s="142"/>
    </row>
    <row r="164">
      <c r="A164" s="131"/>
      <c r="B164" s="374"/>
      <c r="C164" s="127"/>
      <c r="D164" s="127"/>
      <c r="E164" s="127"/>
      <c r="F164" s="131"/>
      <c r="G164" s="374"/>
      <c r="H164" s="127"/>
      <c r="I164" s="127"/>
      <c r="J164" s="127"/>
      <c r="K164" s="383"/>
      <c r="L164" s="374"/>
      <c r="M164" s="127"/>
      <c r="N164" s="127"/>
      <c r="O164" s="127"/>
      <c r="P164" s="383"/>
      <c r="Q164" s="164"/>
      <c r="R164" s="127"/>
      <c r="S164" s="127"/>
      <c r="T164" s="127"/>
      <c r="U164" s="131"/>
      <c r="V164" s="374"/>
      <c r="W164" s="127"/>
      <c r="X164" s="127"/>
      <c r="Y164" s="127"/>
      <c r="Z164" s="131"/>
      <c r="AA164" s="374"/>
      <c r="AB164" s="127"/>
      <c r="AC164" s="127"/>
      <c r="AD164" s="127"/>
      <c r="AE164" s="131"/>
      <c r="AF164" s="374"/>
      <c r="AG164" s="127"/>
      <c r="AH164" s="127"/>
      <c r="AI164" s="127"/>
      <c r="AJ164" s="131"/>
      <c r="AK164" s="374"/>
      <c r="AL164" s="127"/>
      <c r="AM164" s="127"/>
      <c r="AN164" s="127"/>
      <c r="AO164" s="184"/>
      <c r="AP164" s="183"/>
      <c r="AQ164" s="142"/>
      <c r="AR164" s="142"/>
      <c r="AS164" s="142"/>
    </row>
    <row r="165">
      <c r="A165" s="131"/>
      <c r="B165" s="374"/>
      <c r="C165" s="127"/>
      <c r="D165" s="127"/>
      <c r="E165" s="127"/>
      <c r="F165" s="131"/>
      <c r="G165" s="374"/>
      <c r="H165" s="127"/>
      <c r="I165" s="127"/>
      <c r="J165" s="127"/>
      <c r="K165" s="383"/>
      <c r="L165" s="374"/>
      <c r="M165" s="127"/>
      <c r="N165" s="127"/>
      <c r="O165" s="127"/>
      <c r="P165" s="383"/>
      <c r="Q165" s="164"/>
      <c r="R165" s="127"/>
      <c r="S165" s="127"/>
      <c r="T165" s="127"/>
      <c r="U165" s="131"/>
      <c r="V165" s="374"/>
      <c r="W165" s="127"/>
      <c r="X165" s="127"/>
      <c r="Y165" s="127"/>
      <c r="Z165" s="131"/>
      <c r="AA165" s="374"/>
      <c r="AB165" s="127"/>
      <c r="AC165" s="127"/>
      <c r="AD165" s="127"/>
      <c r="AE165" s="131"/>
      <c r="AF165" s="374"/>
      <c r="AG165" s="127"/>
      <c r="AH165" s="127"/>
      <c r="AI165" s="127"/>
      <c r="AJ165" s="131"/>
      <c r="AK165" s="374"/>
      <c r="AL165" s="127"/>
      <c r="AM165" s="127"/>
      <c r="AN165" s="127"/>
      <c r="AO165" s="184"/>
      <c r="AP165" s="183"/>
      <c r="AQ165" s="142"/>
      <c r="AR165" s="142"/>
      <c r="AS165" s="142"/>
    </row>
    <row r="166">
      <c r="A166" s="131"/>
      <c r="B166" s="374"/>
      <c r="C166" s="127"/>
      <c r="D166" s="127"/>
      <c r="E166" s="127"/>
      <c r="F166" s="131"/>
      <c r="G166" s="374"/>
      <c r="H166" s="127"/>
      <c r="I166" s="127"/>
      <c r="J166" s="127"/>
      <c r="K166" s="383"/>
      <c r="L166" s="374"/>
      <c r="M166" s="127"/>
      <c r="N166" s="127"/>
      <c r="O166" s="127"/>
      <c r="P166" s="383"/>
      <c r="Q166" s="164"/>
      <c r="R166" s="127"/>
      <c r="S166" s="127"/>
      <c r="T166" s="127"/>
      <c r="U166" s="131"/>
      <c r="V166" s="374"/>
      <c r="W166" s="127"/>
      <c r="X166" s="127"/>
      <c r="Y166" s="127"/>
      <c r="Z166" s="131"/>
      <c r="AA166" s="374"/>
      <c r="AB166" s="127"/>
      <c r="AC166" s="127"/>
      <c r="AD166" s="127"/>
      <c r="AE166" s="131"/>
      <c r="AF166" s="374"/>
      <c r="AG166" s="127"/>
      <c r="AH166" s="127"/>
      <c r="AI166" s="127"/>
      <c r="AJ166" s="131"/>
      <c r="AK166" s="374"/>
      <c r="AL166" s="127"/>
      <c r="AM166" s="127"/>
      <c r="AN166" s="127"/>
      <c r="AO166" s="184"/>
      <c r="AP166" s="183"/>
      <c r="AQ166" s="142"/>
      <c r="AR166" s="142"/>
      <c r="AS166" s="142"/>
    </row>
    <row r="167">
      <c r="A167" s="131"/>
      <c r="B167" s="374"/>
      <c r="C167" s="127"/>
      <c r="D167" s="127"/>
      <c r="E167" s="127"/>
      <c r="F167" s="131"/>
      <c r="G167" s="374"/>
      <c r="H167" s="127"/>
      <c r="I167" s="127"/>
      <c r="J167" s="127"/>
      <c r="K167" s="383"/>
      <c r="L167" s="374"/>
      <c r="M167" s="127"/>
      <c r="N167" s="127"/>
      <c r="O167" s="127"/>
      <c r="P167" s="383"/>
      <c r="Q167" s="164"/>
      <c r="R167" s="127"/>
      <c r="S167" s="127"/>
      <c r="T167" s="127"/>
      <c r="U167" s="131"/>
      <c r="V167" s="374"/>
      <c r="W167" s="127"/>
      <c r="X167" s="127"/>
      <c r="Y167" s="127"/>
      <c r="Z167" s="131"/>
      <c r="AA167" s="374"/>
      <c r="AB167" s="127"/>
      <c r="AC167" s="127"/>
      <c r="AD167" s="127"/>
      <c r="AE167" s="131"/>
      <c r="AF167" s="374"/>
      <c r="AG167" s="127"/>
      <c r="AH167" s="127"/>
      <c r="AI167" s="127"/>
      <c r="AJ167" s="131"/>
      <c r="AK167" s="374"/>
      <c r="AL167" s="127"/>
      <c r="AM167" s="127"/>
      <c r="AN167" s="127"/>
      <c r="AO167" s="184"/>
      <c r="AP167" s="183"/>
      <c r="AQ167" s="142"/>
      <c r="AR167" s="142"/>
      <c r="AS167" s="142"/>
    </row>
    <row r="168">
      <c r="A168" s="131"/>
      <c r="B168" s="374"/>
      <c r="C168" s="127"/>
      <c r="D168" s="127"/>
      <c r="E168" s="127"/>
      <c r="F168" s="131"/>
      <c r="G168" s="374"/>
      <c r="H168" s="127"/>
      <c r="I168" s="127"/>
      <c r="J168" s="127"/>
      <c r="K168" s="383"/>
      <c r="L168" s="374"/>
      <c r="M168" s="127"/>
      <c r="N168" s="127"/>
      <c r="O168" s="127"/>
      <c r="P168" s="383"/>
      <c r="Q168" s="164"/>
      <c r="R168" s="127"/>
      <c r="S168" s="127"/>
      <c r="T168" s="127"/>
      <c r="U168" s="131"/>
      <c r="V168" s="374"/>
      <c r="W168" s="127"/>
      <c r="X168" s="127"/>
      <c r="Y168" s="127"/>
      <c r="Z168" s="131"/>
      <c r="AA168" s="374"/>
      <c r="AB168" s="127"/>
      <c r="AC168" s="127"/>
      <c r="AD168" s="127"/>
      <c r="AE168" s="131"/>
      <c r="AF168" s="374"/>
      <c r="AG168" s="127"/>
      <c r="AH168" s="127"/>
      <c r="AI168" s="127"/>
      <c r="AJ168" s="131"/>
      <c r="AK168" s="374"/>
      <c r="AL168" s="127"/>
      <c r="AM168" s="127"/>
      <c r="AN168" s="127"/>
      <c r="AO168" s="184"/>
      <c r="AP168" s="183"/>
      <c r="AQ168" s="142"/>
      <c r="AR168" s="142"/>
      <c r="AS168" s="142"/>
    </row>
    <row r="169">
      <c r="A169" s="131"/>
      <c r="B169" s="374"/>
      <c r="C169" s="127"/>
      <c r="D169" s="127"/>
      <c r="E169" s="127"/>
      <c r="F169" s="131"/>
      <c r="G169" s="374"/>
      <c r="H169" s="127"/>
      <c r="I169" s="127"/>
      <c r="J169" s="127"/>
      <c r="K169" s="383"/>
      <c r="L169" s="374"/>
      <c r="M169" s="127"/>
      <c r="N169" s="127"/>
      <c r="O169" s="127"/>
      <c r="P169" s="383"/>
      <c r="Q169" s="164"/>
      <c r="R169" s="127"/>
      <c r="S169" s="127"/>
      <c r="T169" s="127"/>
      <c r="U169" s="131"/>
      <c r="V169" s="374"/>
      <c r="W169" s="127"/>
      <c r="X169" s="127"/>
      <c r="Y169" s="127"/>
      <c r="Z169" s="131"/>
      <c r="AA169" s="374"/>
      <c r="AB169" s="127"/>
      <c r="AC169" s="127"/>
      <c r="AD169" s="127"/>
      <c r="AE169" s="131"/>
      <c r="AF169" s="374"/>
      <c r="AG169" s="127"/>
      <c r="AH169" s="127"/>
      <c r="AI169" s="127"/>
      <c r="AJ169" s="131"/>
      <c r="AK169" s="374"/>
      <c r="AL169" s="127"/>
      <c r="AM169" s="127"/>
      <c r="AN169" s="127"/>
      <c r="AO169" s="184"/>
      <c r="AP169" s="183"/>
      <c r="AQ169" s="142"/>
      <c r="AR169" s="142"/>
      <c r="AS169" s="142"/>
    </row>
    <row r="170">
      <c r="A170" s="131"/>
      <c r="B170" s="374"/>
      <c r="C170" s="127"/>
      <c r="D170" s="127"/>
      <c r="E170" s="127"/>
      <c r="F170" s="131"/>
      <c r="G170" s="374"/>
      <c r="H170" s="127"/>
      <c r="I170" s="127"/>
      <c r="J170" s="127"/>
      <c r="K170" s="383"/>
      <c r="L170" s="374"/>
      <c r="M170" s="127"/>
      <c r="N170" s="127"/>
      <c r="O170" s="127"/>
      <c r="P170" s="383"/>
      <c r="Q170" s="164"/>
      <c r="R170" s="127"/>
      <c r="S170" s="127"/>
      <c r="T170" s="127"/>
      <c r="U170" s="131"/>
      <c r="V170" s="374"/>
      <c r="W170" s="127"/>
      <c r="X170" s="127"/>
      <c r="Y170" s="127"/>
      <c r="Z170" s="131"/>
      <c r="AA170" s="374"/>
      <c r="AB170" s="127"/>
      <c r="AC170" s="127"/>
      <c r="AD170" s="127"/>
      <c r="AE170" s="131"/>
      <c r="AF170" s="374"/>
      <c r="AG170" s="127"/>
      <c r="AH170" s="127"/>
      <c r="AI170" s="127"/>
      <c r="AJ170" s="131"/>
      <c r="AK170" s="374"/>
      <c r="AL170" s="127"/>
      <c r="AM170" s="127"/>
      <c r="AN170" s="127"/>
      <c r="AO170" s="184"/>
      <c r="AP170" s="183"/>
      <c r="AQ170" s="142"/>
      <c r="AR170" s="142"/>
      <c r="AS170" s="142"/>
    </row>
    <row r="171">
      <c r="A171" s="131"/>
      <c r="B171" s="374"/>
      <c r="C171" s="127"/>
      <c r="D171" s="127"/>
      <c r="E171" s="127"/>
      <c r="F171" s="131"/>
      <c r="G171" s="374"/>
      <c r="H171" s="127"/>
      <c r="I171" s="127"/>
      <c r="J171" s="127"/>
      <c r="K171" s="383"/>
      <c r="L171" s="374"/>
      <c r="M171" s="127"/>
      <c r="N171" s="127"/>
      <c r="O171" s="127"/>
      <c r="P171" s="383"/>
      <c r="Q171" s="164"/>
      <c r="R171" s="127"/>
      <c r="S171" s="127"/>
      <c r="T171" s="127"/>
      <c r="U171" s="131"/>
      <c r="V171" s="374"/>
      <c r="W171" s="127"/>
      <c r="X171" s="127"/>
      <c r="Y171" s="127"/>
      <c r="Z171" s="131"/>
      <c r="AA171" s="374"/>
      <c r="AB171" s="127"/>
      <c r="AC171" s="127"/>
      <c r="AD171" s="127"/>
      <c r="AE171" s="131"/>
      <c r="AF171" s="374"/>
      <c r="AG171" s="127"/>
      <c r="AH171" s="127"/>
      <c r="AI171" s="127"/>
      <c r="AJ171" s="131"/>
      <c r="AK171" s="374"/>
      <c r="AL171" s="127"/>
      <c r="AM171" s="127"/>
      <c r="AN171" s="127"/>
      <c r="AO171" s="184"/>
      <c r="AP171" s="183"/>
      <c r="AQ171" s="142"/>
      <c r="AR171" s="142"/>
      <c r="AS171" s="142"/>
    </row>
    <row r="172">
      <c r="A172" s="131"/>
      <c r="B172" s="374"/>
      <c r="C172" s="127"/>
      <c r="D172" s="127"/>
      <c r="E172" s="127"/>
      <c r="F172" s="131"/>
      <c r="G172" s="374"/>
      <c r="H172" s="127"/>
      <c r="I172" s="127"/>
      <c r="J172" s="127"/>
      <c r="K172" s="383"/>
      <c r="L172" s="374"/>
      <c r="M172" s="127"/>
      <c r="N172" s="127"/>
      <c r="O172" s="127"/>
      <c r="P172" s="383"/>
      <c r="Q172" s="164"/>
      <c r="R172" s="127"/>
      <c r="S172" s="127"/>
      <c r="T172" s="127"/>
      <c r="U172" s="131"/>
      <c r="V172" s="374"/>
      <c r="W172" s="127"/>
      <c r="X172" s="127"/>
      <c r="Y172" s="127"/>
      <c r="Z172" s="131"/>
      <c r="AA172" s="374"/>
      <c r="AB172" s="127"/>
      <c r="AC172" s="127"/>
      <c r="AD172" s="127"/>
      <c r="AE172" s="131"/>
      <c r="AF172" s="374"/>
      <c r="AG172" s="127"/>
      <c r="AH172" s="127"/>
      <c r="AI172" s="127"/>
      <c r="AJ172" s="131"/>
      <c r="AK172" s="374"/>
      <c r="AL172" s="127"/>
      <c r="AM172" s="127"/>
      <c r="AN172" s="127"/>
      <c r="AO172" s="184"/>
      <c r="AP172" s="183"/>
      <c r="AQ172" s="142"/>
      <c r="AR172" s="142"/>
      <c r="AS172" s="142"/>
    </row>
    <row r="173">
      <c r="A173" s="131"/>
      <c r="B173" s="374"/>
      <c r="C173" s="127"/>
      <c r="D173" s="127"/>
      <c r="E173" s="127"/>
      <c r="F173" s="131"/>
      <c r="G173" s="374"/>
      <c r="H173" s="127"/>
      <c r="I173" s="127"/>
      <c r="J173" s="127"/>
      <c r="K173" s="383"/>
      <c r="L173" s="374"/>
      <c r="M173" s="127"/>
      <c r="N173" s="127"/>
      <c r="O173" s="127"/>
      <c r="P173" s="383"/>
      <c r="Q173" s="164"/>
      <c r="R173" s="127"/>
      <c r="S173" s="127"/>
      <c r="T173" s="127"/>
      <c r="U173" s="131"/>
      <c r="V173" s="374"/>
      <c r="W173" s="127"/>
      <c r="X173" s="127"/>
      <c r="Y173" s="127"/>
      <c r="Z173" s="131"/>
      <c r="AA173" s="374"/>
      <c r="AB173" s="127"/>
      <c r="AC173" s="127"/>
      <c r="AD173" s="127"/>
      <c r="AE173" s="131"/>
      <c r="AF173" s="374"/>
      <c r="AG173" s="127"/>
      <c r="AH173" s="127"/>
      <c r="AI173" s="127"/>
      <c r="AJ173" s="131"/>
      <c r="AK173" s="374"/>
      <c r="AL173" s="127"/>
      <c r="AM173" s="127"/>
      <c r="AN173" s="127"/>
      <c r="AO173" s="184"/>
      <c r="AP173" s="183"/>
      <c r="AQ173" s="142"/>
      <c r="AR173" s="142"/>
      <c r="AS173" s="142"/>
    </row>
    <row r="174">
      <c r="A174" s="131"/>
      <c r="B174" s="374"/>
      <c r="C174" s="127"/>
      <c r="D174" s="127"/>
      <c r="E174" s="127"/>
      <c r="F174" s="131"/>
      <c r="G174" s="374"/>
      <c r="H174" s="127"/>
      <c r="I174" s="127"/>
      <c r="J174" s="127"/>
      <c r="K174" s="383"/>
      <c r="L174" s="374"/>
      <c r="M174" s="127"/>
      <c r="N174" s="127"/>
      <c r="O174" s="127"/>
      <c r="P174" s="383"/>
      <c r="Q174" s="164"/>
      <c r="R174" s="127"/>
      <c r="S174" s="127"/>
      <c r="T174" s="127"/>
      <c r="U174" s="131"/>
      <c r="V174" s="374"/>
      <c r="W174" s="127"/>
      <c r="X174" s="127"/>
      <c r="Y174" s="127"/>
      <c r="Z174" s="131"/>
      <c r="AA174" s="374"/>
      <c r="AB174" s="127"/>
      <c r="AC174" s="127"/>
      <c r="AD174" s="127"/>
      <c r="AE174" s="131"/>
      <c r="AF174" s="374"/>
      <c r="AG174" s="127"/>
      <c r="AH174" s="127"/>
      <c r="AI174" s="127"/>
      <c r="AJ174" s="131"/>
      <c r="AK174" s="374"/>
      <c r="AL174" s="127"/>
      <c r="AM174" s="127"/>
      <c r="AN174" s="127"/>
      <c r="AO174" s="184"/>
      <c r="AP174" s="183"/>
      <c r="AQ174" s="142"/>
      <c r="AR174" s="142"/>
      <c r="AS174" s="142"/>
    </row>
    <row r="175">
      <c r="A175" s="131"/>
      <c r="B175" s="374"/>
      <c r="C175" s="127"/>
      <c r="D175" s="127"/>
      <c r="E175" s="127"/>
      <c r="F175" s="131"/>
      <c r="G175" s="374"/>
      <c r="H175" s="127"/>
      <c r="I175" s="127"/>
      <c r="J175" s="127"/>
      <c r="K175" s="383"/>
      <c r="L175" s="374"/>
      <c r="M175" s="127"/>
      <c r="N175" s="127"/>
      <c r="O175" s="127"/>
      <c r="P175" s="383"/>
      <c r="Q175" s="164"/>
      <c r="R175" s="127"/>
      <c r="S175" s="127"/>
      <c r="T175" s="127"/>
      <c r="U175" s="131"/>
      <c r="V175" s="374"/>
      <c r="W175" s="127"/>
      <c r="X175" s="127"/>
      <c r="Y175" s="127"/>
      <c r="Z175" s="131"/>
      <c r="AA175" s="374"/>
      <c r="AB175" s="127"/>
      <c r="AC175" s="127"/>
      <c r="AD175" s="127"/>
      <c r="AE175" s="131"/>
      <c r="AF175" s="374"/>
      <c r="AG175" s="127"/>
      <c r="AH175" s="127"/>
      <c r="AI175" s="127"/>
      <c r="AJ175" s="131"/>
      <c r="AK175" s="374"/>
      <c r="AL175" s="127"/>
      <c r="AM175" s="127"/>
      <c r="AN175" s="127"/>
      <c r="AO175" s="184"/>
      <c r="AP175" s="183"/>
      <c r="AQ175" s="142"/>
      <c r="AR175" s="142"/>
      <c r="AS175" s="142"/>
    </row>
    <row r="176">
      <c r="A176" s="131"/>
      <c r="B176" s="374"/>
      <c r="C176" s="127"/>
      <c r="D176" s="127"/>
      <c r="E176" s="127"/>
      <c r="F176" s="131"/>
      <c r="G176" s="374"/>
      <c r="H176" s="127"/>
      <c r="I176" s="127"/>
      <c r="J176" s="127"/>
      <c r="K176" s="383"/>
      <c r="L176" s="374"/>
      <c r="M176" s="127"/>
      <c r="N176" s="127"/>
      <c r="O176" s="127"/>
      <c r="P176" s="383"/>
      <c r="Q176" s="164"/>
      <c r="R176" s="127"/>
      <c r="S176" s="127"/>
      <c r="T176" s="127"/>
      <c r="U176" s="131"/>
      <c r="V176" s="374"/>
      <c r="W176" s="127"/>
      <c r="X176" s="127"/>
      <c r="Y176" s="127"/>
      <c r="Z176" s="131"/>
      <c r="AA176" s="374"/>
      <c r="AB176" s="127"/>
      <c r="AC176" s="127"/>
      <c r="AD176" s="127"/>
      <c r="AE176" s="131"/>
      <c r="AF176" s="374"/>
      <c r="AG176" s="127"/>
      <c r="AH176" s="127"/>
      <c r="AI176" s="127"/>
      <c r="AJ176" s="131"/>
      <c r="AK176" s="374"/>
      <c r="AL176" s="127"/>
      <c r="AM176" s="127"/>
      <c r="AN176" s="127"/>
      <c r="AO176" s="184"/>
      <c r="AP176" s="183"/>
      <c r="AQ176" s="142"/>
      <c r="AR176" s="142"/>
      <c r="AS176" s="142"/>
    </row>
    <row r="177">
      <c r="A177" s="131"/>
      <c r="B177" s="374"/>
      <c r="C177" s="127"/>
      <c r="D177" s="127"/>
      <c r="E177" s="127"/>
      <c r="F177" s="131"/>
      <c r="G177" s="374"/>
      <c r="H177" s="127"/>
      <c r="I177" s="127"/>
      <c r="J177" s="127"/>
      <c r="K177" s="383"/>
      <c r="L177" s="374"/>
      <c r="M177" s="127"/>
      <c r="N177" s="127"/>
      <c r="O177" s="127"/>
      <c r="P177" s="383"/>
      <c r="Q177" s="164"/>
      <c r="R177" s="127"/>
      <c r="S177" s="127"/>
      <c r="T177" s="127"/>
      <c r="U177" s="131"/>
      <c r="V177" s="374"/>
      <c r="W177" s="127"/>
      <c r="X177" s="127"/>
      <c r="Y177" s="127"/>
      <c r="Z177" s="131"/>
      <c r="AA177" s="374"/>
      <c r="AB177" s="127"/>
      <c r="AC177" s="127"/>
      <c r="AD177" s="127"/>
      <c r="AE177" s="131"/>
      <c r="AF177" s="374"/>
      <c r="AG177" s="127"/>
      <c r="AH177" s="127"/>
      <c r="AI177" s="127"/>
      <c r="AJ177" s="131"/>
      <c r="AK177" s="374"/>
      <c r="AL177" s="127"/>
      <c r="AM177" s="127"/>
      <c r="AN177" s="127"/>
      <c r="AO177" s="184"/>
      <c r="AP177" s="183"/>
      <c r="AQ177" s="142"/>
      <c r="AR177" s="142"/>
      <c r="AS177" s="142"/>
    </row>
    <row r="178">
      <c r="A178" s="131"/>
      <c r="B178" s="374"/>
      <c r="C178" s="127"/>
      <c r="D178" s="127"/>
      <c r="E178" s="127"/>
      <c r="F178" s="131"/>
      <c r="G178" s="374"/>
      <c r="H178" s="127"/>
      <c r="I178" s="127"/>
      <c r="J178" s="127"/>
      <c r="K178" s="383"/>
      <c r="L178" s="374"/>
      <c r="M178" s="127"/>
      <c r="N178" s="127"/>
      <c r="O178" s="127"/>
      <c r="P178" s="383"/>
      <c r="Q178" s="164"/>
      <c r="R178" s="127"/>
      <c r="S178" s="127"/>
      <c r="T178" s="127"/>
      <c r="U178" s="131"/>
      <c r="V178" s="374"/>
      <c r="W178" s="127"/>
      <c r="X178" s="127"/>
      <c r="Y178" s="127"/>
      <c r="Z178" s="131"/>
      <c r="AA178" s="374"/>
      <c r="AB178" s="127"/>
      <c r="AC178" s="127"/>
      <c r="AD178" s="127"/>
      <c r="AE178" s="131"/>
      <c r="AF178" s="374"/>
      <c r="AG178" s="127"/>
      <c r="AH178" s="127"/>
      <c r="AI178" s="127"/>
      <c r="AJ178" s="131"/>
      <c r="AK178" s="374"/>
      <c r="AL178" s="127"/>
      <c r="AM178" s="127"/>
      <c r="AN178" s="127"/>
      <c r="AO178" s="184"/>
      <c r="AP178" s="183"/>
      <c r="AQ178" s="142"/>
      <c r="AR178" s="142"/>
      <c r="AS178" s="142"/>
    </row>
    <row r="179">
      <c r="A179" s="131"/>
      <c r="B179" s="374"/>
      <c r="C179" s="127"/>
      <c r="D179" s="127"/>
      <c r="E179" s="127"/>
      <c r="F179" s="131"/>
      <c r="G179" s="374"/>
      <c r="H179" s="127"/>
      <c r="I179" s="127"/>
      <c r="J179" s="127"/>
      <c r="K179" s="383"/>
      <c r="L179" s="374"/>
      <c r="M179" s="127"/>
      <c r="N179" s="127"/>
      <c r="O179" s="127"/>
      <c r="P179" s="383"/>
      <c r="Q179" s="164"/>
      <c r="R179" s="127"/>
      <c r="S179" s="127"/>
      <c r="T179" s="127"/>
      <c r="U179" s="131"/>
      <c r="V179" s="374"/>
      <c r="W179" s="127"/>
      <c r="X179" s="127"/>
      <c r="Y179" s="127"/>
      <c r="Z179" s="131"/>
      <c r="AA179" s="374"/>
      <c r="AB179" s="127"/>
      <c r="AC179" s="127"/>
      <c r="AD179" s="127"/>
      <c r="AE179" s="131"/>
      <c r="AF179" s="374"/>
      <c r="AG179" s="127"/>
      <c r="AH179" s="127"/>
      <c r="AI179" s="127"/>
      <c r="AJ179" s="131"/>
      <c r="AK179" s="374"/>
      <c r="AL179" s="127"/>
      <c r="AM179" s="127"/>
      <c r="AN179" s="127"/>
      <c r="AO179" s="184"/>
      <c r="AP179" s="183"/>
      <c r="AQ179" s="142"/>
      <c r="AR179" s="142"/>
      <c r="AS179" s="142"/>
    </row>
    <row r="180">
      <c r="A180" s="131"/>
      <c r="B180" s="374"/>
      <c r="C180" s="127"/>
      <c r="D180" s="127"/>
      <c r="E180" s="127"/>
      <c r="F180" s="131"/>
      <c r="G180" s="374"/>
      <c r="H180" s="127"/>
      <c r="I180" s="127"/>
      <c r="J180" s="127"/>
      <c r="K180" s="383"/>
      <c r="L180" s="374"/>
      <c r="M180" s="127"/>
      <c r="N180" s="127"/>
      <c r="O180" s="127"/>
      <c r="P180" s="383"/>
      <c r="Q180" s="164"/>
      <c r="R180" s="127"/>
      <c r="S180" s="127"/>
      <c r="T180" s="127"/>
      <c r="U180" s="131"/>
      <c r="V180" s="374"/>
      <c r="W180" s="127"/>
      <c r="X180" s="127"/>
      <c r="Y180" s="127"/>
      <c r="Z180" s="131"/>
      <c r="AA180" s="374"/>
      <c r="AB180" s="127"/>
      <c r="AC180" s="127"/>
      <c r="AD180" s="127"/>
      <c r="AE180" s="131"/>
      <c r="AF180" s="374"/>
      <c r="AG180" s="127"/>
      <c r="AH180" s="127"/>
      <c r="AI180" s="127"/>
      <c r="AJ180" s="131"/>
      <c r="AK180" s="374"/>
      <c r="AL180" s="127"/>
      <c r="AM180" s="127"/>
      <c r="AN180" s="127"/>
      <c r="AO180" s="184"/>
      <c r="AP180" s="183"/>
      <c r="AQ180" s="142"/>
      <c r="AR180" s="142"/>
      <c r="AS180" s="142"/>
    </row>
    <row r="181">
      <c r="A181" s="131"/>
      <c r="B181" s="374"/>
      <c r="C181" s="127"/>
      <c r="D181" s="127"/>
      <c r="E181" s="127"/>
      <c r="F181" s="131"/>
      <c r="G181" s="374"/>
      <c r="H181" s="127"/>
      <c r="I181" s="127"/>
      <c r="J181" s="127"/>
      <c r="K181" s="383"/>
      <c r="L181" s="374"/>
      <c r="M181" s="127"/>
      <c r="N181" s="127"/>
      <c r="O181" s="127"/>
      <c r="P181" s="383"/>
      <c r="Q181" s="164"/>
      <c r="R181" s="127"/>
      <c r="S181" s="127"/>
      <c r="T181" s="127"/>
      <c r="U181" s="131"/>
      <c r="V181" s="374"/>
      <c r="W181" s="127"/>
      <c r="X181" s="127"/>
      <c r="Y181" s="127"/>
      <c r="Z181" s="131"/>
      <c r="AA181" s="374"/>
      <c r="AB181" s="127"/>
      <c r="AC181" s="127"/>
      <c r="AD181" s="127"/>
      <c r="AE181" s="131"/>
      <c r="AF181" s="374"/>
      <c r="AG181" s="127"/>
      <c r="AH181" s="127"/>
      <c r="AI181" s="127"/>
      <c r="AJ181" s="131"/>
      <c r="AK181" s="374"/>
      <c r="AL181" s="127"/>
      <c r="AM181" s="127"/>
      <c r="AN181" s="127"/>
      <c r="AO181" s="184"/>
      <c r="AP181" s="183"/>
      <c r="AQ181" s="142"/>
      <c r="AR181" s="142"/>
      <c r="AS181" s="142"/>
    </row>
    <row r="182">
      <c r="A182" s="131"/>
      <c r="B182" s="374"/>
      <c r="C182" s="127"/>
      <c r="D182" s="127"/>
      <c r="E182" s="127"/>
      <c r="F182" s="131"/>
      <c r="G182" s="374"/>
      <c r="H182" s="127"/>
      <c r="I182" s="127"/>
      <c r="J182" s="127"/>
      <c r="K182" s="383"/>
      <c r="L182" s="374"/>
      <c r="M182" s="127"/>
      <c r="N182" s="127"/>
      <c r="O182" s="127"/>
      <c r="P182" s="383"/>
      <c r="Q182" s="164"/>
      <c r="R182" s="127"/>
      <c r="S182" s="127"/>
      <c r="T182" s="127"/>
      <c r="U182" s="131"/>
      <c r="V182" s="374"/>
      <c r="W182" s="127"/>
      <c r="X182" s="127"/>
      <c r="Y182" s="127"/>
      <c r="Z182" s="131"/>
      <c r="AA182" s="374"/>
      <c r="AB182" s="127"/>
      <c r="AC182" s="127"/>
      <c r="AD182" s="127"/>
      <c r="AE182" s="131"/>
      <c r="AF182" s="374"/>
      <c r="AG182" s="127"/>
      <c r="AH182" s="127"/>
      <c r="AI182" s="127"/>
      <c r="AJ182" s="131"/>
      <c r="AK182" s="374"/>
      <c r="AL182" s="127"/>
      <c r="AM182" s="127"/>
      <c r="AN182" s="127"/>
      <c r="AO182" s="184"/>
      <c r="AP182" s="183"/>
      <c r="AQ182" s="142"/>
      <c r="AR182" s="142"/>
      <c r="AS182" s="142"/>
    </row>
    <row r="183">
      <c r="A183" s="131"/>
      <c r="B183" s="374"/>
      <c r="C183" s="127"/>
      <c r="D183" s="127"/>
      <c r="E183" s="127"/>
      <c r="F183" s="131"/>
      <c r="G183" s="374"/>
      <c r="H183" s="127"/>
      <c r="I183" s="127"/>
      <c r="J183" s="127"/>
      <c r="K183" s="383"/>
      <c r="L183" s="374"/>
      <c r="M183" s="127"/>
      <c r="N183" s="127"/>
      <c r="O183" s="127"/>
      <c r="P183" s="383"/>
      <c r="Q183" s="164"/>
      <c r="R183" s="127"/>
      <c r="S183" s="127"/>
      <c r="T183" s="127"/>
      <c r="U183" s="131"/>
      <c r="V183" s="374"/>
      <c r="W183" s="127"/>
      <c r="X183" s="127"/>
      <c r="Y183" s="127"/>
      <c r="Z183" s="131"/>
      <c r="AA183" s="374"/>
      <c r="AB183" s="127"/>
      <c r="AC183" s="127"/>
      <c r="AD183" s="127"/>
      <c r="AE183" s="131"/>
      <c r="AF183" s="374"/>
      <c r="AG183" s="127"/>
      <c r="AH183" s="127"/>
      <c r="AI183" s="127"/>
      <c r="AJ183" s="131"/>
      <c r="AK183" s="374"/>
      <c r="AL183" s="127"/>
      <c r="AM183" s="127"/>
      <c r="AN183" s="127"/>
      <c r="AO183" s="184"/>
      <c r="AP183" s="183"/>
      <c r="AQ183" s="142"/>
      <c r="AR183" s="142"/>
      <c r="AS183" s="142"/>
    </row>
    <row r="184">
      <c r="A184" s="131"/>
      <c r="B184" s="374"/>
      <c r="C184" s="127"/>
      <c r="D184" s="127"/>
      <c r="E184" s="127"/>
      <c r="F184" s="131"/>
      <c r="G184" s="374"/>
      <c r="H184" s="127"/>
      <c r="I184" s="127"/>
      <c r="J184" s="127"/>
      <c r="K184" s="383"/>
      <c r="L184" s="374"/>
      <c r="M184" s="127"/>
      <c r="N184" s="127"/>
      <c r="O184" s="127"/>
      <c r="P184" s="383"/>
      <c r="Q184" s="164"/>
      <c r="R184" s="127"/>
      <c r="S184" s="127"/>
      <c r="T184" s="127"/>
      <c r="U184" s="131"/>
      <c r="V184" s="374"/>
      <c r="W184" s="127"/>
      <c r="X184" s="127"/>
      <c r="Y184" s="127"/>
      <c r="Z184" s="131"/>
      <c r="AA184" s="374"/>
      <c r="AB184" s="127"/>
      <c r="AC184" s="127"/>
      <c r="AD184" s="127"/>
      <c r="AE184" s="131"/>
      <c r="AF184" s="374"/>
      <c r="AG184" s="127"/>
      <c r="AH184" s="127"/>
      <c r="AI184" s="127"/>
      <c r="AJ184" s="131"/>
      <c r="AK184" s="374"/>
      <c r="AL184" s="127"/>
      <c r="AM184" s="127"/>
      <c r="AN184" s="127"/>
      <c r="AO184" s="184"/>
      <c r="AP184" s="183"/>
      <c r="AQ184" s="142"/>
      <c r="AR184" s="142"/>
      <c r="AS184" s="142"/>
    </row>
    <row r="185">
      <c r="A185" s="131"/>
      <c r="B185" s="374"/>
      <c r="C185" s="127"/>
      <c r="D185" s="127"/>
      <c r="E185" s="127"/>
      <c r="F185" s="131"/>
      <c r="G185" s="374"/>
      <c r="H185" s="127"/>
      <c r="I185" s="127"/>
      <c r="J185" s="127"/>
      <c r="K185" s="383"/>
      <c r="L185" s="374"/>
      <c r="M185" s="127"/>
      <c r="N185" s="127"/>
      <c r="O185" s="127"/>
      <c r="P185" s="383"/>
      <c r="Q185" s="164"/>
      <c r="R185" s="127"/>
      <c r="S185" s="127"/>
      <c r="T185" s="127"/>
      <c r="U185" s="131"/>
      <c r="V185" s="374"/>
      <c r="W185" s="127"/>
      <c r="X185" s="127"/>
      <c r="Y185" s="127"/>
      <c r="Z185" s="131"/>
      <c r="AA185" s="374"/>
      <c r="AB185" s="127"/>
      <c r="AC185" s="127"/>
      <c r="AD185" s="127"/>
      <c r="AE185" s="131"/>
      <c r="AF185" s="374"/>
      <c r="AG185" s="127"/>
      <c r="AH185" s="127"/>
      <c r="AI185" s="127"/>
      <c r="AJ185" s="131"/>
      <c r="AK185" s="374"/>
      <c r="AL185" s="127"/>
      <c r="AM185" s="127"/>
      <c r="AN185" s="127"/>
      <c r="AO185" s="184"/>
      <c r="AP185" s="183"/>
      <c r="AQ185" s="142"/>
      <c r="AR185" s="142"/>
      <c r="AS185" s="142"/>
    </row>
    <row r="186">
      <c r="A186" s="131"/>
      <c r="B186" s="374"/>
      <c r="C186" s="127"/>
      <c r="D186" s="127"/>
      <c r="E186" s="127"/>
      <c r="F186" s="131"/>
      <c r="G186" s="374"/>
      <c r="H186" s="127"/>
      <c r="I186" s="127"/>
      <c r="J186" s="127"/>
      <c r="K186" s="383"/>
      <c r="L186" s="374"/>
      <c r="M186" s="127"/>
      <c r="N186" s="127"/>
      <c r="O186" s="127"/>
      <c r="P186" s="383"/>
      <c r="Q186" s="164"/>
      <c r="R186" s="127"/>
      <c r="S186" s="127"/>
      <c r="T186" s="127"/>
      <c r="U186" s="131"/>
      <c r="V186" s="374"/>
      <c r="W186" s="127"/>
      <c r="X186" s="127"/>
      <c r="Y186" s="127"/>
      <c r="Z186" s="131"/>
      <c r="AA186" s="374"/>
      <c r="AB186" s="127"/>
      <c r="AC186" s="127"/>
      <c r="AD186" s="127"/>
      <c r="AE186" s="131"/>
      <c r="AF186" s="374"/>
      <c r="AG186" s="127"/>
      <c r="AH186" s="127"/>
      <c r="AI186" s="127"/>
      <c r="AJ186" s="131"/>
      <c r="AK186" s="374"/>
      <c r="AL186" s="127"/>
      <c r="AM186" s="127"/>
      <c r="AN186" s="127"/>
      <c r="AO186" s="184"/>
      <c r="AP186" s="183"/>
      <c r="AQ186" s="142"/>
      <c r="AR186" s="142"/>
      <c r="AS186" s="142"/>
    </row>
    <row r="187">
      <c r="A187" s="131"/>
      <c r="B187" s="374"/>
      <c r="C187" s="127"/>
      <c r="D187" s="127"/>
      <c r="E187" s="127"/>
      <c r="F187" s="131"/>
      <c r="G187" s="374"/>
      <c r="H187" s="127"/>
      <c r="I187" s="127"/>
      <c r="J187" s="127"/>
      <c r="K187" s="383"/>
      <c r="L187" s="374"/>
      <c r="M187" s="127"/>
      <c r="N187" s="127"/>
      <c r="O187" s="127"/>
      <c r="P187" s="383"/>
      <c r="Q187" s="164"/>
      <c r="R187" s="127"/>
      <c r="S187" s="127"/>
      <c r="T187" s="127"/>
      <c r="U187" s="131"/>
      <c r="V187" s="374"/>
      <c r="W187" s="127"/>
      <c r="X187" s="127"/>
      <c r="Y187" s="127"/>
      <c r="Z187" s="131"/>
      <c r="AA187" s="374"/>
      <c r="AB187" s="127"/>
      <c r="AC187" s="127"/>
      <c r="AD187" s="127"/>
      <c r="AE187" s="131"/>
      <c r="AF187" s="374"/>
      <c r="AG187" s="127"/>
      <c r="AH187" s="127"/>
      <c r="AI187" s="127"/>
      <c r="AJ187" s="131"/>
      <c r="AK187" s="374"/>
      <c r="AL187" s="127"/>
      <c r="AM187" s="127"/>
      <c r="AN187" s="127"/>
      <c r="AO187" s="184"/>
      <c r="AP187" s="183"/>
      <c r="AQ187" s="142"/>
      <c r="AR187" s="142"/>
      <c r="AS187" s="142"/>
    </row>
    <row r="188">
      <c r="A188" s="131"/>
      <c r="B188" s="374"/>
      <c r="C188" s="127"/>
      <c r="D188" s="127"/>
      <c r="E188" s="127"/>
      <c r="F188" s="131"/>
      <c r="G188" s="374"/>
      <c r="H188" s="127"/>
      <c r="I188" s="127"/>
      <c r="J188" s="127"/>
      <c r="K188" s="383"/>
      <c r="L188" s="374"/>
      <c r="M188" s="127"/>
      <c r="N188" s="127"/>
      <c r="O188" s="127"/>
      <c r="P188" s="383"/>
      <c r="Q188" s="164"/>
      <c r="R188" s="127"/>
      <c r="S188" s="127"/>
      <c r="T188" s="127"/>
      <c r="U188" s="131"/>
      <c r="V188" s="374"/>
      <c r="W188" s="127"/>
      <c r="X188" s="127"/>
      <c r="Y188" s="127"/>
      <c r="Z188" s="131"/>
      <c r="AA188" s="374"/>
      <c r="AB188" s="127"/>
      <c r="AC188" s="127"/>
      <c r="AD188" s="127"/>
      <c r="AE188" s="131"/>
      <c r="AF188" s="374"/>
      <c r="AG188" s="127"/>
      <c r="AH188" s="127"/>
      <c r="AI188" s="127"/>
      <c r="AJ188" s="131"/>
      <c r="AK188" s="374"/>
      <c r="AL188" s="127"/>
      <c r="AM188" s="127"/>
      <c r="AN188" s="127"/>
      <c r="AO188" s="184"/>
      <c r="AP188" s="183"/>
      <c r="AQ188" s="142"/>
      <c r="AR188" s="142"/>
      <c r="AS188" s="142"/>
    </row>
    <row r="189">
      <c r="A189" s="131"/>
      <c r="B189" s="374"/>
      <c r="C189" s="127"/>
      <c r="D189" s="127"/>
      <c r="E189" s="127"/>
      <c r="F189" s="131"/>
      <c r="G189" s="374"/>
      <c r="H189" s="127"/>
      <c r="I189" s="127"/>
      <c r="J189" s="127"/>
      <c r="K189" s="383"/>
      <c r="L189" s="374"/>
      <c r="M189" s="127"/>
      <c r="N189" s="127"/>
      <c r="O189" s="127"/>
      <c r="P189" s="383"/>
      <c r="Q189" s="164"/>
      <c r="R189" s="127"/>
      <c r="S189" s="127"/>
      <c r="T189" s="127"/>
      <c r="U189" s="131"/>
      <c r="V189" s="374"/>
      <c r="W189" s="127"/>
      <c r="X189" s="127"/>
      <c r="Y189" s="127"/>
      <c r="Z189" s="131"/>
      <c r="AA189" s="374"/>
      <c r="AB189" s="127"/>
      <c r="AC189" s="127"/>
      <c r="AD189" s="127"/>
      <c r="AE189" s="131"/>
      <c r="AF189" s="374"/>
      <c r="AG189" s="127"/>
      <c r="AH189" s="127"/>
      <c r="AI189" s="127"/>
      <c r="AJ189" s="131"/>
      <c r="AK189" s="374"/>
      <c r="AL189" s="127"/>
      <c r="AM189" s="127"/>
      <c r="AN189" s="127"/>
      <c r="AO189" s="184"/>
      <c r="AP189" s="183"/>
      <c r="AQ189" s="142"/>
      <c r="AR189" s="142"/>
      <c r="AS189" s="142"/>
    </row>
    <row r="190">
      <c r="A190" s="131"/>
      <c r="B190" s="374"/>
      <c r="C190" s="127"/>
      <c r="D190" s="127"/>
      <c r="E190" s="127"/>
      <c r="F190" s="131"/>
      <c r="G190" s="374"/>
      <c r="H190" s="127"/>
      <c r="I190" s="127"/>
      <c r="J190" s="127"/>
      <c r="K190" s="383"/>
      <c r="L190" s="374"/>
      <c r="M190" s="127"/>
      <c r="N190" s="127"/>
      <c r="O190" s="127"/>
      <c r="P190" s="383"/>
      <c r="Q190" s="164"/>
      <c r="R190" s="127"/>
      <c r="S190" s="127"/>
      <c r="T190" s="127"/>
      <c r="U190" s="131"/>
      <c r="V190" s="374"/>
      <c r="W190" s="127"/>
      <c r="X190" s="127"/>
      <c r="Y190" s="127"/>
      <c r="Z190" s="131"/>
      <c r="AA190" s="374"/>
      <c r="AB190" s="127"/>
      <c r="AC190" s="127"/>
      <c r="AD190" s="127"/>
      <c r="AE190" s="131"/>
      <c r="AF190" s="374"/>
      <c r="AG190" s="127"/>
      <c r="AH190" s="127"/>
      <c r="AI190" s="127"/>
      <c r="AJ190" s="131"/>
      <c r="AK190" s="374"/>
      <c r="AL190" s="127"/>
      <c r="AM190" s="127"/>
      <c r="AN190" s="127"/>
      <c r="AO190" s="184"/>
      <c r="AP190" s="183"/>
      <c r="AQ190" s="142"/>
      <c r="AR190" s="142"/>
      <c r="AS190" s="142"/>
    </row>
    <row r="191">
      <c r="A191" s="131"/>
      <c r="B191" s="374"/>
      <c r="C191" s="127"/>
      <c r="D191" s="127"/>
      <c r="E191" s="127"/>
      <c r="F191" s="131"/>
      <c r="G191" s="374"/>
      <c r="H191" s="127"/>
      <c r="I191" s="127"/>
      <c r="J191" s="127"/>
      <c r="K191" s="383"/>
      <c r="L191" s="374"/>
      <c r="M191" s="127"/>
      <c r="N191" s="127"/>
      <c r="O191" s="127"/>
      <c r="P191" s="383"/>
      <c r="Q191" s="164"/>
      <c r="R191" s="127"/>
      <c r="S191" s="127"/>
      <c r="T191" s="127"/>
      <c r="U191" s="131"/>
      <c r="V191" s="374"/>
      <c r="W191" s="127"/>
      <c r="X191" s="127"/>
      <c r="Y191" s="127"/>
      <c r="Z191" s="131"/>
      <c r="AA191" s="374"/>
      <c r="AB191" s="127"/>
      <c r="AC191" s="127"/>
      <c r="AD191" s="127"/>
      <c r="AE191" s="131"/>
      <c r="AF191" s="374"/>
      <c r="AG191" s="127"/>
      <c r="AH191" s="127"/>
      <c r="AI191" s="127"/>
      <c r="AJ191" s="131"/>
      <c r="AK191" s="374"/>
      <c r="AL191" s="127"/>
      <c r="AM191" s="127"/>
      <c r="AN191" s="127"/>
      <c r="AO191" s="184"/>
      <c r="AP191" s="183"/>
      <c r="AQ191" s="142"/>
      <c r="AR191" s="142"/>
      <c r="AS191" s="142"/>
    </row>
    <row r="192">
      <c r="A192" s="131"/>
      <c r="B192" s="374"/>
      <c r="C192" s="127"/>
      <c r="D192" s="127"/>
      <c r="E192" s="127"/>
      <c r="F192" s="131"/>
      <c r="G192" s="374"/>
      <c r="H192" s="127"/>
      <c r="I192" s="127"/>
      <c r="J192" s="127"/>
      <c r="K192" s="383"/>
      <c r="L192" s="374"/>
      <c r="M192" s="127"/>
      <c r="N192" s="127"/>
      <c r="O192" s="127"/>
      <c r="P192" s="383"/>
      <c r="Q192" s="164"/>
      <c r="R192" s="127"/>
      <c r="S192" s="127"/>
      <c r="T192" s="127"/>
      <c r="U192" s="131"/>
      <c r="V192" s="374"/>
      <c r="W192" s="127"/>
      <c r="X192" s="127"/>
      <c r="Y192" s="127"/>
      <c r="Z192" s="131"/>
      <c r="AA192" s="374"/>
      <c r="AB192" s="127"/>
      <c r="AC192" s="127"/>
      <c r="AD192" s="127"/>
      <c r="AE192" s="131"/>
      <c r="AF192" s="374"/>
      <c r="AG192" s="127"/>
      <c r="AH192" s="127"/>
      <c r="AI192" s="127"/>
      <c r="AJ192" s="131"/>
      <c r="AK192" s="374"/>
      <c r="AL192" s="127"/>
      <c r="AM192" s="127"/>
      <c r="AN192" s="127"/>
      <c r="AO192" s="184"/>
      <c r="AP192" s="183"/>
      <c r="AQ192" s="142"/>
      <c r="AR192" s="142"/>
      <c r="AS192" s="142"/>
    </row>
    <row r="193">
      <c r="A193" s="131"/>
      <c r="B193" s="374"/>
      <c r="C193" s="127"/>
      <c r="D193" s="127"/>
      <c r="E193" s="127"/>
      <c r="F193" s="131"/>
      <c r="G193" s="374"/>
      <c r="H193" s="127"/>
      <c r="I193" s="127"/>
      <c r="J193" s="127"/>
      <c r="K193" s="383"/>
      <c r="L193" s="374"/>
      <c r="M193" s="127"/>
      <c r="N193" s="127"/>
      <c r="O193" s="127"/>
      <c r="P193" s="383"/>
      <c r="Q193" s="164"/>
      <c r="R193" s="127"/>
      <c r="S193" s="127"/>
      <c r="T193" s="127"/>
      <c r="U193" s="131"/>
      <c r="V193" s="374"/>
      <c r="W193" s="127"/>
      <c r="X193" s="127"/>
      <c r="Y193" s="127"/>
      <c r="Z193" s="131"/>
      <c r="AA193" s="374"/>
      <c r="AB193" s="127"/>
      <c r="AC193" s="127"/>
      <c r="AD193" s="127"/>
      <c r="AE193" s="131"/>
      <c r="AF193" s="374"/>
      <c r="AG193" s="127"/>
      <c r="AH193" s="127"/>
      <c r="AI193" s="127"/>
      <c r="AJ193" s="131"/>
      <c r="AK193" s="374"/>
      <c r="AL193" s="127"/>
      <c r="AM193" s="127"/>
      <c r="AN193" s="127"/>
      <c r="AO193" s="184"/>
      <c r="AP193" s="183"/>
      <c r="AQ193" s="142"/>
      <c r="AR193" s="142"/>
      <c r="AS193" s="142"/>
    </row>
    <row r="194">
      <c r="A194" s="131"/>
      <c r="B194" s="374"/>
      <c r="C194" s="127"/>
      <c r="D194" s="127"/>
      <c r="E194" s="127"/>
      <c r="F194" s="131"/>
      <c r="G194" s="374"/>
      <c r="H194" s="127"/>
      <c r="I194" s="127"/>
      <c r="J194" s="127"/>
      <c r="K194" s="383"/>
      <c r="L194" s="374"/>
      <c r="M194" s="127"/>
      <c r="N194" s="127"/>
      <c r="O194" s="127"/>
      <c r="P194" s="383"/>
      <c r="Q194" s="164"/>
      <c r="R194" s="127"/>
      <c r="S194" s="127"/>
      <c r="T194" s="127"/>
      <c r="U194" s="131"/>
      <c r="V194" s="374"/>
      <c r="W194" s="127"/>
      <c r="X194" s="127"/>
      <c r="Y194" s="127"/>
      <c r="Z194" s="131"/>
      <c r="AA194" s="374"/>
      <c r="AB194" s="127"/>
      <c r="AC194" s="127"/>
      <c r="AD194" s="127"/>
      <c r="AE194" s="131"/>
      <c r="AF194" s="374"/>
      <c r="AG194" s="127"/>
      <c r="AH194" s="127"/>
      <c r="AI194" s="127"/>
      <c r="AJ194" s="131"/>
      <c r="AK194" s="374"/>
      <c r="AL194" s="127"/>
      <c r="AM194" s="127"/>
      <c r="AN194" s="127"/>
      <c r="AO194" s="184"/>
      <c r="AP194" s="183"/>
      <c r="AQ194" s="142"/>
      <c r="AR194" s="142"/>
      <c r="AS194" s="142"/>
    </row>
    <row r="195">
      <c r="A195" s="131"/>
      <c r="B195" s="374"/>
      <c r="C195" s="127"/>
      <c r="D195" s="127"/>
      <c r="E195" s="127"/>
      <c r="F195" s="131"/>
      <c r="G195" s="374"/>
      <c r="H195" s="127"/>
      <c r="I195" s="127"/>
      <c r="J195" s="127"/>
      <c r="K195" s="383"/>
      <c r="L195" s="374"/>
      <c r="M195" s="127"/>
      <c r="N195" s="127"/>
      <c r="O195" s="127"/>
      <c r="P195" s="383"/>
      <c r="Q195" s="164"/>
      <c r="R195" s="127"/>
      <c r="S195" s="127"/>
      <c r="T195" s="127"/>
      <c r="U195" s="131"/>
      <c r="V195" s="374"/>
      <c r="W195" s="127"/>
      <c r="X195" s="127"/>
      <c r="Y195" s="127"/>
      <c r="Z195" s="131"/>
      <c r="AA195" s="374"/>
      <c r="AB195" s="127"/>
      <c r="AC195" s="127"/>
      <c r="AD195" s="127"/>
      <c r="AE195" s="131"/>
      <c r="AF195" s="374"/>
      <c r="AG195" s="127"/>
      <c r="AH195" s="127"/>
      <c r="AI195" s="127"/>
      <c r="AJ195" s="131"/>
      <c r="AK195" s="374"/>
      <c r="AL195" s="127"/>
      <c r="AM195" s="127"/>
      <c r="AN195" s="127"/>
      <c r="AO195" s="184"/>
      <c r="AP195" s="183"/>
      <c r="AQ195" s="142"/>
      <c r="AR195" s="142"/>
      <c r="AS195" s="142"/>
    </row>
    <row r="196">
      <c r="A196" s="131"/>
      <c r="B196" s="374"/>
      <c r="C196" s="127"/>
      <c r="D196" s="127"/>
      <c r="E196" s="127"/>
      <c r="F196" s="131"/>
      <c r="G196" s="374"/>
      <c r="H196" s="127"/>
      <c r="I196" s="127"/>
      <c r="J196" s="127"/>
      <c r="K196" s="383"/>
      <c r="L196" s="374"/>
      <c r="M196" s="127"/>
      <c r="N196" s="127"/>
      <c r="O196" s="127"/>
      <c r="P196" s="383"/>
      <c r="Q196" s="164"/>
      <c r="R196" s="127"/>
      <c r="S196" s="127"/>
      <c r="T196" s="127"/>
      <c r="U196" s="131"/>
      <c r="V196" s="374"/>
      <c r="W196" s="127"/>
      <c r="X196" s="127"/>
      <c r="Y196" s="127"/>
      <c r="Z196" s="131"/>
      <c r="AA196" s="374"/>
      <c r="AB196" s="127"/>
      <c r="AC196" s="127"/>
      <c r="AD196" s="127"/>
      <c r="AE196" s="131"/>
      <c r="AF196" s="374"/>
      <c r="AG196" s="127"/>
      <c r="AH196" s="127"/>
      <c r="AI196" s="127"/>
      <c r="AJ196" s="131"/>
      <c r="AK196" s="374"/>
      <c r="AL196" s="127"/>
      <c r="AM196" s="127"/>
      <c r="AN196" s="127"/>
      <c r="AO196" s="184"/>
      <c r="AP196" s="183"/>
      <c r="AQ196" s="142"/>
      <c r="AR196" s="142"/>
      <c r="AS196" s="142"/>
    </row>
    <row r="197">
      <c r="A197" s="131"/>
      <c r="B197" s="374"/>
      <c r="C197" s="127"/>
      <c r="D197" s="127"/>
      <c r="E197" s="127"/>
      <c r="F197" s="131"/>
      <c r="G197" s="374"/>
      <c r="H197" s="127"/>
      <c r="I197" s="127"/>
      <c r="J197" s="127"/>
      <c r="K197" s="383"/>
      <c r="L197" s="374"/>
      <c r="M197" s="127"/>
      <c r="N197" s="127"/>
      <c r="O197" s="127"/>
      <c r="P197" s="383"/>
      <c r="Q197" s="164"/>
      <c r="R197" s="127"/>
      <c r="S197" s="127"/>
      <c r="T197" s="127"/>
      <c r="U197" s="131"/>
      <c r="V197" s="374"/>
      <c r="W197" s="127"/>
      <c r="X197" s="127"/>
      <c r="Y197" s="127"/>
      <c r="Z197" s="131"/>
      <c r="AA197" s="374"/>
      <c r="AB197" s="127"/>
      <c r="AC197" s="127"/>
      <c r="AD197" s="127"/>
      <c r="AE197" s="131"/>
      <c r="AF197" s="374"/>
      <c r="AG197" s="127"/>
      <c r="AH197" s="127"/>
      <c r="AI197" s="127"/>
      <c r="AJ197" s="131"/>
      <c r="AK197" s="374"/>
      <c r="AL197" s="127"/>
      <c r="AM197" s="127"/>
      <c r="AN197" s="127"/>
      <c r="AO197" s="184"/>
      <c r="AP197" s="183"/>
      <c r="AQ197" s="142"/>
      <c r="AR197" s="142"/>
      <c r="AS197" s="142"/>
    </row>
    <row r="198">
      <c r="A198" s="131"/>
      <c r="B198" s="374"/>
      <c r="C198" s="127"/>
      <c r="D198" s="127"/>
      <c r="E198" s="127"/>
      <c r="F198" s="131"/>
      <c r="G198" s="374"/>
      <c r="H198" s="127"/>
      <c r="I198" s="127"/>
      <c r="J198" s="127"/>
      <c r="K198" s="383"/>
      <c r="L198" s="374"/>
      <c r="M198" s="127"/>
      <c r="N198" s="127"/>
      <c r="O198" s="127"/>
      <c r="P198" s="383"/>
      <c r="Q198" s="164"/>
      <c r="R198" s="127"/>
      <c r="S198" s="127"/>
      <c r="T198" s="127"/>
      <c r="U198" s="131"/>
      <c r="V198" s="374"/>
      <c r="W198" s="127"/>
      <c r="X198" s="127"/>
      <c r="Y198" s="127"/>
      <c r="Z198" s="131"/>
      <c r="AA198" s="374"/>
      <c r="AB198" s="127"/>
      <c r="AC198" s="127"/>
      <c r="AD198" s="127"/>
      <c r="AE198" s="131"/>
      <c r="AF198" s="374"/>
      <c r="AG198" s="127"/>
      <c r="AH198" s="127"/>
      <c r="AI198" s="127"/>
      <c r="AJ198" s="131"/>
      <c r="AK198" s="374"/>
      <c r="AL198" s="127"/>
      <c r="AM198" s="127"/>
      <c r="AN198" s="127"/>
      <c r="AO198" s="184"/>
      <c r="AP198" s="183"/>
      <c r="AQ198" s="142"/>
      <c r="AR198" s="142"/>
      <c r="AS198" s="142"/>
    </row>
    <row r="199">
      <c r="A199" s="131"/>
      <c r="B199" s="374"/>
      <c r="C199" s="127"/>
      <c r="D199" s="127"/>
      <c r="E199" s="127"/>
      <c r="F199" s="131"/>
      <c r="G199" s="374"/>
      <c r="H199" s="127"/>
      <c r="I199" s="127"/>
      <c r="J199" s="127"/>
      <c r="K199" s="383"/>
      <c r="L199" s="374"/>
      <c r="M199" s="127"/>
      <c r="N199" s="127"/>
      <c r="O199" s="127"/>
      <c r="P199" s="383"/>
      <c r="Q199" s="164"/>
      <c r="R199" s="127"/>
      <c r="S199" s="127"/>
      <c r="T199" s="127"/>
      <c r="U199" s="131"/>
      <c r="V199" s="374"/>
      <c r="W199" s="127"/>
      <c r="X199" s="127"/>
      <c r="Y199" s="127"/>
      <c r="Z199" s="131"/>
      <c r="AA199" s="374"/>
      <c r="AB199" s="127"/>
      <c r="AC199" s="127"/>
      <c r="AD199" s="127"/>
      <c r="AE199" s="131"/>
      <c r="AF199" s="374"/>
      <c r="AG199" s="127"/>
      <c r="AH199" s="127"/>
      <c r="AI199" s="127"/>
      <c r="AJ199" s="131"/>
      <c r="AK199" s="374"/>
      <c r="AL199" s="127"/>
      <c r="AM199" s="127"/>
      <c r="AN199" s="127"/>
      <c r="AO199" s="184"/>
      <c r="AP199" s="183"/>
      <c r="AQ199" s="142"/>
      <c r="AR199" s="142"/>
      <c r="AS199" s="142"/>
    </row>
    <row r="200">
      <c r="A200" s="131"/>
      <c r="B200" s="374"/>
      <c r="C200" s="127"/>
      <c r="D200" s="127"/>
      <c r="E200" s="127"/>
      <c r="F200" s="131"/>
      <c r="G200" s="374"/>
      <c r="H200" s="127"/>
      <c r="I200" s="127"/>
      <c r="J200" s="127"/>
      <c r="K200" s="383"/>
      <c r="L200" s="374"/>
      <c r="M200" s="127"/>
      <c r="N200" s="127"/>
      <c r="O200" s="127"/>
      <c r="P200" s="383"/>
      <c r="Q200" s="164"/>
      <c r="R200" s="127"/>
      <c r="S200" s="127"/>
      <c r="T200" s="127"/>
      <c r="U200" s="131"/>
      <c r="V200" s="374"/>
      <c r="W200" s="127"/>
      <c r="X200" s="127"/>
      <c r="Y200" s="127"/>
      <c r="Z200" s="131"/>
      <c r="AA200" s="374"/>
      <c r="AB200" s="127"/>
      <c r="AC200" s="127"/>
      <c r="AD200" s="127"/>
      <c r="AE200" s="131"/>
      <c r="AF200" s="374"/>
      <c r="AG200" s="127"/>
      <c r="AH200" s="127"/>
      <c r="AI200" s="127"/>
      <c r="AJ200" s="131"/>
      <c r="AK200" s="374"/>
      <c r="AL200" s="127"/>
      <c r="AM200" s="127"/>
      <c r="AN200" s="127"/>
      <c r="AO200" s="184"/>
      <c r="AP200" s="183"/>
      <c r="AQ200" s="142"/>
      <c r="AR200" s="142"/>
      <c r="AS200" s="142"/>
    </row>
    <row r="201">
      <c r="A201" s="131"/>
      <c r="B201" s="374"/>
      <c r="C201" s="127"/>
      <c r="D201" s="127"/>
      <c r="E201" s="127"/>
      <c r="F201" s="131"/>
      <c r="G201" s="374"/>
      <c r="H201" s="127"/>
      <c r="I201" s="127"/>
      <c r="J201" s="127"/>
      <c r="K201" s="383"/>
      <c r="L201" s="374"/>
      <c r="M201" s="127"/>
      <c r="N201" s="127"/>
      <c r="O201" s="127"/>
      <c r="P201" s="383"/>
      <c r="Q201" s="164"/>
      <c r="R201" s="127"/>
      <c r="S201" s="127"/>
      <c r="T201" s="127"/>
      <c r="U201" s="131"/>
      <c r="V201" s="374"/>
      <c r="W201" s="127"/>
      <c r="X201" s="127"/>
      <c r="Y201" s="127"/>
      <c r="Z201" s="131"/>
      <c r="AA201" s="374"/>
      <c r="AB201" s="127"/>
      <c r="AC201" s="127"/>
      <c r="AD201" s="127"/>
      <c r="AE201" s="131"/>
      <c r="AF201" s="374"/>
      <c r="AG201" s="127"/>
      <c r="AH201" s="127"/>
      <c r="AI201" s="127"/>
      <c r="AJ201" s="131"/>
      <c r="AK201" s="374"/>
      <c r="AL201" s="127"/>
      <c r="AM201" s="127"/>
      <c r="AN201" s="127"/>
      <c r="AO201" s="184"/>
      <c r="AP201" s="183"/>
      <c r="AQ201" s="142"/>
      <c r="AR201" s="142"/>
      <c r="AS201" s="142"/>
    </row>
    <row r="202">
      <c r="A202" s="131"/>
      <c r="B202" s="374"/>
      <c r="C202" s="127"/>
      <c r="D202" s="127"/>
      <c r="E202" s="127"/>
      <c r="F202" s="131"/>
      <c r="G202" s="374"/>
      <c r="H202" s="127"/>
      <c r="I202" s="127"/>
      <c r="J202" s="127"/>
      <c r="K202" s="383"/>
      <c r="L202" s="374"/>
      <c r="M202" s="127"/>
      <c r="N202" s="127"/>
      <c r="O202" s="127"/>
      <c r="P202" s="383"/>
      <c r="Q202" s="164"/>
      <c r="R202" s="127"/>
      <c r="S202" s="127"/>
      <c r="T202" s="127"/>
      <c r="U202" s="131"/>
      <c r="V202" s="374"/>
      <c r="W202" s="127"/>
      <c r="X202" s="127"/>
      <c r="Y202" s="127"/>
      <c r="Z202" s="131"/>
      <c r="AA202" s="374"/>
      <c r="AB202" s="127"/>
      <c r="AC202" s="127"/>
      <c r="AD202" s="127"/>
      <c r="AE202" s="131"/>
      <c r="AF202" s="374"/>
      <c r="AG202" s="127"/>
      <c r="AH202" s="127"/>
      <c r="AI202" s="127"/>
      <c r="AJ202" s="131"/>
      <c r="AK202" s="374"/>
      <c r="AL202" s="127"/>
      <c r="AM202" s="127"/>
      <c r="AN202" s="127"/>
      <c r="AO202" s="184"/>
      <c r="AP202" s="183"/>
      <c r="AQ202" s="142"/>
      <c r="AR202" s="142"/>
      <c r="AS202" s="142"/>
    </row>
    <row r="203">
      <c r="A203" s="131"/>
      <c r="B203" s="374"/>
      <c r="C203" s="127"/>
      <c r="D203" s="127"/>
      <c r="E203" s="127"/>
      <c r="F203" s="131"/>
      <c r="G203" s="374"/>
      <c r="H203" s="127"/>
      <c r="I203" s="127"/>
      <c r="J203" s="127"/>
      <c r="K203" s="383"/>
      <c r="L203" s="374"/>
      <c r="M203" s="127"/>
      <c r="N203" s="127"/>
      <c r="O203" s="127"/>
      <c r="P203" s="383"/>
      <c r="Q203" s="164"/>
      <c r="R203" s="127"/>
      <c r="S203" s="127"/>
      <c r="T203" s="127"/>
      <c r="U203" s="131"/>
      <c r="V203" s="374"/>
      <c r="W203" s="127"/>
      <c r="X203" s="127"/>
      <c r="Y203" s="127"/>
      <c r="Z203" s="131"/>
      <c r="AA203" s="374"/>
      <c r="AB203" s="127"/>
      <c r="AC203" s="127"/>
      <c r="AD203" s="127"/>
      <c r="AE203" s="131"/>
      <c r="AF203" s="374"/>
      <c r="AG203" s="127"/>
      <c r="AH203" s="127"/>
      <c r="AI203" s="127"/>
      <c r="AJ203" s="131"/>
      <c r="AK203" s="374"/>
      <c r="AL203" s="127"/>
      <c r="AM203" s="127"/>
      <c r="AN203" s="127"/>
      <c r="AO203" s="184"/>
      <c r="AP203" s="183"/>
      <c r="AQ203" s="142"/>
      <c r="AR203" s="142"/>
      <c r="AS203" s="142"/>
    </row>
    <row r="204">
      <c r="A204" s="131"/>
      <c r="B204" s="374"/>
      <c r="C204" s="127"/>
      <c r="D204" s="127"/>
      <c r="E204" s="127"/>
      <c r="F204" s="131"/>
      <c r="G204" s="374"/>
      <c r="H204" s="127"/>
      <c r="I204" s="127"/>
      <c r="J204" s="127"/>
      <c r="K204" s="383"/>
      <c r="L204" s="374"/>
      <c r="M204" s="127"/>
      <c r="N204" s="127"/>
      <c r="O204" s="127"/>
      <c r="P204" s="383"/>
      <c r="Q204" s="164"/>
      <c r="R204" s="127"/>
      <c r="S204" s="127"/>
      <c r="T204" s="127"/>
      <c r="U204" s="131"/>
      <c r="V204" s="374"/>
      <c r="W204" s="127"/>
      <c r="X204" s="127"/>
      <c r="Y204" s="127"/>
      <c r="Z204" s="131"/>
      <c r="AA204" s="374"/>
      <c r="AB204" s="127"/>
      <c r="AC204" s="127"/>
      <c r="AD204" s="127"/>
      <c r="AE204" s="131"/>
      <c r="AF204" s="374"/>
      <c r="AG204" s="127"/>
      <c r="AH204" s="127"/>
      <c r="AI204" s="127"/>
      <c r="AJ204" s="131"/>
      <c r="AK204" s="374"/>
      <c r="AL204" s="127"/>
      <c r="AM204" s="127"/>
      <c r="AN204" s="127"/>
      <c r="AO204" s="184"/>
      <c r="AP204" s="183"/>
      <c r="AQ204" s="142"/>
      <c r="AR204" s="142"/>
      <c r="AS204" s="142"/>
    </row>
    <row r="205">
      <c r="A205" s="131"/>
      <c r="B205" s="374"/>
      <c r="C205" s="127"/>
      <c r="D205" s="127"/>
      <c r="E205" s="127"/>
      <c r="F205" s="131"/>
      <c r="G205" s="374"/>
      <c r="H205" s="127"/>
      <c r="I205" s="127"/>
      <c r="J205" s="127"/>
      <c r="K205" s="383"/>
      <c r="L205" s="374"/>
      <c r="M205" s="127"/>
      <c r="N205" s="127"/>
      <c r="O205" s="127"/>
      <c r="P205" s="383"/>
      <c r="Q205" s="164"/>
      <c r="R205" s="127"/>
      <c r="S205" s="127"/>
      <c r="T205" s="127"/>
      <c r="U205" s="131"/>
      <c r="V205" s="374"/>
      <c r="W205" s="127"/>
      <c r="X205" s="127"/>
      <c r="Y205" s="127"/>
      <c r="Z205" s="131"/>
      <c r="AA205" s="374"/>
      <c r="AB205" s="127"/>
      <c r="AC205" s="127"/>
      <c r="AD205" s="127"/>
      <c r="AE205" s="131"/>
      <c r="AF205" s="374"/>
      <c r="AG205" s="127"/>
      <c r="AH205" s="127"/>
      <c r="AI205" s="127"/>
      <c r="AJ205" s="131"/>
      <c r="AK205" s="374"/>
      <c r="AL205" s="127"/>
      <c r="AM205" s="127"/>
      <c r="AN205" s="127"/>
      <c r="AO205" s="184"/>
      <c r="AP205" s="183"/>
      <c r="AQ205" s="142"/>
      <c r="AR205" s="142"/>
      <c r="AS205" s="142"/>
    </row>
    <row r="206">
      <c r="A206" s="131"/>
      <c r="B206" s="374"/>
      <c r="C206" s="127"/>
      <c r="D206" s="127"/>
      <c r="E206" s="127"/>
      <c r="F206" s="131"/>
      <c r="G206" s="374"/>
      <c r="H206" s="127"/>
      <c r="I206" s="127"/>
      <c r="J206" s="127"/>
      <c r="K206" s="383"/>
      <c r="L206" s="374"/>
      <c r="M206" s="127"/>
      <c r="N206" s="127"/>
      <c r="O206" s="127"/>
      <c r="P206" s="383"/>
      <c r="Q206" s="164"/>
      <c r="R206" s="127"/>
      <c r="S206" s="127"/>
      <c r="T206" s="127"/>
      <c r="U206" s="131"/>
      <c r="V206" s="374"/>
      <c r="W206" s="127"/>
      <c r="X206" s="127"/>
      <c r="Y206" s="127"/>
      <c r="Z206" s="131"/>
      <c r="AA206" s="374"/>
      <c r="AB206" s="127"/>
      <c r="AC206" s="127"/>
      <c r="AD206" s="127"/>
      <c r="AE206" s="131"/>
      <c r="AF206" s="374"/>
      <c r="AG206" s="127"/>
      <c r="AH206" s="127"/>
      <c r="AI206" s="127"/>
      <c r="AJ206" s="131"/>
      <c r="AK206" s="374"/>
      <c r="AL206" s="127"/>
      <c r="AM206" s="127"/>
      <c r="AN206" s="127"/>
      <c r="AO206" s="184"/>
      <c r="AP206" s="183"/>
      <c r="AQ206" s="142"/>
      <c r="AR206" s="142"/>
      <c r="AS206" s="142"/>
    </row>
    <row r="207">
      <c r="A207" s="131"/>
      <c r="B207" s="374"/>
      <c r="C207" s="127"/>
      <c r="D207" s="127"/>
      <c r="E207" s="127"/>
      <c r="F207" s="131"/>
      <c r="G207" s="374"/>
      <c r="H207" s="127"/>
      <c r="I207" s="127"/>
      <c r="J207" s="127"/>
      <c r="K207" s="383"/>
      <c r="L207" s="374"/>
      <c r="M207" s="127"/>
      <c r="N207" s="127"/>
      <c r="O207" s="127"/>
      <c r="P207" s="383"/>
      <c r="Q207" s="164"/>
      <c r="R207" s="127"/>
      <c r="S207" s="127"/>
      <c r="T207" s="127"/>
      <c r="U207" s="131"/>
      <c r="V207" s="374"/>
      <c r="W207" s="127"/>
      <c r="X207" s="127"/>
      <c r="Y207" s="127"/>
      <c r="Z207" s="131"/>
      <c r="AA207" s="374"/>
      <c r="AB207" s="127"/>
      <c r="AC207" s="127"/>
      <c r="AD207" s="127"/>
      <c r="AE207" s="131"/>
      <c r="AF207" s="374"/>
      <c r="AG207" s="127"/>
      <c r="AH207" s="127"/>
      <c r="AI207" s="127"/>
      <c r="AJ207" s="131"/>
      <c r="AK207" s="374"/>
      <c r="AL207" s="127"/>
      <c r="AM207" s="127"/>
      <c r="AN207" s="127"/>
      <c r="AO207" s="184"/>
      <c r="AP207" s="183"/>
      <c r="AQ207" s="142"/>
      <c r="AR207" s="142"/>
      <c r="AS207" s="142"/>
    </row>
    <row r="208">
      <c r="A208" s="131"/>
      <c r="B208" s="374"/>
      <c r="C208" s="127"/>
      <c r="D208" s="127"/>
      <c r="E208" s="127"/>
      <c r="F208" s="131"/>
      <c r="G208" s="374"/>
      <c r="H208" s="127"/>
      <c r="I208" s="127"/>
      <c r="J208" s="127"/>
      <c r="K208" s="383"/>
      <c r="L208" s="374"/>
      <c r="M208" s="127"/>
      <c r="N208" s="127"/>
      <c r="O208" s="127"/>
      <c r="P208" s="383"/>
      <c r="Q208" s="164"/>
      <c r="R208" s="127"/>
      <c r="S208" s="127"/>
      <c r="T208" s="127"/>
      <c r="U208" s="131"/>
      <c r="V208" s="374"/>
      <c r="W208" s="127"/>
      <c r="X208" s="127"/>
      <c r="Y208" s="127"/>
      <c r="Z208" s="131"/>
      <c r="AA208" s="374"/>
      <c r="AB208" s="127"/>
      <c r="AC208" s="127"/>
      <c r="AD208" s="127"/>
      <c r="AE208" s="131"/>
      <c r="AF208" s="374"/>
      <c r="AG208" s="127"/>
      <c r="AH208" s="127"/>
      <c r="AI208" s="127"/>
      <c r="AJ208" s="131"/>
      <c r="AK208" s="374"/>
      <c r="AL208" s="127"/>
      <c r="AM208" s="127"/>
      <c r="AN208" s="127"/>
      <c r="AO208" s="184"/>
      <c r="AP208" s="183"/>
      <c r="AQ208" s="142"/>
      <c r="AR208" s="142"/>
      <c r="AS208" s="142"/>
    </row>
    <row r="209">
      <c r="A209" s="131"/>
      <c r="B209" s="374"/>
      <c r="C209" s="127"/>
      <c r="D209" s="127"/>
      <c r="E209" s="127"/>
      <c r="F209" s="131"/>
      <c r="G209" s="374"/>
      <c r="H209" s="127"/>
      <c r="I209" s="127"/>
      <c r="J209" s="127"/>
      <c r="K209" s="383"/>
      <c r="L209" s="374"/>
      <c r="M209" s="127"/>
      <c r="N209" s="127"/>
      <c r="O209" s="127"/>
      <c r="P209" s="383"/>
      <c r="Q209" s="164"/>
      <c r="R209" s="127"/>
      <c r="S209" s="127"/>
      <c r="T209" s="127"/>
      <c r="U209" s="131"/>
      <c r="V209" s="374"/>
      <c r="W209" s="127"/>
      <c r="X209" s="127"/>
      <c r="Y209" s="127"/>
      <c r="Z209" s="131"/>
      <c r="AA209" s="374"/>
      <c r="AB209" s="127"/>
      <c r="AC209" s="127"/>
      <c r="AD209" s="127"/>
      <c r="AE209" s="131"/>
      <c r="AF209" s="374"/>
      <c r="AG209" s="127"/>
      <c r="AH209" s="127"/>
      <c r="AI209" s="127"/>
      <c r="AJ209" s="131"/>
      <c r="AK209" s="374"/>
      <c r="AL209" s="127"/>
      <c r="AM209" s="127"/>
      <c r="AN209" s="127"/>
      <c r="AO209" s="184"/>
      <c r="AP209" s="183"/>
      <c r="AQ209" s="142"/>
      <c r="AR209" s="142"/>
      <c r="AS209" s="142"/>
    </row>
    <row r="210">
      <c r="A210" s="131"/>
      <c r="B210" s="374"/>
      <c r="C210" s="127"/>
      <c r="D210" s="127"/>
      <c r="E210" s="127"/>
      <c r="F210" s="131"/>
      <c r="G210" s="374"/>
      <c r="H210" s="127"/>
      <c r="I210" s="127"/>
      <c r="J210" s="127"/>
      <c r="K210" s="383"/>
      <c r="L210" s="374"/>
      <c r="M210" s="127"/>
      <c r="N210" s="127"/>
      <c r="O210" s="127"/>
      <c r="P210" s="383"/>
      <c r="Q210" s="164"/>
      <c r="R210" s="127"/>
      <c r="S210" s="127"/>
      <c r="T210" s="127"/>
      <c r="U210" s="131"/>
      <c r="V210" s="374"/>
      <c r="W210" s="127"/>
      <c r="X210" s="127"/>
      <c r="Y210" s="127"/>
      <c r="Z210" s="131"/>
      <c r="AA210" s="374"/>
      <c r="AB210" s="127"/>
      <c r="AC210" s="127"/>
      <c r="AD210" s="127"/>
      <c r="AE210" s="131"/>
      <c r="AF210" s="374"/>
      <c r="AG210" s="127"/>
      <c r="AH210" s="127"/>
      <c r="AI210" s="127"/>
      <c r="AJ210" s="131"/>
      <c r="AK210" s="374"/>
      <c r="AL210" s="127"/>
      <c r="AM210" s="127"/>
      <c r="AN210" s="127"/>
      <c r="AO210" s="184"/>
      <c r="AP210" s="183"/>
      <c r="AQ210" s="142"/>
      <c r="AR210" s="142"/>
      <c r="AS210" s="142"/>
    </row>
    <row r="211">
      <c r="A211" s="131"/>
      <c r="B211" s="374"/>
      <c r="C211" s="127"/>
      <c r="D211" s="127"/>
      <c r="E211" s="127"/>
      <c r="F211" s="131"/>
      <c r="G211" s="374"/>
      <c r="H211" s="127"/>
      <c r="I211" s="127"/>
      <c r="J211" s="127"/>
      <c r="K211" s="383"/>
      <c r="L211" s="374"/>
      <c r="M211" s="127"/>
      <c r="N211" s="127"/>
      <c r="O211" s="127"/>
      <c r="P211" s="383"/>
      <c r="Q211" s="164"/>
      <c r="R211" s="127"/>
      <c r="S211" s="127"/>
      <c r="T211" s="127"/>
      <c r="U211" s="131"/>
      <c r="V211" s="374"/>
      <c r="W211" s="127"/>
      <c r="X211" s="127"/>
      <c r="Y211" s="127"/>
      <c r="Z211" s="131"/>
      <c r="AA211" s="374"/>
      <c r="AB211" s="127"/>
      <c r="AC211" s="127"/>
      <c r="AD211" s="127"/>
      <c r="AE211" s="131"/>
      <c r="AF211" s="374"/>
      <c r="AG211" s="127"/>
      <c r="AH211" s="127"/>
      <c r="AI211" s="127"/>
      <c r="AJ211" s="131"/>
      <c r="AK211" s="374"/>
      <c r="AL211" s="127"/>
      <c r="AM211" s="127"/>
      <c r="AN211" s="127"/>
      <c r="AO211" s="184"/>
      <c r="AP211" s="183"/>
      <c r="AQ211" s="142"/>
      <c r="AR211" s="142"/>
      <c r="AS211" s="142"/>
    </row>
    <row r="212">
      <c r="A212" s="131"/>
      <c r="B212" s="374"/>
      <c r="C212" s="127"/>
      <c r="D212" s="127"/>
      <c r="E212" s="127"/>
      <c r="F212" s="131"/>
      <c r="G212" s="374"/>
      <c r="H212" s="127"/>
      <c r="I212" s="127"/>
      <c r="J212" s="127"/>
      <c r="K212" s="383"/>
      <c r="L212" s="374"/>
      <c r="M212" s="127"/>
      <c r="N212" s="127"/>
      <c r="O212" s="127"/>
      <c r="P212" s="383"/>
      <c r="Q212" s="164"/>
      <c r="R212" s="127"/>
      <c r="S212" s="127"/>
      <c r="T212" s="127"/>
      <c r="U212" s="131"/>
      <c r="V212" s="374"/>
      <c r="W212" s="127"/>
      <c r="X212" s="127"/>
      <c r="Y212" s="127"/>
      <c r="Z212" s="131"/>
      <c r="AA212" s="374"/>
      <c r="AB212" s="127"/>
      <c r="AC212" s="127"/>
      <c r="AD212" s="127"/>
      <c r="AE212" s="131"/>
      <c r="AF212" s="374"/>
      <c r="AG212" s="127"/>
      <c r="AH212" s="127"/>
      <c r="AI212" s="127"/>
      <c r="AJ212" s="131"/>
      <c r="AK212" s="374"/>
      <c r="AL212" s="127"/>
      <c r="AM212" s="127"/>
      <c r="AN212" s="127"/>
      <c r="AO212" s="184"/>
      <c r="AP212" s="183"/>
      <c r="AQ212" s="142"/>
      <c r="AR212" s="142"/>
      <c r="AS212" s="142"/>
    </row>
    <row r="213">
      <c r="A213" s="131"/>
      <c r="B213" s="374"/>
      <c r="C213" s="127"/>
      <c r="D213" s="127"/>
      <c r="E213" s="127"/>
      <c r="F213" s="131"/>
      <c r="G213" s="374"/>
      <c r="H213" s="127"/>
      <c r="I213" s="127"/>
      <c r="J213" s="127"/>
      <c r="K213" s="383"/>
      <c r="L213" s="374"/>
      <c r="M213" s="127"/>
      <c r="N213" s="127"/>
      <c r="O213" s="127"/>
      <c r="P213" s="383"/>
      <c r="Q213" s="164"/>
      <c r="R213" s="127"/>
      <c r="S213" s="127"/>
      <c r="T213" s="127"/>
      <c r="U213" s="131"/>
      <c r="V213" s="374"/>
      <c r="W213" s="127"/>
      <c r="X213" s="127"/>
      <c r="Y213" s="127"/>
      <c r="Z213" s="131"/>
      <c r="AA213" s="374"/>
      <c r="AB213" s="127"/>
      <c r="AC213" s="127"/>
      <c r="AD213" s="127"/>
      <c r="AE213" s="131"/>
      <c r="AF213" s="374"/>
      <c r="AG213" s="127"/>
      <c r="AH213" s="127"/>
      <c r="AI213" s="127"/>
      <c r="AJ213" s="131"/>
      <c r="AK213" s="374"/>
      <c r="AL213" s="127"/>
      <c r="AM213" s="127"/>
      <c r="AN213" s="127"/>
      <c r="AO213" s="184"/>
      <c r="AP213" s="183"/>
      <c r="AQ213" s="142"/>
      <c r="AR213" s="142"/>
      <c r="AS213" s="142"/>
    </row>
    <row r="214">
      <c r="A214" s="131"/>
      <c r="B214" s="374"/>
      <c r="C214" s="127"/>
      <c r="D214" s="127"/>
      <c r="E214" s="127"/>
      <c r="F214" s="131"/>
      <c r="G214" s="374"/>
      <c r="H214" s="127"/>
      <c r="I214" s="127"/>
      <c r="J214" s="127"/>
      <c r="K214" s="383"/>
      <c r="L214" s="374"/>
      <c r="M214" s="127"/>
      <c r="N214" s="127"/>
      <c r="O214" s="127"/>
      <c r="P214" s="383"/>
      <c r="Q214" s="164"/>
      <c r="R214" s="127"/>
      <c r="S214" s="127"/>
      <c r="T214" s="127"/>
      <c r="U214" s="131"/>
      <c r="V214" s="374"/>
      <c r="W214" s="127"/>
      <c r="X214" s="127"/>
      <c r="Y214" s="127"/>
      <c r="Z214" s="131"/>
      <c r="AA214" s="374"/>
      <c r="AB214" s="127"/>
      <c r="AC214" s="127"/>
      <c r="AD214" s="127"/>
      <c r="AE214" s="131"/>
      <c r="AF214" s="374"/>
      <c r="AG214" s="127"/>
      <c r="AH214" s="127"/>
      <c r="AI214" s="127"/>
      <c r="AJ214" s="131"/>
      <c r="AK214" s="374"/>
      <c r="AL214" s="127"/>
      <c r="AM214" s="127"/>
      <c r="AN214" s="127"/>
      <c r="AO214" s="184"/>
      <c r="AP214" s="183"/>
      <c r="AQ214" s="142"/>
      <c r="AR214" s="142"/>
      <c r="AS214" s="142"/>
    </row>
    <row r="215">
      <c r="A215" s="131"/>
      <c r="B215" s="374"/>
      <c r="C215" s="127"/>
      <c r="D215" s="127"/>
      <c r="E215" s="127"/>
      <c r="F215" s="131"/>
      <c r="G215" s="374"/>
      <c r="H215" s="127"/>
      <c r="I215" s="127"/>
      <c r="J215" s="127"/>
      <c r="K215" s="383"/>
      <c r="L215" s="374"/>
      <c r="M215" s="127"/>
      <c r="N215" s="127"/>
      <c r="O215" s="127"/>
      <c r="P215" s="383"/>
      <c r="Q215" s="164"/>
      <c r="R215" s="127"/>
      <c r="S215" s="127"/>
      <c r="T215" s="127"/>
      <c r="U215" s="131"/>
      <c r="V215" s="374"/>
      <c r="W215" s="127"/>
      <c r="X215" s="127"/>
      <c r="Y215" s="127"/>
      <c r="Z215" s="131"/>
      <c r="AA215" s="374"/>
      <c r="AB215" s="127"/>
      <c r="AC215" s="127"/>
      <c r="AD215" s="127"/>
      <c r="AE215" s="131"/>
      <c r="AF215" s="374"/>
      <c r="AG215" s="127"/>
      <c r="AH215" s="127"/>
      <c r="AI215" s="127"/>
      <c r="AJ215" s="131"/>
      <c r="AK215" s="374"/>
      <c r="AL215" s="127"/>
      <c r="AM215" s="127"/>
      <c r="AN215" s="127"/>
      <c r="AO215" s="184"/>
      <c r="AP215" s="183"/>
      <c r="AQ215" s="142"/>
      <c r="AR215" s="142"/>
      <c r="AS215" s="142"/>
    </row>
    <row r="216">
      <c r="A216" s="131"/>
      <c r="B216" s="374"/>
      <c r="C216" s="127"/>
      <c r="D216" s="127"/>
      <c r="E216" s="127"/>
      <c r="F216" s="131"/>
      <c r="G216" s="374"/>
      <c r="H216" s="127"/>
      <c r="I216" s="127"/>
      <c r="J216" s="127"/>
      <c r="K216" s="383"/>
      <c r="L216" s="374"/>
      <c r="M216" s="127"/>
      <c r="N216" s="127"/>
      <c r="O216" s="127"/>
      <c r="P216" s="383"/>
      <c r="Q216" s="164"/>
      <c r="R216" s="127"/>
      <c r="S216" s="127"/>
      <c r="T216" s="127"/>
      <c r="U216" s="131"/>
      <c r="V216" s="374"/>
      <c r="W216" s="127"/>
      <c r="X216" s="127"/>
      <c r="Y216" s="127"/>
      <c r="Z216" s="131"/>
      <c r="AA216" s="374"/>
      <c r="AB216" s="127"/>
      <c r="AC216" s="127"/>
      <c r="AD216" s="127"/>
      <c r="AE216" s="131"/>
      <c r="AF216" s="374"/>
      <c r="AG216" s="127"/>
      <c r="AH216" s="127"/>
      <c r="AI216" s="127"/>
      <c r="AJ216" s="131"/>
      <c r="AK216" s="374"/>
      <c r="AL216" s="127"/>
      <c r="AM216" s="127"/>
      <c r="AN216" s="127"/>
      <c r="AO216" s="184"/>
      <c r="AP216" s="183"/>
      <c r="AQ216" s="142"/>
      <c r="AR216" s="142"/>
      <c r="AS216" s="142"/>
    </row>
    <row r="217">
      <c r="A217" s="131"/>
      <c r="B217" s="374"/>
      <c r="C217" s="127"/>
      <c r="D217" s="127"/>
      <c r="E217" s="127"/>
      <c r="F217" s="131"/>
      <c r="G217" s="374"/>
      <c r="H217" s="127"/>
      <c r="I217" s="127"/>
      <c r="J217" s="127"/>
      <c r="K217" s="383"/>
      <c r="L217" s="374"/>
      <c r="M217" s="127"/>
      <c r="N217" s="127"/>
      <c r="O217" s="127"/>
      <c r="P217" s="383"/>
      <c r="Q217" s="164"/>
      <c r="R217" s="127"/>
      <c r="S217" s="127"/>
      <c r="T217" s="127"/>
      <c r="U217" s="131"/>
      <c r="V217" s="374"/>
      <c r="W217" s="127"/>
      <c r="X217" s="127"/>
      <c r="Y217" s="127"/>
      <c r="Z217" s="131"/>
      <c r="AA217" s="374"/>
      <c r="AB217" s="127"/>
      <c r="AC217" s="127"/>
      <c r="AD217" s="127"/>
      <c r="AE217" s="131"/>
      <c r="AF217" s="374"/>
      <c r="AG217" s="127"/>
      <c r="AH217" s="127"/>
      <c r="AI217" s="127"/>
      <c r="AJ217" s="131"/>
      <c r="AK217" s="374"/>
      <c r="AL217" s="127"/>
      <c r="AM217" s="127"/>
      <c r="AN217" s="127"/>
      <c r="AO217" s="184"/>
      <c r="AP217" s="183"/>
      <c r="AQ217" s="142"/>
      <c r="AR217" s="142"/>
      <c r="AS217" s="142"/>
    </row>
    <row r="218">
      <c r="A218" s="131"/>
      <c r="B218" s="374"/>
      <c r="C218" s="127"/>
      <c r="D218" s="127"/>
      <c r="E218" s="127"/>
      <c r="F218" s="131"/>
      <c r="G218" s="374"/>
      <c r="H218" s="127"/>
      <c r="I218" s="127"/>
      <c r="J218" s="127"/>
      <c r="K218" s="383"/>
      <c r="L218" s="374"/>
      <c r="M218" s="127"/>
      <c r="N218" s="127"/>
      <c r="O218" s="127"/>
      <c r="P218" s="383"/>
      <c r="Q218" s="164"/>
      <c r="R218" s="127"/>
      <c r="S218" s="127"/>
      <c r="T218" s="127"/>
      <c r="U218" s="131"/>
      <c r="V218" s="374"/>
      <c r="W218" s="127"/>
      <c r="X218" s="127"/>
      <c r="Y218" s="127"/>
      <c r="Z218" s="131"/>
      <c r="AA218" s="374"/>
      <c r="AB218" s="127"/>
      <c r="AC218" s="127"/>
      <c r="AD218" s="127"/>
      <c r="AE218" s="131"/>
      <c r="AF218" s="374"/>
      <c r="AG218" s="127"/>
      <c r="AH218" s="127"/>
      <c r="AI218" s="127"/>
      <c r="AJ218" s="131"/>
      <c r="AK218" s="374"/>
      <c r="AL218" s="127"/>
      <c r="AM218" s="127"/>
      <c r="AN218" s="127"/>
      <c r="AO218" s="184"/>
      <c r="AP218" s="183"/>
      <c r="AQ218" s="142"/>
      <c r="AR218" s="142"/>
      <c r="AS218" s="142"/>
    </row>
    <row r="219">
      <c r="A219" s="131"/>
      <c r="B219" s="374"/>
      <c r="C219" s="127"/>
      <c r="D219" s="127"/>
      <c r="E219" s="127"/>
      <c r="F219" s="131"/>
      <c r="G219" s="374"/>
      <c r="H219" s="127"/>
      <c r="I219" s="127"/>
      <c r="J219" s="127"/>
      <c r="K219" s="383"/>
      <c r="L219" s="374"/>
      <c r="M219" s="127"/>
      <c r="N219" s="127"/>
      <c r="O219" s="127"/>
      <c r="P219" s="383"/>
      <c r="Q219" s="164"/>
      <c r="R219" s="127"/>
      <c r="S219" s="127"/>
      <c r="T219" s="127"/>
      <c r="U219" s="131"/>
      <c r="V219" s="374"/>
      <c r="W219" s="127"/>
      <c r="X219" s="127"/>
      <c r="Y219" s="127"/>
      <c r="Z219" s="131"/>
      <c r="AA219" s="374"/>
      <c r="AB219" s="127"/>
      <c r="AC219" s="127"/>
      <c r="AD219" s="127"/>
      <c r="AE219" s="131"/>
      <c r="AF219" s="374"/>
      <c r="AG219" s="127"/>
      <c r="AH219" s="127"/>
      <c r="AI219" s="127"/>
      <c r="AJ219" s="131"/>
      <c r="AK219" s="374"/>
      <c r="AL219" s="127"/>
      <c r="AM219" s="127"/>
      <c r="AN219" s="127"/>
      <c r="AO219" s="184"/>
      <c r="AP219" s="183"/>
      <c r="AQ219" s="142"/>
      <c r="AR219" s="142"/>
      <c r="AS219" s="142"/>
    </row>
    <row r="220">
      <c r="A220" s="131"/>
      <c r="B220" s="374"/>
      <c r="C220" s="127"/>
      <c r="D220" s="127"/>
      <c r="E220" s="127"/>
      <c r="F220" s="131"/>
      <c r="G220" s="374"/>
      <c r="H220" s="127"/>
      <c r="I220" s="127"/>
      <c r="J220" s="127"/>
      <c r="K220" s="383"/>
      <c r="L220" s="374"/>
      <c r="M220" s="127"/>
      <c r="N220" s="127"/>
      <c r="O220" s="127"/>
      <c r="P220" s="383"/>
      <c r="Q220" s="164"/>
      <c r="R220" s="127"/>
      <c r="S220" s="127"/>
      <c r="T220" s="127"/>
      <c r="U220" s="131"/>
      <c r="V220" s="374"/>
      <c r="W220" s="127"/>
      <c r="X220" s="127"/>
      <c r="Y220" s="127"/>
      <c r="Z220" s="131"/>
      <c r="AA220" s="374"/>
      <c r="AB220" s="127"/>
      <c r="AC220" s="127"/>
      <c r="AD220" s="127"/>
      <c r="AE220" s="131"/>
      <c r="AF220" s="374"/>
      <c r="AG220" s="127"/>
      <c r="AH220" s="127"/>
      <c r="AI220" s="127"/>
      <c r="AJ220" s="131"/>
      <c r="AK220" s="374"/>
      <c r="AL220" s="127"/>
      <c r="AM220" s="127"/>
      <c r="AN220" s="127"/>
      <c r="AO220" s="184"/>
      <c r="AP220" s="183"/>
      <c r="AQ220" s="142"/>
      <c r="AR220" s="142"/>
      <c r="AS220" s="142"/>
    </row>
    <row r="221">
      <c r="A221" s="131"/>
      <c r="B221" s="374"/>
      <c r="C221" s="127"/>
      <c r="D221" s="127"/>
      <c r="E221" s="127"/>
      <c r="F221" s="131"/>
      <c r="G221" s="374"/>
      <c r="H221" s="127"/>
      <c r="I221" s="127"/>
      <c r="J221" s="127"/>
      <c r="K221" s="383"/>
      <c r="L221" s="374"/>
      <c r="M221" s="127"/>
      <c r="N221" s="127"/>
      <c r="O221" s="127"/>
      <c r="P221" s="383"/>
      <c r="Q221" s="164"/>
      <c r="R221" s="127"/>
      <c r="S221" s="127"/>
      <c r="T221" s="127"/>
      <c r="U221" s="131"/>
      <c r="V221" s="374"/>
      <c r="W221" s="127"/>
      <c r="X221" s="127"/>
      <c r="Y221" s="127"/>
      <c r="Z221" s="131"/>
      <c r="AA221" s="374"/>
      <c r="AB221" s="127"/>
      <c r="AC221" s="127"/>
      <c r="AD221" s="127"/>
      <c r="AE221" s="131"/>
      <c r="AF221" s="374"/>
      <c r="AG221" s="127"/>
      <c r="AH221" s="127"/>
      <c r="AI221" s="127"/>
      <c r="AJ221" s="131"/>
      <c r="AK221" s="374"/>
      <c r="AL221" s="127"/>
      <c r="AM221" s="127"/>
      <c r="AN221" s="127"/>
      <c r="AO221" s="184"/>
      <c r="AP221" s="183"/>
      <c r="AQ221" s="142"/>
      <c r="AR221" s="142"/>
      <c r="AS221" s="142"/>
    </row>
    <row r="222">
      <c r="A222" s="131"/>
      <c r="B222" s="374"/>
      <c r="C222" s="127"/>
      <c r="D222" s="127"/>
      <c r="E222" s="127"/>
      <c r="F222" s="131"/>
      <c r="G222" s="374"/>
      <c r="H222" s="127"/>
      <c r="I222" s="127"/>
      <c r="J222" s="127"/>
      <c r="K222" s="383"/>
      <c r="L222" s="374"/>
      <c r="M222" s="127"/>
      <c r="N222" s="127"/>
      <c r="O222" s="127"/>
      <c r="P222" s="383"/>
      <c r="Q222" s="164"/>
      <c r="R222" s="127"/>
      <c r="S222" s="127"/>
      <c r="T222" s="127"/>
      <c r="U222" s="131"/>
      <c r="V222" s="374"/>
      <c r="W222" s="127"/>
      <c r="X222" s="127"/>
      <c r="Y222" s="127"/>
      <c r="Z222" s="131"/>
      <c r="AA222" s="374"/>
      <c r="AB222" s="127"/>
      <c r="AC222" s="127"/>
      <c r="AD222" s="127"/>
      <c r="AE222" s="131"/>
      <c r="AF222" s="374"/>
      <c r="AG222" s="127"/>
      <c r="AH222" s="127"/>
      <c r="AI222" s="127"/>
      <c r="AJ222" s="131"/>
      <c r="AK222" s="374"/>
      <c r="AL222" s="127"/>
      <c r="AM222" s="127"/>
      <c r="AN222" s="127"/>
      <c r="AO222" s="184"/>
      <c r="AP222" s="183"/>
      <c r="AQ222" s="142"/>
      <c r="AR222" s="142"/>
      <c r="AS222" s="142"/>
    </row>
    <row r="223">
      <c r="A223" s="131"/>
      <c r="B223" s="374"/>
      <c r="C223" s="127"/>
      <c r="D223" s="127"/>
      <c r="E223" s="127"/>
      <c r="F223" s="131"/>
      <c r="G223" s="374"/>
      <c r="H223" s="127"/>
      <c r="I223" s="127"/>
      <c r="J223" s="127"/>
      <c r="K223" s="383"/>
      <c r="L223" s="374"/>
      <c r="M223" s="127"/>
      <c r="N223" s="127"/>
      <c r="O223" s="127"/>
      <c r="P223" s="383"/>
      <c r="Q223" s="164"/>
      <c r="R223" s="127"/>
      <c r="S223" s="127"/>
      <c r="T223" s="127"/>
      <c r="U223" s="131"/>
      <c r="V223" s="374"/>
      <c r="W223" s="127"/>
      <c r="X223" s="127"/>
      <c r="Y223" s="127"/>
      <c r="Z223" s="131"/>
      <c r="AA223" s="374"/>
      <c r="AB223" s="127"/>
      <c r="AC223" s="127"/>
      <c r="AD223" s="127"/>
      <c r="AE223" s="131"/>
      <c r="AF223" s="374"/>
      <c r="AG223" s="127"/>
      <c r="AH223" s="127"/>
      <c r="AI223" s="127"/>
      <c r="AJ223" s="131"/>
      <c r="AK223" s="374"/>
      <c r="AL223" s="127"/>
      <c r="AM223" s="127"/>
      <c r="AN223" s="127"/>
      <c r="AO223" s="184"/>
      <c r="AP223" s="183"/>
      <c r="AQ223" s="142"/>
      <c r="AR223" s="142"/>
      <c r="AS223" s="142"/>
    </row>
    <row r="224">
      <c r="A224" s="131"/>
      <c r="B224" s="374"/>
      <c r="C224" s="127"/>
      <c r="D224" s="127"/>
      <c r="E224" s="127"/>
      <c r="F224" s="131"/>
      <c r="G224" s="374"/>
      <c r="H224" s="127"/>
      <c r="I224" s="127"/>
      <c r="J224" s="127"/>
      <c r="K224" s="383"/>
      <c r="L224" s="374"/>
      <c r="M224" s="127"/>
      <c r="N224" s="127"/>
      <c r="O224" s="127"/>
      <c r="P224" s="383"/>
      <c r="Q224" s="164"/>
      <c r="R224" s="127"/>
      <c r="S224" s="127"/>
      <c r="T224" s="127"/>
      <c r="U224" s="131"/>
      <c r="V224" s="374"/>
      <c r="W224" s="127"/>
      <c r="X224" s="127"/>
      <c r="Y224" s="127"/>
      <c r="Z224" s="131"/>
      <c r="AA224" s="374"/>
      <c r="AB224" s="127"/>
      <c r="AC224" s="127"/>
      <c r="AD224" s="127"/>
      <c r="AE224" s="131"/>
      <c r="AF224" s="374"/>
      <c r="AG224" s="127"/>
      <c r="AH224" s="127"/>
      <c r="AI224" s="127"/>
      <c r="AJ224" s="131"/>
      <c r="AK224" s="374"/>
      <c r="AL224" s="127"/>
      <c r="AM224" s="127"/>
      <c r="AN224" s="127"/>
      <c r="AO224" s="184"/>
      <c r="AP224" s="183"/>
      <c r="AQ224" s="142"/>
      <c r="AR224" s="142"/>
      <c r="AS224" s="142"/>
    </row>
    <row r="225">
      <c r="A225" s="131"/>
      <c r="B225" s="374"/>
      <c r="C225" s="127"/>
      <c r="D225" s="127"/>
      <c r="E225" s="127"/>
      <c r="F225" s="131"/>
      <c r="G225" s="374"/>
      <c r="H225" s="127"/>
      <c r="I225" s="127"/>
      <c r="J225" s="127"/>
      <c r="K225" s="383"/>
      <c r="L225" s="374"/>
      <c r="M225" s="127"/>
      <c r="N225" s="127"/>
      <c r="O225" s="127"/>
      <c r="P225" s="383"/>
      <c r="Q225" s="164"/>
      <c r="R225" s="127"/>
      <c r="S225" s="127"/>
      <c r="T225" s="127"/>
      <c r="U225" s="131"/>
      <c r="V225" s="374"/>
      <c r="W225" s="127"/>
      <c r="X225" s="127"/>
      <c r="Y225" s="127"/>
      <c r="Z225" s="131"/>
      <c r="AA225" s="374"/>
      <c r="AB225" s="127"/>
      <c r="AC225" s="127"/>
      <c r="AD225" s="127"/>
      <c r="AE225" s="131"/>
      <c r="AF225" s="374"/>
      <c r="AG225" s="127"/>
      <c r="AH225" s="127"/>
      <c r="AI225" s="127"/>
      <c r="AJ225" s="131"/>
      <c r="AK225" s="374"/>
      <c r="AL225" s="127"/>
      <c r="AM225" s="127"/>
      <c r="AN225" s="127"/>
      <c r="AO225" s="184"/>
      <c r="AP225" s="183"/>
      <c r="AQ225" s="142"/>
      <c r="AR225" s="142"/>
      <c r="AS225" s="142"/>
    </row>
    <row r="226">
      <c r="A226" s="131"/>
      <c r="B226" s="374"/>
      <c r="C226" s="127"/>
      <c r="D226" s="127"/>
      <c r="E226" s="127"/>
      <c r="F226" s="131"/>
      <c r="G226" s="374"/>
      <c r="H226" s="127"/>
      <c r="I226" s="127"/>
      <c r="J226" s="127"/>
      <c r="K226" s="383"/>
      <c r="L226" s="374"/>
      <c r="M226" s="127"/>
      <c r="N226" s="127"/>
      <c r="O226" s="127"/>
      <c r="P226" s="383"/>
      <c r="Q226" s="164"/>
      <c r="R226" s="127"/>
      <c r="S226" s="127"/>
      <c r="T226" s="127"/>
      <c r="U226" s="131"/>
      <c r="V226" s="374"/>
      <c r="W226" s="127"/>
      <c r="X226" s="127"/>
      <c r="Y226" s="127"/>
      <c r="Z226" s="131"/>
      <c r="AA226" s="374"/>
      <c r="AB226" s="127"/>
      <c r="AC226" s="127"/>
      <c r="AD226" s="127"/>
      <c r="AE226" s="131"/>
      <c r="AF226" s="374"/>
      <c r="AG226" s="127"/>
      <c r="AH226" s="127"/>
      <c r="AI226" s="127"/>
      <c r="AJ226" s="131"/>
      <c r="AK226" s="374"/>
      <c r="AL226" s="127"/>
      <c r="AM226" s="127"/>
      <c r="AN226" s="127"/>
      <c r="AO226" s="184"/>
      <c r="AP226" s="183"/>
      <c r="AQ226" s="142"/>
      <c r="AR226" s="142"/>
      <c r="AS226" s="142"/>
    </row>
    <row r="227">
      <c r="A227" s="131"/>
      <c r="B227" s="374"/>
      <c r="C227" s="127"/>
      <c r="D227" s="127"/>
      <c r="E227" s="127"/>
      <c r="F227" s="131"/>
      <c r="G227" s="374"/>
      <c r="H227" s="127"/>
      <c r="I227" s="127"/>
      <c r="J227" s="127"/>
      <c r="K227" s="383"/>
      <c r="L227" s="374"/>
      <c r="M227" s="127"/>
      <c r="N227" s="127"/>
      <c r="O227" s="127"/>
      <c r="P227" s="383"/>
      <c r="Q227" s="164"/>
      <c r="R227" s="127"/>
      <c r="S227" s="127"/>
      <c r="T227" s="127"/>
      <c r="U227" s="131"/>
      <c r="V227" s="374"/>
      <c r="W227" s="127"/>
      <c r="X227" s="127"/>
      <c r="Y227" s="127"/>
      <c r="Z227" s="131"/>
      <c r="AA227" s="374"/>
      <c r="AB227" s="127"/>
      <c r="AC227" s="127"/>
      <c r="AD227" s="127"/>
      <c r="AE227" s="131"/>
      <c r="AF227" s="374"/>
      <c r="AG227" s="127"/>
      <c r="AH227" s="127"/>
      <c r="AI227" s="127"/>
      <c r="AJ227" s="131"/>
      <c r="AK227" s="374"/>
      <c r="AL227" s="127"/>
      <c r="AM227" s="127"/>
      <c r="AN227" s="127"/>
      <c r="AO227" s="184"/>
      <c r="AP227" s="183"/>
      <c r="AQ227" s="142"/>
      <c r="AR227" s="142"/>
      <c r="AS227" s="142"/>
    </row>
    <row r="228">
      <c r="A228" s="131"/>
      <c r="B228" s="374"/>
      <c r="C228" s="127"/>
      <c r="D228" s="127"/>
      <c r="E228" s="127"/>
      <c r="F228" s="131"/>
      <c r="G228" s="374"/>
      <c r="H228" s="127"/>
      <c r="I228" s="127"/>
      <c r="J228" s="127"/>
      <c r="K228" s="383"/>
      <c r="L228" s="374"/>
      <c r="M228" s="127"/>
      <c r="N228" s="127"/>
      <c r="O228" s="127"/>
      <c r="P228" s="383"/>
      <c r="Q228" s="164"/>
      <c r="R228" s="127"/>
      <c r="S228" s="127"/>
      <c r="T228" s="127"/>
      <c r="U228" s="131"/>
      <c r="V228" s="374"/>
      <c r="W228" s="127"/>
      <c r="X228" s="127"/>
      <c r="Y228" s="127"/>
      <c r="Z228" s="131"/>
      <c r="AA228" s="374"/>
      <c r="AB228" s="127"/>
      <c r="AC228" s="127"/>
      <c r="AD228" s="127"/>
      <c r="AE228" s="131"/>
      <c r="AF228" s="374"/>
      <c r="AG228" s="127"/>
      <c r="AH228" s="127"/>
      <c r="AI228" s="127"/>
      <c r="AJ228" s="131"/>
      <c r="AK228" s="374"/>
      <c r="AL228" s="127"/>
      <c r="AM228" s="127"/>
      <c r="AN228" s="127"/>
      <c r="AO228" s="184"/>
      <c r="AP228" s="183"/>
      <c r="AQ228" s="142"/>
      <c r="AR228" s="142"/>
      <c r="AS228" s="142"/>
    </row>
    <row r="229">
      <c r="A229" s="131"/>
      <c r="B229" s="374"/>
      <c r="C229" s="127"/>
      <c r="D229" s="127"/>
      <c r="E229" s="127"/>
      <c r="F229" s="131"/>
      <c r="G229" s="374"/>
      <c r="H229" s="127"/>
      <c r="I229" s="127"/>
      <c r="J229" s="127"/>
      <c r="K229" s="383"/>
      <c r="L229" s="374"/>
      <c r="M229" s="127"/>
      <c r="N229" s="127"/>
      <c r="O229" s="127"/>
      <c r="P229" s="383"/>
      <c r="Q229" s="164"/>
      <c r="R229" s="127"/>
      <c r="S229" s="127"/>
      <c r="T229" s="127"/>
      <c r="U229" s="131"/>
      <c r="V229" s="374"/>
      <c r="W229" s="127"/>
      <c r="X229" s="127"/>
      <c r="Y229" s="127"/>
      <c r="Z229" s="131"/>
      <c r="AA229" s="374"/>
      <c r="AB229" s="127"/>
      <c r="AC229" s="127"/>
      <c r="AD229" s="127"/>
      <c r="AE229" s="131"/>
      <c r="AF229" s="374"/>
      <c r="AG229" s="127"/>
      <c r="AH229" s="127"/>
      <c r="AI229" s="127"/>
      <c r="AJ229" s="131"/>
      <c r="AK229" s="374"/>
      <c r="AL229" s="127"/>
      <c r="AM229" s="127"/>
      <c r="AN229" s="127"/>
      <c r="AO229" s="184"/>
      <c r="AP229" s="183"/>
      <c r="AQ229" s="142"/>
      <c r="AR229" s="142"/>
      <c r="AS229" s="142"/>
    </row>
    <row r="230">
      <c r="A230" s="131"/>
      <c r="B230" s="374"/>
      <c r="C230" s="127"/>
      <c r="D230" s="127"/>
      <c r="E230" s="127"/>
      <c r="F230" s="131"/>
      <c r="G230" s="374"/>
      <c r="H230" s="127"/>
      <c r="I230" s="127"/>
      <c r="J230" s="127"/>
      <c r="K230" s="383"/>
      <c r="L230" s="374"/>
      <c r="M230" s="127"/>
      <c r="N230" s="127"/>
      <c r="O230" s="127"/>
      <c r="P230" s="383"/>
      <c r="Q230" s="164"/>
      <c r="R230" s="127"/>
      <c r="S230" s="127"/>
      <c r="T230" s="127"/>
      <c r="U230" s="131"/>
      <c r="V230" s="374"/>
      <c r="W230" s="127"/>
      <c r="X230" s="127"/>
      <c r="Y230" s="127"/>
      <c r="Z230" s="131"/>
      <c r="AA230" s="374"/>
      <c r="AB230" s="127"/>
      <c r="AC230" s="127"/>
      <c r="AD230" s="127"/>
      <c r="AE230" s="131"/>
      <c r="AF230" s="374"/>
      <c r="AG230" s="127"/>
      <c r="AH230" s="127"/>
      <c r="AI230" s="127"/>
      <c r="AJ230" s="131"/>
      <c r="AK230" s="374"/>
      <c r="AL230" s="127"/>
      <c r="AM230" s="127"/>
      <c r="AN230" s="127"/>
      <c r="AO230" s="184"/>
      <c r="AP230" s="183"/>
      <c r="AQ230" s="142"/>
      <c r="AR230" s="142"/>
      <c r="AS230" s="142"/>
    </row>
    <row r="231">
      <c r="A231" s="131"/>
      <c r="B231" s="374"/>
      <c r="C231" s="127"/>
      <c r="D231" s="127"/>
      <c r="E231" s="127"/>
      <c r="F231" s="131"/>
      <c r="G231" s="374"/>
      <c r="H231" s="127"/>
      <c r="I231" s="127"/>
      <c r="J231" s="127"/>
      <c r="K231" s="383"/>
      <c r="L231" s="374"/>
      <c r="M231" s="127"/>
      <c r="N231" s="127"/>
      <c r="O231" s="127"/>
      <c r="P231" s="383"/>
      <c r="Q231" s="164"/>
      <c r="R231" s="127"/>
      <c r="S231" s="127"/>
      <c r="T231" s="127"/>
      <c r="U231" s="131"/>
      <c r="V231" s="374"/>
      <c r="W231" s="127"/>
      <c r="X231" s="127"/>
      <c r="Y231" s="127"/>
      <c r="Z231" s="131"/>
      <c r="AA231" s="374"/>
      <c r="AB231" s="127"/>
      <c r="AC231" s="127"/>
      <c r="AD231" s="127"/>
      <c r="AE231" s="131"/>
      <c r="AF231" s="374"/>
      <c r="AG231" s="127"/>
      <c r="AH231" s="127"/>
      <c r="AI231" s="127"/>
      <c r="AJ231" s="131"/>
      <c r="AK231" s="374"/>
      <c r="AL231" s="127"/>
      <c r="AM231" s="127"/>
      <c r="AN231" s="127"/>
      <c r="AO231" s="184"/>
      <c r="AP231" s="183"/>
      <c r="AQ231" s="142"/>
      <c r="AR231" s="142"/>
      <c r="AS231" s="142"/>
    </row>
    <row r="232">
      <c r="A232" s="131"/>
      <c r="B232" s="374"/>
      <c r="C232" s="127"/>
      <c r="D232" s="127"/>
      <c r="E232" s="127"/>
      <c r="F232" s="131"/>
      <c r="G232" s="374"/>
      <c r="H232" s="127"/>
      <c r="I232" s="127"/>
      <c r="J232" s="127"/>
      <c r="K232" s="383"/>
      <c r="L232" s="374"/>
      <c r="M232" s="127"/>
      <c r="N232" s="127"/>
      <c r="O232" s="127"/>
      <c r="P232" s="383"/>
      <c r="Q232" s="164"/>
      <c r="R232" s="127"/>
      <c r="S232" s="127"/>
      <c r="T232" s="127"/>
      <c r="U232" s="131"/>
      <c r="V232" s="374"/>
      <c r="W232" s="127"/>
      <c r="X232" s="127"/>
      <c r="Y232" s="127"/>
      <c r="Z232" s="131"/>
      <c r="AA232" s="374"/>
      <c r="AB232" s="127"/>
      <c r="AC232" s="127"/>
      <c r="AD232" s="127"/>
      <c r="AE232" s="131"/>
      <c r="AF232" s="374"/>
      <c r="AG232" s="127"/>
      <c r="AH232" s="127"/>
      <c r="AI232" s="127"/>
      <c r="AJ232" s="131"/>
      <c r="AK232" s="374"/>
      <c r="AL232" s="127"/>
      <c r="AM232" s="127"/>
      <c r="AN232" s="127"/>
      <c r="AO232" s="184"/>
      <c r="AP232" s="183"/>
      <c r="AQ232" s="142"/>
      <c r="AR232" s="142"/>
      <c r="AS232" s="142"/>
    </row>
    <row r="233">
      <c r="A233" s="131"/>
      <c r="B233" s="374"/>
      <c r="C233" s="127"/>
      <c r="D233" s="127"/>
      <c r="E233" s="127"/>
      <c r="F233" s="131"/>
      <c r="G233" s="374"/>
      <c r="H233" s="127"/>
      <c r="I233" s="127"/>
      <c r="J233" s="127"/>
      <c r="K233" s="383"/>
      <c r="L233" s="374"/>
      <c r="M233" s="127"/>
      <c r="N233" s="127"/>
      <c r="O233" s="127"/>
      <c r="P233" s="383"/>
      <c r="Q233" s="164"/>
      <c r="R233" s="127"/>
      <c r="S233" s="127"/>
      <c r="T233" s="127"/>
      <c r="U233" s="131"/>
      <c r="V233" s="374"/>
      <c r="W233" s="127"/>
      <c r="X233" s="127"/>
      <c r="Y233" s="127"/>
      <c r="Z233" s="131"/>
      <c r="AA233" s="374"/>
      <c r="AB233" s="127"/>
      <c r="AC233" s="127"/>
      <c r="AD233" s="127"/>
      <c r="AE233" s="131"/>
      <c r="AF233" s="374"/>
      <c r="AG233" s="127"/>
      <c r="AH233" s="127"/>
      <c r="AI233" s="127"/>
      <c r="AJ233" s="131"/>
      <c r="AK233" s="374"/>
      <c r="AL233" s="127"/>
      <c r="AM233" s="127"/>
      <c r="AN233" s="127"/>
      <c r="AO233" s="184"/>
      <c r="AP233" s="183"/>
      <c r="AQ233" s="142"/>
      <c r="AR233" s="142"/>
      <c r="AS233" s="142"/>
    </row>
    <row r="234">
      <c r="A234" s="131"/>
      <c r="B234" s="374"/>
      <c r="C234" s="127"/>
      <c r="D234" s="127"/>
      <c r="E234" s="127"/>
      <c r="F234" s="131"/>
      <c r="G234" s="374"/>
      <c r="H234" s="127"/>
      <c r="I234" s="127"/>
      <c r="J234" s="127"/>
      <c r="K234" s="383"/>
      <c r="L234" s="374"/>
      <c r="M234" s="127"/>
      <c r="N234" s="127"/>
      <c r="O234" s="127"/>
      <c r="P234" s="383"/>
      <c r="Q234" s="164"/>
      <c r="R234" s="127"/>
      <c r="S234" s="127"/>
      <c r="T234" s="127"/>
      <c r="U234" s="131"/>
      <c r="V234" s="374"/>
      <c r="W234" s="127"/>
      <c r="X234" s="127"/>
      <c r="Y234" s="127"/>
      <c r="Z234" s="131"/>
      <c r="AA234" s="374"/>
      <c r="AB234" s="127"/>
      <c r="AC234" s="127"/>
      <c r="AD234" s="127"/>
      <c r="AE234" s="131"/>
      <c r="AF234" s="374"/>
      <c r="AG234" s="127"/>
      <c r="AH234" s="127"/>
      <c r="AI234" s="127"/>
      <c r="AJ234" s="131"/>
      <c r="AK234" s="374"/>
      <c r="AL234" s="127"/>
      <c r="AM234" s="127"/>
      <c r="AN234" s="127"/>
      <c r="AO234" s="184"/>
      <c r="AP234" s="183"/>
      <c r="AQ234" s="142"/>
      <c r="AR234" s="142"/>
      <c r="AS234" s="142"/>
    </row>
    <row r="235">
      <c r="A235" s="131"/>
      <c r="B235" s="374"/>
      <c r="C235" s="127"/>
      <c r="D235" s="127"/>
      <c r="E235" s="127"/>
      <c r="F235" s="131"/>
      <c r="G235" s="374"/>
      <c r="H235" s="127"/>
      <c r="I235" s="127"/>
      <c r="J235" s="127"/>
      <c r="K235" s="383"/>
      <c r="L235" s="374"/>
      <c r="M235" s="127"/>
      <c r="N235" s="127"/>
      <c r="O235" s="127"/>
      <c r="P235" s="383"/>
      <c r="Q235" s="164"/>
      <c r="R235" s="127"/>
      <c r="S235" s="127"/>
      <c r="T235" s="127"/>
      <c r="U235" s="131"/>
      <c r="V235" s="374"/>
      <c r="W235" s="127"/>
      <c r="X235" s="127"/>
      <c r="Y235" s="127"/>
      <c r="Z235" s="131"/>
      <c r="AA235" s="374"/>
      <c r="AB235" s="127"/>
      <c r="AC235" s="127"/>
      <c r="AD235" s="127"/>
      <c r="AE235" s="131"/>
      <c r="AF235" s="374"/>
      <c r="AG235" s="127"/>
      <c r="AH235" s="127"/>
      <c r="AI235" s="127"/>
      <c r="AJ235" s="131"/>
      <c r="AK235" s="374"/>
      <c r="AL235" s="127"/>
      <c r="AM235" s="127"/>
      <c r="AN235" s="127"/>
      <c r="AO235" s="184"/>
      <c r="AP235" s="183"/>
      <c r="AQ235" s="142"/>
      <c r="AR235" s="142"/>
      <c r="AS235" s="142"/>
    </row>
    <row r="236">
      <c r="A236" s="131"/>
      <c r="B236" s="374"/>
      <c r="C236" s="127"/>
      <c r="D236" s="127"/>
      <c r="E236" s="127"/>
      <c r="F236" s="131"/>
      <c r="G236" s="374"/>
      <c r="H236" s="127"/>
      <c r="I236" s="127"/>
      <c r="J236" s="127"/>
      <c r="K236" s="383"/>
      <c r="L236" s="374"/>
      <c r="M236" s="127"/>
      <c r="N236" s="127"/>
      <c r="O236" s="127"/>
      <c r="P236" s="383"/>
      <c r="Q236" s="164"/>
      <c r="R236" s="127"/>
      <c r="S236" s="127"/>
      <c r="T236" s="127"/>
      <c r="U236" s="131"/>
      <c r="V236" s="374"/>
      <c r="W236" s="127"/>
      <c r="X236" s="127"/>
      <c r="Y236" s="127"/>
      <c r="Z236" s="131"/>
      <c r="AA236" s="374"/>
      <c r="AB236" s="127"/>
      <c r="AC236" s="127"/>
      <c r="AD236" s="127"/>
      <c r="AE236" s="131"/>
      <c r="AF236" s="374"/>
      <c r="AG236" s="127"/>
      <c r="AH236" s="127"/>
      <c r="AI236" s="127"/>
      <c r="AJ236" s="131"/>
      <c r="AK236" s="374"/>
      <c r="AL236" s="127"/>
      <c r="AM236" s="127"/>
      <c r="AN236" s="127"/>
      <c r="AO236" s="184"/>
      <c r="AP236" s="183"/>
      <c r="AQ236" s="142"/>
      <c r="AR236" s="142"/>
      <c r="AS236" s="142"/>
    </row>
    <row r="237">
      <c r="A237" s="131"/>
      <c r="B237" s="374"/>
      <c r="C237" s="127"/>
      <c r="D237" s="127"/>
      <c r="E237" s="127"/>
      <c r="F237" s="131"/>
      <c r="G237" s="374"/>
      <c r="H237" s="127"/>
      <c r="I237" s="127"/>
      <c r="J237" s="127"/>
      <c r="K237" s="383"/>
      <c r="L237" s="374"/>
      <c r="M237" s="127"/>
      <c r="N237" s="127"/>
      <c r="O237" s="127"/>
      <c r="P237" s="383"/>
      <c r="Q237" s="164"/>
      <c r="R237" s="127"/>
      <c r="S237" s="127"/>
      <c r="T237" s="127"/>
      <c r="U237" s="131"/>
      <c r="V237" s="374"/>
      <c r="W237" s="127"/>
      <c r="X237" s="127"/>
      <c r="Y237" s="127"/>
      <c r="Z237" s="131"/>
      <c r="AA237" s="374"/>
      <c r="AB237" s="127"/>
      <c r="AC237" s="127"/>
      <c r="AD237" s="127"/>
      <c r="AE237" s="131"/>
      <c r="AF237" s="374"/>
      <c r="AG237" s="127"/>
      <c r="AH237" s="127"/>
      <c r="AI237" s="127"/>
      <c r="AJ237" s="131"/>
      <c r="AK237" s="374"/>
      <c r="AL237" s="127"/>
      <c r="AM237" s="127"/>
      <c r="AN237" s="127"/>
      <c r="AO237" s="184"/>
      <c r="AP237" s="183"/>
      <c r="AQ237" s="142"/>
      <c r="AR237" s="142"/>
      <c r="AS237" s="142"/>
    </row>
    <row r="238">
      <c r="A238" s="131"/>
      <c r="B238" s="374"/>
      <c r="C238" s="127"/>
      <c r="D238" s="127"/>
      <c r="E238" s="127"/>
      <c r="F238" s="131"/>
      <c r="G238" s="374"/>
      <c r="H238" s="127"/>
      <c r="I238" s="127"/>
      <c r="J238" s="127"/>
      <c r="K238" s="383"/>
      <c r="L238" s="374"/>
      <c r="M238" s="127"/>
      <c r="N238" s="127"/>
      <c r="O238" s="127"/>
      <c r="P238" s="383"/>
      <c r="Q238" s="164"/>
      <c r="R238" s="127"/>
      <c r="S238" s="127"/>
      <c r="T238" s="127"/>
      <c r="U238" s="131"/>
      <c r="V238" s="374"/>
      <c r="W238" s="127"/>
      <c r="X238" s="127"/>
      <c r="Y238" s="127"/>
      <c r="Z238" s="131"/>
      <c r="AA238" s="374"/>
      <c r="AB238" s="127"/>
      <c r="AC238" s="127"/>
      <c r="AD238" s="127"/>
      <c r="AE238" s="131"/>
      <c r="AF238" s="374"/>
      <c r="AG238" s="127"/>
      <c r="AH238" s="127"/>
      <c r="AI238" s="127"/>
      <c r="AJ238" s="131"/>
      <c r="AK238" s="374"/>
      <c r="AL238" s="127"/>
      <c r="AM238" s="127"/>
      <c r="AN238" s="127"/>
      <c r="AO238" s="184"/>
      <c r="AP238" s="183"/>
      <c r="AQ238" s="142"/>
      <c r="AR238" s="142"/>
      <c r="AS238" s="142"/>
    </row>
    <row r="239">
      <c r="A239" s="131"/>
      <c r="B239" s="374"/>
      <c r="C239" s="127"/>
      <c r="D239" s="127"/>
      <c r="E239" s="127"/>
      <c r="F239" s="131"/>
      <c r="G239" s="374"/>
      <c r="H239" s="127"/>
      <c r="I239" s="127"/>
      <c r="J239" s="127"/>
      <c r="K239" s="383"/>
      <c r="L239" s="374"/>
      <c r="M239" s="127"/>
      <c r="N239" s="127"/>
      <c r="O239" s="127"/>
      <c r="P239" s="383"/>
      <c r="Q239" s="164"/>
      <c r="R239" s="127"/>
      <c r="S239" s="127"/>
      <c r="T239" s="127"/>
      <c r="U239" s="131"/>
      <c r="V239" s="374"/>
      <c r="W239" s="127"/>
      <c r="X239" s="127"/>
      <c r="Y239" s="127"/>
      <c r="Z239" s="131"/>
      <c r="AA239" s="374"/>
      <c r="AB239" s="127"/>
      <c r="AC239" s="127"/>
      <c r="AD239" s="127"/>
      <c r="AE239" s="131"/>
      <c r="AF239" s="374"/>
      <c r="AG239" s="127"/>
      <c r="AH239" s="127"/>
      <c r="AI239" s="127"/>
      <c r="AJ239" s="131"/>
      <c r="AK239" s="374"/>
      <c r="AL239" s="127"/>
      <c r="AM239" s="127"/>
      <c r="AN239" s="127"/>
      <c r="AO239" s="184"/>
      <c r="AP239" s="183"/>
      <c r="AQ239" s="142"/>
      <c r="AR239" s="142"/>
      <c r="AS239" s="142"/>
    </row>
    <row r="240">
      <c r="A240" s="131"/>
      <c r="B240" s="374"/>
      <c r="C240" s="127"/>
      <c r="D240" s="127"/>
      <c r="E240" s="127"/>
      <c r="F240" s="131"/>
      <c r="G240" s="374"/>
      <c r="H240" s="127"/>
      <c r="I240" s="127"/>
      <c r="J240" s="127"/>
      <c r="K240" s="383"/>
      <c r="L240" s="374"/>
      <c r="M240" s="127"/>
      <c r="N240" s="127"/>
      <c r="O240" s="127"/>
      <c r="P240" s="383"/>
      <c r="Q240" s="164"/>
      <c r="R240" s="127"/>
      <c r="S240" s="127"/>
      <c r="T240" s="127"/>
      <c r="U240" s="131"/>
      <c r="V240" s="374"/>
      <c r="W240" s="127"/>
      <c r="X240" s="127"/>
      <c r="Y240" s="127"/>
      <c r="Z240" s="131"/>
      <c r="AA240" s="374"/>
      <c r="AB240" s="127"/>
      <c r="AC240" s="127"/>
      <c r="AD240" s="127"/>
      <c r="AE240" s="131"/>
      <c r="AF240" s="374"/>
      <c r="AG240" s="127"/>
      <c r="AH240" s="127"/>
      <c r="AI240" s="127"/>
      <c r="AJ240" s="131"/>
      <c r="AK240" s="374"/>
      <c r="AL240" s="127"/>
      <c r="AM240" s="127"/>
      <c r="AN240" s="127"/>
      <c r="AO240" s="184"/>
      <c r="AP240" s="183"/>
      <c r="AQ240" s="142"/>
      <c r="AR240" s="142"/>
      <c r="AS240" s="142"/>
    </row>
    <row r="241">
      <c r="A241" s="131"/>
      <c r="B241" s="374"/>
      <c r="C241" s="127"/>
      <c r="D241" s="127"/>
      <c r="E241" s="127"/>
      <c r="F241" s="131"/>
      <c r="G241" s="374"/>
      <c r="H241" s="127"/>
      <c r="I241" s="127"/>
      <c r="J241" s="127"/>
      <c r="K241" s="383"/>
      <c r="L241" s="374"/>
      <c r="M241" s="127"/>
      <c r="N241" s="127"/>
      <c r="O241" s="127"/>
      <c r="P241" s="383"/>
      <c r="Q241" s="164"/>
      <c r="R241" s="127"/>
      <c r="S241" s="127"/>
      <c r="T241" s="127"/>
      <c r="U241" s="131"/>
      <c r="V241" s="374"/>
      <c r="W241" s="127"/>
      <c r="X241" s="127"/>
      <c r="Y241" s="127"/>
      <c r="Z241" s="131"/>
      <c r="AA241" s="374"/>
      <c r="AB241" s="127"/>
      <c r="AC241" s="127"/>
      <c r="AD241" s="127"/>
      <c r="AE241" s="131"/>
      <c r="AF241" s="374"/>
      <c r="AG241" s="127"/>
      <c r="AH241" s="127"/>
      <c r="AI241" s="127"/>
      <c r="AJ241" s="131"/>
      <c r="AK241" s="374"/>
      <c r="AL241" s="127"/>
      <c r="AM241" s="127"/>
      <c r="AN241" s="127"/>
      <c r="AO241" s="184"/>
      <c r="AP241" s="183"/>
      <c r="AQ241" s="142"/>
      <c r="AR241" s="142"/>
      <c r="AS241" s="142"/>
    </row>
    <row r="242">
      <c r="A242" s="131"/>
      <c r="B242" s="374"/>
      <c r="C242" s="127"/>
      <c r="D242" s="127"/>
      <c r="E242" s="127"/>
      <c r="F242" s="131"/>
      <c r="G242" s="374"/>
      <c r="H242" s="127"/>
      <c r="I242" s="127"/>
      <c r="J242" s="127"/>
      <c r="K242" s="383"/>
      <c r="L242" s="374"/>
      <c r="M242" s="127"/>
      <c r="N242" s="127"/>
      <c r="O242" s="127"/>
      <c r="P242" s="383"/>
      <c r="Q242" s="164"/>
      <c r="R242" s="127"/>
      <c r="S242" s="127"/>
      <c r="T242" s="127"/>
      <c r="U242" s="131"/>
      <c r="V242" s="374"/>
      <c r="W242" s="127"/>
      <c r="X242" s="127"/>
      <c r="Y242" s="127"/>
      <c r="Z242" s="131"/>
      <c r="AA242" s="374"/>
      <c r="AB242" s="127"/>
      <c r="AC242" s="127"/>
      <c r="AD242" s="127"/>
      <c r="AE242" s="131"/>
      <c r="AF242" s="374"/>
      <c r="AG242" s="127"/>
      <c r="AH242" s="127"/>
      <c r="AI242" s="127"/>
      <c r="AJ242" s="131"/>
      <c r="AK242" s="374"/>
      <c r="AL242" s="127"/>
      <c r="AM242" s="127"/>
      <c r="AN242" s="127"/>
      <c r="AO242" s="184"/>
      <c r="AP242" s="183"/>
      <c r="AQ242" s="142"/>
      <c r="AR242" s="142"/>
      <c r="AS242" s="142"/>
    </row>
    <row r="243">
      <c r="A243" s="131"/>
      <c r="B243" s="374"/>
      <c r="C243" s="127"/>
      <c r="D243" s="127"/>
      <c r="E243" s="127"/>
      <c r="F243" s="131"/>
      <c r="G243" s="374"/>
      <c r="H243" s="127"/>
      <c r="I243" s="127"/>
      <c r="J243" s="127"/>
      <c r="K243" s="383"/>
      <c r="L243" s="374"/>
      <c r="M243" s="127"/>
      <c r="N243" s="127"/>
      <c r="O243" s="127"/>
      <c r="P243" s="383"/>
      <c r="Q243" s="164"/>
      <c r="R243" s="127"/>
      <c r="S243" s="127"/>
      <c r="T243" s="127"/>
      <c r="U243" s="131"/>
      <c r="V243" s="374"/>
      <c r="W243" s="127"/>
      <c r="X243" s="127"/>
      <c r="Y243" s="127"/>
      <c r="Z243" s="131"/>
      <c r="AA243" s="374"/>
      <c r="AB243" s="127"/>
      <c r="AC243" s="127"/>
      <c r="AD243" s="127"/>
      <c r="AE243" s="131"/>
      <c r="AF243" s="374"/>
      <c r="AG243" s="127"/>
      <c r="AH243" s="127"/>
      <c r="AI243" s="127"/>
      <c r="AJ243" s="131"/>
      <c r="AK243" s="374"/>
      <c r="AL243" s="127"/>
      <c r="AM243" s="127"/>
      <c r="AN243" s="127"/>
      <c r="AO243" s="184"/>
      <c r="AP243" s="183"/>
      <c r="AQ243" s="142"/>
      <c r="AR243" s="142"/>
      <c r="AS243" s="142"/>
    </row>
    <row r="244">
      <c r="A244" s="131"/>
      <c r="B244" s="374"/>
      <c r="C244" s="127"/>
      <c r="D244" s="127"/>
      <c r="E244" s="127"/>
      <c r="F244" s="131"/>
      <c r="G244" s="374"/>
      <c r="H244" s="127"/>
      <c r="I244" s="127"/>
      <c r="J244" s="127"/>
      <c r="K244" s="383"/>
      <c r="L244" s="374"/>
      <c r="M244" s="127"/>
      <c r="N244" s="127"/>
      <c r="O244" s="127"/>
      <c r="P244" s="383"/>
      <c r="Q244" s="164"/>
      <c r="R244" s="127"/>
      <c r="S244" s="127"/>
      <c r="T244" s="127"/>
      <c r="U244" s="131"/>
      <c r="V244" s="374"/>
      <c r="W244" s="127"/>
      <c r="X244" s="127"/>
      <c r="Y244" s="127"/>
      <c r="Z244" s="131"/>
      <c r="AA244" s="374"/>
      <c r="AB244" s="127"/>
      <c r="AC244" s="127"/>
      <c r="AD244" s="127"/>
      <c r="AE244" s="131"/>
      <c r="AF244" s="374"/>
      <c r="AG244" s="127"/>
      <c r="AH244" s="127"/>
      <c r="AI244" s="127"/>
      <c r="AJ244" s="131"/>
      <c r="AK244" s="374"/>
      <c r="AL244" s="127"/>
      <c r="AM244" s="127"/>
      <c r="AN244" s="127"/>
      <c r="AO244" s="184"/>
      <c r="AP244" s="183"/>
      <c r="AQ244" s="142"/>
      <c r="AR244" s="142"/>
      <c r="AS244" s="142"/>
    </row>
    <row r="245">
      <c r="A245" s="131"/>
      <c r="B245" s="374"/>
      <c r="C245" s="127"/>
      <c r="D245" s="127"/>
      <c r="E245" s="127"/>
      <c r="F245" s="131"/>
      <c r="G245" s="374"/>
      <c r="H245" s="127"/>
      <c r="I245" s="127"/>
      <c r="J245" s="127"/>
      <c r="K245" s="383"/>
      <c r="L245" s="374"/>
      <c r="M245" s="127"/>
      <c r="N245" s="127"/>
      <c r="O245" s="127"/>
      <c r="P245" s="383"/>
      <c r="Q245" s="164"/>
      <c r="R245" s="127"/>
      <c r="S245" s="127"/>
      <c r="T245" s="127"/>
      <c r="U245" s="131"/>
      <c r="V245" s="374"/>
      <c r="W245" s="127"/>
      <c r="X245" s="127"/>
      <c r="Y245" s="127"/>
      <c r="Z245" s="131"/>
      <c r="AA245" s="374"/>
      <c r="AB245" s="127"/>
      <c r="AC245" s="127"/>
      <c r="AD245" s="127"/>
      <c r="AE245" s="131"/>
      <c r="AF245" s="374"/>
      <c r="AG245" s="127"/>
      <c r="AH245" s="127"/>
      <c r="AI245" s="127"/>
      <c r="AJ245" s="131"/>
      <c r="AK245" s="374"/>
      <c r="AL245" s="127"/>
      <c r="AM245" s="127"/>
      <c r="AN245" s="127"/>
      <c r="AO245" s="184"/>
      <c r="AP245" s="183"/>
      <c r="AQ245" s="142"/>
      <c r="AR245" s="142"/>
      <c r="AS245" s="142"/>
    </row>
    <row r="246">
      <c r="A246" s="131"/>
      <c r="B246" s="374"/>
      <c r="C246" s="127"/>
      <c r="D246" s="127"/>
      <c r="E246" s="127"/>
      <c r="F246" s="131"/>
      <c r="G246" s="374"/>
      <c r="H246" s="127"/>
      <c r="I246" s="127"/>
      <c r="J246" s="127"/>
      <c r="K246" s="383"/>
      <c r="L246" s="374"/>
      <c r="M246" s="127"/>
      <c r="N246" s="127"/>
      <c r="O246" s="127"/>
      <c r="P246" s="383"/>
      <c r="Q246" s="164"/>
      <c r="R246" s="127"/>
      <c r="S246" s="127"/>
      <c r="T246" s="127"/>
      <c r="U246" s="131"/>
      <c r="V246" s="374"/>
      <c r="W246" s="127"/>
      <c r="X246" s="127"/>
      <c r="Y246" s="127"/>
      <c r="Z246" s="131"/>
      <c r="AA246" s="374"/>
      <c r="AB246" s="127"/>
      <c r="AC246" s="127"/>
      <c r="AD246" s="127"/>
      <c r="AE246" s="131"/>
      <c r="AF246" s="374"/>
      <c r="AG246" s="127"/>
      <c r="AH246" s="127"/>
      <c r="AI246" s="127"/>
      <c r="AJ246" s="131"/>
      <c r="AK246" s="374"/>
      <c r="AL246" s="127"/>
      <c r="AM246" s="127"/>
      <c r="AN246" s="127"/>
      <c r="AO246" s="184"/>
      <c r="AP246" s="183"/>
      <c r="AQ246" s="142"/>
      <c r="AR246" s="142"/>
      <c r="AS246" s="142"/>
    </row>
    <row r="247">
      <c r="A247" s="131"/>
      <c r="B247" s="374"/>
      <c r="C247" s="127"/>
      <c r="D247" s="127"/>
      <c r="E247" s="127"/>
      <c r="F247" s="131"/>
      <c r="G247" s="374"/>
      <c r="H247" s="127"/>
      <c r="I247" s="127"/>
      <c r="J247" s="127"/>
      <c r="K247" s="383"/>
      <c r="L247" s="374"/>
      <c r="M247" s="127"/>
      <c r="N247" s="127"/>
      <c r="O247" s="127"/>
      <c r="P247" s="383"/>
      <c r="Q247" s="164"/>
      <c r="R247" s="127"/>
      <c r="S247" s="127"/>
      <c r="T247" s="127"/>
      <c r="U247" s="131"/>
      <c r="V247" s="374"/>
      <c r="W247" s="127"/>
      <c r="X247" s="127"/>
      <c r="Y247" s="127"/>
      <c r="Z247" s="131"/>
      <c r="AA247" s="374"/>
      <c r="AB247" s="127"/>
      <c r="AC247" s="127"/>
      <c r="AD247" s="127"/>
      <c r="AE247" s="131"/>
      <c r="AF247" s="374"/>
      <c r="AG247" s="127"/>
      <c r="AH247" s="127"/>
      <c r="AI247" s="127"/>
      <c r="AJ247" s="131"/>
      <c r="AK247" s="374"/>
      <c r="AL247" s="127"/>
      <c r="AM247" s="127"/>
      <c r="AN247" s="127"/>
      <c r="AO247" s="184"/>
      <c r="AP247" s="183"/>
      <c r="AQ247" s="142"/>
      <c r="AR247" s="142"/>
      <c r="AS247" s="142"/>
    </row>
    <row r="248">
      <c r="A248" s="131"/>
      <c r="B248" s="374"/>
      <c r="C248" s="127"/>
      <c r="D248" s="127"/>
      <c r="E248" s="127"/>
      <c r="F248" s="131"/>
      <c r="G248" s="374"/>
      <c r="H248" s="127"/>
      <c r="I248" s="127"/>
      <c r="J248" s="127"/>
      <c r="K248" s="383"/>
      <c r="L248" s="374"/>
      <c r="M248" s="127"/>
      <c r="N248" s="127"/>
      <c r="O248" s="127"/>
      <c r="P248" s="383"/>
      <c r="Q248" s="164"/>
      <c r="R248" s="127"/>
      <c r="S248" s="127"/>
      <c r="T248" s="127"/>
      <c r="U248" s="131"/>
      <c r="V248" s="374"/>
      <c r="W248" s="127"/>
      <c r="X248" s="127"/>
      <c r="Y248" s="127"/>
      <c r="Z248" s="131"/>
      <c r="AA248" s="374"/>
      <c r="AB248" s="127"/>
      <c r="AC248" s="127"/>
      <c r="AD248" s="127"/>
      <c r="AE248" s="131"/>
      <c r="AF248" s="374"/>
      <c r="AG248" s="127"/>
      <c r="AH248" s="127"/>
      <c r="AI248" s="127"/>
      <c r="AJ248" s="131"/>
      <c r="AK248" s="374"/>
      <c r="AL248" s="127"/>
      <c r="AM248" s="127"/>
      <c r="AN248" s="127"/>
      <c r="AO248" s="184"/>
      <c r="AP248" s="183"/>
      <c r="AQ248" s="142"/>
      <c r="AR248" s="142"/>
      <c r="AS248" s="142"/>
    </row>
    <row r="249">
      <c r="A249" s="131"/>
      <c r="B249" s="374"/>
      <c r="C249" s="127"/>
      <c r="D249" s="127"/>
      <c r="E249" s="127"/>
      <c r="F249" s="131"/>
      <c r="G249" s="374"/>
      <c r="H249" s="127"/>
      <c r="I249" s="127"/>
      <c r="J249" s="127"/>
      <c r="K249" s="383"/>
      <c r="L249" s="374"/>
      <c r="M249" s="127"/>
      <c r="N249" s="127"/>
      <c r="O249" s="127"/>
      <c r="P249" s="383"/>
      <c r="Q249" s="164"/>
      <c r="R249" s="127"/>
      <c r="S249" s="127"/>
      <c r="T249" s="127"/>
      <c r="U249" s="131"/>
      <c r="V249" s="374"/>
      <c r="W249" s="127"/>
      <c r="X249" s="127"/>
      <c r="Y249" s="127"/>
      <c r="Z249" s="131"/>
      <c r="AA249" s="374"/>
      <c r="AB249" s="127"/>
      <c r="AC249" s="127"/>
      <c r="AD249" s="127"/>
      <c r="AE249" s="131"/>
      <c r="AF249" s="374"/>
      <c r="AG249" s="127"/>
      <c r="AH249" s="127"/>
      <c r="AI249" s="127"/>
      <c r="AJ249" s="131"/>
      <c r="AK249" s="374"/>
      <c r="AL249" s="127"/>
      <c r="AM249" s="127"/>
      <c r="AN249" s="127"/>
      <c r="AO249" s="184"/>
      <c r="AP249" s="183"/>
      <c r="AQ249" s="142"/>
      <c r="AR249" s="142"/>
      <c r="AS249" s="142"/>
    </row>
    <row r="250">
      <c r="A250" s="131"/>
      <c r="B250" s="374"/>
      <c r="C250" s="127"/>
      <c r="D250" s="127"/>
      <c r="E250" s="127"/>
      <c r="F250" s="131"/>
      <c r="G250" s="374"/>
      <c r="H250" s="127"/>
      <c r="I250" s="127"/>
      <c r="J250" s="127"/>
      <c r="K250" s="383"/>
      <c r="L250" s="374"/>
      <c r="M250" s="127"/>
      <c r="N250" s="127"/>
      <c r="O250" s="127"/>
      <c r="P250" s="383"/>
      <c r="Q250" s="164"/>
      <c r="R250" s="127"/>
      <c r="S250" s="127"/>
      <c r="T250" s="127"/>
      <c r="U250" s="131"/>
      <c r="V250" s="374"/>
      <c r="W250" s="127"/>
      <c r="X250" s="127"/>
      <c r="Y250" s="127"/>
      <c r="Z250" s="131"/>
      <c r="AA250" s="374"/>
      <c r="AB250" s="127"/>
      <c r="AC250" s="127"/>
      <c r="AD250" s="127"/>
      <c r="AE250" s="131"/>
      <c r="AF250" s="374"/>
      <c r="AG250" s="127"/>
      <c r="AH250" s="127"/>
      <c r="AI250" s="127"/>
      <c r="AJ250" s="131"/>
      <c r="AK250" s="374"/>
      <c r="AL250" s="127"/>
      <c r="AM250" s="127"/>
      <c r="AN250" s="127"/>
      <c r="AO250" s="184"/>
      <c r="AP250" s="183"/>
      <c r="AQ250" s="142"/>
      <c r="AR250" s="142"/>
      <c r="AS250" s="142"/>
    </row>
    <row r="251">
      <c r="A251" s="131"/>
      <c r="B251" s="374"/>
      <c r="C251" s="127"/>
      <c r="D251" s="127"/>
      <c r="E251" s="127"/>
      <c r="F251" s="131"/>
      <c r="G251" s="374"/>
      <c r="H251" s="127"/>
      <c r="I251" s="127"/>
      <c r="J251" s="127"/>
      <c r="K251" s="383"/>
      <c r="L251" s="374"/>
      <c r="M251" s="127"/>
      <c r="N251" s="127"/>
      <c r="O251" s="127"/>
      <c r="P251" s="383"/>
      <c r="Q251" s="164"/>
      <c r="R251" s="127"/>
      <c r="S251" s="127"/>
      <c r="T251" s="127"/>
      <c r="U251" s="131"/>
      <c r="V251" s="374"/>
      <c r="W251" s="127"/>
      <c r="X251" s="127"/>
      <c r="Y251" s="127"/>
      <c r="Z251" s="131"/>
      <c r="AA251" s="374"/>
      <c r="AB251" s="127"/>
      <c r="AC251" s="127"/>
      <c r="AD251" s="127"/>
      <c r="AE251" s="131"/>
      <c r="AF251" s="374"/>
      <c r="AG251" s="127"/>
      <c r="AH251" s="127"/>
      <c r="AI251" s="127"/>
      <c r="AJ251" s="131"/>
      <c r="AK251" s="374"/>
      <c r="AL251" s="127"/>
      <c r="AM251" s="127"/>
      <c r="AN251" s="127"/>
      <c r="AO251" s="184"/>
      <c r="AP251" s="183"/>
      <c r="AQ251" s="142"/>
      <c r="AR251" s="142"/>
      <c r="AS251" s="142"/>
    </row>
    <row r="252">
      <c r="A252" s="131"/>
      <c r="B252" s="374"/>
      <c r="C252" s="127"/>
      <c r="D252" s="127"/>
      <c r="E252" s="127"/>
      <c r="F252" s="131"/>
      <c r="G252" s="374"/>
      <c r="H252" s="127"/>
      <c r="I252" s="127"/>
      <c r="J252" s="127"/>
      <c r="K252" s="383"/>
      <c r="L252" s="374"/>
      <c r="M252" s="127"/>
      <c r="N252" s="127"/>
      <c r="O252" s="127"/>
      <c r="P252" s="383"/>
      <c r="Q252" s="164"/>
      <c r="R252" s="127"/>
      <c r="S252" s="127"/>
      <c r="T252" s="127"/>
      <c r="U252" s="131"/>
      <c r="V252" s="374"/>
      <c r="W252" s="127"/>
      <c r="X252" s="127"/>
      <c r="Y252" s="127"/>
      <c r="Z252" s="131"/>
      <c r="AA252" s="374"/>
      <c r="AB252" s="127"/>
      <c r="AC252" s="127"/>
      <c r="AD252" s="127"/>
      <c r="AE252" s="131"/>
      <c r="AF252" s="374"/>
      <c r="AG252" s="127"/>
      <c r="AH252" s="127"/>
      <c r="AI252" s="127"/>
      <c r="AJ252" s="131"/>
      <c r="AK252" s="374"/>
      <c r="AL252" s="127"/>
      <c r="AM252" s="127"/>
      <c r="AN252" s="127"/>
      <c r="AO252" s="184"/>
      <c r="AP252" s="183"/>
      <c r="AQ252" s="142"/>
      <c r="AR252" s="142"/>
      <c r="AS252" s="142"/>
    </row>
    <row r="253">
      <c r="A253" s="131"/>
      <c r="B253" s="374"/>
      <c r="C253" s="127"/>
      <c r="D253" s="127"/>
      <c r="E253" s="127"/>
      <c r="F253" s="131"/>
      <c r="G253" s="374"/>
      <c r="H253" s="127"/>
      <c r="I253" s="127"/>
      <c r="J253" s="127"/>
      <c r="K253" s="383"/>
      <c r="L253" s="374"/>
      <c r="M253" s="127"/>
      <c r="N253" s="127"/>
      <c r="O253" s="127"/>
      <c r="P253" s="383"/>
      <c r="Q253" s="164"/>
      <c r="R253" s="127"/>
      <c r="S253" s="127"/>
      <c r="T253" s="127"/>
      <c r="U253" s="131"/>
      <c r="V253" s="374"/>
      <c r="W253" s="127"/>
      <c r="X253" s="127"/>
      <c r="Y253" s="127"/>
      <c r="Z253" s="131"/>
      <c r="AA253" s="374"/>
      <c r="AB253" s="127"/>
      <c r="AC253" s="127"/>
      <c r="AD253" s="127"/>
      <c r="AE253" s="131"/>
      <c r="AF253" s="374"/>
      <c r="AG253" s="127"/>
      <c r="AH253" s="127"/>
      <c r="AI253" s="127"/>
      <c r="AJ253" s="131"/>
      <c r="AK253" s="374"/>
      <c r="AL253" s="127"/>
      <c r="AM253" s="127"/>
      <c r="AN253" s="127"/>
      <c r="AO253" s="184"/>
      <c r="AP253" s="183"/>
      <c r="AQ253" s="142"/>
      <c r="AR253" s="142"/>
      <c r="AS253" s="142"/>
    </row>
    <row r="254">
      <c r="A254" s="131"/>
      <c r="B254" s="374"/>
      <c r="C254" s="127"/>
      <c r="D254" s="127"/>
      <c r="E254" s="127"/>
      <c r="F254" s="131"/>
      <c r="G254" s="374"/>
      <c r="H254" s="127"/>
      <c r="I254" s="127"/>
      <c r="J254" s="127"/>
      <c r="K254" s="383"/>
      <c r="L254" s="374"/>
      <c r="M254" s="127"/>
      <c r="N254" s="127"/>
      <c r="O254" s="127"/>
      <c r="P254" s="383"/>
      <c r="Q254" s="164"/>
      <c r="R254" s="127"/>
      <c r="S254" s="127"/>
      <c r="T254" s="127"/>
      <c r="U254" s="131"/>
      <c r="V254" s="374"/>
      <c r="W254" s="127"/>
      <c r="X254" s="127"/>
      <c r="Y254" s="127"/>
      <c r="Z254" s="131"/>
      <c r="AA254" s="374"/>
      <c r="AB254" s="127"/>
      <c r="AC254" s="127"/>
      <c r="AD254" s="127"/>
      <c r="AE254" s="131"/>
      <c r="AF254" s="374"/>
      <c r="AG254" s="127"/>
      <c r="AH254" s="127"/>
      <c r="AI254" s="127"/>
      <c r="AJ254" s="131"/>
      <c r="AK254" s="374"/>
      <c r="AL254" s="127"/>
      <c r="AM254" s="127"/>
      <c r="AN254" s="127"/>
      <c r="AO254" s="184"/>
      <c r="AP254" s="183"/>
      <c r="AQ254" s="142"/>
      <c r="AR254" s="142"/>
      <c r="AS254" s="142"/>
    </row>
    <row r="255">
      <c r="A255" s="131"/>
      <c r="B255" s="374"/>
      <c r="C255" s="127"/>
      <c r="D255" s="127"/>
      <c r="E255" s="127"/>
      <c r="F255" s="131"/>
      <c r="G255" s="374"/>
      <c r="H255" s="127"/>
      <c r="I255" s="127"/>
      <c r="J255" s="127"/>
      <c r="K255" s="383"/>
      <c r="L255" s="374"/>
      <c r="M255" s="127"/>
      <c r="N255" s="127"/>
      <c r="O255" s="127"/>
      <c r="P255" s="383"/>
      <c r="Q255" s="164"/>
      <c r="R255" s="127"/>
      <c r="S255" s="127"/>
      <c r="T255" s="127"/>
      <c r="U255" s="131"/>
      <c r="V255" s="374"/>
      <c r="W255" s="127"/>
      <c r="X255" s="127"/>
      <c r="Y255" s="127"/>
      <c r="Z255" s="131"/>
      <c r="AA255" s="374"/>
      <c r="AB255" s="127"/>
      <c r="AC255" s="127"/>
      <c r="AD255" s="127"/>
      <c r="AE255" s="131"/>
      <c r="AF255" s="374"/>
      <c r="AG255" s="127"/>
      <c r="AH255" s="127"/>
      <c r="AI255" s="127"/>
      <c r="AJ255" s="131"/>
      <c r="AK255" s="374"/>
      <c r="AL255" s="127"/>
      <c r="AM255" s="127"/>
      <c r="AN255" s="127"/>
      <c r="AO255" s="184"/>
      <c r="AP255" s="183"/>
      <c r="AQ255" s="142"/>
      <c r="AR255" s="142"/>
      <c r="AS255" s="142"/>
    </row>
    <row r="256">
      <c r="A256" s="131"/>
      <c r="B256" s="374"/>
      <c r="C256" s="127"/>
      <c r="D256" s="127"/>
      <c r="E256" s="127"/>
      <c r="F256" s="131"/>
      <c r="G256" s="374"/>
      <c r="H256" s="127"/>
      <c r="I256" s="127"/>
      <c r="J256" s="127"/>
      <c r="K256" s="383"/>
      <c r="L256" s="374"/>
      <c r="M256" s="127"/>
      <c r="N256" s="127"/>
      <c r="O256" s="127"/>
      <c r="P256" s="383"/>
      <c r="Q256" s="164"/>
      <c r="R256" s="127"/>
      <c r="S256" s="127"/>
      <c r="T256" s="127"/>
      <c r="U256" s="131"/>
      <c r="V256" s="374"/>
      <c r="W256" s="127"/>
      <c r="X256" s="127"/>
      <c r="Y256" s="127"/>
      <c r="Z256" s="131"/>
      <c r="AA256" s="374"/>
      <c r="AB256" s="127"/>
      <c r="AC256" s="127"/>
      <c r="AD256" s="127"/>
      <c r="AE256" s="131"/>
      <c r="AF256" s="374"/>
      <c r="AG256" s="127"/>
      <c r="AH256" s="127"/>
      <c r="AI256" s="127"/>
      <c r="AJ256" s="131"/>
      <c r="AK256" s="374"/>
      <c r="AL256" s="127"/>
      <c r="AM256" s="127"/>
      <c r="AN256" s="127"/>
      <c r="AO256" s="184"/>
      <c r="AP256" s="183"/>
      <c r="AQ256" s="142"/>
      <c r="AR256" s="142"/>
      <c r="AS256" s="142"/>
    </row>
    <row r="257">
      <c r="A257" s="131"/>
      <c r="B257" s="374"/>
      <c r="C257" s="127"/>
      <c r="D257" s="127"/>
      <c r="E257" s="127"/>
      <c r="F257" s="131"/>
      <c r="G257" s="374"/>
      <c r="H257" s="127"/>
      <c r="I257" s="127"/>
      <c r="J257" s="127"/>
      <c r="K257" s="383"/>
      <c r="L257" s="374"/>
      <c r="M257" s="127"/>
      <c r="N257" s="127"/>
      <c r="O257" s="127"/>
      <c r="P257" s="383"/>
      <c r="Q257" s="164"/>
      <c r="R257" s="127"/>
      <c r="S257" s="127"/>
      <c r="T257" s="127"/>
      <c r="U257" s="131"/>
      <c r="V257" s="374"/>
      <c r="W257" s="127"/>
      <c r="X257" s="127"/>
      <c r="Y257" s="127"/>
      <c r="Z257" s="131"/>
      <c r="AA257" s="374"/>
      <c r="AB257" s="127"/>
      <c r="AC257" s="127"/>
      <c r="AD257" s="127"/>
      <c r="AE257" s="131"/>
      <c r="AF257" s="374"/>
      <c r="AG257" s="127"/>
      <c r="AH257" s="127"/>
      <c r="AI257" s="127"/>
      <c r="AJ257" s="131"/>
      <c r="AK257" s="374"/>
      <c r="AL257" s="127"/>
      <c r="AM257" s="127"/>
      <c r="AN257" s="127"/>
      <c r="AO257" s="184"/>
      <c r="AP257" s="183"/>
      <c r="AQ257" s="142"/>
      <c r="AR257" s="142"/>
      <c r="AS257" s="142"/>
    </row>
    <row r="258">
      <c r="A258" s="131"/>
      <c r="B258" s="374"/>
      <c r="C258" s="127"/>
      <c r="D258" s="127"/>
      <c r="E258" s="127"/>
      <c r="F258" s="131"/>
      <c r="G258" s="374"/>
      <c r="H258" s="127"/>
      <c r="I258" s="127"/>
      <c r="J258" s="127"/>
      <c r="K258" s="383"/>
      <c r="L258" s="374"/>
      <c r="M258" s="127"/>
      <c r="N258" s="127"/>
      <c r="O258" s="127"/>
      <c r="P258" s="383"/>
      <c r="Q258" s="164"/>
      <c r="R258" s="127"/>
      <c r="S258" s="127"/>
      <c r="T258" s="127"/>
      <c r="U258" s="131"/>
      <c r="V258" s="374"/>
      <c r="W258" s="127"/>
      <c r="X258" s="127"/>
      <c r="Y258" s="127"/>
      <c r="Z258" s="131"/>
      <c r="AA258" s="374"/>
      <c r="AB258" s="127"/>
      <c r="AC258" s="127"/>
      <c r="AD258" s="127"/>
      <c r="AE258" s="131"/>
      <c r="AF258" s="374"/>
      <c r="AG258" s="127"/>
      <c r="AH258" s="127"/>
      <c r="AI258" s="127"/>
      <c r="AJ258" s="131"/>
      <c r="AK258" s="374"/>
      <c r="AL258" s="127"/>
      <c r="AM258" s="127"/>
      <c r="AN258" s="127"/>
      <c r="AO258" s="184"/>
      <c r="AP258" s="183"/>
      <c r="AQ258" s="142"/>
      <c r="AR258" s="142"/>
      <c r="AS258" s="142"/>
    </row>
    <row r="259">
      <c r="A259" s="131"/>
      <c r="B259" s="374"/>
      <c r="C259" s="127"/>
      <c r="D259" s="127"/>
      <c r="E259" s="127"/>
      <c r="F259" s="131"/>
      <c r="G259" s="374"/>
      <c r="H259" s="127"/>
      <c r="I259" s="127"/>
      <c r="J259" s="127"/>
      <c r="K259" s="383"/>
      <c r="L259" s="374"/>
      <c r="M259" s="127"/>
      <c r="N259" s="127"/>
      <c r="O259" s="127"/>
      <c r="P259" s="383"/>
      <c r="Q259" s="164"/>
      <c r="R259" s="127"/>
      <c r="S259" s="127"/>
      <c r="T259" s="127"/>
      <c r="U259" s="131"/>
      <c r="V259" s="374"/>
      <c r="W259" s="127"/>
      <c r="X259" s="127"/>
      <c r="Y259" s="127"/>
      <c r="Z259" s="131"/>
      <c r="AA259" s="374"/>
      <c r="AB259" s="127"/>
      <c r="AC259" s="127"/>
      <c r="AD259" s="127"/>
      <c r="AE259" s="131"/>
      <c r="AF259" s="374"/>
      <c r="AG259" s="127"/>
      <c r="AH259" s="127"/>
      <c r="AI259" s="127"/>
      <c r="AJ259" s="131"/>
      <c r="AK259" s="374"/>
      <c r="AL259" s="127"/>
      <c r="AM259" s="127"/>
      <c r="AN259" s="127"/>
      <c r="AO259" s="184"/>
      <c r="AP259" s="183"/>
      <c r="AQ259" s="142"/>
      <c r="AR259" s="142"/>
      <c r="AS259" s="142"/>
    </row>
    <row r="260">
      <c r="A260" s="131"/>
      <c r="B260" s="374"/>
      <c r="C260" s="127"/>
      <c r="D260" s="127"/>
      <c r="E260" s="127"/>
      <c r="F260" s="131"/>
      <c r="G260" s="374"/>
      <c r="H260" s="127"/>
      <c r="I260" s="127"/>
      <c r="J260" s="127"/>
      <c r="K260" s="383"/>
      <c r="L260" s="374"/>
      <c r="M260" s="127"/>
      <c r="N260" s="127"/>
      <c r="O260" s="127"/>
      <c r="P260" s="383"/>
      <c r="Q260" s="164"/>
      <c r="R260" s="127"/>
      <c r="S260" s="127"/>
      <c r="T260" s="127"/>
      <c r="U260" s="131"/>
      <c r="V260" s="374"/>
      <c r="W260" s="127"/>
      <c r="X260" s="127"/>
      <c r="Y260" s="127"/>
      <c r="Z260" s="131"/>
      <c r="AA260" s="374"/>
      <c r="AB260" s="127"/>
      <c r="AC260" s="127"/>
      <c r="AD260" s="127"/>
      <c r="AE260" s="131"/>
      <c r="AF260" s="374"/>
      <c r="AG260" s="127"/>
      <c r="AH260" s="127"/>
      <c r="AI260" s="127"/>
      <c r="AJ260" s="131"/>
      <c r="AK260" s="374"/>
      <c r="AL260" s="127"/>
      <c r="AM260" s="127"/>
      <c r="AN260" s="127"/>
      <c r="AO260" s="184"/>
      <c r="AP260" s="183"/>
      <c r="AQ260" s="142"/>
      <c r="AR260" s="142"/>
      <c r="AS260" s="142"/>
    </row>
    <row r="261">
      <c r="A261" s="131"/>
      <c r="B261" s="374"/>
      <c r="C261" s="127"/>
      <c r="D261" s="127"/>
      <c r="E261" s="127"/>
      <c r="F261" s="131"/>
      <c r="G261" s="374"/>
      <c r="H261" s="127"/>
      <c r="I261" s="127"/>
      <c r="J261" s="127"/>
      <c r="K261" s="383"/>
      <c r="L261" s="374"/>
      <c r="M261" s="127"/>
      <c r="N261" s="127"/>
      <c r="O261" s="127"/>
      <c r="P261" s="383"/>
      <c r="Q261" s="164"/>
      <c r="R261" s="127"/>
      <c r="S261" s="127"/>
      <c r="T261" s="127"/>
      <c r="U261" s="131"/>
      <c r="V261" s="374"/>
      <c r="W261" s="127"/>
      <c r="X261" s="127"/>
      <c r="Y261" s="127"/>
      <c r="Z261" s="131"/>
      <c r="AA261" s="374"/>
      <c r="AB261" s="127"/>
      <c r="AC261" s="127"/>
      <c r="AD261" s="127"/>
      <c r="AE261" s="131"/>
      <c r="AF261" s="374"/>
      <c r="AG261" s="127"/>
      <c r="AH261" s="127"/>
      <c r="AI261" s="127"/>
      <c r="AJ261" s="131"/>
      <c r="AK261" s="374"/>
      <c r="AL261" s="127"/>
      <c r="AM261" s="127"/>
      <c r="AN261" s="127"/>
      <c r="AO261" s="184"/>
      <c r="AP261" s="183"/>
      <c r="AQ261" s="142"/>
      <c r="AR261" s="142"/>
      <c r="AS261" s="142"/>
    </row>
    <row r="262">
      <c r="A262" s="131"/>
      <c r="B262" s="374"/>
      <c r="C262" s="127"/>
      <c r="D262" s="127"/>
      <c r="E262" s="127"/>
      <c r="F262" s="131"/>
      <c r="G262" s="374"/>
      <c r="H262" s="127"/>
      <c r="I262" s="127"/>
      <c r="J262" s="127"/>
      <c r="K262" s="383"/>
      <c r="L262" s="374"/>
      <c r="M262" s="127"/>
      <c r="N262" s="127"/>
      <c r="O262" s="127"/>
      <c r="P262" s="383"/>
      <c r="Q262" s="164"/>
      <c r="R262" s="127"/>
      <c r="S262" s="127"/>
      <c r="T262" s="127"/>
      <c r="U262" s="131"/>
      <c r="V262" s="374"/>
      <c r="W262" s="127"/>
      <c r="X262" s="127"/>
      <c r="Y262" s="127"/>
      <c r="Z262" s="131"/>
      <c r="AA262" s="374"/>
      <c r="AB262" s="127"/>
      <c r="AC262" s="127"/>
      <c r="AD262" s="127"/>
      <c r="AE262" s="131"/>
      <c r="AF262" s="374"/>
      <c r="AG262" s="127"/>
      <c r="AH262" s="127"/>
      <c r="AI262" s="127"/>
      <c r="AJ262" s="131"/>
      <c r="AK262" s="374"/>
      <c r="AL262" s="127"/>
      <c r="AM262" s="127"/>
      <c r="AN262" s="127"/>
      <c r="AO262" s="184"/>
      <c r="AP262" s="183"/>
      <c r="AQ262" s="142"/>
      <c r="AR262" s="142"/>
      <c r="AS262" s="142"/>
    </row>
    <row r="263">
      <c r="A263" s="131"/>
      <c r="B263" s="374"/>
      <c r="C263" s="127"/>
      <c r="D263" s="127"/>
      <c r="E263" s="127"/>
      <c r="F263" s="131"/>
      <c r="G263" s="374"/>
      <c r="H263" s="127"/>
      <c r="I263" s="127"/>
      <c r="J263" s="127"/>
      <c r="K263" s="383"/>
      <c r="L263" s="374"/>
      <c r="M263" s="127"/>
      <c r="N263" s="127"/>
      <c r="O263" s="127"/>
      <c r="P263" s="383"/>
      <c r="Q263" s="164"/>
      <c r="R263" s="127"/>
      <c r="S263" s="127"/>
      <c r="T263" s="127"/>
      <c r="U263" s="131"/>
      <c r="V263" s="374"/>
      <c r="W263" s="127"/>
      <c r="X263" s="127"/>
      <c r="Y263" s="127"/>
      <c r="Z263" s="131"/>
      <c r="AA263" s="374"/>
      <c r="AB263" s="127"/>
      <c r="AC263" s="127"/>
      <c r="AD263" s="127"/>
      <c r="AE263" s="131"/>
      <c r="AF263" s="374"/>
      <c r="AG263" s="127"/>
      <c r="AH263" s="127"/>
      <c r="AI263" s="127"/>
      <c r="AJ263" s="131"/>
      <c r="AK263" s="374"/>
      <c r="AL263" s="127"/>
      <c r="AM263" s="127"/>
      <c r="AN263" s="127"/>
      <c r="AO263" s="184"/>
      <c r="AP263" s="183"/>
      <c r="AQ263" s="142"/>
      <c r="AR263" s="142"/>
      <c r="AS263" s="142"/>
    </row>
    <row r="264">
      <c r="A264" s="131"/>
      <c r="B264" s="374"/>
      <c r="C264" s="127"/>
      <c r="D264" s="127"/>
      <c r="E264" s="127"/>
      <c r="F264" s="131"/>
      <c r="G264" s="374"/>
      <c r="H264" s="127"/>
      <c r="I264" s="127"/>
      <c r="J264" s="127"/>
      <c r="K264" s="383"/>
      <c r="L264" s="374"/>
      <c r="M264" s="127"/>
      <c r="N264" s="127"/>
      <c r="O264" s="127"/>
      <c r="P264" s="383"/>
      <c r="Q264" s="164"/>
      <c r="R264" s="127"/>
      <c r="S264" s="127"/>
      <c r="T264" s="127"/>
      <c r="U264" s="131"/>
      <c r="V264" s="374"/>
      <c r="W264" s="127"/>
      <c r="X264" s="127"/>
      <c r="Y264" s="127"/>
      <c r="Z264" s="131"/>
      <c r="AA264" s="374"/>
      <c r="AB264" s="127"/>
      <c r="AC264" s="127"/>
      <c r="AD264" s="127"/>
      <c r="AE264" s="131"/>
      <c r="AF264" s="374"/>
      <c r="AG264" s="127"/>
      <c r="AH264" s="127"/>
      <c r="AI264" s="127"/>
      <c r="AJ264" s="131"/>
      <c r="AK264" s="374"/>
      <c r="AL264" s="127"/>
      <c r="AM264" s="127"/>
      <c r="AN264" s="127"/>
      <c r="AO264" s="184"/>
      <c r="AP264" s="183"/>
      <c r="AQ264" s="142"/>
      <c r="AR264" s="142"/>
      <c r="AS264" s="142"/>
    </row>
    <row r="265">
      <c r="A265" s="131"/>
      <c r="B265" s="374"/>
      <c r="C265" s="127"/>
      <c r="D265" s="127"/>
      <c r="E265" s="127"/>
      <c r="F265" s="131"/>
      <c r="G265" s="374"/>
      <c r="H265" s="127"/>
      <c r="I265" s="127"/>
      <c r="J265" s="127"/>
      <c r="K265" s="383"/>
      <c r="L265" s="374"/>
      <c r="M265" s="127"/>
      <c r="N265" s="127"/>
      <c r="O265" s="127"/>
      <c r="P265" s="383"/>
      <c r="Q265" s="164"/>
      <c r="R265" s="127"/>
      <c r="S265" s="127"/>
      <c r="T265" s="127"/>
      <c r="U265" s="131"/>
      <c r="V265" s="374"/>
      <c r="W265" s="127"/>
      <c r="X265" s="127"/>
      <c r="Y265" s="127"/>
      <c r="Z265" s="131"/>
      <c r="AA265" s="374"/>
      <c r="AB265" s="127"/>
      <c r="AC265" s="127"/>
      <c r="AD265" s="127"/>
      <c r="AE265" s="131"/>
      <c r="AF265" s="374"/>
      <c r="AG265" s="127"/>
      <c r="AH265" s="127"/>
      <c r="AI265" s="127"/>
      <c r="AJ265" s="131"/>
      <c r="AK265" s="374"/>
      <c r="AL265" s="127"/>
      <c r="AM265" s="127"/>
      <c r="AN265" s="127"/>
      <c r="AO265" s="184"/>
      <c r="AP265" s="183"/>
      <c r="AQ265" s="142"/>
      <c r="AR265" s="142"/>
      <c r="AS265" s="142"/>
    </row>
    <row r="266">
      <c r="A266" s="131"/>
      <c r="B266" s="374"/>
      <c r="C266" s="127"/>
      <c r="D266" s="127"/>
      <c r="E266" s="127"/>
      <c r="F266" s="131"/>
      <c r="G266" s="374"/>
      <c r="H266" s="127"/>
      <c r="I266" s="127"/>
      <c r="J266" s="127"/>
      <c r="K266" s="383"/>
      <c r="L266" s="374"/>
      <c r="M266" s="127"/>
      <c r="N266" s="127"/>
      <c r="O266" s="127"/>
      <c r="P266" s="383"/>
      <c r="Q266" s="164"/>
      <c r="R266" s="127"/>
      <c r="S266" s="127"/>
      <c r="T266" s="127"/>
      <c r="U266" s="131"/>
      <c r="V266" s="374"/>
      <c r="W266" s="127"/>
      <c r="X266" s="127"/>
      <c r="Y266" s="127"/>
      <c r="Z266" s="131"/>
      <c r="AA266" s="374"/>
      <c r="AB266" s="127"/>
      <c r="AC266" s="127"/>
      <c r="AD266" s="127"/>
      <c r="AE266" s="131"/>
      <c r="AF266" s="374"/>
      <c r="AG266" s="127"/>
      <c r="AH266" s="127"/>
      <c r="AI266" s="127"/>
      <c r="AJ266" s="131"/>
      <c r="AK266" s="374"/>
      <c r="AL266" s="127"/>
      <c r="AM266" s="127"/>
      <c r="AN266" s="127"/>
      <c r="AO266" s="359"/>
      <c r="AP266" s="359"/>
      <c r="AQ266" s="359"/>
      <c r="AR266" s="359"/>
      <c r="AS266" s="359"/>
    </row>
    <row r="267">
      <c r="A267" s="131"/>
      <c r="B267" s="374"/>
      <c r="C267" s="127"/>
      <c r="D267" s="127"/>
      <c r="E267" s="127"/>
      <c r="F267" s="131"/>
      <c r="G267" s="374"/>
      <c r="H267" s="127"/>
      <c r="I267" s="127"/>
      <c r="J267" s="127"/>
      <c r="K267" s="383"/>
      <c r="L267" s="374"/>
      <c r="M267" s="127"/>
      <c r="N267" s="127"/>
      <c r="O267" s="127"/>
      <c r="P267" s="383"/>
      <c r="Q267" s="164"/>
      <c r="R267" s="127"/>
      <c r="S267" s="127"/>
      <c r="T267" s="127"/>
      <c r="U267" s="131"/>
      <c r="V267" s="374"/>
      <c r="W267" s="127"/>
      <c r="X267" s="127"/>
      <c r="Y267" s="127"/>
      <c r="Z267" s="131"/>
      <c r="AA267" s="374"/>
      <c r="AB267" s="127"/>
      <c r="AC267" s="127"/>
      <c r="AD267" s="127"/>
      <c r="AE267" s="131"/>
      <c r="AF267" s="374"/>
      <c r="AG267" s="127"/>
      <c r="AH267" s="127"/>
      <c r="AI267" s="127"/>
      <c r="AJ267" s="131"/>
      <c r="AK267" s="374"/>
      <c r="AL267" s="127"/>
      <c r="AM267" s="127"/>
      <c r="AN267" s="127"/>
      <c r="AO267" s="359"/>
      <c r="AP267" s="359"/>
      <c r="AQ267" s="359"/>
      <c r="AR267" s="359"/>
      <c r="AS267" s="359"/>
    </row>
    <row r="268">
      <c r="A268" s="131"/>
      <c r="B268" s="374"/>
      <c r="C268" s="127"/>
      <c r="D268" s="127"/>
      <c r="E268" s="127"/>
      <c r="F268" s="131"/>
      <c r="G268" s="374"/>
      <c r="H268" s="127"/>
      <c r="I268" s="127"/>
      <c r="J268" s="127"/>
      <c r="K268" s="383"/>
      <c r="L268" s="374"/>
      <c r="M268" s="127"/>
      <c r="N268" s="127"/>
      <c r="O268" s="127"/>
      <c r="P268" s="383"/>
      <c r="Q268" s="164"/>
      <c r="R268" s="127"/>
      <c r="S268" s="127"/>
      <c r="T268" s="127"/>
      <c r="U268" s="131"/>
      <c r="V268" s="374"/>
      <c r="W268" s="127"/>
      <c r="X268" s="127"/>
      <c r="Y268" s="127"/>
      <c r="Z268" s="131"/>
      <c r="AA268" s="374"/>
      <c r="AB268" s="127"/>
      <c r="AC268" s="127"/>
      <c r="AD268" s="127"/>
      <c r="AE268" s="131"/>
      <c r="AF268" s="374"/>
      <c r="AG268" s="127"/>
      <c r="AH268" s="127"/>
      <c r="AI268" s="127"/>
      <c r="AJ268" s="131"/>
      <c r="AK268" s="374"/>
      <c r="AL268" s="127"/>
      <c r="AM268" s="127"/>
      <c r="AN268" s="127"/>
      <c r="AO268" s="359"/>
      <c r="AP268" s="359"/>
      <c r="AQ268" s="359"/>
      <c r="AR268" s="359"/>
      <c r="AS268" s="359"/>
    </row>
    <row r="269">
      <c r="A269" s="131"/>
      <c r="B269" s="374"/>
      <c r="C269" s="127"/>
      <c r="D269" s="127"/>
      <c r="E269" s="127"/>
      <c r="F269" s="131"/>
      <c r="G269" s="374"/>
      <c r="H269" s="127"/>
      <c r="I269" s="127"/>
      <c r="J269" s="127"/>
      <c r="K269" s="383"/>
      <c r="L269" s="374"/>
      <c r="M269" s="127"/>
      <c r="N269" s="127"/>
      <c r="O269" s="127"/>
      <c r="P269" s="383"/>
      <c r="Q269" s="164"/>
      <c r="R269" s="127"/>
      <c r="S269" s="127"/>
      <c r="T269" s="127"/>
      <c r="U269" s="131"/>
      <c r="V269" s="374"/>
      <c r="W269" s="127"/>
      <c r="X269" s="127"/>
      <c r="Y269" s="127"/>
      <c r="Z269" s="131"/>
      <c r="AA269" s="374"/>
      <c r="AB269" s="127"/>
      <c r="AC269" s="127"/>
      <c r="AD269" s="127"/>
      <c r="AE269" s="131"/>
      <c r="AF269" s="374"/>
      <c r="AG269" s="127"/>
      <c r="AH269" s="127"/>
      <c r="AI269" s="127"/>
      <c r="AJ269" s="131"/>
      <c r="AK269" s="374"/>
      <c r="AL269" s="127"/>
      <c r="AM269" s="127"/>
      <c r="AN269" s="127"/>
      <c r="AO269" s="359"/>
      <c r="AP269" s="359"/>
      <c r="AQ269" s="359"/>
      <c r="AR269" s="359"/>
      <c r="AS269" s="359"/>
    </row>
    <row r="270">
      <c r="A270" s="131"/>
      <c r="B270" s="374"/>
      <c r="C270" s="127"/>
      <c r="D270" s="127"/>
      <c r="E270" s="127"/>
      <c r="F270" s="131"/>
      <c r="G270" s="374"/>
      <c r="H270" s="127"/>
      <c r="I270" s="127"/>
      <c r="J270" s="127"/>
      <c r="K270" s="383"/>
      <c r="L270" s="374"/>
      <c r="M270" s="127"/>
      <c r="N270" s="127"/>
      <c r="O270" s="127"/>
      <c r="P270" s="383"/>
      <c r="Q270" s="164"/>
      <c r="R270" s="127"/>
      <c r="S270" s="127"/>
      <c r="T270" s="127"/>
      <c r="U270" s="131"/>
      <c r="V270" s="374"/>
      <c r="W270" s="127"/>
      <c r="X270" s="127"/>
      <c r="Y270" s="127"/>
      <c r="Z270" s="131"/>
      <c r="AA270" s="374"/>
      <c r="AB270" s="127"/>
      <c r="AC270" s="127"/>
      <c r="AD270" s="127"/>
      <c r="AE270" s="131"/>
      <c r="AF270" s="374"/>
      <c r="AG270" s="127"/>
      <c r="AH270" s="127"/>
      <c r="AI270" s="127"/>
      <c r="AJ270" s="131"/>
      <c r="AK270" s="374"/>
      <c r="AL270" s="127"/>
      <c r="AM270" s="127"/>
      <c r="AN270" s="127"/>
      <c r="AO270" s="359"/>
      <c r="AP270" s="359"/>
      <c r="AQ270" s="359"/>
      <c r="AR270" s="359"/>
      <c r="AS270" s="359"/>
    </row>
    <row r="271">
      <c r="A271" s="131"/>
      <c r="B271" s="374"/>
      <c r="C271" s="127"/>
      <c r="D271" s="127"/>
      <c r="E271" s="127"/>
      <c r="F271" s="131"/>
      <c r="G271" s="374"/>
      <c r="H271" s="127"/>
      <c r="I271" s="127"/>
      <c r="J271" s="127"/>
      <c r="K271" s="383"/>
      <c r="L271" s="374"/>
      <c r="M271" s="127"/>
      <c r="N271" s="127"/>
      <c r="O271" s="127"/>
      <c r="P271" s="383"/>
      <c r="Q271" s="164"/>
      <c r="R271" s="127"/>
      <c r="S271" s="127"/>
      <c r="T271" s="127"/>
      <c r="U271" s="131"/>
      <c r="V271" s="374"/>
      <c r="W271" s="127"/>
      <c r="X271" s="127"/>
      <c r="Y271" s="127"/>
      <c r="Z271" s="131"/>
      <c r="AA271" s="374"/>
      <c r="AB271" s="127"/>
      <c r="AC271" s="127"/>
      <c r="AD271" s="127"/>
      <c r="AE271" s="131"/>
      <c r="AF271" s="374"/>
      <c r="AG271" s="127"/>
      <c r="AH271" s="127"/>
      <c r="AI271" s="127"/>
      <c r="AJ271" s="131"/>
      <c r="AK271" s="374"/>
      <c r="AL271" s="127"/>
      <c r="AM271" s="127"/>
      <c r="AN271" s="127"/>
      <c r="AO271" s="359"/>
      <c r="AP271" s="359"/>
      <c r="AQ271" s="359"/>
      <c r="AR271" s="359"/>
      <c r="AS271" s="359"/>
    </row>
    <row r="272">
      <c r="A272" s="131"/>
      <c r="B272" s="374"/>
      <c r="C272" s="127"/>
      <c r="D272" s="127"/>
      <c r="E272" s="127"/>
      <c r="F272" s="131"/>
      <c r="G272" s="374"/>
      <c r="H272" s="127"/>
      <c r="I272" s="127"/>
      <c r="J272" s="127"/>
      <c r="K272" s="383"/>
      <c r="L272" s="374"/>
      <c r="M272" s="127"/>
      <c r="N272" s="127"/>
      <c r="O272" s="127"/>
      <c r="P272" s="383"/>
      <c r="Q272" s="164"/>
      <c r="R272" s="127"/>
      <c r="S272" s="127"/>
      <c r="T272" s="127"/>
      <c r="U272" s="131"/>
      <c r="V272" s="374"/>
      <c r="W272" s="127"/>
      <c r="X272" s="127"/>
      <c r="Y272" s="127"/>
      <c r="Z272" s="131"/>
      <c r="AA272" s="374"/>
      <c r="AB272" s="127"/>
      <c r="AC272" s="127"/>
      <c r="AD272" s="127"/>
      <c r="AE272" s="131"/>
      <c r="AF272" s="374"/>
      <c r="AG272" s="127"/>
      <c r="AH272" s="127"/>
      <c r="AI272" s="127"/>
      <c r="AJ272" s="131"/>
      <c r="AK272" s="374"/>
      <c r="AL272" s="127"/>
      <c r="AM272" s="127"/>
      <c r="AN272" s="127"/>
      <c r="AO272" s="359"/>
      <c r="AP272" s="359"/>
      <c r="AQ272" s="359"/>
      <c r="AR272" s="359"/>
      <c r="AS272" s="359"/>
    </row>
    <row r="273">
      <c r="A273" s="131"/>
      <c r="B273" s="374"/>
      <c r="C273" s="127"/>
      <c r="D273" s="127"/>
      <c r="E273" s="127"/>
      <c r="F273" s="131"/>
      <c r="G273" s="374"/>
      <c r="H273" s="127"/>
      <c r="I273" s="127"/>
      <c r="J273" s="127"/>
      <c r="K273" s="383"/>
      <c r="L273" s="374"/>
      <c r="M273" s="127"/>
      <c r="N273" s="127"/>
      <c r="O273" s="127"/>
      <c r="P273" s="383"/>
      <c r="Q273" s="164"/>
      <c r="R273" s="127"/>
      <c r="S273" s="127"/>
      <c r="T273" s="127"/>
      <c r="U273" s="131"/>
      <c r="V273" s="374"/>
      <c r="W273" s="127"/>
      <c r="X273" s="127"/>
      <c r="Y273" s="127"/>
      <c r="Z273" s="131"/>
      <c r="AA273" s="374"/>
      <c r="AB273" s="127"/>
      <c r="AC273" s="127"/>
      <c r="AD273" s="127"/>
      <c r="AE273" s="131"/>
      <c r="AF273" s="374"/>
      <c r="AG273" s="127"/>
      <c r="AH273" s="127"/>
      <c r="AI273" s="127"/>
      <c r="AJ273" s="131"/>
      <c r="AK273" s="374"/>
      <c r="AL273" s="127"/>
      <c r="AM273" s="127"/>
      <c r="AN273" s="127"/>
      <c r="AO273" s="359"/>
      <c r="AP273" s="359"/>
      <c r="AQ273" s="359"/>
      <c r="AR273" s="359"/>
      <c r="AS273" s="359"/>
    </row>
    <row r="274">
      <c r="A274" s="131"/>
      <c r="B274" s="374"/>
      <c r="C274" s="127"/>
      <c r="D274" s="127"/>
      <c r="E274" s="127"/>
      <c r="F274" s="131"/>
      <c r="G274" s="374"/>
      <c r="H274" s="127"/>
      <c r="I274" s="127"/>
      <c r="J274" s="127"/>
      <c r="K274" s="383"/>
      <c r="L274" s="374"/>
      <c r="M274" s="127"/>
      <c r="N274" s="127"/>
      <c r="O274" s="127"/>
      <c r="P274" s="383"/>
      <c r="Q274" s="164"/>
      <c r="R274" s="127"/>
      <c r="S274" s="127"/>
      <c r="T274" s="127"/>
      <c r="U274" s="131"/>
      <c r="V274" s="374"/>
      <c r="W274" s="127"/>
      <c r="X274" s="127"/>
      <c r="Y274" s="127"/>
      <c r="Z274" s="131"/>
      <c r="AA274" s="374"/>
      <c r="AB274" s="127"/>
      <c r="AC274" s="127"/>
      <c r="AD274" s="127"/>
      <c r="AE274" s="131"/>
      <c r="AF274" s="374"/>
      <c r="AG274" s="127"/>
      <c r="AH274" s="127"/>
      <c r="AI274" s="127"/>
      <c r="AJ274" s="131"/>
      <c r="AK274" s="374"/>
      <c r="AL274" s="127"/>
      <c r="AM274" s="127"/>
      <c r="AN274" s="127"/>
      <c r="AO274" s="359"/>
      <c r="AP274" s="359"/>
      <c r="AQ274" s="359"/>
      <c r="AR274" s="359"/>
      <c r="AS274" s="359"/>
    </row>
    <row r="275">
      <c r="A275" s="131"/>
      <c r="B275" s="374"/>
      <c r="C275" s="127"/>
      <c r="D275" s="127"/>
      <c r="E275" s="127"/>
      <c r="F275" s="131"/>
      <c r="G275" s="374"/>
      <c r="H275" s="127"/>
      <c r="I275" s="127"/>
      <c r="J275" s="127"/>
      <c r="K275" s="383"/>
      <c r="L275" s="374"/>
      <c r="M275" s="127"/>
      <c r="N275" s="127"/>
      <c r="O275" s="127"/>
      <c r="P275" s="383"/>
      <c r="Q275" s="164"/>
      <c r="R275" s="127"/>
      <c r="S275" s="127"/>
      <c r="T275" s="127"/>
      <c r="U275" s="131"/>
      <c r="V275" s="374"/>
      <c r="W275" s="127"/>
      <c r="X275" s="127"/>
      <c r="Y275" s="127"/>
      <c r="Z275" s="131"/>
      <c r="AA275" s="374"/>
      <c r="AB275" s="127"/>
      <c r="AC275" s="127"/>
      <c r="AD275" s="127"/>
      <c r="AE275" s="131"/>
      <c r="AF275" s="374"/>
      <c r="AG275" s="127"/>
      <c r="AH275" s="127"/>
      <c r="AI275" s="127"/>
      <c r="AJ275" s="131"/>
      <c r="AK275" s="374"/>
      <c r="AL275" s="127"/>
      <c r="AM275" s="127"/>
      <c r="AN275" s="127"/>
      <c r="AO275" s="359"/>
      <c r="AP275" s="359"/>
      <c r="AQ275" s="359"/>
      <c r="AR275" s="359"/>
      <c r="AS275" s="359"/>
    </row>
    <row r="276">
      <c r="A276" s="131"/>
      <c r="B276" s="374"/>
      <c r="C276" s="127"/>
      <c r="D276" s="127"/>
      <c r="E276" s="127"/>
      <c r="F276" s="131"/>
      <c r="G276" s="374"/>
      <c r="H276" s="127"/>
      <c r="I276" s="127"/>
      <c r="J276" s="127"/>
      <c r="K276" s="383"/>
      <c r="L276" s="374"/>
      <c r="M276" s="127"/>
      <c r="N276" s="127"/>
      <c r="O276" s="127"/>
      <c r="P276" s="383"/>
      <c r="Q276" s="164"/>
      <c r="R276" s="127"/>
      <c r="S276" s="127"/>
      <c r="T276" s="127"/>
      <c r="U276" s="131"/>
      <c r="V276" s="374"/>
      <c r="W276" s="127"/>
      <c r="X276" s="127"/>
      <c r="Y276" s="127"/>
      <c r="Z276" s="131"/>
      <c r="AA276" s="374"/>
      <c r="AB276" s="127"/>
      <c r="AC276" s="127"/>
      <c r="AD276" s="127"/>
      <c r="AE276" s="131"/>
      <c r="AF276" s="374"/>
      <c r="AG276" s="127"/>
      <c r="AH276" s="127"/>
      <c r="AI276" s="127"/>
      <c r="AJ276" s="131"/>
      <c r="AK276" s="374"/>
      <c r="AL276" s="127"/>
      <c r="AM276" s="127"/>
      <c r="AN276" s="127"/>
      <c r="AO276" s="359"/>
      <c r="AP276" s="359"/>
      <c r="AQ276" s="359"/>
      <c r="AR276" s="359"/>
      <c r="AS276" s="359"/>
    </row>
    <row r="277">
      <c r="A277" s="131"/>
      <c r="B277" s="374"/>
      <c r="C277" s="127"/>
      <c r="D277" s="127"/>
      <c r="E277" s="127"/>
      <c r="F277" s="131"/>
      <c r="G277" s="374"/>
      <c r="H277" s="127"/>
      <c r="I277" s="127"/>
      <c r="J277" s="127"/>
      <c r="K277" s="383"/>
      <c r="L277" s="374"/>
      <c r="M277" s="127"/>
      <c r="N277" s="127"/>
      <c r="O277" s="127"/>
      <c r="P277" s="383"/>
      <c r="Q277" s="164"/>
      <c r="R277" s="127"/>
      <c r="S277" s="127"/>
      <c r="T277" s="127"/>
      <c r="U277" s="131"/>
      <c r="V277" s="374"/>
      <c r="W277" s="127"/>
      <c r="X277" s="127"/>
      <c r="Y277" s="127"/>
      <c r="Z277" s="131"/>
      <c r="AA277" s="374"/>
      <c r="AB277" s="127"/>
      <c r="AC277" s="127"/>
      <c r="AD277" s="127"/>
      <c r="AE277" s="131"/>
      <c r="AF277" s="374"/>
      <c r="AG277" s="127"/>
      <c r="AH277" s="127"/>
      <c r="AI277" s="127"/>
      <c r="AJ277" s="131"/>
      <c r="AK277" s="374"/>
      <c r="AL277" s="127"/>
      <c r="AM277" s="127"/>
      <c r="AN277" s="127"/>
      <c r="AO277" s="359"/>
      <c r="AP277" s="359"/>
      <c r="AQ277" s="359"/>
      <c r="AR277" s="359"/>
      <c r="AS277" s="359"/>
    </row>
    <row r="278">
      <c r="A278" s="131"/>
      <c r="B278" s="374"/>
      <c r="C278" s="127"/>
      <c r="D278" s="127"/>
      <c r="E278" s="127"/>
      <c r="F278" s="131"/>
      <c r="G278" s="374"/>
      <c r="H278" s="127"/>
      <c r="I278" s="127"/>
      <c r="J278" s="127"/>
      <c r="K278" s="383"/>
      <c r="L278" s="374"/>
      <c r="M278" s="127"/>
      <c r="N278" s="127"/>
      <c r="O278" s="127"/>
      <c r="P278" s="383"/>
      <c r="Q278" s="164"/>
      <c r="R278" s="127"/>
      <c r="S278" s="127"/>
      <c r="T278" s="127"/>
      <c r="U278" s="131"/>
      <c r="V278" s="374"/>
      <c r="W278" s="127"/>
      <c r="X278" s="127"/>
      <c r="Y278" s="127"/>
      <c r="Z278" s="131"/>
      <c r="AA278" s="374"/>
      <c r="AB278" s="127"/>
      <c r="AC278" s="127"/>
      <c r="AD278" s="127"/>
      <c r="AE278" s="131"/>
      <c r="AF278" s="374"/>
      <c r="AG278" s="127"/>
      <c r="AH278" s="127"/>
      <c r="AI278" s="127"/>
      <c r="AJ278" s="131"/>
      <c r="AK278" s="374"/>
      <c r="AL278" s="127"/>
      <c r="AM278" s="127"/>
      <c r="AN278" s="127"/>
      <c r="AO278" s="359"/>
      <c r="AP278" s="359"/>
      <c r="AQ278" s="359"/>
      <c r="AR278" s="359"/>
      <c r="AS278" s="359"/>
    </row>
    <row r="279">
      <c r="A279" s="131"/>
      <c r="B279" s="374"/>
      <c r="C279" s="127"/>
      <c r="D279" s="127"/>
      <c r="E279" s="127"/>
      <c r="F279" s="131"/>
      <c r="G279" s="374"/>
      <c r="H279" s="127"/>
      <c r="I279" s="127"/>
      <c r="J279" s="127"/>
      <c r="K279" s="383"/>
      <c r="L279" s="374"/>
      <c r="M279" s="127"/>
      <c r="N279" s="127"/>
      <c r="O279" s="127"/>
      <c r="P279" s="383"/>
      <c r="Q279" s="164"/>
      <c r="R279" s="127"/>
      <c r="S279" s="127"/>
      <c r="T279" s="127"/>
      <c r="U279" s="131"/>
      <c r="V279" s="374"/>
      <c r="W279" s="127"/>
      <c r="X279" s="127"/>
      <c r="Y279" s="127"/>
      <c r="Z279" s="131"/>
      <c r="AA279" s="374"/>
      <c r="AB279" s="127"/>
      <c r="AC279" s="127"/>
      <c r="AD279" s="127"/>
      <c r="AE279" s="131"/>
      <c r="AF279" s="374"/>
      <c r="AG279" s="127"/>
      <c r="AH279" s="127"/>
      <c r="AI279" s="127"/>
      <c r="AJ279" s="131"/>
      <c r="AK279" s="374"/>
      <c r="AL279" s="127"/>
      <c r="AM279" s="127"/>
      <c r="AN279" s="127"/>
      <c r="AO279" s="359"/>
      <c r="AP279" s="359"/>
      <c r="AQ279" s="359"/>
      <c r="AR279" s="359"/>
      <c r="AS279" s="359"/>
    </row>
    <row r="280">
      <c r="A280" s="131"/>
      <c r="B280" s="374"/>
      <c r="C280" s="127"/>
      <c r="D280" s="127"/>
      <c r="E280" s="127"/>
      <c r="F280" s="131"/>
      <c r="G280" s="374"/>
      <c r="H280" s="127"/>
      <c r="I280" s="127"/>
      <c r="J280" s="127"/>
      <c r="K280" s="383"/>
      <c r="L280" s="374"/>
      <c r="M280" s="127"/>
      <c r="N280" s="127"/>
      <c r="O280" s="127"/>
      <c r="P280" s="383"/>
      <c r="Q280" s="164"/>
      <c r="R280" s="127"/>
      <c r="S280" s="127"/>
      <c r="T280" s="127"/>
      <c r="U280" s="131"/>
      <c r="V280" s="374"/>
      <c r="W280" s="127"/>
      <c r="X280" s="127"/>
      <c r="Y280" s="127"/>
      <c r="Z280" s="131"/>
      <c r="AA280" s="374"/>
      <c r="AB280" s="127"/>
      <c r="AC280" s="127"/>
      <c r="AD280" s="127"/>
      <c r="AE280" s="131"/>
      <c r="AF280" s="374"/>
      <c r="AG280" s="127"/>
      <c r="AH280" s="127"/>
      <c r="AI280" s="127"/>
      <c r="AJ280" s="131"/>
      <c r="AK280" s="374"/>
      <c r="AL280" s="127"/>
      <c r="AM280" s="127"/>
      <c r="AN280" s="127"/>
      <c r="AO280" s="359"/>
      <c r="AP280" s="359"/>
      <c r="AQ280" s="359"/>
      <c r="AR280" s="359"/>
      <c r="AS280" s="359"/>
    </row>
    <row r="281">
      <c r="A281" s="131"/>
      <c r="B281" s="374"/>
      <c r="C281" s="127"/>
      <c r="D281" s="127"/>
      <c r="E281" s="127"/>
      <c r="F281" s="131"/>
      <c r="G281" s="374"/>
      <c r="H281" s="127"/>
      <c r="I281" s="127"/>
      <c r="J281" s="127"/>
      <c r="K281" s="383"/>
      <c r="L281" s="374"/>
      <c r="M281" s="127"/>
      <c r="N281" s="127"/>
      <c r="O281" s="127"/>
      <c r="P281" s="383"/>
      <c r="Q281" s="164"/>
      <c r="R281" s="127"/>
      <c r="S281" s="127"/>
      <c r="T281" s="127"/>
      <c r="U281" s="131"/>
      <c r="V281" s="374"/>
      <c r="W281" s="127"/>
      <c r="X281" s="127"/>
      <c r="Y281" s="127"/>
      <c r="Z281" s="131"/>
      <c r="AA281" s="374"/>
      <c r="AB281" s="127"/>
      <c r="AC281" s="127"/>
      <c r="AD281" s="127"/>
      <c r="AE281" s="131"/>
      <c r="AF281" s="374"/>
      <c r="AG281" s="127"/>
      <c r="AH281" s="127"/>
      <c r="AI281" s="127"/>
      <c r="AJ281" s="131"/>
      <c r="AK281" s="374"/>
      <c r="AL281" s="127"/>
      <c r="AM281" s="127"/>
      <c r="AN281" s="127"/>
      <c r="AO281" s="359"/>
      <c r="AP281" s="359"/>
      <c r="AQ281" s="359"/>
      <c r="AR281" s="359"/>
      <c r="AS281" s="359"/>
    </row>
    <row r="282">
      <c r="A282" s="131"/>
      <c r="B282" s="374"/>
      <c r="C282" s="127"/>
      <c r="D282" s="127"/>
      <c r="E282" s="127"/>
      <c r="F282" s="131"/>
      <c r="G282" s="374"/>
      <c r="H282" s="127"/>
      <c r="I282" s="127"/>
      <c r="J282" s="127"/>
      <c r="K282" s="383"/>
      <c r="L282" s="374"/>
      <c r="M282" s="127"/>
      <c r="N282" s="127"/>
      <c r="O282" s="127"/>
      <c r="P282" s="383"/>
      <c r="Q282" s="164"/>
      <c r="R282" s="127"/>
      <c r="S282" s="127"/>
      <c r="T282" s="127"/>
      <c r="U282" s="131"/>
      <c r="V282" s="374"/>
      <c r="W282" s="127"/>
      <c r="X282" s="127"/>
      <c r="Y282" s="127"/>
      <c r="Z282" s="131"/>
      <c r="AA282" s="374"/>
      <c r="AB282" s="127"/>
      <c r="AC282" s="127"/>
      <c r="AD282" s="127"/>
      <c r="AE282" s="131"/>
      <c r="AF282" s="374"/>
      <c r="AG282" s="127"/>
      <c r="AH282" s="127"/>
      <c r="AI282" s="127"/>
      <c r="AJ282" s="131"/>
      <c r="AK282" s="374"/>
      <c r="AL282" s="127"/>
      <c r="AM282" s="127"/>
      <c r="AN282" s="127"/>
      <c r="AO282" s="359"/>
      <c r="AP282" s="359"/>
      <c r="AQ282" s="359"/>
      <c r="AR282" s="359"/>
      <c r="AS282" s="359"/>
    </row>
    <row r="283">
      <c r="A283" s="131"/>
      <c r="B283" s="374"/>
      <c r="C283" s="127"/>
      <c r="D283" s="127"/>
      <c r="E283" s="127"/>
      <c r="F283" s="131"/>
      <c r="G283" s="374"/>
      <c r="H283" s="127"/>
      <c r="I283" s="127"/>
      <c r="J283" s="127"/>
      <c r="K283" s="383"/>
      <c r="L283" s="374"/>
      <c r="M283" s="127"/>
      <c r="N283" s="127"/>
      <c r="O283" s="127"/>
      <c r="P283" s="383"/>
      <c r="Q283" s="164"/>
      <c r="R283" s="127"/>
      <c r="S283" s="127"/>
      <c r="T283" s="127"/>
      <c r="U283" s="131"/>
      <c r="V283" s="374"/>
      <c r="W283" s="127"/>
      <c r="X283" s="127"/>
      <c r="Y283" s="127"/>
      <c r="Z283" s="131"/>
      <c r="AA283" s="374"/>
      <c r="AB283" s="127"/>
      <c r="AC283" s="127"/>
      <c r="AD283" s="127"/>
      <c r="AE283" s="131"/>
      <c r="AF283" s="374"/>
      <c r="AG283" s="127"/>
      <c r="AH283" s="127"/>
      <c r="AI283" s="127"/>
      <c r="AJ283" s="131"/>
      <c r="AK283" s="374"/>
      <c r="AL283" s="127"/>
      <c r="AM283" s="127"/>
      <c r="AN283" s="127"/>
      <c r="AO283" s="359"/>
      <c r="AP283" s="359"/>
      <c r="AQ283" s="359"/>
      <c r="AR283" s="359"/>
      <c r="AS283" s="359"/>
    </row>
    <row r="284">
      <c r="A284" s="131"/>
      <c r="B284" s="374"/>
      <c r="C284" s="127"/>
      <c r="D284" s="127"/>
      <c r="E284" s="127"/>
      <c r="F284" s="131"/>
      <c r="G284" s="374"/>
      <c r="H284" s="127"/>
      <c r="I284" s="127"/>
      <c r="J284" s="127"/>
      <c r="K284" s="383"/>
      <c r="L284" s="374"/>
      <c r="M284" s="127"/>
      <c r="N284" s="127"/>
      <c r="O284" s="127"/>
      <c r="P284" s="383"/>
      <c r="Q284" s="164"/>
      <c r="R284" s="127"/>
      <c r="S284" s="127"/>
      <c r="T284" s="127"/>
      <c r="U284" s="131"/>
      <c r="V284" s="374"/>
      <c r="W284" s="127"/>
      <c r="X284" s="127"/>
      <c r="Y284" s="127"/>
      <c r="Z284" s="131"/>
      <c r="AA284" s="374"/>
      <c r="AB284" s="127"/>
      <c r="AC284" s="127"/>
      <c r="AD284" s="127"/>
      <c r="AE284" s="131"/>
      <c r="AF284" s="374"/>
      <c r="AG284" s="127"/>
      <c r="AH284" s="127"/>
      <c r="AI284" s="127"/>
      <c r="AJ284" s="131"/>
      <c r="AK284" s="374"/>
      <c r="AL284" s="127"/>
      <c r="AM284" s="127"/>
      <c r="AN284" s="127"/>
      <c r="AO284" s="359"/>
      <c r="AP284" s="359"/>
      <c r="AQ284" s="359"/>
      <c r="AR284" s="359"/>
      <c r="AS284" s="359"/>
    </row>
    <row r="285">
      <c r="A285" s="131"/>
      <c r="B285" s="374"/>
      <c r="C285" s="127"/>
      <c r="D285" s="127"/>
      <c r="E285" s="127"/>
      <c r="F285" s="131"/>
      <c r="G285" s="374"/>
      <c r="H285" s="127"/>
      <c r="I285" s="127"/>
      <c r="J285" s="127"/>
      <c r="K285" s="383"/>
      <c r="L285" s="374"/>
      <c r="M285" s="127"/>
      <c r="N285" s="127"/>
      <c r="O285" s="127"/>
      <c r="P285" s="383"/>
      <c r="Q285" s="164"/>
      <c r="R285" s="127"/>
      <c r="S285" s="127"/>
      <c r="T285" s="127"/>
      <c r="U285" s="131"/>
      <c r="V285" s="374"/>
      <c r="W285" s="127"/>
      <c r="X285" s="127"/>
      <c r="Y285" s="127"/>
      <c r="Z285" s="131"/>
      <c r="AA285" s="374"/>
      <c r="AB285" s="127"/>
      <c r="AC285" s="127"/>
      <c r="AD285" s="127"/>
      <c r="AE285" s="131"/>
      <c r="AF285" s="374"/>
      <c r="AG285" s="127"/>
      <c r="AH285" s="127"/>
      <c r="AI285" s="127"/>
      <c r="AJ285" s="131"/>
      <c r="AK285" s="374"/>
      <c r="AL285" s="127"/>
      <c r="AM285" s="127"/>
      <c r="AN285" s="127"/>
      <c r="AO285" s="359"/>
      <c r="AP285" s="359"/>
      <c r="AQ285" s="359"/>
      <c r="AR285" s="359"/>
      <c r="AS285" s="359"/>
    </row>
    <row r="286">
      <c r="A286" s="131"/>
      <c r="B286" s="374"/>
      <c r="C286" s="127"/>
      <c r="D286" s="127"/>
      <c r="E286" s="127"/>
      <c r="F286" s="131"/>
      <c r="G286" s="374"/>
      <c r="H286" s="127"/>
      <c r="I286" s="127"/>
      <c r="J286" s="127"/>
      <c r="K286" s="383"/>
      <c r="L286" s="374"/>
      <c r="M286" s="127"/>
      <c r="N286" s="127"/>
      <c r="O286" s="127"/>
      <c r="P286" s="383"/>
      <c r="Q286" s="164"/>
      <c r="R286" s="127"/>
      <c r="S286" s="127"/>
      <c r="T286" s="127"/>
      <c r="U286" s="131"/>
      <c r="V286" s="374"/>
      <c r="W286" s="127"/>
      <c r="X286" s="127"/>
      <c r="Y286" s="127"/>
      <c r="Z286" s="131"/>
      <c r="AA286" s="374"/>
      <c r="AB286" s="127"/>
      <c r="AC286" s="127"/>
      <c r="AD286" s="127"/>
      <c r="AE286" s="131"/>
      <c r="AF286" s="374"/>
      <c r="AG286" s="127"/>
      <c r="AH286" s="127"/>
      <c r="AI286" s="127"/>
      <c r="AJ286" s="131"/>
      <c r="AK286" s="374"/>
      <c r="AL286" s="127"/>
      <c r="AM286" s="127"/>
      <c r="AN286" s="127"/>
      <c r="AO286" s="359"/>
      <c r="AP286" s="359"/>
      <c r="AQ286" s="359"/>
      <c r="AR286" s="359"/>
      <c r="AS286" s="359"/>
    </row>
    <row r="287">
      <c r="A287" s="131"/>
      <c r="B287" s="374"/>
      <c r="C287" s="127"/>
      <c r="D287" s="127"/>
      <c r="E287" s="127"/>
      <c r="F287" s="131"/>
      <c r="G287" s="374"/>
      <c r="H287" s="127"/>
      <c r="I287" s="127"/>
      <c r="J287" s="127"/>
      <c r="K287" s="383"/>
      <c r="L287" s="374"/>
      <c r="M287" s="127"/>
      <c r="N287" s="127"/>
      <c r="O287" s="127"/>
      <c r="P287" s="383"/>
      <c r="Q287" s="164"/>
      <c r="R287" s="127"/>
      <c r="S287" s="127"/>
      <c r="T287" s="127"/>
      <c r="U287" s="131"/>
      <c r="V287" s="374"/>
      <c r="W287" s="127"/>
      <c r="X287" s="127"/>
      <c r="Y287" s="127"/>
      <c r="Z287" s="131"/>
      <c r="AA287" s="374"/>
      <c r="AB287" s="127"/>
      <c r="AC287" s="127"/>
      <c r="AD287" s="127"/>
      <c r="AE287" s="131"/>
      <c r="AF287" s="374"/>
      <c r="AG287" s="127"/>
      <c r="AH287" s="127"/>
      <c r="AI287" s="127"/>
      <c r="AJ287" s="131"/>
      <c r="AK287" s="374"/>
      <c r="AL287" s="127"/>
      <c r="AM287" s="127"/>
      <c r="AN287" s="127"/>
      <c r="AO287" s="359"/>
      <c r="AP287" s="359"/>
      <c r="AQ287" s="359"/>
      <c r="AR287" s="359"/>
      <c r="AS287" s="359"/>
    </row>
    <row r="288">
      <c r="A288" s="131"/>
      <c r="B288" s="374"/>
      <c r="C288" s="127"/>
      <c r="D288" s="127"/>
      <c r="E288" s="127"/>
      <c r="F288" s="131"/>
      <c r="G288" s="374"/>
      <c r="H288" s="127"/>
      <c r="I288" s="127"/>
      <c r="J288" s="127"/>
      <c r="K288" s="383"/>
      <c r="L288" s="374"/>
      <c r="M288" s="127"/>
      <c r="N288" s="127"/>
      <c r="O288" s="127"/>
      <c r="P288" s="383"/>
      <c r="Q288" s="164"/>
      <c r="R288" s="127"/>
      <c r="S288" s="127"/>
      <c r="T288" s="127"/>
      <c r="U288" s="131"/>
      <c r="V288" s="374"/>
      <c r="W288" s="127"/>
      <c r="X288" s="127"/>
      <c r="Y288" s="127"/>
      <c r="Z288" s="131"/>
      <c r="AA288" s="374"/>
      <c r="AB288" s="127"/>
      <c r="AC288" s="127"/>
      <c r="AD288" s="127"/>
      <c r="AE288" s="131"/>
      <c r="AF288" s="374"/>
      <c r="AG288" s="127"/>
      <c r="AH288" s="127"/>
      <c r="AI288" s="127"/>
      <c r="AJ288" s="131"/>
      <c r="AK288" s="374"/>
      <c r="AL288" s="127"/>
      <c r="AM288" s="127"/>
      <c r="AN288" s="127"/>
      <c r="AO288" s="359"/>
      <c r="AP288" s="359"/>
      <c r="AQ288" s="359"/>
      <c r="AR288" s="359"/>
      <c r="AS288" s="359"/>
    </row>
    <row r="289">
      <c r="A289" s="131"/>
      <c r="B289" s="374"/>
      <c r="C289" s="127"/>
      <c r="D289" s="127"/>
      <c r="E289" s="127"/>
      <c r="F289" s="131"/>
      <c r="G289" s="374"/>
      <c r="H289" s="127"/>
      <c r="I289" s="127"/>
      <c r="J289" s="127"/>
      <c r="K289" s="383"/>
      <c r="L289" s="374"/>
      <c r="M289" s="127"/>
      <c r="N289" s="127"/>
      <c r="O289" s="127"/>
      <c r="P289" s="383"/>
      <c r="Q289" s="164"/>
      <c r="R289" s="127"/>
      <c r="S289" s="127"/>
      <c r="T289" s="127"/>
      <c r="U289" s="131"/>
      <c r="V289" s="374"/>
      <c r="W289" s="127"/>
      <c r="X289" s="127"/>
      <c r="Y289" s="127"/>
      <c r="Z289" s="131"/>
      <c r="AA289" s="374"/>
      <c r="AB289" s="127"/>
      <c r="AC289" s="127"/>
      <c r="AD289" s="127"/>
      <c r="AE289" s="131"/>
      <c r="AF289" s="374"/>
      <c r="AG289" s="127"/>
      <c r="AH289" s="127"/>
      <c r="AI289" s="127"/>
      <c r="AJ289" s="131"/>
      <c r="AK289" s="374"/>
      <c r="AL289" s="127"/>
      <c r="AM289" s="127"/>
      <c r="AN289" s="127"/>
      <c r="AO289" s="359"/>
      <c r="AP289" s="359"/>
      <c r="AQ289" s="359"/>
      <c r="AR289" s="359"/>
      <c r="AS289" s="359"/>
    </row>
    <row r="290">
      <c r="A290" s="131"/>
      <c r="B290" s="374"/>
      <c r="C290" s="127"/>
      <c r="D290" s="127"/>
      <c r="E290" s="127"/>
      <c r="F290" s="131"/>
      <c r="G290" s="374"/>
      <c r="H290" s="127"/>
      <c r="I290" s="127"/>
      <c r="J290" s="127"/>
      <c r="K290" s="383"/>
      <c r="L290" s="374"/>
      <c r="M290" s="127"/>
      <c r="N290" s="127"/>
      <c r="O290" s="127"/>
      <c r="P290" s="383"/>
      <c r="Q290" s="164"/>
      <c r="R290" s="127"/>
      <c r="S290" s="127"/>
      <c r="T290" s="127"/>
      <c r="U290" s="131"/>
      <c r="V290" s="374"/>
      <c r="W290" s="127"/>
      <c r="X290" s="127"/>
      <c r="Y290" s="127"/>
      <c r="Z290" s="131"/>
      <c r="AA290" s="374"/>
      <c r="AB290" s="127"/>
      <c r="AC290" s="127"/>
      <c r="AD290" s="127"/>
      <c r="AE290" s="131"/>
      <c r="AF290" s="374"/>
      <c r="AG290" s="127"/>
      <c r="AH290" s="127"/>
      <c r="AI290" s="127"/>
      <c r="AJ290" s="131"/>
      <c r="AK290" s="374"/>
      <c r="AL290" s="127"/>
      <c r="AM290" s="127"/>
      <c r="AN290" s="127"/>
      <c r="AO290" s="359"/>
      <c r="AP290" s="359"/>
      <c r="AQ290" s="359"/>
      <c r="AR290" s="359"/>
      <c r="AS290" s="359"/>
    </row>
    <row r="291">
      <c r="A291" s="131"/>
      <c r="B291" s="374"/>
      <c r="C291" s="127"/>
      <c r="D291" s="127"/>
      <c r="E291" s="127"/>
      <c r="F291" s="131"/>
      <c r="G291" s="374"/>
      <c r="H291" s="127"/>
      <c r="I291" s="127"/>
      <c r="J291" s="127"/>
      <c r="K291" s="383"/>
      <c r="L291" s="374"/>
      <c r="M291" s="127"/>
      <c r="N291" s="127"/>
      <c r="O291" s="127"/>
      <c r="P291" s="383"/>
      <c r="Q291" s="164"/>
      <c r="R291" s="127"/>
      <c r="S291" s="127"/>
      <c r="T291" s="127"/>
      <c r="U291" s="131"/>
      <c r="V291" s="374"/>
      <c r="W291" s="127"/>
      <c r="X291" s="127"/>
      <c r="Y291" s="127"/>
      <c r="Z291" s="131"/>
      <c r="AA291" s="374"/>
      <c r="AB291" s="127"/>
      <c r="AC291" s="127"/>
      <c r="AD291" s="127"/>
      <c r="AE291" s="131"/>
      <c r="AF291" s="374"/>
      <c r="AG291" s="127"/>
      <c r="AH291" s="127"/>
      <c r="AI291" s="127"/>
      <c r="AJ291" s="131"/>
      <c r="AK291" s="374"/>
      <c r="AL291" s="127"/>
      <c r="AM291" s="127"/>
      <c r="AN291" s="127"/>
      <c r="AO291" s="359"/>
      <c r="AP291" s="359"/>
      <c r="AQ291" s="359"/>
      <c r="AR291" s="359"/>
      <c r="AS291" s="359"/>
    </row>
    <row r="292">
      <c r="A292" s="131"/>
      <c r="B292" s="374"/>
      <c r="C292" s="127"/>
      <c r="D292" s="127"/>
      <c r="E292" s="127"/>
      <c r="F292" s="131"/>
      <c r="G292" s="374"/>
      <c r="H292" s="127"/>
      <c r="I292" s="127"/>
      <c r="J292" s="127"/>
      <c r="K292" s="383"/>
      <c r="L292" s="374"/>
      <c r="M292" s="127"/>
      <c r="N292" s="127"/>
      <c r="O292" s="127"/>
      <c r="P292" s="383"/>
      <c r="Q292" s="164"/>
      <c r="R292" s="127"/>
      <c r="S292" s="127"/>
      <c r="T292" s="127"/>
      <c r="U292" s="131"/>
      <c r="V292" s="374"/>
      <c r="W292" s="127"/>
      <c r="X292" s="127"/>
      <c r="Y292" s="127"/>
      <c r="Z292" s="131"/>
      <c r="AA292" s="374"/>
      <c r="AB292" s="127"/>
      <c r="AC292" s="127"/>
      <c r="AD292" s="127"/>
      <c r="AE292" s="131"/>
      <c r="AF292" s="374"/>
      <c r="AG292" s="127"/>
      <c r="AH292" s="127"/>
      <c r="AI292" s="127"/>
      <c r="AJ292" s="131"/>
      <c r="AK292" s="374"/>
      <c r="AL292" s="127"/>
      <c r="AM292" s="127"/>
      <c r="AN292" s="127"/>
      <c r="AO292" s="359"/>
      <c r="AP292" s="359"/>
      <c r="AQ292" s="359"/>
      <c r="AR292" s="359"/>
      <c r="AS292" s="359"/>
    </row>
    <row r="293">
      <c r="A293" s="131"/>
      <c r="B293" s="374"/>
      <c r="C293" s="127"/>
      <c r="D293" s="127"/>
      <c r="E293" s="127"/>
      <c r="F293" s="131"/>
      <c r="G293" s="374"/>
      <c r="H293" s="127"/>
      <c r="I293" s="127"/>
      <c r="J293" s="127"/>
      <c r="K293" s="383"/>
      <c r="L293" s="374"/>
      <c r="M293" s="127"/>
      <c r="N293" s="127"/>
      <c r="O293" s="127"/>
      <c r="P293" s="383"/>
      <c r="Q293" s="164"/>
      <c r="R293" s="127"/>
      <c r="S293" s="127"/>
      <c r="T293" s="127"/>
      <c r="U293" s="131"/>
      <c r="V293" s="374"/>
      <c r="W293" s="127"/>
      <c r="X293" s="127"/>
      <c r="Y293" s="127"/>
      <c r="Z293" s="131"/>
      <c r="AA293" s="374"/>
      <c r="AB293" s="127"/>
      <c r="AC293" s="127"/>
      <c r="AD293" s="127"/>
      <c r="AE293" s="131"/>
      <c r="AF293" s="374"/>
      <c r="AG293" s="127"/>
      <c r="AH293" s="127"/>
      <c r="AI293" s="127"/>
      <c r="AJ293" s="131"/>
      <c r="AK293" s="374"/>
      <c r="AL293" s="127"/>
      <c r="AM293" s="127"/>
      <c r="AN293" s="127"/>
      <c r="AO293" s="359"/>
      <c r="AP293" s="359"/>
      <c r="AQ293" s="359"/>
      <c r="AR293" s="359"/>
      <c r="AS293" s="359"/>
    </row>
    <row r="294">
      <c r="A294" s="131"/>
      <c r="B294" s="374"/>
      <c r="C294" s="127"/>
      <c r="D294" s="127"/>
      <c r="E294" s="127"/>
      <c r="F294" s="131"/>
      <c r="G294" s="374"/>
      <c r="H294" s="127"/>
      <c r="I294" s="127"/>
      <c r="J294" s="127"/>
      <c r="K294" s="383"/>
      <c r="L294" s="374"/>
      <c r="M294" s="127"/>
      <c r="N294" s="127"/>
      <c r="O294" s="127"/>
      <c r="P294" s="383"/>
      <c r="Q294" s="164"/>
      <c r="R294" s="127"/>
      <c r="S294" s="127"/>
      <c r="T294" s="127"/>
      <c r="U294" s="131"/>
      <c r="V294" s="374"/>
      <c r="W294" s="127"/>
      <c r="X294" s="127"/>
      <c r="Y294" s="127"/>
      <c r="Z294" s="131"/>
      <c r="AA294" s="374"/>
      <c r="AB294" s="127"/>
      <c r="AC294" s="127"/>
      <c r="AD294" s="127"/>
      <c r="AE294" s="131"/>
      <c r="AF294" s="374"/>
      <c r="AG294" s="127"/>
      <c r="AH294" s="127"/>
      <c r="AI294" s="127"/>
      <c r="AJ294" s="131"/>
      <c r="AK294" s="374"/>
      <c r="AL294" s="127"/>
      <c r="AM294" s="127"/>
      <c r="AN294" s="127"/>
      <c r="AO294" s="359"/>
      <c r="AP294" s="359"/>
      <c r="AQ294" s="359"/>
      <c r="AR294" s="359"/>
      <c r="AS294" s="359"/>
    </row>
    <row r="295">
      <c r="A295" s="131"/>
      <c r="B295" s="374"/>
      <c r="C295" s="127"/>
      <c r="D295" s="127"/>
      <c r="E295" s="127"/>
      <c r="F295" s="131"/>
      <c r="G295" s="374"/>
      <c r="H295" s="127"/>
      <c r="I295" s="127"/>
      <c r="J295" s="127"/>
      <c r="K295" s="383"/>
      <c r="L295" s="374"/>
      <c r="M295" s="127"/>
      <c r="N295" s="127"/>
      <c r="O295" s="127"/>
      <c r="P295" s="383"/>
      <c r="Q295" s="164"/>
      <c r="R295" s="127"/>
      <c r="S295" s="127"/>
      <c r="T295" s="127"/>
      <c r="U295" s="131"/>
      <c r="V295" s="374"/>
      <c r="W295" s="127"/>
      <c r="X295" s="127"/>
      <c r="Y295" s="127"/>
      <c r="Z295" s="131"/>
      <c r="AA295" s="374"/>
      <c r="AB295" s="127"/>
      <c r="AC295" s="127"/>
      <c r="AD295" s="127"/>
      <c r="AE295" s="131"/>
      <c r="AF295" s="374"/>
      <c r="AG295" s="127"/>
      <c r="AH295" s="127"/>
      <c r="AI295" s="127"/>
      <c r="AJ295" s="131"/>
      <c r="AK295" s="374"/>
      <c r="AL295" s="127"/>
      <c r="AM295" s="127"/>
      <c r="AN295" s="127"/>
      <c r="AO295" s="359"/>
      <c r="AP295" s="359"/>
      <c r="AQ295" s="359"/>
      <c r="AR295" s="359"/>
      <c r="AS295" s="359"/>
    </row>
    <row r="296">
      <c r="A296" s="131"/>
      <c r="B296" s="374"/>
      <c r="C296" s="127"/>
      <c r="D296" s="127"/>
      <c r="E296" s="127"/>
      <c r="F296" s="131"/>
      <c r="G296" s="374"/>
      <c r="H296" s="127"/>
      <c r="I296" s="127"/>
      <c r="J296" s="127"/>
      <c r="K296" s="383"/>
      <c r="L296" s="374"/>
      <c r="M296" s="127"/>
      <c r="N296" s="127"/>
      <c r="O296" s="127"/>
      <c r="P296" s="383"/>
      <c r="Q296" s="164"/>
      <c r="R296" s="127"/>
      <c r="S296" s="127"/>
      <c r="T296" s="127"/>
      <c r="U296" s="131"/>
      <c r="V296" s="374"/>
      <c r="W296" s="127"/>
      <c r="X296" s="127"/>
      <c r="Y296" s="127"/>
      <c r="Z296" s="131"/>
      <c r="AA296" s="374"/>
      <c r="AB296" s="127"/>
      <c r="AC296" s="127"/>
      <c r="AD296" s="127"/>
      <c r="AE296" s="131"/>
      <c r="AF296" s="374"/>
      <c r="AG296" s="127"/>
      <c r="AH296" s="127"/>
      <c r="AI296" s="127"/>
      <c r="AJ296" s="131"/>
      <c r="AK296" s="374"/>
      <c r="AL296" s="127"/>
      <c r="AM296" s="127"/>
      <c r="AN296" s="127"/>
      <c r="AO296" s="359"/>
      <c r="AP296" s="359"/>
      <c r="AQ296" s="359"/>
      <c r="AR296" s="359"/>
      <c r="AS296" s="359"/>
    </row>
    <row r="297">
      <c r="A297" s="131"/>
      <c r="B297" s="374"/>
      <c r="C297" s="127"/>
      <c r="D297" s="127"/>
      <c r="E297" s="127"/>
      <c r="F297" s="131"/>
      <c r="G297" s="374"/>
      <c r="H297" s="127"/>
      <c r="I297" s="127"/>
      <c r="J297" s="127"/>
      <c r="K297" s="383"/>
      <c r="L297" s="374"/>
      <c r="M297" s="127"/>
      <c r="N297" s="127"/>
      <c r="O297" s="127"/>
      <c r="P297" s="383"/>
      <c r="Q297" s="164"/>
      <c r="R297" s="127"/>
      <c r="S297" s="127"/>
      <c r="T297" s="127"/>
      <c r="U297" s="131"/>
      <c r="V297" s="374"/>
      <c r="W297" s="127"/>
      <c r="X297" s="127"/>
      <c r="Y297" s="127"/>
      <c r="Z297" s="131"/>
      <c r="AA297" s="374"/>
      <c r="AB297" s="127"/>
      <c r="AC297" s="127"/>
      <c r="AD297" s="127"/>
      <c r="AE297" s="131"/>
      <c r="AF297" s="374"/>
      <c r="AG297" s="127"/>
      <c r="AH297" s="127"/>
      <c r="AI297" s="127"/>
      <c r="AJ297" s="131"/>
      <c r="AK297" s="374"/>
      <c r="AL297" s="127"/>
      <c r="AM297" s="127"/>
      <c r="AN297" s="127"/>
      <c r="AO297" s="359"/>
      <c r="AP297" s="359"/>
      <c r="AQ297" s="359"/>
      <c r="AR297" s="359"/>
      <c r="AS297" s="359"/>
    </row>
    <row r="298">
      <c r="A298" s="131"/>
      <c r="B298" s="374"/>
      <c r="C298" s="127"/>
      <c r="D298" s="127"/>
      <c r="E298" s="127"/>
      <c r="F298" s="131"/>
      <c r="G298" s="374"/>
      <c r="H298" s="127"/>
      <c r="I298" s="127"/>
      <c r="J298" s="127"/>
      <c r="K298" s="383"/>
      <c r="L298" s="374"/>
      <c r="M298" s="127"/>
      <c r="N298" s="127"/>
      <c r="O298" s="127"/>
      <c r="P298" s="383"/>
      <c r="Q298" s="164"/>
      <c r="R298" s="127"/>
      <c r="S298" s="127"/>
      <c r="T298" s="127"/>
      <c r="U298" s="131"/>
      <c r="V298" s="374"/>
      <c r="W298" s="127"/>
      <c r="X298" s="127"/>
      <c r="Y298" s="127"/>
      <c r="Z298" s="131"/>
      <c r="AA298" s="374"/>
      <c r="AB298" s="127"/>
      <c r="AC298" s="127"/>
      <c r="AD298" s="127"/>
      <c r="AE298" s="131"/>
      <c r="AF298" s="374"/>
      <c r="AG298" s="127"/>
      <c r="AH298" s="127"/>
      <c r="AI298" s="127"/>
      <c r="AJ298" s="131"/>
      <c r="AK298" s="374"/>
      <c r="AL298" s="127"/>
      <c r="AM298" s="127"/>
      <c r="AN298" s="127"/>
      <c r="AO298" s="359"/>
      <c r="AP298" s="359"/>
      <c r="AQ298" s="359"/>
      <c r="AR298" s="359"/>
      <c r="AS298" s="359"/>
    </row>
    <row r="299">
      <c r="A299" s="131"/>
      <c r="B299" s="374"/>
      <c r="C299" s="127"/>
      <c r="D299" s="127"/>
      <c r="E299" s="127"/>
      <c r="F299" s="131"/>
      <c r="G299" s="374"/>
      <c r="H299" s="127"/>
      <c r="I299" s="127"/>
      <c r="J299" s="127"/>
      <c r="K299" s="383"/>
      <c r="L299" s="374"/>
      <c r="M299" s="127"/>
      <c r="N299" s="127"/>
      <c r="O299" s="127"/>
      <c r="P299" s="383"/>
      <c r="Q299" s="164"/>
      <c r="R299" s="127"/>
      <c r="S299" s="127"/>
      <c r="T299" s="127"/>
      <c r="U299" s="131"/>
      <c r="V299" s="374"/>
      <c r="W299" s="127"/>
      <c r="X299" s="127"/>
      <c r="Y299" s="127"/>
      <c r="Z299" s="131"/>
      <c r="AA299" s="374"/>
      <c r="AB299" s="127"/>
      <c r="AC299" s="127"/>
      <c r="AD299" s="127"/>
      <c r="AE299" s="131"/>
      <c r="AF299" s="374"/>
      <c r="AG299" s="127"/>
      <c r="AH299" s="127"/>
      <c r="AI299" s="127"/>
      <c r="AJ299" s="131"/>
      <c r="AK299" s="374"/>
      <c r="AL299" s="127"/>
      <c r="AM299" s="127"/>
      <c r="AN299" s="127"/>
      <c r="AO299" s="359"/>
      <c r="AP299" s="359"/>
      <c r="AQ299" s="359"/>
      <c r="AR299" s="359"/>
      <c r="AS299" s="359"/>
    </row>
    <row r="300">
      <c r="A300" s="131"/>
      <c r="B300" s="374"/>
      <c r="C300" s="127"/>
      <c r="D300" s="127"/>
      <c r="E300" s="127"/>
      <c r="F300" s="131"/>
      <c r="G300" s="374"/>
      <c r="H300" s="127"/>
      <c r="I300" s="127"/>
      <c r="J300" s="127"/>
      <c r="K300" s="383"/>
      <c r="L300" s="374"/>
      <c r="M300" s="127"/>
      <c r="N300" s="127"/>
      <c r="O300" s="127"/>
      <c r="P300" s="383"/>
      <c r="Q300" s="164"/>
      <c r="R300" s="127"/>
      <c r="S300" s="127"/>
      <c r="T300" s="127"/>
      <c r="U300" s="131"/>
      <c r="V300" s="374"/>
      <c r="W300" s="127"/>
      <c r="X300" s="127"/>
      <c r="Y300" s="127"/>
      <c r="Z300" s="131"/>
      <c r="AA300" s="374"/>
      <c r="AB300" s="127"/>
      <c r="AC300" s="127"/>
      <c r="AD300" s="127"/>
      <c r="AE300" s="131"/>
      <c r="AF300" s="374"/>
      <c r="AG300" s="127"/>
      <c r="AH300" s="127"/>
      <c r="AI300" s="127"/>
      <c r="AJ300" s="131"/>
      <c r="AK300" s="374"/>
      <c r="AL300" s="127"/>
      <c r="AM300" s="127"/>
      <c r="AN300" s="127"/>
      <c r="AO300" s="359"/>
      <c r="AP300" s="359"/>
      <c r="AQ300" s="359"/>
      <c r="AR300" s="359"/>
      <c r="AS300" s="359"/>
    </row>
    <row r="301">
      <c r="A301" s="131"/>
      <c r="B301" s="374"/>
      <c r="C301" s="127"/>
      <c r="D301" s="127"/>
      <c r="E301" s="127"/>
      <c r="F301" s="131"/>
      <c r="G301" s="374"/>
      <c r="H301" s="127"/>
      <c r="I301" s="127"/>
      <c r="J301" s="127"/>
      <c r="K301" s="383"/>
      <c r="L301" s="374"/>
      <c r="M301" s="127"/>
      <c r="N301" s="127"/>
      <c r="O301" s="127"/>
      <c r="P301" s="383"/>
      <c r="Q301" s="164"/>
      <c r="R301" s="127"/>
      <c r="S301" s="127"/>
      <c r="T301" s="127"/>
      <c r="U301" s="131"/>
      <c r="V301" s="374"/>
      <c r="W301" s="127"/>
      <c r="X301" s="127"/>
      <c r="Y301" s="127"/>
      <c r="Z301" s="131"/>
      <c r="AA301" s="374"/>
      <c r="AB301" s="127"/>
      <c r="AC301" s="127"/>
      <c r="AD301" s="127"/>
      <c r="AE301" s="131"/>
      <c r="AF301" s="374"/>
      <c r="AG301" s="127"/>
      <c r="AH301" s="127"/>
      <c r="AI301" s="127"/>
      <c r="AJ301" s="131"/>
      <c r="AK301" s="374"/>
      <c r="AL301" s="127"/>
      <c r="AM301" s="127"/>
      <c r="AN301" s="127"/>
      <c r="AO301" s="359"/>
      <c r="AP301" s="359"/>
      <c r="AQ301" s="359"/>
      <c r="AR301" s="359"/>
      <c r="AS301" s="359"/>
    </row>
    <row r="302">
      <c r="A302" s="131"/>
      <c r="B302" s="374"/>
      <c r="C302" s="127"/>
      <c r="D302" s="127"/>
      <c r="E302" s="127"/>
      <c r="F302" s="131"/>
      <c r="G302" s="374"/>
      <c r="H302" s="127"/>
      <c r="I302" s="127"/>
      <c r="J302" s="127"/>
      <c r="K302" s="383"/>
      <c r="L302" s="374"/>
      <c r="M302" s="127"/>
      <c r="N302" s="127"/>
      <c r="O302" s="127"/>
      <c r="P302" s="383"/>
      <c r="Q302" s="164"/>
      <c r="R302" s="127"/>
      <c r="S302" s="127"/>
      <c r="T302" s="127"/>
      <c r="U302" s="131"/>
      <c r="V302" s="374"/>
      <c r="W302" s="127"/>
      <c r="X302" s="127"/>
      <c r="Y302" s="127"/>
      <c r="Z302" s="131"/>
      <c r="AA302" s="374"/>
      <c r="AB302" s="127"/>
      <c r="AC302" s="127"/>
      <c r="AD302" s="127"/>
      <c r="AE302" s="131"/>
      <c r="AF302" s="374"/>
      <c r="AG302" s="127"/>
      <c r="AH302" s="127"/>
      <c r="AI302" s="127"/>
      <c r="AJ302" s="131"/>
      <c r="AK302" s="374"/>
      <c r="AL302" s="127"/>
      <c r="AM302" s="127"/>
      <c r="AN302" s="127"/>
      <c r="AO302" s="359"/>
      <c r="AP302" s="359"/>
      <c r="AQ302" s="359"/>
      <c r="AR302" s="359"/>
      <c r="AS302" s="359"/>
    </row>
    <row r="303">
      <c r="A303" s="131"/>
      <c r="B303" s="374"/>
      <c r="C303" s="127"/>
      <c r="D303" s="127"/>
      <c r="E303" s="127"/>
      <c r="F303" s="131"/>
      <c r="G303" s="374"/>
      <c r="H303" s="127"/>
      <c r="I303" s="127"/>
      <c r="J303" s="127"/>
      <c r="K303" s="383"/>
      <c r="L303" s="374"/>
      <c r="M303" s="127"/>
      <c r="N303" s="127"/>
      <c r="O303" s="127"/>
      <c r="P303" s="383"/>
      <c r="Q303" s="164"/>
      <c r="R303" s="127"/>
      <c r="S303" s="127"/>
      <c r="T303" s="127"/>
      <c r="U303" s="131"/>
      <c r="V303" s="374"/>
      <c r="W303" s="127"/>
      <c r="X303" s="127"/>
      <c r="Y303" s="127"/>
      <c r="Z303" s="131"/>
      <c r="AA303" s="374"/>
      <c r="AB303" s="127"/>
      <c r="AC303" s="127"/>
      <c r="AD303" s="127"/>
      <c r="AE303" s="131"/>
      <c r="AF303" s="374"/>
      <c r="AG303" s="127"/>
      <c r="AH303" s="127"/>
      <c r="AI303" s="127"/>
      <c r="AJ303" s="131"/>
      <c r="AK303" s="374"/>
      <c r="AL303" s="127"/>
      <c r="AM303" s="127"/>
      <c r="AN303" s="127"/>
      <c r="AO303" s="359"/>
      <c r="AP303" s="359"/>
      <c r="AQ303" s="359"/>
      <c r="AR303" s="359"/>
      <c r="AS303" s="359"/>
    </row>
    <row r="304">
      <c r="A304" s="131"/>
      <c r="B304" s="374"/>
      <c r="C304" s="127"/>
      <c r="D304" s="127"/>
      <c r="E304" s="127"/>
      <c r="F304" s="131"/>
      <c r="G304" s="374"/>
      <c r="H304" s="127"/>
      <c r="I304" s="127"/>
      <c r="J304" s="127"/>
      <c r="K304" s="383"/>
      <c r="L304" s="374"/>
      <c r="M304" s="127"/>
      <c r="N304" s="127"/>
      <c r="O304" s="127"/>
      <c r="P304" s="383"/>
      <c r="Q304" s="164"/>
      <c r="R304" s="127"/>
      <c r="S304" s="127"/>
      <c r="T304" s="127"/>
      <c r="U304" s="131"/>
      <c r="V304" s="374"/>
      <c r="W304" s="127"/>
      <c r="X304" s="127"/>
      <c r="Y304" s="127"/>
      <c r="Z304" s="131"/>
      <c r="AA304" s="374"/>
      <c r="AB304" s="127"/>
      <c r="AC304" s="127"/>
      <c r="AD304" s="127"/>
      <c r="AE304" s="131"/>
      <c r="AF304" s="374"/>
      <c r="AG304" s="127"/>
      <c r="AH304" s="127"/>
      <c r="AI304" s="127"/>
      <c r="AJ304" s="131"/>
      <c r="AK304" s="374"/>
      <c r="AL304" s="127"/>
      <c r="AM304" s="127"/>
      <c r="AN304" s="127"/>
      <c r="AO304" s="359"/>
      <c r="AP304" s="359"/>
      <c r="AQ304" s="359"/>
      <c r="AR304" s="359"/>
      <c r="AS304" s="359"/>
    </row>
    <row r="305">
      <c r="A305" s="131"/>
      <c r="B305" s="374"/>
      <c r="C305" s="127"/>
      <c r="D305" s="127"/>
      <c r="E305" s="127"/>
      <c r="F305" s="131"/>
      <c r="G305" s="374"/>
      <c r="H305" s="127"/>
      <c r="I305" s="127"/>
      <c r="J305" s="127"/>
      <c r="K305" s="383"/>
      <c r="L305" s="374"/>
      <c r="M305" s="127"/>
      <c r="N305" s="127"/>
      <c r="O305" s="127"/>
      <c r="P305" s="383"/>
      <c r="Q305" s="164"/>
      <c r="R305" s="127"/>
      <c r="S305" s="127"/>
      <c r="T305" s="127"/>
      <c r="U305" s="131"/>
      <c r="V305" s="374"/>
      <c r="W305" s="127"/>
      <c r="X305" s="127"/>
      <c r="Y305" s="127"/>
      <c r="Z305" s="131"/>
      <c r="AA305" s="374"/>
      <c r="AB305" s="127"/>
      <c r="AC305" s="127"/>
      <c r="AD305" s="127"/>
      <c r="AE305" s="131"/>
      <c r="AF305" s="374"/>
      <c r="AG305" s="127"/>
      <c r="AH305" s="127"/>
      <c r="AI305" s="127"/>
      <c r="AJ305" s="131"/>
      <c r="AK305" s="374"/>
      <c r="AL305" s="127"/>
      <c r="AM305" s="127"/>
      <c r="AN305" s="127"/>
      <c r="AO305" s="359"/>
      <c r="AP305" s="359"/>
      <c r="AQ305" s="359"/>
      <c r="AR305" s="359"/>
      <c r="AS305" s="359"/>
    </row>
    <row r="306">
      <c r="A306" s="131"/>
      <c r="B306" s="374"/>
      <c r="C306" s="127"/>
      <c r="D306" s="127"/>
      <c r="E306" s="127"/>
      <c r="F306" s="131"/>
      <c r="G306" s="374"/>
      <c r="H306" s="127"/>
      <c r="I306" s="127"/>
      <c r="J306" s="127"/>
      <c r="K306" s="383"/>
      <c r="L306" s="374"/>
      <c r="M306" s="127"/>
      <c r="N306" s="127"/>
      <c r="O306" s="127"/>
      <c r="P306" s="383"/>
      <c r="Q306" s="164"/>
      <c r="R306" s="127"/>
      <c r="S306" s="127"/>
      <c r="T306" s="127"/>
      <c r="U306" s="131"/>
      <c r="V306" s="374"/>
      <c r="W306" s="127"/>
      <c r="X306" s="127"/>
      <c r="Y306" s="127"/>
      <c r="Z306" s="131"/>
      <c r="AA306" s="374"/>
      <c r="AB306" s="127"/>
      <c r="AC306" s="127"/>
      <c r="AD306" s="127"/>
      <c r="AE306" s="131"/>
      <c r="AF306" s="374"/>
      <c r="AG306" s="127"/>
      <c r="AH306" s="127"/>
      <c r="AI306" s="127"/>
      <c r="AJ306" s="131"/>
      <c r="AK306" s="374"/>
      <c r="AL306" s="127"/>
      <c r="AM306" s="127"/>
      <c r="AN306" s="127"/>
      <c r="AO306" s="359"/>
      <c r="AP306" s="359"/>
      <c r="AQ306" s="359"/>
      <c r="AR306" s="359"/>
      <c r="AS306" s="359"/>
    </row>
    <row r="307">
      <c r="A307" s="131"/>
      <c r="B307" s="374"/>
      <c r="C307" s="127"/>
      <c r="D307" s="127"/>
      <c r="E307" s="127"/>
      <c r="F307" s="131"/>
      <c r="G307" s="374"/>
      <c r="H307" s="127"/>
      <c r="I307" s="127"/>
      <c r="J307" s="127"/>
      <c r="K307" s="383"/>
      <c r="L307" s="374"/>
      <c r="M307" s="127"/>
      <c r="N307" s="127"/>
      <c r="O307" s="127"/>
      <c r="P307" s="383"/>
      <c r="Q307" s="164"/>
      <c r="R307" s="127"/>
      <c r="S307" s="127"/>
      <c r="T307" s="127"/>
      <c r="U307" s="131"/>
      <c r="V307" s="374"/>
      <c r="W307" s="127"/>
      <c r="X307" s="127"/>
      <c r="Y307" s="127"/>
      <c r="Z307" s="131"/>
      <c r="AA307" s="374"/>
      <c r="AB307" s="127"/>
      <c r="AC307" s="127"/>
      <c r="AD307" s="127"/>
      <c r="AE307" s="131"/>
      <c r="AF307" s="374"/>
      <c r="AG307" s="127"/>
      <c r="AH307" s="127"/>
      <c r="AI307" s="127"/>
      <c r="AJ307" s="131"/>
      <c r="AK307" s="374"/>
      <c r="AL307" s="127"/>
      <c r="AM307" s="127"/>
      <c r="AN307" s="127"/>
      <c r="AO307" s="359"/>
      <c r="AP307" s="359"/>
      <c r="AQ307" s="359"/>
      <c r="AR307" s="359"/>
      <c r="AS307" s="359"/>
    </row>
    <row r="308">
      <c r="A308" s="131"/>
      <c r="B308" s="374"/>
      <c r="C308" s="127"/>
      <c r="D308" s="127"/>
      <c r="E308" s="127"/>
      <c r="F308" s="131"/>
      <c r="G308" s="374"/>
      <c r="H308" s="127"/>
      <c r="I308" s="127"/>
      <c r="J308" s="127"/>
      <c r="K308" s="383"/>
      <c r="L308" s="374"/>
      <c r="M308" s="127"/>
      <c r="N308" s="127"/>
      <c r="O308" s="127"/>
      <c r="P308" s="383"/>
      <c r="Q308" s="164"/>
      <c r="R308" s="127"/>
      <c r="S308" s="127"/>
      <c r="T308" s="127"/>
      <c r="U308" s="131"/>
      <c r="V308" s="374"/>
      <c r="W308" s="127"/>
      <c r="X308" s="127"/>
      <c r="Y308" s="127"/>
      <c r="Z308" s="131"/>
      <c r="AA308" s="374"/>
      <c r="AB308" s="127"/>
      <c r="AC308" s="127"/>
      <c r="AD308" s="127"/>
      <c r="AE308" s="131"/>
      <c r="AF308" s="374"/>
      <c r="AG308" s="127"/>
      <c r="AH308" s="127"/>
      <c r="AI308" s="127"/>
      <c r="AJ308" s="131"/>
      <c r="AK308" s="374"/>
      <c r="AL308" s="127"/>
      <c r="AM308" s="127"/>
      <c r="AN308" s="127"/>
      <c r="AO308" s="359"/>
      <c r="AP308" s="359"/>
      <c r="AQ308" s="359"/>
      <c r="AR308" s="359"/>
      <c r="AS308" s="359"/>
    </row>
    <row r="309">
      <c r="A309" s="131"/>
      <c r="B309" s="374"/>
      <c r="C309" s="127"/>
      <c r="D309" s="127"/>
      <c r="E309" s="127"/>
      <c r="F309" s="131"/>
      <c r="G309" s="374"/>
      <c r="H309" s="127"/>
      <c r="I309" s="127"/>
      <c r="J309" s="127"/>
      <c r="K309" s="383"/>
      <c r="L309" s="374"/>
      <c r="M309" s="127"/>
      <c r="N309" s="127"/>
      <c r="O309" s="127"/>
      <c r="P309" s="383"/>
      <c r="Q309" s="164"/>
      <c r="R309" s="127"/>
      <c r="S309" s="127"/>
      <c r="T309" s="127"/>
      <c r="U309" s="131"/>
      <c r="V309" s="374"/>
      <c r="W309" s="127"/>
      <c r="X309" s="127"/>
      <c r="Y309" s="127"/>
      <c r="Z309" s="131"/>
      <c r="AA309" s="374"/>
      <c r="AB309" s="127"/>
      <c r="AC309" s="127"/>
      <c r="AD309" s="127"/>
      <c r="AE309" s="131"/>
      <c r="AF309" s="374"/>
      <c r="AG309" s="127"/>
      <c r="AH309" s="127"/>
      <c r="AI309" s="127"/>
      <c r="AJ309" s="131"/>
      <c r="AK309" s="374"/>
      <c r="AL309" s="127"/>
      <c r="AM309" s="127"/>
      <c r="AN309" s="127"/>
      <c r="AO309" s="359"/>
      <c r="AP309" s="359"/>
      <c r="AQ309" s="359"/>
      <c r="AR309" s="359"/>
      <c r="AS309" s="359"/>
    </row>
    <row r="310">
      <c r="A310" s="131"/>
      <c r="B310" s="374"/>
      <c r="C310" s="127"/>
      <c r="D310" s="127"/>
      <c r="E310" s="127"/>
      <c r="F310" s="131"/>
      <c r="G310" s="374"/>
      <c r="H310" s="127"/>
      <c r="I310" s="127"/>
      <c r="J310" s="127"/>
      <c r="K310" s="383"/>
      <c r="L310" s="374"/>
      <c r="M310" s="127"/>
      <c r="N310" s="127"/>
      <c r="O310" s="127"/>
      <c r="P310" s="383"/>
      <c r="Q310" s="164"/>
      <c r="R310" s="127"/>
      <c r="S310" s="127"/>
      <c r="T310" s="127"/>
      <c r="U310" s="131"/>
      <c r="V310" s="374"/>
      <c r="W310" s="127"/>
      <c r="X310" s="127"/>
      <c r="Y310" s="127"/>
      <c r="Z310" s="131"/>
      <c r="AA310" s="374"/>
      <c r="AB310" s="127"/>
      <c r="AC310" s="127"/>
      <c r="AD310" s="127"/>
      <c r="AE310" s="131"/>
      <c r="AF310" s="374"/>
      <c r="AG310" s="127"/>
      <c r="AH310" s="127"/>
      <c r="AI310" s="127"/>
      <c r="AJ310" s="131"/>
      <c r="AK310" s="374"/>
      <c r="AL310" s="127"/>
      <c r="AM310" s="127"/>
      <c r="AN310" s="127"/>
      <c r="AO310" s="359"/>
      <c r="AP310" s="359"/>
      <c r="AQ310" s="359"/>
      <c r="AR310" s="359"/>
      <c r="AS310" s="359"/>
    </row>
    <row r="311">
      <c r="A311" s="131"/>
      <c r="B311" s="374"/>
      <c r="C311" s="127"/>
      <c r="D311" s="127"/>
      <c r="E311" s="127"/>
      <c r="F311" s="131"/>
      <c r="G311" s="374"/>
      <c r="H311" s="127"/>
      <c r="I311" s="127"/>
      <c r="J311" s="127"/>
      <c r="K311" s="383"/>
      <c r="L311" s="374"/>
      <c r="M311" s="127"/>
      <c r="N311" s="127"/>
      <c r="O311" s="127"/>
      <c r="P311" s="383"/>
      <c r="Q311" s="164"/>
      <c r="R311" s="127"/>
      <c r="S311" s="127"/>
      <c r="T311" s="127"/>
      <c r="U311" s="131"/>
      <c r="V311" s="374"/>
      <c r="W311" s="127"/>
      <c r="X311" s="127"/>
      <c r="Y311" s="127"/>
      <c r="Z311" s="131"/>
      <c r="AA311" s="374"/>
      <c r="AB311" s="127"/>
      <c r="AC311" s="127"/>
      <c r="AD311" s="127"/>
      <c r="AE311" s="131"/>
      <c r="AF311" s="374"/>
      <c r="AG311" s="127"/>
      <c r="AH311" s="127"/>
      <c r="AI311" s="127"/>
      <c r="AJ311" s="131"/>
      <c r="AK311" s="374"/>
      <c r="AL311" s="127"/>
      <c r="AM311" s="127"/>
      <c r="AN311" s="127"/>
      <c r="AO311" s="359"/>
      <c r="AP311" s="359"/>
      <c r="AQ311" s="359"/>
      <c r="AR311" s="359"/>
      <c r="AS311" s="359"/>
    </row>
    <row r="312">
      <c r="A312" s="131"/>
      <c r="B312" s="374"/>
      <c r="C312" s="127"/>
      <c r="D312" s="127"/>
      <c r="E312" s="127"/>
      <c r="F312" s="131"/>
      <c r="G312" s="374"/>
      <c r="H312" s="127"/>
      <c r="I312" s="127"/>
      <c r="J312" s="127"/>
      <c r="K312" s="383"/>
      <c r="L312" s="374"/>
      <c r="M312" s="127"/>
      <c r="N312" s="127"/>
      <c r="O312" s="127"/>
      <c r="P312" s="383"/>
      <c r="Q312" s="164"/>
      <c r="R312" s="127"/>
      <c r="S312" s="127"/>
      <c r="T312" s="127"/>
      <c r="U312" s="131"/>
      <c r="V312" s="374"/>
      <c r="W312" s="127"/>
      <c r="X312" s="127"/>
      <c r="Y312" s="127"/>
      <c r="Z312" s="131"/>
      <c r="AA312" s="374"/>
      <c r="AB312" s="127"/>
      <c r="AC312" s="127"/>
      <c r="AD312" s="127"/>
      <c r="AE312" s="131"/>
      <c r="AF312" s="374"/>
      <c r="AG312" s="127"/>
      <c r="AH312" s="127"/>
      <c r="AI312" s="127"/>
      <c r="AJ312" s="131"/>
      <c r="AK312" s="374"/>
      <c r="AL312" s="127"/>
      <c r="AM312" s="127"/>
      <c r="AN312" s="127"/>
      <c r="AO312" s="359"/>
      <c r="AP312" s="359"/>
      <c r="AQ312" s="359"/>
      <c r="AR312" s="359"/>
      <c r="AS312" s="359"/>
    </row>
    <row r="313">
      <c r="A313" s="131"/>
      <c r="B313" s="374"/>
      <c r="C313" s="127"/>
      <c r="D313" s="127"/>
      <c r="E313" s="127"/>
      <c r="F313" s="131"/>
      <c r="G313" s="374"/>
      <c r="H313" s="127"/>
      <c r="I313" s="127"/>
      <c r="J313" s="127"/>
      <c r="K313" s="383"/>
      <c r="L313" s="374"/>
      <c r="M313" s="127"/>
      <c r="N313" s="127"/>
      <c r="O313" s="127"/>
      <c r="P313" s="383"/>
      <c r="Q313" s="164"/>
      <c r="R313" s="127"/>
      <c r="S313" s="127"/>
      <c r="T313" s="127"/>
      <c r="U313" s="131"/>
      <c r="V313" s="374"/>
      <c r="W313" s="127"/>
      <c r="X313" s="127"/>
      <c r="Y313" s="127"/>
      <c r="Z313" s="131"/>
      <c r="AA313" s="374"/>
      <c r="AB313" s="127"/>
      <c r="AC313" s="127"/>
      <c r="AD313" s="127"/>
      <c r="AE313" s="131"/>
      <c r="AF313" s="374"/>
      <c r="AG313" s="127"/>
      <c r="AH313" s="127"/>
      <c r="AI313" s="127"/>
      <c r="AJ313" s="131"/>
      <c r="AK313" s="374"/>
      <c r="AL313" s="127"/>
      <c r="AM313" s="127"/>
      <c r="AN313" s="127"/>
      <c r="AO313" s="359"/>
      <c r="AP313" s="359"/>
      <c r="AQ313" s="359"/>
      <c r="AR313" s="359"/>
      <c r="AS313" s="359"/>
    </row>
    <row r="314">
      <c r="A314" s="131"/>
      <c r="B314" s="374"/>
      <c r="C314" s="127"/>
      <c r="D314" s="127"/>
      <c r="E314" s="127"/>
      <c r="F314" s="131"/>
      <c r="G314" s="374"/>
      <c r="H314" s="127"/>
      <c r="I314" s="127"/>
      <c r="J314" s="127"/>
      <c r="K314" s="383"/>
      <c r="L314" s="374"/>
      <c r="M314" s="127"/>
      <c r="N314" s="127"/>
      <c r="O314" s="127"/>
      <c r="P314" s="383"/>
      <c r="Q314" s="164"/>
      <c r="R314" s="127"/>
      <c r="S314" s="127"/>
      <c r="T314" s="127"/>
      <c r="U314" s="131"/>
      <c r="V314" s="374"/>
      <c r="W314" s="127"/>
      <c r="X314" s="127"/>
      <c r="Y314" s="127"/>
      <c r="Z314" s="131"/>
      <c r="AA314" s="374"/>
      <c r="AB314" s="127"/>
      <c r="AC314" s="127"/>
      <c r="AD314" s="127"/>
      <c r="AE314" s="131"/>
      <c r="AF314" s="374"/>
      <c r="AG314" s="127"/>
      <c r="AH314" s="127"/>
      <c r="AI314" s="127"/>
      <c r="AJ314" s="131"/>
      <c r="AK314" s="374"/>
      <c r="AL314" s="127"/>
      <c r="AM314" s="127"/>
      <c r="AN314" s="127"/>
      <c r="AO314" s="359"/>
      <c r="AP314" s="359"/>
      <c r="AQ314" s="359"/>
      <c r="AR314" s="359"/>
      <c r="AS314" s="359"/>
    </row>
    <row r="315">
      <c r="A315" s="131"/>
      <c r="B315" s="374"/>
      <c r="C315" s="127"/>
      <c r="D315" s="127"/>
      <c r="E315" s="127"/>
      <c r="F315" s="131"/>
      <c r="G315" s="374"/>
      <c r="H315" s="127"/>
      <c r="I315" s="127"/>
      <c r="J315" s="127"/>
      <c r="K315" s="383"/>
      <c r="L315" s="374"/>
      <c r="M315" s="127"/>
      <c r="N315" s="127"/>
      <c r="O315" s="127"/>
      <c r="P315" s="383"/>
      <c r="Q315" s="164"/>
      <c r="R315" s="127"/>
      <c r="S315" s="127"/>
      <c r="T315" s="127"/>
      <c r="U315" s="131"/>
      <c r="V315" s="374"/>
      <c r="W315" s="127"/>
      <c r="X315" s="127"/>
      <c r="Y315" s="127"/>
      <c r="Z315" s="131"/>
      <c r="AA315" s="374"/>
      <c r="AB315" s="127"/>
      <c r="AC315" s="127"/>
      <c r="AD315" s="127"/>
      <c r="AE315" s="131"/>
      <c r="AF315" s="374"/>
      <c r="AG315" s="127"/>
      <c r="AH315" s="127"/>
      <c r="AI315" s="127"/>
      <c r="AJ315" s="131"/>
      <c r="AK315" s="374"/>
      <c r="AL315" s="127"/>
      <c r="AM315" s="127"/>
      <c r="AN315" s="127"/>
      <c r="AO315" s="359"/>
      <c r="AP315" s="359"/>
      <c r="AQ315" s="359"/>
      <c r="AR315" s="359"/>
      <c r="AS315" s="359"/>
    </row>
    <row r="316">
      <c r="A316" s="131"/>
      <c r="B316" s="374"/>
      <c r="C316" s="127"/>
      <c r="D316" s="127"/>
      <c r="E316" s="127"/>
      <c r="F316" s="131"/>
      <c r="G316" s="374"/>
      <c r="H316" s="127"/>
      <c r="I316" s="127"/>
      <c r="J316" s="127"/>
      <c r="K316" s="383"/>
      <c r="L316" s="374"/>
      <c r="M316" s="127"/>
      <c r="N316" s="127"/>
      <c r="O316" s="127"/>
      <c r="P316" s="383"/>
      <c r="Q316" s="164"/>
      <c r="R316" s="127"/>
      <c r="S316" s="127"/>
      <c r="T316" s="127"/>
      <c r="U316" s="131"/>
      <c r="V316" s="374"/>
      <c r="W316" s="127"/>
      <c r="X316" s="127"/>
      <c r="Y316" s="127"/>
      <c r="Z316" s="131"/>
      <c r="AA316" s="374"/>
      <c r="AB316" s="127"/>
      <c r="AC316" s="127"/>
      <c r="AD316" s="127"/>
      <c r="AE316" s="131"/>
      <c r="AF316" s="374"/>
      <c r="AG316" s="127"/>
      <c r="AH316" s="127"/>
      <c r="AI316" s="127"/>
      <c r="AJ316" s="131"/>
      <c r="AK316" s="374"/>
      <c r="AL316" s="127"/>
      <c r="AM316" s="127"/>
      <c r="AN316" s="127"/>
      <c r="AO316" s="359"/>
      <c r="AP316" s="359"/>
      <c r="AQ316" s="359"/>
      <c r="AR316" s="359"/>
      <c r="AS316" s="359"/>
    </row>
    <row r="317">
      <c r="A317" s="131"/>
      <c r="B317" s="374"/>
      <c r="C317" s="127"/>
      <c r="D317" s="127"/>
      <c r="E317" s="127"/>
      <c r="F317" s="131"/>
      <c r="G317" s="374"/>
      <c r="H317" s="127"/>
      <c r="I317" s="127"/>
      <c r="J317" s="127"/>
      <c r="K317" s="383"/>
      <c r="L317" s="374"/>
      <c r="M317" s="127"/>
      <c r="N317" s="127"/>
      <c r="O317" s="127"/>
      <c r="P317" s="383"/>
      <c r="Q317" s="164"/>
      <c r="R317" s="127"/>
      <c r="S317" s="127"/>
      <c r="T317" s="127"/>
      <c r="U317" s="131"/>
      <c r="V317" s="374"/>
      <c r="W317" s="127"/>
      <c r="X317" s="127"/>
      <c r="Y317" s="127"/>
      <c r="Z317" s="131"/>
      <c r="AA317" s="374"/>
      <c r="AB317" s="127"/>
      <c r="AC317" s="127"/>
      <c r="AD317" s="127"/>
      <c r="AE317" s="131"/>
      <c r="AF317" s="374"/>
      <c r="AG317" s="127"/>
      <c r="AH317" s="127"/>
      <c r="AI317" s="127"/>
      <c r="AJ317" s="131"/>
      <c r="AK317" s="374"/>
      <c r="AL317" s="127"/>
      <c r="AM317" s="127"/>
      <c r="AN317" s="127"/>
      <c r="AO317" s="359"/>
      <c r="AP317" s="359"/>
      <c r="AQ317" s="359"/>
      <c r="AR317" s="359"/>
      <c r="AS317" s="359"/>
    </row>
    <row r="318">
      <c r="A318" s="131"/>
      <c r="B318" s="374"/>
      <c r="C318" s="127"/>
      <c r="D318" s="127"/>
      <c r="E318" s="127"/>
      <c r="F318" s="131"/>
      <c r="G318" s="374"/>
      <c r="H318" s="127"/>
      <c r="I318" s="127"/>
      <c r="J318" s="127"/>
      <c r="K318" s="383"/>
      <c r="L318" s="374"/>
      <c r="M318" s="127"/>
      <c r="N318" s="127"/>
      <c r="O318" s="127"/>
      <c r="P318" s="383"/>
      <c r="Q318" s="164"/>
      <c r="R318" s="127"/>
      <c r="S318" s="127"/>
      <c r="T318" s="127"/>
      <c r="U318" s="131"/>
      <c r="V318" s="374"/>
      <c r="W318" s="127"/>
      <c r="X318" s="127"/>
      <c r="Y318" s="127"/>
      <c r="Z318" s="131"/>
      <c r="AA318" s="374"/>
      <c r="AB318" s="127"/>
      <c r="AC318" s="127"/>
      <c r="AD318" s="127"/>
      <c r="AE318" s="131"/>
      <c r="AF318" s="374"/>
      <c r="AG318" s="127"/>
      <c r="AH318" s="127"/>
      <c r="AI318" s="127"/>
      <c r="AJ318" s="131"/>
      <c r="AK318" s="374"/>
      <c r="AL318" s="127"/>
      <c r="AM318" s="127"/>
      <c r="AN318" s="127"/>
      <c r="AO318" s="359"/>
      <c r="AP318" s="359"/>
      <c r="AQ318" s="359"/>
      <c r="AR318" s="359"/>
      <c r="AS318" s="359"/>
    </row>
    <row r="319">
      <c r="A319" s="131"/>
      <c r="B319" s="374"/>
      <c r="C319" s="127"/>
      <c r="D319" s="127"/>
      <c r="E319" s="127"/>
      <c r="F319" s="131"/>
      <c r="G319" s="374"/>
      <c r="H319" s="127"/>
      <c r="I319" s="127"/>
      <c r="J319" s="127"/>
      <c r="K319" s="383"/>
      <c r="L319" s="374"/>
      <c r="M319" s="127"/>
      <c r="N319" s="127"/>
      <c r="O319" s="127"/>
      <c r="P319" s="383"/>
      <c r="Q319" s="164"/>
      <c r="R319" s="127"/>
      <c r="S319" s="127"/>
      <c r="T319" s="127"/>
      <c r="U319" s="131"/>
      <c r="V319" s="374"/>
      <c r="W319" s="127"/>
      <c r="X319" s="127"/>
      <c r="Y319" s="127"/>
      <c r="Z319" s="131"/>
      <c r="AA319" s="374"/>
      <c r="AB319" s="127"/>
      <c r="AC319" s="127"/>
      <c r="AD319" s="127"/>
      <c r="AE319" s="131"/>
      <c r="AF319" s="374"/>
      <c r="AG319" s="127"/>
      <c r="AH319" s="127"/>
      <c r="AI319" s="127"/>
      <c r="AJ319" s="131"/>
      <c r="AK319" s="374"/>
      <c r="AL319" s="127"/>
      <c r="AM319" s="127"/>
      <c r="AN319" s="127"/>
      <c r="AO319" s="359"/>
      <c r="AP319" s="359"/>
      <c r="AQ319" s="359"/>
      <c r="AR319" s="359"/>
      <c r="AS319" s="359"/>
    </row>
    <row r="320">
      <c r="A320" s="131"/>
      <c r="B320" s="374"/>
      <c r="C320" s="127"/>
      <c r="D320" s="127"/>
      <c r="E320" s="127"/>
      <c r="F320" s="131"/>
      <c r="G320" s="374"/>
      <c r="H320" s="127"/>
      <c r="I320" s="127"/>
      <c r="J320" s="127"/>
      <c r="K320" s="383"/>
      <c r="L320" s="374"/>
      <c r="M320" s="127"/>
      <c r="N320" s="127"/>
      <c r="O320" s="127"/>
      <c r="P320" s="383"/>
      <c r="Q320" s="164"/>
      <c r="R320" s="127"/>
      <c r="S320" s="127"/>
      <c r="T320" s="127"/>
      <c r="U320" s="131"/>
      <c r="V320" s="374"/>
      <c r="W320" s="127"/>
      <c r="X320" s="127"/>
      <c r="Y320" s="127"/>
      <c r="Z320" s="131"/>
      <c r="AA320" s="374"/>
      <c r="AB320" s="127"/>
      <c r="AC320" s="127"/>
      <c r="AD320" s="127"/>
      <c r="AE320" s="131"/>
      <c r="AF320" s="374"/>
      <c r="AG320" s="127"/>
      <c r="AH320" s="127"/>
      <c r="AI320" s="127"/>
      <c r="AJ320" s="131"/>
      <c r="AK320" s="374"/>
      <c r="AL320" s="127"/>
      <c r="AM320" s="127"/>
      <c r="AN320" s="127"/>
      <c r="AO320" s="359"/>
      <c r="AP320" s="359"/>
      <c r="AQ320" s="359"/>
      <c r="AR320" s="359"/>
      <c r="AS320" s="359"/>
    </row>
    <row r="321">
      <c r="A321" s="131"/>
      <c r="B321" s="374"/>
      <c r="C321" s="127"/>
      <c r="D321" s="127"/>
      <c r="E321" s="127"/>
      <c r="F321" s="131"/>
      <c r="G321" s="374"/>
      <c r="H321" s="127"/>
      <c r="I321" s="127"/>
      <c r="J321" s="127"/>
      <c r="K321" s="383"/>
      <c r="L321" s="374"/>
      <c r="M321" s="127"/>
      <c r="N321" s="127"/>
      <c r="O321" s="127"/>
      <c r="P321" s="383"/>
      <c r="Q321" s="164"/>
      <c r="R321" s="127"/>
      <c r="S321" s="127"/>
      <c r="T321" s="127"/>
      <c r="U321" s="131"/>
      <c r="V321" s="374"/>
      <c r="W321" s="127"/>
      <c r="X321" s="127"/>
      <c r="Y321" s="127"/>
      <c r="Z321" s="131"/>
      <c r="AA321" s="374"/>
      <c r="AB321" s="127"/>
      <c r="AC321" s="127"/>
      <c r="AD321" s="127"/>
      <c r="AE321" s="131"/>
      <c r="AF321" s="374"/>
      <c r="AG321" s="127"/>
      <c r="AH321" s="127"/>
      <c r="AI321" s="127"/>
      <c r="AJ321" s="131"/>
      <c r="AK321" s="374"/>
      <c r="AL321" s="127"/>
      <c r="AM321" s="127"/>
      <c r="AN321" s="127"/>
      <c r="AO321" s="359"/>
      <c r="AP321" s="359"/>
      <c r="AQ321" s="359"/>
      <c r="AR321" s="359"/>
      <c r="AS321" s="359"/>
    </row>
    <row r="322">
      <c r="A322" s="131"/>
      <c r="B322" s="374"/>
      <c r="C322" s="127"/>
      <c r="D322" s="127"/>
      <c r="E322" s="127"/>
      <c r="F322" s="131"/>
      <c r="G322" s="374"/>
      <c r="H322" s="127"/>
      <c r="I322" s="127"/>
      <c r="J322" s="127"/>
      <c r="K322" s="383"/>
      <c r="L322" s="374"/>
      <c r="M322" s="127"/>
      <c r="N322" s="127"/>
      <c r="O322" s="127"/>
      <c r="P322" s="383"/>
      <c r="Q322" s="164"/>
      <c r="R322" s="127"/>
      <c r="S322" s="127"/>
      <c r="T322" s="127"/>
      <c r="U322" s="131"/>
      <c r="V322" s="374"/>
      <c r="W322" s="127"/>
      <c r="X322" s="127"/>
      <c r="Y322" s="127"/>
      <c r="Z322" s="131"/>
      <c r="AA322" s="374"/>
      <c r="AB322" s="127"/>
      <c r="AC322" s="127"/>
      <c r="AD322" s="127"/>
      <c r="AE322" s="131"/>
      <c r="AF322" s="374"/>
      <c r="AG322" s="127"/>
      <c r="AH322" s="127"/>
      <c r="AI322" s="127"/>
      <c r="AJ322" s="131"/>
      <c r="AK322" s="374"/>
      <c r="AL322" s="127"/>
      <c r="AM322" s="127"/>
      <c r="AN322" s="127"/>
      <c r="AO322" s="359"/>
      <c r="AP322" s="359"/>
      <c r="AQ322" s="359"/>
      <c r="AR322" s="359"/>
      <c r="AS322" s="359"/>
    </row>
    <row r="323">
      <c r="A323" s="131"/>
      <c r="B323" s="374"/>
      <c r="C323" s="127"/>
      <c r="D323" s="127"/>
      <c r="E323" s="127"/>
      <c r="F323" s="131"/>
      <c r="G323" s="374"/>
      <c r="H323" s="127"/>
      <c r="I323" s="127"/>
      <c r="J323" s="127"/>
      <c r="K323" s="383"/>
      <c r="L323" s="374"/>
      <c r="M323" s="127"/>
      <c r="N323" s="127"/>
      <c r="O323" s="127"/>
      <c r="P323" s="383"/>
      <c r="Q323" s="164"/>
      <c r="R323" s="127"/>
      <c r="S323" s="127"/>
      <c r="T323" s="127"/>
      <c r="U323" s="131"/>
      <c r="V323" s="374"/>
      <c r="W323" s="127"/>
      <c r="X323" s="127"/>
      <c r="Y323" s="127"/>
      <c r="Z323" s="131"/>
      <c r="AA323" s="374"/>
      <c r="AB323" s="127"/>
      <c r="AC323" s="127"/>
      <c r="AD323" s="127"/>
      <c r="AE323" s="131"/>
      <c r="AF323" s="374"/>
      <c r="AG323" s="127"/>
      <c r="AH323" s="127"/>
      <c r="AI323" s="127"/>
      <c r="AJ323" s="131"/>
      <c r="AK323" s="374"/>
      <c r="AL323" s="127"/>
      <c r="AM323" s="127"/>
      <c r="AN323" s="127"/>
      <c r="AO323" s="359"/>
      <c r="AP323" s="359"/>
      <c r="AQ323" s="359"/>
      <c r="AR323" s="359"/>
      <c r="AS323" s="359"/>
    </row>
    <row r="324">
      <c r="A324" s="131"/>
      <c r="B324" s="374"/>
      <c r="C324" s="127"/>
      <c r="D324" s="127"/>
      <c r="E324" s="127"/>
      <c r="F324" s="131"/>
      <c r="G324" s="374"/>
      <c r="H324" s="127"/>
      <c r="I324" s="127"/>
      <c r="J324" s="127"/>
      <c r="K324" s="383"/>
      <c r="L324" s="374"/>
      <c r="M324" s="127"/>
      <c r="N324" s="127"/>
      <c r="O324" s="127"/>
      <c r="P324" s="383"/>
      <c r="Q324" s="164"/>
      <c r="R324" s="127"/>
      <c r="S324" s="127"/>
      <c r="T324" s="127"/>
      <c r="U324" s="131"/>
      <c r="V324" s="374"/>
      <c r="W324" s="127"/>
      <c r="X324" s="127"/>
      <c r="Y324" s="127"/>
      <c r="Z324" s="131"/>
      <c r="AA324" s="374"/>
      <c r="AB324" s="127"/>
      <c r="AC324" s="127"/>
      <c r="AD324" s="127"/>
      <c r="AE324" s="131"/>
      <c r="AF324" s="374"/>
      <c r="AG324" s="127"/>
      <c r="AH324" s="127"/>
      <c r="AI324" s="127"/>
      <c r="AJ324" s="131"/>
      <c r="AK324" s="374"/>
      <c r="AL324" s="127"/>
      <c r="AM324" s="127"/>
      <c r="AN324" s="127"/>
      <c r="AO324" s="359"/>
      <c r="AP324" s="359"/>
      <c r="AQ324" s="359"/>
      <c r="AR324" s="359"/>
      <c r="AS324" s="359"/>
    </row>
    <row r="325">
      <c r="A325" s="131"/>
      <c r="B325" s="374"/>
      <c r="C325" s="127"/>
      <c r="D325" s="127"/>
      <c r="E325" s="127"/>
      <c r="F325" s="131"/>
      <c r="G325" s="374"/>
      <c r="H325" s="127"/>
      <c r="I325" s="127"/>
      <c r="J325" s="127"/>
      <c r="K325" s="383"/>
      <c r="L325" s="374"/>
      <c r="M325" s="127"/>
      <c r="N325" s="127"/>
      <c r="O325" s="127"/>
      <c r="P325" s="383"/>
      <c r="Q325" s="164"/>
      <c r="R325" s="127"/>
      <c r="S325" s="127"/>
      <c r="T325" s="127"/>
      <c r="U325" s="131"/>
      <c r="V325" s="374"/>
      <c r="W325" s="127"/>
      <c r="X325" s="127"/>
      <c r="Y325" s="127"/>
      <c r="Z325" s="131"/>
      <c r="AA325" s="374"/>
      <c r="AB325" s="127"/>
      <c r="AC325" s="127"/>
      <c r="AD325" s="127"/>
      <c r="AE325" s="131"/>
      <c r="AF325" s="374"/>
      <c r="AG325" s="127"/>
      <c r="AH325" s="127"/>
      <c r="AI325" s="127"/>
      <c r="AJ325" s="131"/>
      <c r="AK325" s="374"/>
      <c r="AL325" s="127"/>
      <c r="AM325" s="127"/>
      <c r="AN325" s="127"/>
      <c r="AO325" s="359"/>
      <c r="AP325" s="359"/>
      <c r="AQ325" s="359"/>
      <c r="AR325" s="359"/>
      <c r="AS325" s="359"/>
    </row>
    <row r="326">
      <c r="A326" s="131"/>
      <c r="B326" s="374"/>
      <c r="C326" s="127"/>
      <c r="D326" s="127"/>
      <c r="E326" s="127"/>
      <c r="F326" s="131"/>
      <c r="G326" s="374"/>
      <c r="H326" s="127"/>
      <c r="I326" s="127"/>
      <c r="J326" s="127"/>
      <c r="K326" s="383"/>
      <c r="L326" s="374"/>
      <c r="M326" s="127"/>
      <c r="N326" s="127"/>
      <c r="O326" s="127"/>
      <c r="P326" s="383"/>
      <c r="Q326" s="164"/>
      <c r="R326" s="127"/>
      <c r="S326" s="127"/>
      <c r="T326" s="127"/>
      <c r="U326" s="131"/>
      <c r="V326" s="374"/>
      <c r="W326" s="127"/>
      <c r="X326" s="127"/>
      <c r="Y326" s="127"/>
      <c r="Z326" s="131"/>
      <c r="AA326" s="374"/>
      <c r="AB326" s="127"/>
      <c r="AC326" s="127"/>
      <c r="AD326" s="127"/>
      <c r="AE326" s="131"/>
      <c r="AF326" s="374"/>
      <c r="AG326" s="127"/>
      <c r="AH326" s="127"/>
      <c r="AI326" s="127"/>
      <c r="AJ326" s="131"/>
      <c r="AK326" s="374"/>
      <c r="AL326" s="127"/>
      <c r="AM326" s="127"/>
      <c r="AN326" s="127"/>
      <c r="AO326" s="359"/>
      <c r="AP326" s="359"/>
      <c r="AQ326" s="359"/>
      <c r="AR326" s="359"/>
      <c r="AS326" s="359"/>
    </row>
    <row r="327">
      <c r="A327" s="131"/>
      <c r="B327" s="374"/>
      <c r="C327" s="127"/>
      <c r="D327" s="127"/>
      <c r="E327" s="127"/>
      <c r="F327" s="131"/>
      <c r="G327" s="374"/>
      <c r="H327" s="127"/>
      <c r="I327" s="127"/>
      <c r="J327" s="127"/>
      <c r="K327" s="383"/>
      <c r="L327" s="374"/>
      <c r="M327" s="127"/>
      <c r="N327" s="127"/>
      <c r="O327" s="127"/>
      <c r="P327" s="383"/>
      <c r="Q327" s="164"/>
      <c r="R327" s="127"/>
      <c r="S327" s="127"/>
      <c r="T327" s="127"/>
      <c r="U327" s="131"/>
      <c r="V327" s="374"/>
      <c r="W327" s="127"/>
      <c r="X327" s="127"/>
      <c r="Y327" s="127"/>
      <c r="Z327" s="131"/>
      <c r="AA327" s="374"/>
      <c r="AB327" s="127"/>
      <c r="AC327" s="127"/>
      <c r="AD327" s="127"/>
      <c r="AE327" s="131"/>
      <c r="AF327" s="374"/>
      <c r="AG327" s="127"/>
      <c r="AH327" s="127"/>
      <c r="AI327" s="127"/>
      <c r="AJ327" s="131"/>
      <c r="AK327" s="374"/>
      <c r="AL327" s="127"/>
      <c r="AM327" s="127"/>
      <c r="AN327" s="127"/>
      <c r="AO327" s="359"/>
      <c r="AP327" s="359"/>
      <c r="AQ327" s="359"/>
      <c r="AR327" s="359"/>
      <c r="AS327" s="359"/>
    </row>
    <row r="328">
      <c r="A328" s="131"/>
      <c r="B328" s="374"/>
      <c r="C328" s="127"/>
      <c r="D328" s="127"/>
      <c r="E328" s="127"/>
      <c r="F328" s="131"/>
      <c r="G328" s="374"/>
      <c r="H328" s="127"/>
      <c r="I328" s="127"/>
      <c r="J328" s="127"/>
      <c r="K328" s="383"/>
      <c r="L328" s="374"/>
      <c r="M328" s="127"/>
      <c r="N328" s="127"/>
      <c r="O328" s="127"/>
      <c r="P328" s="383"/>
      <c r="Q328" s="164"/>
      <c r="R328" s="127"/>
      <c r="S328" s="127"/>
      <c r="T328" s="127"/>
      <c r="U328" s="131"/>
      <c r="V328" s="374"/>
      <c r="W328" s="127"/>
      <c r="X328" s="127"/>
      <c r="Y328" s="127"/>
      <c r="Z328" s="131"/>
      <c r="AA328" s="374"/>
      <c r="AB328" s="127"/>
      <c r="AC328" s="127"/>
      <c r="AD328" s="127"/>
      <c r="AE328" s="131"/>
      <c r="AF328" s="374"/>
      <c r="AG328" s="127"/>
      <c r="AH328" s="127"/>
      <c r="AI328" s="127"/>
      <c r="AJ328" s="131"/>
      <c r="AK328" s="374"/>
      <c r="AL328" s="127"/>
      <c r="AM328" s="127"/>
      <c r="AN328" s="127"/>
      <c r="AO328" s="359"/>
      <c r="AP328" s="359"/>
      <c r="AQ328" s="359"/>
      <c r="AR328" s="359"/>
      <c r="AS328" s="359"/>
    </row>
    <row r="329">
      <c r="A329" s="131"/>
      <c r="B329" s="374"/>
      <c r="C329" s="127"/>
      <c r="D329" s="127"/>
      <c r="E329" s="127"/>
      <c r="F329" s="131"/>
      <c r="G329" s="374"/>
      <c r="H329" s="127"/>
      <c r="I329" s="127"/>
      <c r="J329" s="127"/>
      <c r="K329" s="383"/>
      <c r="L329" s="374"/>
      <c r="M329" s="127"/>
      <c r="N329" s="127"/>
      <c r="O329" s="127"/>
      <c r="P329" s="383"/>
      <c r="Q329" s="164"/>
      <c r="R329" s="127"/>
      <c r="S329" s="127"/>
      <c r="T329" s="127"/>
      <c r="U329" s="131"/>
      <c r="V329" s="374"/>
      <c r="W329" s="127"/>
      <c r="X329" s="127"/>
      <c r="Y329" s="127"/>
      <c r="Z329" s="131"/>
      <c r="AA329" s="374"/>
      <c r="AB329" s="127"/>
      <c r="AC329" s="127"/>
      <c r="AD329" s="127"/>
      <c r="AE329" s="131"/>
      <c r="AF329" s="374"/>
      <c r="AG329" s="127"/>
      <c r="AH329" s="127"/>
      <c r="AI329" s="127"/>
      <c r="AJ329" s="131"/>
      <c r="AK329" s="374"/>
      <c r="AL329" s="127"/>
      <c r="AM329" s="127"/>
      <c r="AN329" s="127"/>
      <c r="AO329" s="359"/>
      <c r="AP329" s="359"/>
      <c r="AQ329" s="359"/>
      <c r="AR329" s="359"/>
      <c r="AS329" s="359"/>
    </row>
    <row r="330">
      <c r="A330" s="131"/>
      <c r="B330" s="374"/>
      <c r="C330" s="127"/>
      <c r="D330" s="127"/>
      <c r="E330" s="127"/>
      <c r="F330" s="131"/>
      <c r="G330" s="374"/>
      <c r="H330" s="127"/>
      <c r="I330" s="127"/>
      <c r="J330" s="127"/>
      <c r="K330" s="383"/>
      <c r="L330" s="374"/>
      <c r="M330" s="127"/>
      <c r="N330" s="127"/>
      <c r="O330" s="127"/>
      <c r="P330" s="383"/>
      <c r="Q330" s="164"/>
      <c r="R330" s="127"/>
      <c r="S330" s="127"/>
      <c r="T330" s="127"/>
      <c r="U330" s="131"/>
      <c r="V330" s="374"/>
      <c r="W330" s="127"/>
      <c r="X330" s="127"/>
      <c r="Y330" s="127"/>
      <c r="Z330" s="131"/>
      <c r="AA330" s="374"/>
      <c r="AB330" s="127"/>
      <c r="AC330" s="127"/>
      <c r="AD330" s="127"/>
      <c r="AE330" s="131"/>
      <c r="AF330" s="374"/>
      <c r="AG330" s="127"/>
      <c r="AH330" s="127"/>
      <c r="AI330" s="127"/>
      <c r="AJ330" s="131"/>
      <c r="AK330" s="374"/>
      <c r="AL330" s="127"/>
      <c r="AM330" s="127"/>
      <c r="AN330" s="127"/>
      <c r="AO330" s="359"/>
      <c r="AP330" s="359"/>
      <c r="AQ330" s="359"/>
      <c r="AR330" s="359"/>
      <c r="AS330" s="359"/>
    </row>
    <row r="331">
      <c r="A331" s="131"/>
      <c r="B331" s="374"/>
      <c r="C331" s="127"/>
      <c r="D331" s="127"/>
      <c r="E331" s="127"/>
      <c r="F331" s="131"/>
      <c r="G331" s="374"/>
      <c r="H331" s="127"/>
      <c r="I331" s="127"/>
      <c r="J331" s="127"/>
      <c r="K331" s="383"/>
      <c r="L331" s="374"/>
      <c r="M331" s="127"/>
      <c r="N331" s="127"/>
      <c r="O331" s="127"/>
      <c r="P331" s="383"/>
      <c r="Q331" s="164"/>
      <c r="R331" s="127"/>
      <c r="S331" s="127"/>
      <c r="T331" s="127"/>
      <c r="U331" s="131"/>
      <c r="V331" s="374"/>
      <c r="W331" s="127"/>
      <c r="X331" s="127"/>
      <c r="Y331" s="127"/>
      <c r="Z331" s="131"/>
      <c r="AA331" s="374"/>
      <c r="AB331" s="127"/>
      <c r="AC331" s="127"/>
      <c r="AD331" s="127"/>
      <c r="AE331" s="131"/>
      <c r="AF331" s="374"/>
      <c r="AG331" s="127"/>
      <c r="AH331" s="127"/>
      <c r="AI331" s="127"/>
      <c r="AJ331" s="131"/>
      <c r="AK331" s="374"/>
      <c r="AL331" s="127"/>
      <c r="AM331" s="127"/>
      <c r="AN331" s="127"/>
      <c r="AO331" s="359"/>
      <c r="AP331" s="359"/>
      <c r="AQ331" s="359"/>
      <c r="AR331" s="359"/>
      <c r="AS331" s="359"/>
    </row>
    <row r="332">
      <c r="A332" s="131"/>
      <c r="B332" s="374"/>
      <c r="C332" s="127"/>
      <c r="D332" s="127"/>
      <c r="E332" s="127"/>
      <c r="F332" s="131"/>
      <c r="G332" s="374"/>
      <c r="H332" s="127"/>
      <c r="I332" s="127"/>
      <c r="J332" s="127"/>
      <c r="K332" s="383"/>
      <c r="L332" s="374"/>
      <c r="M332" s="127"/>
      <c r="N332" s="127"/>
      <c r="O332" s="127"/>
      <c r="P332" s="383"/>
      <c r="Q332" s="164"/>
      <c r="R332" s="127"/>
      <c r="S332" s="127"/>
      <c r="T332" s="127"/>
      <c r="U332" s="131"/>
      <c r="V332" s="374"/>
      <c r="W332" s="127"/>
      <c r="X332" s="127"/>
      <c r="Y332" s="127"/>
      <c r="Z332" s="131"/>
      <c r="AA332" s="374"/>
      <c r="AB332" s="127"/>
      <c r="AC332" s="127"/>
      <c r="AD332" s="127"/>
      <c r="AE332" s="131"/>
      <c r="AF332" s="374"/>
      <c r="AG332" s="127"/>
      <c r="AH332" s="127"/>
      <c r="AI332" s="127"/>
      <c r="AJ332" s="131"/>
      <c r="AK332" s="374"/>
      <c r="AL332" s="127"/>
      <c r="AM332" s="127"/>
      <c r="AN332" s="127"/>
      <c r="AO332" s="359"/>
      <c r="AP332" s="359"/>
      <c r="AQ332" s="359"/>
      <c r="AR332" s="359"/>
      <c r="AS332" s="359"/>
    </row>
    <row r="333">
      <c r="A333" s="131"/>
      <c r="B333" s="374"/>
      <c r="C333" s="127"/>
      <c r="D333" s="127"/>
      <c r="E333" s="127"/>
      <c r="F333" s="131"/>
      <c r="G333" s="374"/>
      <c r="H333" s="127"/>
      <c r="I333" s="127"/>
      <c r="J333" s="127"/>
      <c r="K333" s="383"/>
      <c r="L333" s="374"/>
      <c r="M333" s="127"/>
      <c r="N333" s="127"/>
      <c r="O333" s="127"/>
      <c r="P333" s="383"/>
      <c r="Q333" s="164"/>
      <c r="R333" s="127"/>
      <c r="S333" s="127"/>
      <c r="T333" s="127"/>
      <c r="U333" s="131"/>
      <c r="V333" s="374"/>
      <c r="W333" s="127"/>
      <c r="X333" s="127"/>
      <c r="Y333" s="127"/>
      <c r="Z333" s="131"/>
      <c r="AA333" s="374"/>
      <c r="AB333" s="127"/>
      <c r="AC333" s="127"/>
      <c r="AD333" s="127"/>
      <c r="AE333" s="131"/>
      <c r="AF333" s="374"/>
      <c r="AG333" s="127"/>
      <c r="AH333" s="127"/>
      <c r="AI333" s="127"/>
      <c r="AJ333" s="131"/>
      <c r="AK333" s="374"/>
      <c r="AL333" s="127"/>
      <c r="AM333" s="127"/>
      <c r="AN333" s="127"/>
      <c r="AO333" s="359"/>
      <c r="AP333" s="359"/>
      <c r="AQ333" s="359"/>
      <c r="AR333" s="359"/>
      <c r="AS333" s="359"/>
    </row>
    <row r="334">
      <c r="A334" s="131"/>
      <c r="B334" s="374"/>
      <c r="C334" s="127"/>
      <c r="D334" s="127"/>
      <c r="E334" s="127"/>
      <c r="F334" s="131"/>
      <c r="G334" s="374"/>
      <c r="H334" s="127"/>
      <c r="I334" s="127"/>
      <c r="J334" s="127"/>
      <c r="K334" s="383"/>
      <c r="L334" s="374"/>
      <c r="M334" s="127"/>
      <c r="N334" s="127"/>
      <c r="O334" s="127"/>
      <c r="P334" s="383"/>
      <c r="Q334" s="164"/>
      <c r="R334" s="127"/>
      <c r="S334" s="127"/>
      <c r="T334" s="127"/>
      <c r="U334" s="131"/>
      <c r="V334" s="374"/>
      <c r="W334" s="127"/>
      <c r="X334" s="127"/>
      <c r="Y334" s="127"/>
      <c r="Z334" s="131"/>
      <c r="AA334" s="374"/>
      <c r="AB334" s="127"/>
      <c r="AC334" s="127"/>
      <c r="AD334" s="127"/>
      <c r="AE334" s="131"/>
      <c r="AF334" s="374"/>
      <c r="AG334" s="127"/>
      <c r="AH334" s="127"/>
      <c r="AI334" s="127"/>
      <c r="AJ334" s="131"/>
      <c r="AK334" s="374"/>
      <c r="AL334" s="127"/>
      <c r="AM334" s="127"/>
      <c r="AN334" s="127"/>
      <c r="AO334" s="359"/>
      <c r="AP334" s="359"/>
      <c r="AQ334" s="359"/>
      <c r="AR334" s="359"/>
      <c r="AS334" s="359"/>
    </row>
    <row r="335">
      <c r="A335" s="131"/>
      <c r="B335" s="374"/>
      <c r="C335" s="127"/>
      <c r="D335" s="127"/>
      <c r="E335" s="127"/>
      <c r="F335" s="131"/>
      <c r="G335" s="374"/>
      <c r="H335" s="127"/>
      <c r="I335" s="127"/>
      <c r="J335" s="127"/>
      <c r="K335" s="383"/>
      <c r="L335" s="374"/>
      <c r="M335" s="127"/>
      <c r="N335" s="127"/>
      <c r="O335" s="127"/>
      <c r="P335" s="383"/>
      <c r="Q335" s="164"/>
      <c r="R335" s="127"/>
      <c r="S335" s="127"/>
      <c r="T335" s="127"/>
      <c r="U335" s="131"/>
      <c r="V335" s="374"/>
      <c r="W335" s="127"/>
      <c r="X335" s="127"/>
      <c r="Y335" s="127"/>
      <c r="Z335" s="131"/>
      <c r="AA335" s="374"/>
      <c r="AB335" s="127"/>
      <c r="AC335" s="127"/>
      <c r="AD335" s="127"/>
      <c r="AE335" s="131"/>
      <c r="AF335" s="374"/>
      <c r="AG335" s="127"/>
      <c r="AH335" s="127"/>
      <c r="AI335" s="127"/>
      <c r="AJ335" s="131"/>
      <c r="AK335" s="374"/>
      <c r="AL335" s="127"/>
      <c r="AM335" s="127"/>
      <c r="AN335" s="127"/>
      <c r="AO335" s="359"/>
      <c r="AP335" s="359"/>
      <c r="AQ335" s="359"/>
      <c r="AR335" s="359"/>
      <c r="AS335" s="359"/>
    </row>
    <row r="336">
      <c r="A336" s="131"/>
      <c r="B336" s="374"/>
      <c r="C336" s="127"/>
      <c r="D336" s="127"/>
      <c r="E336" s="127"/>
      <c r="F336" s="131"/>
      <c r="G336" s="374"/>
      <c r="H336" s="127"/>
      <c r="I336" s="127"/>
      <c r="J336" s="127"/>
      <c r="K336" s="383"/>
      <c r="L336" s="374"/>
      <c r="M336" s="127"/>
      <c r="N336" s="127"/>
      <c r="O336" s="127"/>
      <c r="P336" s="383"/>
      <c r="Q336" s="164"/>
      <c r="R336" s="127"/>
      <c r="S336" s="127"/>
      <c r="T336" s="127"/>
      <c r="U336" s="131"/>
      <c r="V336" s="374"/>
      <c r="W336" s="127"/>
      <c r="X336" s="127"/>
      <c r="Y336" s="127"/>
      <c r="Z336" s="131"/>
      <c r="AA336" s="374"/>
      <c r="AB336" s="127"/>
      <c r="AC336" s="127"/>
      <c r="AD336" s="127"/>
      <c r="AE336" s="131"/>
      <c r="AF336" s="374"/>
      <c r="AG336" s="127"/>
      <c r="AH336" s="127"/>
      <c r="AI336" s="127"/>
      <c r="AJ336" s="131"/>
      <c r="AK336" s="374"/>
      <c r="AL336" s="127"/>
      <c r="AM336" s="127"/>
      <c r="AN336" s="127"/>
      <c r="AO336" s="359"/>
      <c r="AP336" s="359"/>
      <c r="AQ336" s="359"/>
      <c r="AR336" s="359"/>
      <c r="AS336" s="359"/>
    </row>
    <row r="337">
      <c r="A337" s="131"/>
      <c r="B337" s="374"/>
      <c r="C337" s="127"/>
      <c r="D337" s="127"/>
      <c r="E337" s="127"/>
      <c r="F337" s="131"/>
      <c r="G337" s="374"/>
      <c r="H337" s="127"/>
      <c r="I337" s="127"/>
      <c r="J337" s="127"/>
      <c r="K337" s="383"/>
      <c r="L337" s="374"/>
      <c r="M337" s="127"/>
      <c r="N337" s="127"/>
      <c r="O337" s="127"/>
      <c r="P337" s="383"/>
      <c r="Q337" s="164"/>
      <c r="R337" s="127"/>
      <c r="S337" s="127"/>
      <c r="T337" s="127"/>
      <c r="U337" s="131"/>
      <c r="V337" s="374"/>
      <c r="W337" s="127"/>
      <c r="X337" s="127"/>
      <c r="Y337" s="127"/>
      <c r="Z337" s="131"/>
      <c r="AA337" s="374"/>
      <c r="AB337" s="127"/>
      <c r="AC337" s="127"/>
      <c r="AD337" s="127"/>
      <c r="AE337" s="131"/>
      <c r="AF337" s="374"/>
      <c r="AG337" s="127"/>
      <c r="AH337" s="127"/>
      <c r="AI337" s="127"/>
      <c r="AJ337" s="131"/>
      <c r="AK337" s="374"/>
      <c r="AL337" s="127"/>
      <c r="AM337" s="127"/>
      <c r="AN337" s="127"/>
      <c r="AO337" s="359"/>
      <c r="AP337" s="359"/>
      <c r="AQ337" s="359"/>
      <c r="AR337" s="359"/>
      <c r="AS337" s="359"/>
    </row>
    <row r="338">
      <c r="A338" s="131"/>
      <c r="B338" s="374"/>
      <c r="C338" s="127"/>
      <c r="D338" s="127"/>
      <c r="E338" s="127"/>
      <c r="F338" s="131"/>
      <c r="G338" s="374"/>
      <c r="H338" s="127"/>
      <c r="I338" s="127"/>
      <c r="J338" s="127"/>
      <c r="K338" s="383"/>
      <c r="L338" s="374"/>
      <c r="M338" s="127"/>
      <c r="N338" s="127"/>
      <c r="O338" s="127"/>
      <c r="P338" s="383"/>
      <c r="Q338" s="164"/>
      <c r="R338" s="127"/>
      <c r="S338" s="127"/>
      <c r="T338" s="127"/>
      <c r="U338" s="131"/>
      <c r="V338" s="374"/>
      <c r="W338" s="127"/>
      <c r="X338" s="127"/>
      <c r="Y338" s="127"/>
      <c r="Z338" s="131"/>
      <c r="AA338" s="374"/>
      <c r="AB338" s="127"/>
      <c r="AC338" s="127"/>
      <c r="AD338" s="127"/>
      <c r="AE338" s="131"/>
      <c r="AF338" s="374"/>
      <c r="AG338" s="127"/>
      <c r="AH338" s="127"/>
      <c r="AI338" s="127"/>
      <c r="AJ338" s="131"/>
      <c r="AK338" s="374"/>
      <c r="AL338" s="127"/>
      <c r="AM338" s="127"/>
      <c r="AN338" s="127"/>
      <c r="AO338" s="359"/>
      <c r="AP338" s="359"/>
      <c r="AQ338" s="359"/>
      <c r="AR338" s="359"/>
      <c r="AS338" s="359"/>
    </row>
    <row r="339">
      <c r="A339" s="131"/>
      <c r="B339" s="374"/>
      <c r="C339" s="127"/>
      <c r="D339" s="127"/>
      <c r="E339" s="127"/>
      <c r="F339" s="131"/>
      <c r="G339" s="374"/>
      <c r="H339" s="127"/>
      <c r="I339" s="127"/>
      <c r="J339" s="127"/>
      <c r="K339" s="383"/>
      <c r="L339" s="374"/>
      <c r="M339" s="127"/>
      <c r="N339" s="127"/>
      <c r="O339" s="127"/>
      <c r="P339" s="383"/>
      <c r="Q339" s="164"/>
      <c r="R339" s="127"/>
      <c r="S339" s="127"/>
      <c r="T339" s="127"/>
      <c r="U339" s="131"/>
      <c r="V339" s="374"/>
      <c r="W339" s="127"/>
      <c r="X339" s="127"/>
      <c r="Y339" s="127"/>
      <c r="Z339" s="131"/>
      <c r="AA339" s="374"/>
      <c r="AB339" s="127"/>
      <c r="AC339" s="127"/>
      <c r="AD339" s="127"/>
      <c r="AE339" s="131"/>
      <c r="AF339" s="374"/>
      <c r="AG339" s="127"/>
      <c r="AH339" s="127"/>
      <c r="AI339" s="127"/>
      <c r="AJ339" s="131"/>
      <c r="AK339" s="374"/>
      <c r="AL339" s="127"/>
      <c r="AM339" s="127"/>
      <c r="AN339" s="127"/>
      <c r="AO339" s="359"/>
      <c r="AP339" s="359"/>
      <c r="AQ339" s="359"/>
      <c r="AR339" s="359"/>
      <c r="AS339" s="359"/>
    </row>
    <row r="340">
      <c r="A340" s="131"/>
      <c r="B340" s="374"/>
      <c r="C340" s="127"/>
      <c r="D340" s="127"/>
      <c r="E340" s="127"/>
      <c r="F340" s="131"/>
      <c r="G340" s="374"/>
      <c r="H340" s="127"/>
      <c r="I340" s="127"/>
      <c r="J340" s="127"/>
      <c r="K340" s="383"/>
      <c r="L340" s="374"/>
      <c r="M340" s="127"/>
      <c r="N340" s="127"/>
      <c r="O340" s="127"/>
      <c r="P340" s="383"/>
      <c r="Q340" s="164"/>
      <c r="R340" s="127"/>
      <c r="S340" s="127"/>
      <c r="T340" s="127"/>
      <c r="U340" s="131"/>
      <c r="V340" s="374"/>
      <c r="W340" s="127"/>
      <c r="X340" s="127"/>
      <c r="Y340" s="127"/>
      <c r="Z340" s="131"/>
      <c r="AA340" s="374"/>
      <c r="AB340" s="127"/>
      <c r="AC340" s="127"/>
      <c r="AD340" s="127"/>
      <c r="AE340" s="131"/>
      <c r="AF340" s="374"/>
      <c r="AG340" s="127"/>
      <c r="AH340" s="127"/>
      <c r="AI340" s="127"/>
      <c r="AJ340" s="131"/>
      <c r="AK340" s="374"/>
      <c r="AL340" s="127"/>
      <c r="AM340" s="127"/>
      <c r="AN340" s="127"/>
      <c r="AO340" s="359"/>
      <c r="AP340" s="359"/>
      <c r="AQ340" s="359"/>
      <c r="AR340" s="359"/>
      <c r="AS340" s="359"/>
    </row>
    <row r="341">
      <c r="A341" s="131"/>
      <c r="B341" s="374"/>
      <c r="C341" s="127"/>
      <c r="D341" s="127"/>
      <c r="E341" s="127"/>
      <c r="F341" s="131"/>
      <c r="G341" s="374"/>
      <c r="H341" s="127"/>
      <c r="I341" s="127"/>
      <c r="J341" s="127"/>
      <c r="K341" s="383"/>
      <c r="L341" s="374"/>
      <c r="M341" s="127"/>
      <c r="N341" s="127"/>
      <c r="O341" s="127"/>
      <c r="P341" s="383"/>
      <c r="Q341" s="164"/>
      <c r="R341" s="127"/>
      <c r="S341" s="127"/>
      <c r="T341" s="127"/>
      <c r="U341" s="131"/>
      <c r="V341" s="374"/>
      <c r="W341" s="127"/>
      <c r="X341" s="127"/>
      <c r="Y341" s="127"/>
      <c r="Z341" s="131"/>
      <c r="AA341" s="374"/>
      <c r="AB341" s="127"/>
      <c r="AC341" s="127"/>
      <c r="AD341" s="127"/>
      <c r="AE341" s="131"/>
      <c r="AF341" s="374"/>
      <c r="AG341" s="127"/>
      <c r="AH341" s="127"/>
      <c r="AI341" s="127"/>
      <c r="AJ341" s="131"/>
      <c r="AK341" s="374"/>
      <c r="AL341" s="127"/>
      <c r="AM341" s="127"/>
      <c r="AN341" s="127"/>
      <c r="AO341" s="359"/>
      <c r="AP341" s="359"/>
      <c r="AQ341" s="359"/>
      <c r="AR341" s="359"/>
      <c r="AS341" s="359"/>
    </row>
    <row r="342">
      <c r="A342" s="131"/>
      <c r="B342" s="374"/>
      <c r="C342" s="127"/>
      <c r="D342" s="127"/>
      <c r="E342" s="127"/>
      <c r="F342" s="131"/>
      <c r="G342" s="374"/>
      <c r="H342" s="127"/>
      <c r="I342" s="127"/>
      <c r="J342" s="127"/>
      <c r="K342" s="383"/>
      <c r="L342" s="374"/>
      <c r="M342" s="127"/>
      <c r="N342" s="127"/>
      <c r="O342" s="127"/>
      <c r="P342" s="383"/>
      <c r="Q342" s="164"/>
      <c r="R342" s="127"/>
      <c r="S342" s="127"/>
      <c r="T342" s="127"/>
      <c r="U342" s="131"/>
      <c r="V342" s="374"/>
      <c r="W342" s="127"/>
      <c r="X342" s="127"/>
      <c r="Y342" s="127"/>
      <c r="Z342" s="131"/>
      <c r="AA342" s="374"/>
      <c r="AB342" s="127"/>
      <c r="AC342" s="127"/>
      <c r="AD342" s="127"/>
      <c r="AE342" s="131"/>
      <c r="AF342" s="374"/>
      <c r="AG342" s="127"/>
      <c r="AH342" s="127"/>
      <c r="AI342" s="127"/>
      <c r="AJ342" s="131"/>
      <c r="AK342" s="374"/>
      <c r="AL342" s="127"/>
      <c r="AM342" s="127"/>
      <c r="AN342" s="127"/>
      <c r="AO342" s="359"/>
      <c r="AP342" s="359"/>
      <c r="AQ342" s="359"/>
      <c r="AR342" s="359"/>
      <c r="AS342" s="359"/>
    </row>
    <row r="343">
      <c r="A343" s="131"/>
      <c r="B343" s="374"/>
      <c r="C343" s="127"/>
      <c r="D343" s="127"/>
      <c r="E343" s="127"/>
      <c r="F343" s="131"/>
      <c r="G343" s="374"/>
      <c r="H343" s="127"/>
      <c r="I343" s="127"/>
      <c r="J343" s="127"/>
      <c r="K343" s="383"/>
      <c r="L343" s="374"/>
      <c r="M343" s="127"/>
      <c r="N343" s="127"/>
      <c r="O343" s="127"/>
      <c r="P343" s="383"/>
      <c r="Q343" s="164"/>
      <c r="R343" s="127"/>
      <c r="S343" s="127"/>
      <c r="T343" s="127"/>
      <c r="U343" s="131"/>
      <c r="V343" s="374"/>
      <c r="W343" s="127"/>
      <c r="X343" s="127"/>
      <c r="Y343" s="127"/>
      <c r="Z343" s="131"/>
      <c r="AA343" s="374"/>
      <c r="AB343" s="127"/>
      <c r="AC343" s="127"/>
      <c r="AD343" s="127"/>
      <c r="AE343" s="131"/>
      <c r="AF343" s="374"/>
      <c r="AG343" s="127"/>
      <c r="AH343" s="127"/>
      <c r="AI343" s="127"/>
      <c r="AJ343" s="131"/>
      <c r="AK343" s="374"/>
      <c r="AL343" s="127"/>
      <c r="AM343" s="127"/>
      <c r="AN343" s="127"/>
      <c r="AO343" s="359"/>
      <c r="AP343" s="359"/>
      <c r="AQ343" s="359"/>
      <c r="AR343" s="359"/>
      <c r="AS343" s="359"/>
    </row>
    <row r="344">
      <c r="A344" s="131"/>
      <c r="B344" s="374"/>
      <c r="C344" s="127"/>
      <c r="D344" s="127"/>
      <c r="E344" s="127"/>
      <c r="F344" s="131"/>
      <c r="G344" s="374"/>
      <c r="H344" s="127"/>
      <c r="I344" s="127"/>
      <c r="J344" s="127"/>
      <c r="K344" s="383"/>
      <c r="L344" s="374"/>
      <c r="M344" s="127"/>
      <c r="N344" s="127"/>
      <c r="O344" s="127"/>
      <c r="P344" s="383"/>
      <c r="Q344" s="164"/>
      <c r="R344" s="127"/>
      <c r="S344" s="127"/>
      <c r="T344" s="127"/>
      <c r="U344" s="131"/>
      <c r="V344" s="374"/>
      <c r="W344" s="127"/>
      <c r="X344" s="127"/>
      <c r="Y344" s="127"/>
      <c r="Z344" s="131"/>
      <c r="AA344" s="374"/>
      <c r="AB344" s="127"/>
      <c r="AC344" s="127"/>
      <c r="AD344" s="127"/>
      <c r="AE344" s="131"/>
      <c r="AF344" s="374"/>
      <c r="AG344" s="127"/>
      <c r="AH344" s="127"/>
      <c r="AI344" s="127"/>
      <c r="AJ344" s="131"/>
      <c r="AK344" s="374"/>
      <c r="AL344" s="127"/>
      <c r="AM344" s="127"/>
      <c r="AN344" s="127"/>
      <c r="AO344" s="359"/>
      <c r="AP344" s="359"/>
      <c r="AQ344" s="359"/>
      <c r="AR344" s="359"/>
      <c r="AS344" s="359"/>
    </row>
    <row r="345">
      <c r="A345" s="131"/>
      <c r="B345" s="374"/>
      <c r="C345" s="127"/>
      <c r="D345" s="127"/>
      <c r="E345" s="127"/>
      <c r="F345" s="131"/>
      <c r="G345" s="374"/>
      <c r="H345" s="127"/>
      <c r="I345" s="127"/>
      <c r="J345" s="127"/>
      <c r="K345" s="383"/>
      <c r="L345" s="374"/>
      <c r="M345" s="127"/>
      <c r="N345" s="127"/>
      <c r="O345" s="127"/>
      <c r="P345" s="383"/>
      <c r="Q345" s="164"/>
      <c r="R345" s="127"/>
      <c r="S345" s="127"/>
      <c r="T345" s="127"/>
      <c r="U345" s="131"/>
      <c r="V345" s="374"/>
      <c r="W345" s="127"/>
      <c r="X345" s="127"/>
      <c r="Y345" s="127"/>
      <c r="Z345" s="131"/>
      <c r="AA345" s="374"/>
      <c r="AB345" s="127"/>
      <c r="AC345" s="127"/>
      <c r="AD345" s="127"/>
      <c r="AE345" s="131"/>
      <c r="AF345" s="374"/>
      <c r="AG345" s="127"/>
      <c r="AH345" s="127"/>
      <c r="AI345" s="127"/>
      <c r="AJ345" s="131"/>
      <c r="AK345" s="374"/>
      <c r="AL345" s="127"/>
      <c r="AM345" s="127"/>
      <c r="AN345" s="127"/>
      <c r="AO345" s="359"/>
      <c r="AP345" s="359"/>
      <c r="AQ345" s="359"/>
      <c r="AR345" s="359"/>
      <c r="AS345" s="359"/>
    </row>
    <row r="346">
      <c r="A346" s="131"/>
      <c r="B346" s="374"/>
      <c r="C346" s="127"/>
      <c r="D346" s="127"/>
      <c r="E346" s="127"/>
      <c r="F346" s="131"/>
      <c r="G346" s="374"/>
      <c r="H346" s="127"/>
      <c r="I346" s="127"/>
      <c r="J346" s="127"/>
      <c r="K346" s="383"/>
      <c r="L346" s="374"/>
      <c r="M346" s="127"/>
      <c r="N346" s="127"/>
      <c r="O346" s="127"/>
      <c r="P346" s="383"/>
      <c r="Q346" s="164"/>
      <c r="R346" s="127"/>
      <c r="S346" s="127"/>
      <c r="T346" s="127"/>
      <c r="U346" s="131"/>
      <c r="V346" s="374"/>
      <c r="W346" s="127"/>
      <c r="X346" s="127"/>
      <c r="Y346" s="127"/>
      <c r="Z346" s="131"/>
      <c r="AA346" s="374"/>
      <c r="AB346" s="127"/>
      <c r="AC346" s="127"/>
      <c r="AD346" s="127"/>
      <c r="AE346" s="131"/>
      <c r="AF346" s="374"/>
      <c r="AG346" s="127"/>
      <c r="AH346" s="127"/>
      <c r="AI346" s="127"/>
      <c r="AJ346" s="131"/>
      <c r="AK346" s="374"/>
      <c r="AL346" s="127"/>
      <c r="AM346" s="127"/>
      <c r="AN346" s="127"/>
      <c r="AO346" s="359"/>
      <c r="AP346" s="359"/>
      <c r="AQ346" s="359"/>
      <c r="AR346" s="359"/>
      <c r="AS346" s="359"/>
    </row>
    <row r="347">
      <c r="A347" s="131"/>
      <c r="B347" s="374"/>
      <c r="C347" s="127"/>
      <c r="D347" s="127"/>
      <c r="E347" s="127"/>
      <c r="F347" s="131"/>
      <c r="G347" s="374"/>
      <c r="H347" s="127"/>
      <c r="I347" s="127"/>
      <c r="J347" s="127"/>
      <c r="K347" s="383"/>
      <c r="L347" s="374"/>
      <c r="M347" s="127"/>
      <c r="N347" s="127"/>
      <c r="O347" s="127"/>
      <c r="P347" s="383"/>
      <c r="Q347" s="164"/>
      <c r="R347" s="127"/>
      <c r="S347" s="127"/>
      <c r="T347" s="127"/>
      <c r="U347" s="131"/>
      <c r="V347" s="374"/>
      <c r="W347" s="127"/>
      <c r="X347" s="127"/>
      <c r="Y347" s="127"/>
      <c r="Z347" s="131"/>
      <c r="AA347" s="374"/>
      <c r="AB347" s="127"/>
      <c r="AC347" s="127"/>
      <c r="AD347" s="127"/>
      <c r="AE347" s="131"/>
      <c r="AF347" s="374"/>
      <c r="AG347" s="127"/>
      <c r="AH347" s="127"/>
      <c r="AI347" s="127"/>
      <c r="AJ347" s="131"/>
      <c r="AK347" s="374"/>
      <c r="AL347" s="127"/>
      <c r="AM347" s="127"/>
      <c r="AN347" s="127"/>
      <c r="AO347" s="359"/>
      <c r="AP347" s="359"/>
      <c r="AQ347" s="359"/>
      <c r="AR347" s="359"/>
      <c r="AS347" s="359"/>
    </row>
    <row r="348">
      <c r="A348" s="131"/>
      <c r="B348" s="374"/>
      <c r="C348" s="127"/>
      <c r="D348" s="127"/>
      <c r="E348" s="127"/>
      <c r="F348" s="131"/>
      <c r="G348" s="374"/>
      <c r="H348" s="127"/>
      <c r="I348" s="127"/>
      <c r="J348" s="127"/>
      <c r="K348" s="383"/>
      <c r="L348" s="374"/>
      <c r="M348" s="127"/>
      <c r="N348" s="127"/>
      <c r="O348" s="127"/>
      <c r="P348" s="383"/>
      <c r="Q348" s="164"/>
      <c r="R348" s="127"/>
      <c r="S348" s="127"/>
      <c r="T348" s="127"/>
      <c r="U348" s="131"/>
      <c r="V348" s="374"/>
      <c r="W348" s="127"/>
      <c r="X348" s="127"/>
      <c r="Y348" s="127"/>
      <c r="Z348" s="131"/>
      <c r="AA348" s="374"/>
      <c r="AB348" s="127"/>
      <c r="AC348" s="127"/>
      <c r="AD348" s="127"/>
      <c r="AE348" s="131"/>
      <c r="AF348" s="374"/>
      <c r="AG348" s="127"/>
      <c r="AH348" s="127"/>
      <c r="AI348" s="127"/>
      <c r="AJ348" s="131"/>
      <c r="AK348" s="374"/>
      <c r="AL348" s="127"/>
      <c r="AM348" s="127"/>
      <c r="AN348" s="127"/>
      <c r="AO348" s="359"/>
      <c r="AP348" s="359"/>
      <c r="AQ348" s="359"/>
      <c r="AR348" s="359"/>
      <c r="AS348" s="359"/>
    </row>
    <row r="349">
      <c r="A349" s="131"/>
      <c r="B349" s="374"/>
      <c r="C349" s="127"/>
      <c r="D349" s="127"/>
      <c r="E349" s="127"/>
      <c r="F349" s="131"/>
      <c r="G349" s="374"/>
      <c r="H349" s="127"/>
      <c r="I349" s="127"/>
      <c r="J349" s="127"/>
      <c r="K349" s="383"/>
      <c r="L349" s="374"/>
      <c r="M349" s="127"/>
      <c r="N349" s="127"/>
      <c r="O349" s="127"/>
      <c r="P349" s="383"/>
      <c r="Q349" s="164"/>
      <c r="R349" s="127"/>
      <c r="S349" s="127"/>
      <c r="T349" s="127"/>
      <c r="U349" s="131"/>
      <c r="V349" s="374"/>
      <c r="W349" s="127"/>
      <c r="X349" s="127"/>
      <c r="Y349" s="127"/>
      <c r="Z349" s="131"/>
      <c r="AA349" s="374"/>
      <c r="AB349" s="127"/>
      <c r="AC349" s="127"/>
      <c r="AD349" s="127"/>
      <c r="AE349" s="131"/>
      <c r="AF349" s="374"/>
      <c r="AG349" s="127"/>
      <c r="AH349" s="127"/>
      <c r="AI349" s="127"/>
      <c r="AJ349" s="131"/>
      <c r="AK349" s="374"/>
      <c r="AL349" s="127"/>
      <c r="AM349" s="127"/>
      <c r="AN349" s="127"/>
      <c r="AO349" s="359"/>
      <c r="AP349" s="359"/>
      <c r="AQ349" s="359"/>
      <c r="AR349" s="359"/>
      <c r="AS349" s="359"/>
    </row>
    <row r="350">
      <c r="A350" s="131"/>
      <c r="B350" s="374"/>
      <c r="C350" s="127"/>
      <c r="D350" s="127"/>
      <c r="E350" s="127"/>
      <c r="F350" s="131"/>
      <c r="G350" s="374"/>
      <c r="H350" s="127"/>
      <c r="I350" s="127"/>
      <c r="J350" s="127"/>
      <c r="K350" s="383"/>
      <c r="L350" s="374"/>
      <c r="M350" s="127"/>
      <c r="N350" s="127"/>
      <c r="O350" s="127"/>
      <c r="P350" s="383"/>
      <c r="Q350" s="164"/>
      <c r="R350" s="127"/>
      <c r="S350" s="127"/>
      <c r="T350" s="127"/>
      <c r="U350" s="131"/>
      <c r="V350" s="374"/>
      <c r="W350" s="127"/>
      <c r="X350" s="127"/>
      <c r="Y350" s="127"/>
      <c r="Z350" s="131"/>
      <c r="AA350" s="374"/>
      <c r="AB350" s="127"/>
      <c r="AC350" s="127"/>
      <c r="AD350" s="127"/>
      <c r="AE350" s="131"/>
      <c r="AF350" s="374"/>
      <c r="AG350" s="127"/>
      <c r="AH350" s="127"/>
      <c r="AI350" s="127"/>
      <c r="AJ350" s="131"/>
      <c r="AK350" s="374"/>
      <c r="AL350" s="127"/>
      <c r="AM350" s="127"/>
      <c r="AN350" s="127"/>
      <c r="AO350" s="359"/>
      <c r="AP350" s="359"/>
      <c r="AQ350" s="359"/>
      <c r="AR350" s="359"/>
      <c r="AS350" s="359"/>
    </row>
    <row r="351">
      <c r="A351" s="131"/>
      <c r="B351" s="374"/>
      <c r="C351" s="127"/>
      <c r="D351" s="127"/>
      <c r="E351" s="127"/>
      <c r="F351" s="131"/>
      <c r="G351" s="374"/>
      <c r="H351" s="127"/>
      <c r="I351" s="127"/>
      <c r="J351" s="127"/>
      <c r="K351" s="383"/>
      <c r="L351" s="374"/>
      <c r="M351" s="127"/>
      <c r="N351" s="127"/>
      <c r="O351" s="127"/>
      <c r="P351" s="383"/>
      <c r="Q351" s="164"/>
      <c r="R351" s="127"/>
      <c r="S351" s="127"/>
      <c r="T351" s="127"/>
      <c r="U351" s="131"/>
      <c r="V351" s="374"/>
      <c r="W351" s="127"/>
      <c r="X351" s="127"/>
      <c r="Y351" s="127"/>
      <c r="Z351" s="131"/>
      <c r="AA351" s="374"/>
      <c r="AB351" s="127"/>
      <c r="AC351" s="127"/>
      <c r="AD351" s="127"/>
      <c r="AE351" s="131"/>
      <c r="AF351" s="374"/>
      <c r="AG351" s="127"/>
      <c r="AH351" s="127"/>
      <c r="AI351" s="127"/>
      <c r="AJ351" s="131"/>
      <c r="AK351" s="374"/>
      <c r="AL351" s="127"/>
      <c r="AM351" s="127"/>
      <c r="AN351" s="127"/>
      <c r="AO351" s="359"/>
      <c r="AP351" s="359"/>
      <c r="AQ351" s="359"/>
      <c r="AR351" s="359"/>
      <c r="AS351" s="359"/>
    </row>
    <row r="352">
      <c r="A352" s="131"/>
      <c r="B352" s="374"/>
      <c r="C352" s="127"/>
      <c r="D352" s="127"/>
      <c r="E352" s="127"/>
      <c r="F352" s="131"/>
      <c r="G352" s="374"/>
      <c r="H352" s="127"/>
      <c r="I352" s="127"/>
      <c r="J352" s="127"/>
      <c r="K352" s="383"/>
      <c r="L352" s="374"/>
      <c r="M352" s="127"/>
      <c r="N352" s="127"/>
      <c r="O352" s="127"/>
      <c r="P352" s="383"/>
      <c r="Q352" s="164"/>
      <c r="R352" s="127"/>
      <c r="S352" s="127"/>
      <c r="T352" s="127"/>
      <c r="U352" s="131"/>
      <c r="V352" s="374"/>
      <c r="W352" s="127"/>
      <c r="X352" s="127"/>
      <c r="Y352" s="127"/>
      <c r="Z352" s="131"/>
      <c r="AA352" s="374"/>
      <c r="AB352" s="127"/>
      <c r="AC352" s="127"/>
      <c r="AD352" s="127"/>
      <c r="AE352" s="131"/>
      <c r="AF352" s="374"/>
      <c r="AG352" s="127"/>
      <c r="AH352" s="127"/>
      <c r="AI352" s="127"/>
      <c r="AJ352" s="131"/>
      <c r="AK352" s="374"/>
      <c r="AL352" s="127"/>
      <c r="AM352" s="127"/>
      <c r="AN352" s="127"/>
      <c r="AO352" s="359"/>
      <c r="AP352" s="359"/>
      <c r="AQ352" s="359"/>
      <c r="AR352" s="359"/>
      <c r="AS352" s="359"/>
    </row>
    <row r="353">
      <c r="A353" s="131"/>
      <c r="B353" s="374"/>
      <c r="C353" s="127"/>
      <c r="D353" s="127"/>
      <c r="E353" s="127"/>
      <c r="F353" s="131"/>
      <c r="G353" s="374"/>
      <c r="H353" s="127"/>
      <c r="I353" s="127"/>
      <c r="J353" s="127"/>
      <c r="K353" s="383"/>
      <c r="L353" s="374"/>
      <c r="M353" s="127"/>
      <c r="N353" s="127"/>
      <c r="O353" s="127"/>
      <c r="P353" s="383"/>
      <c r="Q353" s="164"/>
      <c r="R353" s="127"/>
      <c r="S353" s="127"/>
      <c r="T353" s="127"/>
      <c r="U353" s="131"/>
      <c r="V353" s="374"/>
      <c r="W353" s="127"/>
      <c r="X353" s="127"/>
      <c r="Y353" s="127"/>
      <c r="Z353" s="131"/>
      <c r="AA353" s="374"/>
      <c r="AB353" s="127"/>
      <c r="AC353" s="127"/>
      <c r="AD353" s="127"/>
      <c r="AE353" s="131"/>
      <c r="AF353" s="374"/>
      <c r="AG353" s="127"/>
      <c r="AH353" s="127"/>
      <c r="AI353" s="127"/>
      <c r="AJ353" s="131"/>
      <c r="AK353" s="374"/>
      <c r="AL353" s="127"/>
      <c r="AM353" s="127"/>
      <c r="AN353" s="127"/>
      <c r="AO353" s="359"/>
      <c r="AP353" s="359"/>
      <c r="AQ353" s="359"/>
      <c r="AR353" s="359"/>
      <c r="AS353" s="359"/>
    </row>
    <row r="354">
      <c r="A354" s="131"/>
      <c r="B354" s="374"/>
      <c r="C354" s="127"/>
      <c r="D354" s="127"/>
      <c r="E354" s="127"/>
      <c r="F354" s="131"/>
      <c r="G354" s="374"/>
      <c r="H354" s="127"/>
      <c r="I354" s="127"/>
      <c r="J354" s="127"/>
      <c r="K354" s="383"/>
      <c r="L354" s="374"/>
      <c r="M354" s="127"/>
      <c r="N354" s="127"/>
      <c r="O354" s="127"/>
      <c r="P354" s="383"/>
      <c r="Q354" s="164"/>
      <c r="R354" s="127"/>
      <c r="S354" s="127"/>
      <c r="T354" s="127"/>
      <c r="U354" s="131"/>
      <c r="V354" s="374"/>
      <c r="W354" s="127"/>
      <c r="X354" s="127"/>
      <c r="Y354" s="127"/>
      <c r="Z354" s="131"/>
      <c r="AA354" s="374"/>
      <c r="AB354" s="127"/>
      <c r="AC354" s="127"/>
      <c r="AD354" s="127"/>
      <c r="AE354" s="131"/>
      <c r="AF354" s="374"/>
      <c r="AG354" s="127"/>
      <c r="AH354" s="127"/>
      <c r="AI354" s="127"/>
      <c r="AJ354" s="131"/>
      <c r="AK354" s="374"/>
      <c r="AL354" s="127"/>
      <c r="AM354" s="127"/>
      <c r="AN354" s="127"/>
      <c r="AO354" s="359"/>
      <c r="AP354" s="359"/>
      <c r="AQ354" s="359"/>
      <c r="AR354" s="359"/>
      <c r="AS354" s="359"/>
    </row>
    <row r="355">
      <c r="A355" s="131"/>
      <c r="B355" s="374"/>
      <c r="C355" s="127"/>
      <c r="D355" s="127"/>
      <c r="E355" s="127"/>
      <c r="F355" s="131"/>
      <c r="G355" s="374"/>
      <c r="H355" s="127"/>
      <c r="I355" s="127"/>
      <c r="J355" s="127"/>
      <c r="K355" s="383"/>
      <c r="L355" s="374"/>
      <c r="M355" s="127"/>
      <c r="N355" s="127"/>
      <c r="O355" s="127"/>
      <c r="P355" s="383"/>
      <c r="Q355" s="164"/>
      <c r="R355" s="127"/>
      <c r="S355" s="127"/>
      <c r="T355" s="127"/>
      <c r="U355" s="131"/>
      <c r="V355" s="374"/>
      <c r="W355" s="127"/>
      <c r="X355" s="127"/>
      <c r="Y355" s="127"/>
      <c r="Z355" s="131"/>
      <c r="AA355" s="374"/>
      <c r="AB355" s="127"/>
      <c r="AC355" s="127"/>
      <c r="AD355" s="127"/>
      <c r="AE355" s="131"/>
      <c r="AF355" s="374"/>
      <c r="AG355" s="127"/>
      <c r="AH355" s="127"/>
      <c r="AI355" s="127"/>
      <c r="AJ355" s="131"/>
      <c r="AK355" s="374"/>
      <c r="AL355" s="127"/>
      <c r="AM355" s="127"/>
      <c r="AN355" s="127"/>
      <c r="AO355" s="359"/>
      <c r="AP355" s="359"/>
      <c r="AQ355" s="359"/>
      <c r="AR355" s="359"/>
      <c r="AS355" s="359"/>
    </row>
    <row r="356">
      <c r="A356" s="131"/>
      <c r="B356" s="374"/>
      <c r="C356" s="127"/>
      <c r="D356" s="127"/>
      <c r="E356" s="127"/>
      <c r="F356" s="131"/>
      <c r="G356" s="374"/>
      <c r="H356" s="127"/>
      <c r="I356" s="127"/>
      <c r="J356" s="127"/>
      <c r="K356" s="383"/>
      <c r="L356" s="374"/>
      <c r="M356" s="127"/>
      <c r="N356" s="127"/>
      <c r="O356" s="127"/>
      <c r="P356" s="383"/>
      <c r="Q356" s="164"/>
      <c r="R356" s="127"/>
      <c r="S356" s="127"/>
      <c r="T356" s="127"/>
      <c r="U356" s="131"/>
      <c r="V356" s="374"/>
      <c r="W356" s="127"/>
      <c r="X356" s="127"/>
      <c r="Y356" s="127"/>
      <c r="Z356" s="131"/>
      <c r="AA356" s="374"/>
      <c r="AB356" s="127"/>
      <c r="AC356" s="127"/>
      <c r="AD356" s="127"/>
      <c r="AE356" s="131"/>
      <c r="AF356" s="374"/>
      <c r="AG356" s="127"/>
      <c r="AH356" s="127"/>
      <c r="AI356" s="127"/>
      <c r="AJ356" s="131"/>
      <c r="AK356" s="374"/>
      <c r="AL356" s="127"/>
      <c r="AM356" s="127"/>
      <c r="AN356" s="127"/>
      <c r="AO356" s="359"/>
      <c r="AP356" s="359"/>
      <c r="AQ356" s="359"/>
      <c r="AR356" s="359"/>
      <c r="AS356" s="359"/>
    </row>
    <row r="357">
      <c r="A357" s="131"/>
      <c r="B357" s="374"/>
      <c r="C357" s="127"/>
      <c r="D357" s="127"/>
      <c r="E357" s="127"/>
      <c r="F357" s="131"/>
      <c r="G357" s="374"/>
      <c r="H357" s="127"/>
      <c r="I357" s="127"/>
      <c r="J357" s="127"/>
      <c r="K357" s="383"/>
      <c r="L357" s="374"/>
      <c r="M357" s="127"/>
      <c r="N357" s="127"/>
      <c r="O357" s="127"/>
      <c r="P357" s="383"/>
      <c r="Q357" s="164"/>
      <c r="R357" s="127"/>
      <c r="S357" s="127"/>
      <c r="T357" s="127"/>
      <c r="U357" s="131"/>
      <c r="V357" s="374"/>
      <c r="W357" s="127"/>
      <c r="X357" s="127"/>
      <c r="Y357" s="127"/>
      <c r="Z357" s="131"/>
      <c r="AA357" s="374"/>
      <c r="AB357" s="127"/>
      <c r="AC357" s="127"/>
      <c r="AD357" s="127"/>
      <c r="AE357" s="131"/>
      <c r="AF357" s="374"/>
      <c r="AG357" s="127"/>
      <c r="AH357" s="127"/>
      <c r="AI357" s="127"/>
      <c r="AJ357" s="131"/>
      <c r="AK357" s="374"/>
      <c r="AL357" s="127"/>
      <c r="AM357" s="127"/>
      <c r="AN357" s="127"/>
      <c r="AO357" s="359"/>
      <c r="AP357" s="359"/>
      <c r="AQ357" s="359"/>
      <c r="AR357" s="359"/>
      <c r="AS357" s="359"/>
    </row>
    <row r="358">
      <c r="A358" s="131"/>
      <c r="B358" s="374"/>
      <c r="C358" s="127"/>
      <c r="D358" s="127"/>
      <c r="E358" s="127"/>
      <c r="F358" s="131"/>
      <c r="G358" s="374"/>
      <c r="H358" s="127"/>
      <c r="I358" s="127"/>
      <c r="J358" s="127"/>
      <c r="K358" s="383"/>
      <c r="L358" s="374"/>
      <c r="M358" s="127"/>
      <c r="N358" s="127"/>
      <c r="O358" s="127"/>
      <c r="P358" s="383"/>
      <c r="Q358" s="164"/>
      <c r="R358" s="127"/>
      <c r="S358" s="127"/>
      <c r="T358" s="127"/>
      <c r="U358" s="131"/>
      <c r="V358" s="374"/>
      <c r="W358" s="127"/>
      <c r="X358" s="127"/>
      <c r="Y358" s="127"/>
      <c r="Z358" s="131"/>
      <c r="AA358" s="374"/>
      <c r="AB358" s="127"/>
      <c r="AC358" s="127"/>
      <c r="AD358" s="127"/>
      <c r="AE358" s="131"/>
      <c r="AF358" s="374"/>
      <c r="AG358" s="127"/>
      <c r="AH358" s="127"/>
      <c r="AI358" s="127"/>
      <c r="AJ358" s="131"/>
      <c r="AK358" s="374"/>
      <c r="AL358" s="127"/>
      <c r="AM358" s="127"/>
      <c r="AN358" s="127"/>
      <c r="AO358" s="359"/>
      <c r="AP358" s="359"/>
      <c r="AQ358" s="359"/>
      <c r="AR358" s="359"/>
      <c r="AS358" s="359"/>
    </row>
    <row r="359">
      <c r="A359" s="131"/>
      <c r="B359" s="374"/>
      <c r="C359" s="127"/>
      <c r="D359" s="127"/>
      <c r="E359" s="127"/>
      <c r="F359" s="131"/>
      <c r="G359" s="374"/>
      <c r="H359" s="127"/>
      <c r="I359" s="127"/>
      <c r="J359" s="127"/>
      <c r="K359" s="383"/>
      <c r="L359" s="374"/>
      <c r="M359" s="127"/>
      <c r="N359" s="127"/>
      <c r="O359" s="127"/>
      <c r="P359" s="383"/>
      <c r="Q359" s="164"/>
      <c r="R359" s="127"/>
      <c r="S359" s="127"/>
      <c r="T359" s="127"/>
      <c r="U359" s="131"/>
      <c r="V359" s="374"/>
      <c r="W359" s="127"/>
      <c r="X359" s="127"/>
      <c r="Y359" s="127"/>
      <c r="Z359" s="131"/>
      <c r="AA359" s="374"/>
      <c r="AB359" s="127"/>
      <c r="AC359" s="127"/>
      <c r="AD359" s="127"/>
      <c r="AE359" s="131"/>
      <c r="AF359" s="374"/>
      <c r="AG359" s="127"/>
      <c r="AH359" s="127"/>
      <c r="AI359" s="127"/>
      <c r="AJ359" s="131"/>
      <c r="AK359" s="374"/>
      <c r="AL359" s="127"/>
      <c r="AM359" s="127"/>
      <c r="AN359" s="127"/>
      <c r="AO359" s="359"/>
      <c r="AP359" s="359"/>
      <c r="AQ359" s="359"/>
      <c r="AR359" s="359"/>
      <c r="AS359" s="359"/>
    </row>
    <row r="360">
      <c r="A360" s="131"/>
      <c r="B360" s="374"/>
      <c r="C360" s="127"/>
      <c r="D360" s="127"/>
      <c r="E360" s="127"/>
      <c r="F360" s="131"/>
      <c r="G360" s="374"/>
      <c r="H360" s="127"/>
      <c r="I360" s="127"/>
      <c r="J360" s="127"/>
      <c r="K360" s="383"/>
      <c r="L360" s="374"/>
      <c r="M360" s="127"/>
      <c r="N360" s="127"/>
      <c r="O360" s="127"/>
      <c r="P360" s="383"/>
      <c r="Q360" s="164"/>
      <c r="R360" s="127"/>
      <c r="S360" s="127"/>
      <c r="T360" s="127"/>
      <c r="U360" s="131"/>
      <c r="V360" s="374"/>
      <c r="W360" s="127"/>
      <c r="X360" s="127"/>
      <c r="Y360" s="127"/>
      <c r="Z360" s="131"/>
      <c r="AA360" s="374"/>
      <c r="AB360" s="127"/>
      <c r="AC360" s="127"/>
      <c r="AD360" s="127"/>
      <c r="AE360" s="131"/>
      <c r="AF360" s="374"/>
      <c r="AG360" s="127"/>
      <c r="AH360" s="127"/>
      <c r="AI360" s="127"/>
      <c r="AJ360" s="131"/>
      <c r="AK360" s="374"/>
      <c r="AL360" s="127"/>
      <c r="AM360" s="127"/>
      <c r="AN360" s="127"/>
      <c r="AO360" s="359"/>
      <c r="AP360" s="359"/>
      <c r="AQ360" s="359"/>
      <c r="AR360" s="359"/>
      <c r="AS360" s="359"/>
    </row>
    <row r="361">
      <c r="A361" s="131"/>
      <c r="B361" s="374"/>
      <c r="C361" s="127"/>
      <c r="D361" s="127"/>
      <c r="E361" s="127"/>
      <c r="F361" s="131"/>
      <c r="G361" s="374"/>
      <c r="H361" s="127"/>
      <c r="I361" s="127"/>
      <c r="J361" s="127"/>
      <c r="K361" s="383"/>
      <c r="L361" s="374"/>
      <c r="M361" s="127"/>
      <c r="N361" s="127"/>
      <c r="O361" s="127"/>
      <c r="P361" s="383"/>
      <c r="Q361" s="164"/>
      <c r="R361" s="127"/>
      <c r="S361" s="127"/>
      <c r="T361" s="127"/>
      <c r="U361" s="131"/>
      <c r="V361" s="374"/>
      <c r="W361" s="127"/>
      <c r="X361" s="127"/>
      <c r="Y361" s="127"/>
      <c r="Z361" s="131"/>
      <c r="AA361" s="374"/>
      <c r="AB361" s="127"/>
      <c r="AC361" s="127"/>
      <c r="AD361" s="127"/>
      <c r="AE361" s="131"/>
      <c r="AF361" s="374"/>
      <c r="AG361" s="127"/>
      <c r="AH361" s="127"/>
      <c r="AI361" s="127"/>
      <c r="AJ361" s="131"/>
      <c r="AK361" s="374"/>
      <c r="AL361" s="127"/>
      <c r="AM361" s="127"/>
      <c r="AN361" s="127"/>
      <c r="AO361" s="359"/>
      <c r="AP361" s="359"/>
      <c r="AQ361" s="359"/>
      <c r="AR361" s="359"/>
      <c r="AS361" s="359"/>
    </row>
    <row r="362">
      <c r="A362" s="131"/>
      <c r="B362" s="374"/>
      <c r="C362" s="127"/>
      <c r="D362" s="127"/>
      <c r="E362" s="127"/>
      <c r="F362" s="131"/>
      <c r="G362" s="374"/>
      <c r="H362" s="127"/>
      <c r="I362" s="127"/>
      <c r="J362" s="127"/>
      <c r="K362" s="383"/>
      <c r="L362" s="374"/>
      <c r="M362" s="127"/>
      <c r="N362" s="127"/>
      <c r="O362" s="127"/>
      <c r="P362" s="383"/>
      <c r="Q362" s="164"/>
      <c r="R362" s="127"/>
      <c r="S362" s="127"/>
      <c r="T362" s="127"/>
      <c r="U362" s="131"/>
      <c r="V362" s="374"/>
      <c r="W362" s="127"/>
      <c r="X362" s="127"/>
      <c r="Y362" s="127"/>
      <c r="Z362" s="131"/>
      <c r="AA362" s="374"/>
      <c r="AB362" s="127"/>
      <c r="AC362" s="127"/>
      <c r="AD362" s="127"/>
      <c r="AE362" s="131"/>
      <c r="AF362" s="374"/>
      <c r="AG362" s="127"/>
      <c r="AH362" s="127"/>
      <c r="AI362" s="127"/>
      <c r="AJ362" s="131"/>
      <c r="AK362" s="374"/>
      <c r="AL362" s="127"/>
      <c r="AM362" s="127"/>
      <c r="AN362" s="127"/>
      <c r="AO362" s="359"/>
      <c r="AP362" s="359"/>
      <c r="AQ362" s="359"/>
      <c r="AR362" s="359"/>
      <c r="AS362" s="359"/>
    </row>
    <row r="363">
      <c r="A363" s="131"/>
      <c r="B363" s="374"/>
      <c r="C363" s="127"/>
      <c r="D363" s="127"/>
      <c r="E363" s="127"/>
      <c r="F363" s="131"/>
      <c r="G363" s="374"/>
      <c r="H363" s="127"/>
      <c r="I363" s="127"/>
      <c r="J363" s="127"/>
      <c r="K363" s="383"/>
      <c r="L363" s="374"/>
      <c r="M363" s="127"/>
      <c r="N363" s="127"/>
      <c r="O363" s="127"/>
      <c r="P363" s="383"/>
      <c r="Q363" s="164"/>
      <c r="R363" s="127"/>
      <c r="S363" s="127"/>
      <c r="T363" s="127"/>
      <c r="U363" s="131"/>
      <c r="V363" s="374"/>
      <c r="W363" s="127"/>
      <c r="X363" s="127"/>
      <c r="Y363" s="127"/>
      <c r="Z363" s="131"/>
      <c r="AA363" s="374"/>
      <c r="AB363" s="127"/>
      <c r="AC363" s="127"/>
      <c r="AD363" s="127"/>
      <c r="AE363" s="131"/>
      <c r="AF363" s="374"/>
      <c r="AG363" s="127"/>
      <c r="AH363" s="127"/>
      <c r="AI363" s="127"/>
      <c r="AJ363" s="131"/>
      <c r="AK363" s="374"/>
      <c r="AL363" s="127"/>
      <c r="AM363" s="127"/>
      <c r="AN363" s="127"/>
      <c r="AO363" s="359"/>
      <c r="AP363" s="359"/>
      <c r="AQ363" s="359"/>
      <c r="AR363" s="359"/>
      <c r="AS363" s="359"/>
    </row>
    <row r="364">
      <c r="A364" s="131"/>
      <c r="B364" s="374"/>
      <c r="C364" s="127"/>
      <c r="D364" s="127"/>
      <c r="E364" s="127"/>
      <c r="F364" s="131"/>
      <c r="G364" s="374"/>
      <c r="H364" s="127"/>
      <c r="I364" s="127"/>
      <c r="J364" s="127"/>
      <c r="K364" s="383"/>
      <c r="L364" s="374"/>
      <c r="M364" s="127"/>
      <c r="N364" s="127"/>
      <c r="O364" s="127"/>
      <c r="P364" s="383"/>
      <c r="Q364" s="164"/>
      <c r="R364" s="127"/>
      <c r="S364" s="127"/>
      <c r="T364" s="127"/>
      <c r="U364" s="131"/>
      <c r="V364" s="374"/>
      <c r="W364" s="127"/>
      <c r="X364" s="127"/>
      <c r="Y364" s="127"/>
      <c r="Z364" s="131"/>
      <c r="AA364" s="374"/>
      <c r="AB364" s="127"/>
      <c r="AC364" s="127"/>
      <c r="AD364" s="127"/>
      <c r="AE364" s="131"/>
      <c r="AF364" s="374"/>
      <c r="AG364" s="127"/>
      <c r="AH364" s="127"/>
      <c r="AI364" s="127"/>
      <c r="AJ364" s="131"/>
      <c r="AK364" s="374"/>
      <c r="AL364" s="127"/>
      <c r="AM364" s="127"/>
      <c r="AN364" s="127"/>
      <c r="AO364" s="359"/>
      <c r="AP364" s="359"/>
      <c r="AQ364" s="359"/>
      <c r="AR364" s="359"/>
      <c r="AS364" s="359"/>
    </row>
    <row r="365">
      <c r="A365" s="131"/>
      <c r="B365" s="374"/>
      <c r="C365" s="127"/>
      <c r="D365" s="127"/>
      <c r="E365" s="127"/>
      <c r="F365" s="131"/>
      <c r="G365" s="374"/>
      <c r="H365" s="127"/>
      <c r="I365" s="127"/>
      <c r="J365" s="127"/>
      <c r="K365" s="383"/>
      <c r="L365" s="374"/>
      <c r="M365" s="127"/>
      <c r="N365" s="127"/>
      <c r="O365" s="127"/>
      <c r="P365" s="383"/>
      <c r="Q365" s="164"/>
      <c r="R365" s="127"/>
      <c r="S365" s="127"/>
      <c r="T365" s="127"/>
      <c r="U365" s="131"/>
      <c r="V365" s="374"/>
      <c r="W365" s="127"/>
      <c r="X365" s="127"/>
      <c r="Y365" s="127"/>
      <c r="Z365" s="131"/>
      <c r="AA365" s="374"/>
      <c r="AB365" s="127"/>
      <c r="AC365" s="127"/>
      <c r="AD365" s="127"/>
      <c r="AE365" s="131"/>
      <c r="AF365" s="374"/>
      <c r="AG365" s="127"/>
      <c r="AH365" s="127"/>
      <c r="AI365" s="127"/>
      <c r="AJ365" s="131"/>
      <c r="AK365" s="374"/>
      <c r="AL365" s="127"/>
      <c r="AM365" s="127"/>
      <c r="AN365" s="127"/>
      <c r="AO365" s="359"/>
      <c r="AP365" s="359"/>
      <c r="AQ365" s="359"/>
      <c r="AR365" s="359"/>
      <c r="AS365" s="359"/>
    </row>
    <row r="366">
      <c r="A366" s="131"/>
      <c r="B366" s="374"/>
      <c r="C366" s="127"/>
      <c r="D366" s="127"/>
      <c r="E366" s="127"/>
      <c r="F366" s="131"/>
      <c r="G366" s="374"/>
      <c r="H366" s="127"/>
      <c r="I366" s="127"/>
      <c r="J366" s="127"/>
      <c r="K366" s="383"/>
      <c r="L366" s="374"/>
      <c r="M366" s="127"/>
      <c r="N366" s="127"/>
      <c r="O366" s="127"/>
      <c r="P366" s="383"/>
      <c r="Q366" s="164"/>
      <c r="R366" s="127"/>
      <c r="S366" s="127"/>
      <c r="T366" s="127"/>
      <c r="U366" s="131"/>
      <c r="V366" s="374"/>
      <c r="W366" s="127"/>
      <c r="X366" s="127"/>
      <c r="Y366" s="127"/>
      <c r="Z366" s="131"/>
      <c r="AA366" s="374"/>
      <c r="AB366" s="127"/>
      <c r="AC366" s="127"/>
      <c r="AD366" s="127"/>
      <c r="AE366" s="131"/>
      <c r="AF366" s="374"/>
      <c r="AG366" s="127"/>
      <c r="AH366" s="127"/>
      <c r="AI366" s="127"/>
      <c r="AJ366" s="131"/>
      <c r="AK366" s="374"/>
      <c r="AL366" s="127"/>
      <c r="AM366" s="127"/>
      <c r="AN366" s="127"/>
      <c r="AO366" s="359"/>
      <c r="AP366" s="359"/>
      <c r="AQ366" s="359"/>
      <c r="AR366" s="359"/>
      <c r="AS366" s="359"/>
    </row>
    <row r="367">
      <c r="A367" s="131"/>
      <c r="B367" s="374"/>
      <c r="C367" s="127"/>
      <c r="D367" s="127"/>
      <c r="E367" s="127"/>
      <c r="F367" s="131"/>
      <c r="G367" s="374"/>
      <c r="H367" s="127"/>
      <c r="I367" s="127"/>
      <c r="J367" s="127"/>
      <c r="K367" s="383"/>
      <c r="L367" s="374"/>
      <c r="M367" s="127"/>
      <c r="N367" s="127"/>
      <c r="O367" s="127"/>
      <c r="P367" s="383"/>
      <c r="Q367" s="164"/>
      <c r="R367" s="127"/>
      <c r="S367" s="127"/>
      <c r="T367" s="127"/>
      <c r="U367" s="131"/>
      <c r="V367" s="374"/>
      <c r="W367" s="127"/>
      <c r="X367" s="127"/>
      <c r="Y367" s="127"/>
      <c r="Z367" s="131"/>
      <c r="AA367" s="374"/>
      <c r="AB367" s="127"/>
      <c r="AC367" s="127"/>
      <c r="AD367" s="127"/>
      <c r="AE367" s="131"/>
      <c r="AF367" s="374"/>
      <c r="AG367" s="127"/>
      <c r="AH367" s="127"/>
      <c r="AI367" s="127"/>
      <c r="AJ367" s="131"/>
      <c r="AK367" s="374"/>
      <c r="AL367" s="127"/>
      <c r="AM367" s="127"/>
      <c r="AN367" s="127"/>
      <c r="AO367" s="359"/>
      <c r="AP367" s="359"/>
      <c r="AQ367" s="359"/>
      <c r="AR367" s="359"/>
      <c r="AS367" s="359"/>
    </row>
    <row r="368">
      <c r="A368" s="131"/>
      <c r="B368" s="374"/>
      <c r="C368" s="127"/>
      <c r="D368" s="127"/>
      <c r="E368" s="127"/>
      <c r="F368" s="131"/>
      <c r="G368" s="374"/>
      <c r="H368" s="127"/>
      <c r="I368" s="127"/>
      <c r="J368" s="127"/>
      <c r="K368" s="383"/>
      <c r="L368" s="374"/>
      <c r="M368" s="127"/>
      <c r="N368" s="127"/>
      <c r="O368" s="127"/>
      <c r="P368" s="383"/>
      <c r="Q368" s="164"/>
      <c r="R368" s="127"/>
      <c r="S368" s="127"/>
      <c r="T368" s="127"/>
      <c r="U368" s="131"/>
      <c r="V368" s="374"/>
      <c r="W368" s="127"/>
      <c r="X368" s="127"/>
      <c r="Y368" s="127"/>
      <c r="Z368" s="131"/>
      <c r="AA368" s="374"/>
      <c r="AB368" s="127"/>
      <c r="AC368" s="127"/>
      <c r="AD368" s="127"/>
      <c r="AE368" s="131"/>
      <c r="AF368" s="374"/>
      <c r="AG368" s="127"/>
      <c r="AH368" s="127"/>
      <c r="AI368" s="127"/>
      <c r="AJ368" s="131"/>
      <c r="AK368" s="374"/>
      <c r="AL368" s="127"/>
      <c r="AM368" s="127"/>
      <c r="AN368" s="127"/>
      <c r="AO368" s="359"/>
      <c r="AP368" s="359"/>
      <c r="AQ368" s="359"/>
      <c r="AR368" s="359"/>
      <c r="AS368" s="359"/>
    </row>
    <row r="369">
      <c r="A369" s="131"/>
      <c r="B369" s="374"/>
      <c r="C369" s="127"/>
      <c r="D369" s="127"/>
      <c r="E369" s="127"/>
      <c r="F369" s="131"/>
      <c r="G369" s="374"/>
      <c r="H369" s="127"/>
      <c r="I369" s="127"/>
      <c r="J369" s="127"/>
      <c r="K369" s="383"/>
      <c r="L369" s="374"/>
      <c r="M369" s="127"/>
      <c r="N369" s="127"/>
      <c r="O369" s="127"/>
      <c r="P369" s="383"/>
      <c r="Q369" s="164"/>
      <c r="R369" s="127"/>
      <c r="S369" s="127"/>
      <c r="T369" s="127"/>
      <c r="U369" s="131"/>
      <c r="V369" s="374"/>
      <c r="W369" s="127"/>
      <c r="X369" s="127"/>
      <c r="Y369" s="127"/>
      <c r="Z369" s="131"/>
      <c r="AA369" s="374"/>
      <c r="AB369" s="127"/>
      <c r="AC369" s="127"/>
      <c r="AD369" s="127"/>
      <c r="AE369" s="131"/>
      <c r="AF369" s="374"/>
      <c r="AG369" s="127"/>
      <c r="AH369" s="127"/>
      <c r="AI369" s="127"/>
      <c r="AJ369" s="131"/>
      <c r="AK369" s="374"/>
      <c r="AL369" s="127"/>
      <c r="AM369" s="127"/>
      <c r="AN369" s="127"/>
      <c r="AO369" s="359"/>
      <c r="AP369" s="359"/>
      <c r="AQ369" s="359"/>
      <c r="AR369" s="359"/>
      <c r="AS369" s="359"/>
    </row>
    <row r="370">
      <c r="A370" s="131"/>
      <c r="B370" s="374"/>
      <c r="C370" s="127"/>
      <c r="D370" s="127"/>
      <c r="E370" s="127"/>
      <c r="F370" s="131"/>
      <c r="G370" s="374"/>
      <c r="H370" s="127"/>
      <c r="I370" s="127"/>
      <c r="J370" s="127"/>
      <c r="K370" s="383"/>
      <c r="L370" s="374"/>
      <c r="M370" s="127"/>
      <c r="N370" s="127"/>
      <c r="O370" s="127"/>
      <c r="P370" s="383"/>
      <c r="Q370" s="164"/>
      <c r="R370" s="127"/>
      <c r="S370" s="127"/>
      <c r="T370" s="127"/>
      <c r="U370" s="131"/>
      <c r="V370" s="374"/>
      <c r="W370" s="127"/>
      <c r="X370" s="127"/>
      <c r="Y370" s="127"/>
      <c r="Z370" s="131"/>
      <c r="AA370" s="374"/>
      <c r="AB370" s="127"/>
      <c r="AC370" s="127"/>
      <c r="AD370" s="127"/>
      <c r="AE370" s="131"/>
      <c r="AF370" s="374"/>
      <c r="AG370" s="127"/>
      <c r="AH370" s="127"/>
      <c r="AI370" s="127"/>
      <c r="AJ370" s="131"/>
      <c r="AK370" s="374"/>
      <c r="AL370" s="127"/>
      <c r="AM370" s="127"/>
      <c r="AN370" s="127"/>
      <c r="AO370" s="359"/>
      <c r="AP370" s="359"/>
      <c r="AQ370" s="359"/>
      <c r="AR370" s="359"/>
      <c r="AS370" s="359"/>
    </row>
    <row r="371">
      <c r="A371" s="131"/>
      <c r="B371" s="374"/>
      <c r="C371" s="127"/>
      <c r="D371" s="127"/>
      <c r="E371" s="127"/>
      <c r="F371" s="131"/>
      <c r="G371" s="374"/>
      <c r="H371" s="127"/>
      <c r="I371" s="127"/>
      <c r="J371" s="127"/>
      <c r="K371" s="383"/>
      <c r="L371" s="374"/>
      <c r="M371" s="127"/>
      <c r="N371" s="127"/>
      <c r="O371" s="127"/>
      <c r="P371" s="383"/>
      <c r="Q371" s="164"/>
      <c r="R371" s="127"/>
      <c r="S371" s="127"/>
      <c r="T371" s="127"/>
      <c r="U371" s="131"/>
      <c r="V371" s="374"/>
      <c r="W371" s="127"/>
      <c r="X371" s="127"/>
      <c r="Y371" s="127"/>
      <c r="Z371" s="131"/>
      <c r="AA371" s="374"/>
      <c r="AB371" s="127"/>
      <c r="AC371" s="127"/>
      <c r="AD371" s="127"/>
      <c r="AE371" s="131"/>
      <c r="AF371" s="374"/>
      <c r="AG371" s="127"/>
      <c r="AH371" s="127"/>
      <c r="AI371" s="127"/>
      <c r="AJ371" s="131"/>
      <c r="AK371" s="374"/>
      <c r="AL371" s="127"/>
      <c r="AM371" s="127"/>
      <c r="AN371" s="127"/>
      <c r="AO371" s="359"/>
      <c r="AP371" s="359"/>
      <c r="AQ371" s="359"/>
      <c r="AR371" s="359"/>
      <c r="AS371" s="359"/>
    </row>
    <row r="372">
      <c r="A372" s="131"/>
      <c r="B372" s="374"/>
      <c r="C372" s="127"/>
      <c r="D372" s="127"/>
      <c r="E372" s="127"/>
      <c r="F372" s="131"/>
      <c r="G372" s="374"/>
      <c r="H372" s="127"/>
      <c r="I372" s="127"/>
      <c r="J372" s="127"/>
      <c r="K372" s="383"/>
      <c r="L372" s="374"/>
      <c r="M372" s="127"/>
      <c r="N372" s="127"/>
      <c r="O372" s="127"/>
      <c r="P372" s="383"/>
      <c r="Q372" s="164"/>
      <c r="R372" s="127"/>
      <c r="S372" s="127"/>
      <c r="T372" s="127"/>
      <c r="U372" s="131"/>
      <c r="V372" s="374"/>
      <c r="W372" s="127"/>
      <c r="X372" s="127"/>
      <c r="Y372" s="127"/>
      <c r="Z372" s="131"/>
      <c r="AA372" s="374"/>
      <c r="AB372" s="127"/>
      <c r="AC372" s="127"/>
      <c r="AD372" s="127"/>
      <c r="AE372" s="131"/>
      <c r="AF372" s="374"/>
      <c r="AG372" s="127"/>
      <c r="AH372" s="127"/>
      <c r="AI372" s="127"/>
      <c r="AJ372" s="131"/>
      <c r="AK372" s="374"/>
      <c r="AL372" s="127"/>
      <c r="AM372" s="127"/>
      <c r="AN372" s="127"/>
      <c r="AO372" s="359"/>
      <c r="AP372" s="359"/>
      <c r="AQ372" s="359"/>
      <c r="AR372" s="359"/>
      <c r="AS372" s="359"/>
    </row>
    <row r="373">
      <c r="A373" s="131"/>
      <c r="B373" s="374"/>
      <c r="C373" s="127"/>
      <c r="D373" s="127"/>
      <c r="E373" s="127"/>
      <c r="F373" s="131"/>
      <c r="G373" s="374"/>
      <c r="H373" s="127"/>
      <c r="I373" s="127"/>
      <c r="J373" s="127"/>
      <c r="K373" s="383"/>
      <c r="L373" s="374"/>
      <c r="M373" s="127"/>
      <c r="N373" s="127"/>
      <c r="O373" s="127"/>
      <c r="P373" s="383"/>
      <c r="Q373" s="164"/>
      <c r="R373" s="127"/>
      <c r="S373" s="127"/>
      <c r="T373" s="127"/>
      <c r="U373" s="131"/>
      <c r="V373" s="374"/>
      <c r="W373" s="127"/>
      <c r="X373" s="127"/>
      <c r="Y373" s="127"/>
      <c r="Z373" s="131"/>
      <c r="AA373" s="374"/>
      <c r="AB373" s="127"/>
      <c r="AC373" s="127"/>
      <c r="AD373" s="127"/>
      <c r="AE373" s="131"/>
      <c r="AF373" s="374"/>
      <c r="AG373" s="127"/>
      <c r="AH373" s="127"/>
      <c r="AI373" s="127"/>
      <c r="AJ373" s="131"/>
      <c r="AK373" s="374"/>
      <c r="AL373" s="127"/>
      <c r="AM373" s="127"/>
      <c r="AN373" s="127"/>
      <c r="AO373" s="359"/>
      <c r="AP373" s="359"/>
      <c r="AQ373" s="359"/>
      <c r="AR373" s="359"/>
      <c r="AS373" s="359"/>
    </row>
    <row r="374">
      <c r="A374" s="131"/>
      <c r="B374" s="374"/>
      <c r="C374" s="127"/>
      <c r="D374" s="127"/>
      <c r="E374" s="127"/>
      <c r="F374" s="131"/>
      <c r="G374" s="374"/>
      <c r="H374" s="127"/>
      <c r="I374" s="127"/>
      <c r="J374" s="127"/>
      <c r="K374" s="383"/>
      <c r="L374" s="374"/>
      <c r="M374" s="127"/>
      <c r="N374" s="127"/>
      <c r="O374" s="127"/>
      <c r="P374" s="383"/>
      <c r="Q374" s="164"/>
      <c r="R374" s="127"/>
      <c r="S374" s="127"/>
      <c r="T374" s="127"/>
      <c r="U374" s="131"/>
      <c r="V374" s="374"/>
      <c r="W374" s="127"/>
      <c r="X374" s="127"/>
      <c r="Y374" s="127"/>
      <c r="Z374" s="131"/>
      <c r="AA374" s="374"/>
      <c r="AB374" s="127"/>
      <c r="AC374" s="127"/>
      <c r="AD374" s="127"/>
      <c r="AE374" s="131"/>
      <c r="AF374" s="374"/>
      <c r="AG374" s="127"/>
      <c r="AH374" s="127"/>
      <c r="AI374" s="127"/>
      <c r="AJ374" s="131"/>
      <c r="AK374" s="374"/>
      <c r="AL374" s="127"/>
      <c r="AM374" s="127"/>
      <c r="AN374" s="127"/>
      <c r="AO374" s="359"/>
      <c r="AP374" s="359"/>
      <c r="AQ374" s="359"/>
      <c r="AR374" s="359"/>
      <c r="AS374" s="359"/>
    </row>
    <row r="375">
      <c r="A375" s="131"/>
      <c r="B375" s="374"/>
      <c r="C375" s="127"/>
      <c r="D375" s="127"/>
      <c r="E375" s="127"/>
      <c r="F375" s="131"/>
      <c r="G375" s="374"/>
      <c r="H375" s="127"/>
      <c r="I375" s="127"/>
      <c r="J375" s="127"/>
      <c r="K375" s="383"/>
      <c r="L375" s="374"/>
      <c r="M375" s="127"/>
      <c r="N375" s="127"/>
      <c r="O375" s="127"/>
      <c r="P375" s="383"/>
      <c r="Q375" s="164"/>
      <c r="R375" s="127"/>
      <c r="S375" s="127"/>
      <c r="T375" s="127"/>
      <c r="U375" s="131"/>
      <c r="V375" s="374"/>
      <c r="W375" s="127"/>
      <c r="X375" s="127"/>
      <c r="Y375" s="127"/>
      <c r="Z375" s="131"/>
      <c r="AA375" s="374"/>
      <c r="AB375" s="127"/>
      <c r="AC375" s="127"/>
      <c r="AD375" s="127"/>
      <c r="AE375" s="131"/>
      <c r="AF375" s="374"/>
      <c r="AG375" s="127"/>
      <c r="AH375" s="127"/>
      <c r="AI375" s="127"/>
      <c r="AJ375" s="131"/>
      <c r="AK375" s="374"/>
      <c r="AL375" s="127"/>
      <c r="AM375" s="127"/>
      <c r="AN375" s="127"/>
      <c r="AO375" s="359"/>
      <c r="AP375" s="359"/>
      <c r="AQ375" s="359"/>
      <c r="AR375" s="359"/>
      <c r="AS375" s="359"/>
    </row>
    <row r="376">
      <c r="A376" s="131"/>
      <c r="B376" s="374"/>
      <c r="C376" s="127"/>
      <c r="D376" s="127"/>
      <c r="E376" s="127"/>
      <c r="F376" s="131"/>
      <c r="G376" s="374"/>
      <c r="H376" s="127"/>
      <c r="I376" s="127"/>
      <c r="J376" s="127"/>
      <c r="K376" s="383"/>
      <c r="L376" s="374"/>
      <c r="M376" s="127"/>
      <c r="N376" s="127"/>
      <c r="O376" s="127"/>
      <c r="P376" s="383"/>
      <c r="Q376" s="164"/>
      <c r="R376" s="127"/>
      <c r="S376" s="127"/>
      <c r="T376" s="127"/>
      <c r="U376" s="131"/>
      <c r="V376" s="374"/>
      <c r="W376" s="127"/>
      <c r="X376" s="127"/>
      <c r="Y376" s="127"/>
      <c r="Z376" s="131"/>
      <c r="AA376" s="374"/>
      <c r="AB376" s="127"/>
      <c r="AC376" s="127"/>
      <c r="AD376" s="127"/>
      <c r="AE376" s="131"/>
      <c r="AF376" s="374"/>
      <c r="AG376" s="127"/>
      <c r="AH376" s="127"/>
      <c r="AI376" s="127"/>
      <c r="AJ376" s="131"/>
      <c r="AK376" s="374"/>
      <c r="AL376" s="127"/>
      <c r="AM376" s="127"/>
      <c r="AN376" s="127"/>
      <c r="AO376" s="359"/>
      <c r="AP376" s="359"/>
      <c r="AQ376" s="359"/>
      <c r="AR376" s="359"/>
      <c r="AS376" s="359"/>
    </row>
    <row r="377">
      <c r="A377" s="131"/>
      <c r="B377" s="374"/>
      <c r="C377" s="127"/>
      <c r="D377" s="127"/>
      <c r="E377" s="127"/>
      <c r="F377" s="131"/>
      <c r="G377" s="374"/>
      <c r="H377" s="127"/>
      <c r="I377" s="127"/>
      <c r="J377" s="127"/>
      <c r="K377" s="383"/>
      <c r="L377" s="374"/>
      <c r="M377" s="127"/>
      <c r="N377" s="127"/>
      <c r="O377" s="127"/>
      <c r="P377" s="383"/>
      <c r="Q377" s="164"/>
      <c r="R377" s="127"/>
      <c r="S377" s="127"/>
      <c r="T377" s="127"/>
      <c r="U377" s="131"/>
      <c r="V377" s="374"/>
      <c r="W377" s="127"/>
      <c r="X377" s="127"/>
      <c r="Y377" s="127"/>
      <c r="Z377" s="131"/>
      <c r="AA377" s="374"/>
      <c r="AB377" s="127"/>
      <c r="AC377" s="127"/>
      <c r="AD377" s="127"/>
      <c r="AE377" s="131"/>
      <c r="AF377" s="374"/>
      <c r="AG377" s="127"/>
      <c r="AH377" s="127"/>
      <c r="AI377" s="127"/>
      <c r="AJ377" s="131"/>
      <c r="AK377" s="374"/>
      <c r="AL377" s="127"/>
      <c r="AM377" s="127"/>
      <c r="AN377" s="127"/>
      <c r="AO377" s="359"/>
      <c r="AP377" s="359"/>
      <c r="AQ377" s="359"/>
      <c r="AR377" s="359"/>
      <c r="AS377" s="359"/>
    </row>
    <row r="378">
      <c r="A378" s="131"/>
      <c r="B378" s="374"/>
      <c r="C378" s="127"/>
      <c r="D378" s="127"/>
      <c r="E378" s="127"/>
      <c r="F378" s="131"/>
      <c r="G378" s="374"/>
      <c r="H378" s="127"/>
      <c r="I378" s="127"/>
      <c r="J378" s="127"/>
      <c r="K378" s="383"/>
      <c r="L378" s="374"/>
      <c r="M378" s="127"/>
      <c r="N378" s="127"/>
      <c r="O378" s="127"/>
      <c r="P378" s="383"/>
      <c r="Q378" s="164"/>
      <c r="R378" s="127"/>
      <c r="S378" s="127"/>
      <c r="T378" s="127"/>
      <c r="U378" s="131"/>
      <c r="V378" s="374"/>
      <c r="W378" s="127"/>
      <c r="X378" s="127"/>
      <c r="Y378" s="127"/>
      <c r="Z378" s="131"/>
      <c r="AA378" s="374"/>
      <c r="AB378" s="127"/>
      <c r="AC378" s="127"/>
      <c r="AD378" s="127"/>
      <c r="AE378" s="131"/>
      <c r="AF378" s="374"/>
      <c r="AG378" s="127"/>
      <c r="AH378" s="127"/>
      <c r="AI378" s="127"/>
      <c r="AJ378" s="131"/>
      <c r="AK378" s="374"/>
      <c r="AL378" s="127"/>
      <c r="AM378" s="127"/>
      <c r="AN378" s="127"/>
      <c r="AO378" s="359"/>
      <c r="AP378" s="359"/>
      <c r="AQ378" s="359"/>
      <c r="AR378" s="359"/>
      <c r="AS378" s="359"/>
    </row>
    <row r="379">
      <c r="A379" s="131"/>
      <c r="B379" s="374"/>
      <c r="C379" s="127"/>
      <c r="D379" s="127"/>
      <c r="E379" s="127"/>
      <c r="F379" s="131"/>
      <c r="G379" s="374"/>
      <c r="H379" s="127"/>
      <c r="I379" s="127"/>
      <c r="J379" s="127"/>
      <c r="K379" s="383"/>
      <c r="L379" s="374"/>
      <c r="M379" s="127"/>
      <c r="N379" s="127"/>
      <c r="O379" s="127"/>
      <c r="P379" s="383"/>
      <c r="Q379" s="164"/>
      <c r="R379" s="127"/>
      <c r="S379" s="127"/>
      <c r="T379" s="127"/>
      <c r="U379" s="131"/>
      <c r="V379" s="374"/>
      <c r="W379" s="127"/>
      <c r="X379" s="127"/>
      <c r="Y379" s="127"/>
      <c r="Z379" s="131"/>
      <c r="AA379" s="374"/>
      <c r="AB379" s="127"/>
      <c r="AC379" s="127"/>
      <c r="AD379" s="127"/>
      <c r="AE379" s="131"/>
      <c r="AF379" s="374"/>
      <c r="AG379" s="127"/>
      <c r="AH379" s="127"/>
      <c r="AI379" s="127"/>
      <c r="AJ379" s="131"/>
      <c r="AK379" s="374"/>
      <c r="AL379" s="127"/>
      <c r="AM379" s="127"/>
      <c r="AN379" s="127"/>
      <c r="AO379" s="359"/>
      <c r="AP379" s="359"/>
      <c r="AQ379" s="359"/>
      <c r="AR379" s="359"/>
      <c r="AS379" s="359"/>
    </row>
    <row r="380">
      <c r="A380" s="131"/>
      <c r="B380" s="374"/>
      <c r="C380" s="127"/>
      <c r="D380" s="127"/>
      <c r="E380" s="127"/>
      <c r="F380" s="131"/>
      <c r="G380" s="374"/>
      <c r="H380" s="127"/>
      <c r="I380" s="127"/>
      <c r="J380" s="127"/>
      <c r="K380" s="383"/>
      <c r="L380" s="374"/>
      <c r="M380" s="127"/>
      <c r="N380" s="127"/>
      <c r="O380" s="127"/>
      <c r="P380" s="383"/>
      <c r="Q380" s="164"/>
      <c r="R380" s="127"/>
      <c r="S380" s="127"/>
      <c r="T380" s="127"/>
      <c r="U380" s="131"/>
      <c r="V380" s="374"/>
      <c r="W380" s="127"/>
      <c r="X380" s="127"/>
      <c r="Y380" s="127"/>
      <c r="Z380" s="131"/>
      <c r="AA380" s="374"/>
      <c r="AB380" s="127"/>
      <c r="AC380" s="127"/>
      <c r="AD380" s="127"/>
      <c r="AE380" s="131"/>
      <c r="AF380" s="374"/>
      <c r="AG380" s="127"/>
      <c r="AH380" s="127"/>
      <c r="AI380" s="127"/>
      <c r="AJ380" s="131"/>
      <c r="AK380" s="374"/>
      <c r="AL380" s="127"/>
      <c r="AM380" s="127"/>
      <c r="AN380" s="127"/>
      <c r="AO380" s="359"/>
      <c r="AP380" s="359"/>
      <c r="AQ380" s="359"/>
      <c r="AR380" s="359"/>
      <c r="AS380" s="359"/>
    </row>
    <row r="381">
      <c r="A381" s="131"/>
      <c r="B381" s="374"/>
      <c r="C381" s="127"/>
      <c r="D381" s="127"/>
      <c r="E381" s="127"/>
      <c r="F381" s="131"/>
      <c r="G381" s="374"/>
      <c r="H381" s="127"/>
      <c r="I381" s="127"/>
      <c r="J381" s="127"/>
      <c r="K381" s="383"/>
      <c r="L381" s="374"/>
      <c r="M381" s="127"/>
      <c r="N381" s="127"/>
      <c r="O381" s="127"/>
      <c r="P381" s="383"/>
      <c r="Q381" s="164"/>
      <c r="R381" s="127"/>
      <c r="S381" s="127"/>
      <c r="T381" s="127"/>
      <c r="U381" s="131"/>
      <c r="V381" s="374"/>
      <c r="W381" s="127"/>
      <c r="X381" s="127"/>
      <c r="Y381" s="127"/>
      <c r="Z381" s="131"/>
      <c r="AA381" s="374"/>
      <c r="AB381" s="127"/>
      <c r="AC381" s="127"/>
      <c r="AD381" s="127"/>
      <c r="AE381" s="131"/>
      <c r="AF381" s="374"/>
      <c r="AG381" s="127"/>
      <c r="AH381" s="127"/>
      <c r="AI381" s="127"/>
      <c r="AJ381" s="131"/>
      <c r="AK381" s="374"/>
      <c r="AL381" s="127"/>
      <c r="AM381" s="127"/>
      <c r="AN381" s="127"/>
      <c r="AO381" s="359"/>
      <c r="AP381" s="359"/>
      <c r="AQ381" s="359"/>
      <c r="AR381" s="359"/>
      <c r="AS381" s="359"/>
    </row>
    <row r="382">
      <c r="A382" s="131"/>
      <c r="B382" s="374"/>
      <c r="C382" s="127"/>
      <c r="D382" s="127"/>
      <c r="E382" s="127"/>
      <c r="F382" s="131"/>
      <c r="G382" s="374"/>
      <c r="H382" s="127"/>
      <c r="I382" s="127"/>
      <c r="J382" s="127"/>
      <c r="K382" s="383"/>
      <c r="L382" s="374"/>
      <c r="M382" s="127"/>
      <c r="N382" s="127"/>
      <c r="O382" s="127"/>
      <c r="P382" s="383"/>
      <c r="Q382" s="164"/>
      <c r="R382" s="127"/>
      <c r="S382" s="127"/>
      <c r="T382" s="127"/>
      <c r="U382" s="131"/>
      <c r="V382" s="374"/>
      <c r="W382" s="127"/>
      <c r="X382" s="127"/>
      <c r="Y382" s="127"/>
      <c r="Z382" s="131"/>
      <c r="AA382" s="374"/>
      <c r="AB382" s="127"/>
      <c r="AC382" s="127"/>
      <c r="AD382" s="127"/>
      <c r="AE382" s="131"/>
      <c r="AF382" s="374"/>
      <c r="AG382" s="127"/>
      <c r="AH382" s="127"/>
      <c r="AI382" s="127"/>
      <c r="AJ382" s="131"/>
      <c r="AK382" s="374"/>
      <c r="AL382" s="127"/>
      <c r="AM382" s="127"/>
      <c r="AN382" s="127"/>
      <c r="AO382" s="359"/>
      <c r="AP382" s="359"/>
      <c r="AQ382" s="359"/>
      <c r="AR382" s="359"/>
      <c r="AS382" s="359"/>
    </row>
    <row r="383">
      <c r="A383" s="131"/>
      <c r="B383" s="374"/>
      <c r="C383" s="127"/>
      <c r="D383" s="127"/>
      <c r="E383" s="127"/>
      <c r="F383" s="131"/>
      <c r="G383" s="374"/>
      <c r="H383" s="127"/>
      <c r="I383" s="127"/>
      <c r="J383" s="127"/>
      <c r="K383" s="383"/>
      <c r="L383" s="374"/>
      <c r="M383" s="127"/>
      <c r="N383" s="127"/>
      <c r="O383" s="127"/>
      <c r="P383" s="383"/>
      <c r="Q383" s="164"/>
      <c r="R383" s="127"/>
      <c r="S383" s="127"/>
      <c r="T383" s="127"/>
      <c r="U383" s="131"/>
      <c r="V383" s="374"/>
      <c r="W383" s="127"/>
      <c r="X383" s="127"/>
      <c r="Y383" s="127"/>
      <c r="Z383" s="131"/>
      <c r="AA383" s="374"/>
      <c r="AB383" s="127"/>
      <c r="AC383" s="127"/>
      <c r="AD383" s="127"/>
      <c r="AE383" s="131"/>
      <c r="AF383" s="374"/>
      <c r="AG383" s="127"/>
      <c r="AH383" s="127"/>
      <c r="AI383" s="127"/>
      <c r="AJ383" s="131"/>
      <c r="AK383" s="374"/>
      <c r="AL383" s="127"/>
      <c r="AM383" s="127"/>
      <c r="AN383" s="127"/>
      <c r="AO383" s="359"/>
      <c r="AP383" s="359"/>
      <c r="AQ383" s="359"/>
      <c r="AR383" s="359"/>
      <c r="AS383" s="359"/>
    </row>
    <row r="384">
      <c r="A384" s="131"/>
      <c r="B384" s="374"/>
      <c r="C384" s="127"/>
      <c r="D384" s="127"/>
      <c r="E384" s="127"/>
      <c r="F384" s="131"/>
      <c r="G384" s="374"/>
      <c r="H384" s="127"/>
      <c r="I384" s="127"/>
      <c r="J384" s="127"/>
      <c r="K384" s="383"/>
      <c r="L384" s="374"/>
      <c r="M384" s="127"/>
      <c r="N384" s="127"/>
      <c r="O384" s="127"/>
      <c r="P384" s="383"/>
      <c r="Q384" s="164"/>
      <c r="R384" s="127"/>
      <c r="S384" s="127"/>
      <c r="T384" s="127"/>
      <c r="U384" s="131"/>
      <c r="V384" s="374"/>
      <c r="W384" s="127"/>
      <c r="X384" s="127"/>
      <c r="Y384" s="127"/>
      <c r="Z384" s="131"/>
      <c r="AA384" s="374"/>
      <c r="AB384" s="127"/>
      <c r="AC384" s="127"/>
      <c r="AD384" s="127"/>
      <c r="AE384" s="131"/>
      <c r="AF384" s="374"/>
      <c r="AG384" s="127"/>
      <c r="AH384" s="127"/>
      <c r="AI384" s="127"/>
      <c r="AJ384" s="131"/>
      <c r="AK384" s="374"/>
      <c r="AL384" s="127"/>
      <c r="AM384" s="127"/>
      <c r="AN384" s="127"/>
      <c r="AO384" s="359"/>
      <c r="AP384" s="359"/>
      <c r="AQ384" s="359"/>
      <c r="AR384" s="359"/>
      <c r="AS384" s="359"/>
    </row>
    <row r="385">
      <c r="A385" s="131"/>
      <c r="B385" s="374"/>
      <c r="C385" s="127"/>
      <c r="D385" s="127"/>
      <c r="E385" s="127"/>
      <c r="F385" s="131"/>
      <c r="G385" s="374"/>
      <c r="H385" s="127"/>
      <c r="I385" s="127"/>
      <c r="J385" s="127"/>
      <c r="K385" s="383"/>
      <c r="L385" s="374"/>
      <c r="M385" s="127"/>
      <c r="N385" s="127"/>
      <c r="O385" s="127"/>
      <c r="P385" s="383"/>
      <c r="Q385" s="164"/>
      <c r="R385" s="127"/>
      <c r="S385" s="127"/>
      <c r="T385" s="127"/>
      <c r="U385" s="131"/>
      <c r="V385" s="374"/>
      <c r="W385" s="127"/>
      <c r="X385" s="127"/>
      <c r="Y385" s="127"/>
      <c r="Z385" s="131"/>
      <c r="AA385" s="374"/>
      <c r="AB385" s="127"/>
      <c r="AC385" s="127"/>
      <c r="AD385" s="127"/>
      <c r="AE385" s="131"/>
      <c r="AF385" s="374"/>
      <c r="AG385" s="127"/>
      <c r="AH385" s="127"/>
      <c r="AI385" s="127"/>
      <c r="AJ385" s="131"/>
      <c r="AK385" s="374"/>
      <c r="AL385" s="127"/>
      <c r="AM385" s="127"/>
      <c r="AN385" s="127"/>
      <c r="AO385" s="359"/>
      <c r="AP385" s="359"/>
      <c r="AQ385" s="359"/>
      <c r="AR385" s="359"/>
      <c r="AS385" s="359"/>
    </row>
    <row r="386">
      <c r="A386" s="131"/>
      <c r="B386" s="374"/>
      <c r="C386" s="127"/>
      <c r="D386" s="127"/>
      <c r="E386" s="127"/>
      <c r="F386" s="131"/>
      <c r="G386" s="374"/>
      <c r="H386" s="127"/>
      <c r="I386" s="127"/>
      <c r="J386" s="127"/>
      <c r="K386" s="383"/>
      <c r="L386" s="374"/>
      <c r="M386" s="127"/>
      <c r="N386" s="127"/>
      <c r="O386" s="127"/>
      <c r="P386" s="383"/>
      <c r="Q386" s="164"/>
      <c r="R386" s="127"/>
      <c r="S386" s="127"/>
      <c r="T386" s="127"/>
      <c r="U386" s="131"/>
      <c r="V386" s="374"/>
      <c r="W386" s="127"/>
      <c r="X386" s="127"/>
      <c r="Y386" s="127"/>
      <c r="Z386" s="131"/>
      <c r="AA386" s="374"/>
      <c r="AB386" s="127"/>
      <c r="AC386" s="127"/>
      <c r="AD386" s="127"/>
      <c r="AE386" s="131"/>
      <c r="AF386" s="374"/>
      <c r="AG386" s="127"/>
      <c r="AH386" s="127"/>
      <c r="AI386" s="127"/>
      <c r="AJ386" s="131"/>
      <c r="AK386" s="374"/>
      <c r="AL386" s="127"/>
      <c r="AM386" s="127"/>
      <c r="AN386" s="127"/>
      <c r="AO386" s="359"/>
      <c r="AP386" s="359"/>
      <c r="AQ386" s="359"/>
      <c r="AR386" s="359"/>
      <c r="AS386" s="359"/>
    </row>
    <row r="387">
      <c r="A387" s="131"/>
      <c r="B387" s="374"/>
      <c r="C387" s="127"/>
      <c r="D387" s="127"/>
      <c r="E387" s="127"/>
      <c r="F387" s="131"/>
      <c r="G387" s="374"/>
      <c r="H387" s="127"/>
      <c r="I387" s="127"/>
      <c r="J387" s="127"/>
      <c r="K387" s="383"/>
      <c r="L387" s="374"/>
      <c r="M387" s="127"/>
      <c r="N387" s="127"/>
      <c r="O387" s="127"/>
      <c r="P387" s="383"/>
      <c r="Q387" s="164"/>
      <c r="R387" s="127"/>
      <c r="S387" s="127"/>
      <c r="T387" s="127"/>
      <c r="U387" s="131"/>
      <c r="V387" s="374"/>
      <c r="W387" s="127"/>
      <c r="X387" s="127"/>
      <c r="Y387" s="127"/>
      <c r="Z387" s="131"/>
      <c r="AA387" s="374"/>
      <c r="AB387" s="127"/>
      <c r="AC387" s="127"/>
      <c r="AD387" s="127"/>
      <c r="AE387" s="131"/>
      <c r="AF387" s="374"/>
      <c r="AG387" s="127"/>
      <c r="AH387" s="127"/>
      <c r="AI387" s="127"/>
      <c r="AJ387" s="131"/>
      <c r="AK387" s="374"/>
      <c r="AL387" s="127"/>
      <c r="AM387" s="127"/>
      <c r="AN387" s="127"/>
      <c r="AO387" s="359"/>
      <c r="AP387" s="359"/>
      <c r="AQ387" s="359"/>
      <c r="AR387" s="359"/>
      <c r="AS387" s="359"/>
    </row>
    <row r="388">
      <c r="A388" s="131"/>
      <c r="B388" s="374"/>
      <c r="C388" s="127"/>
      <c r="D388" s="127"/>
      <c r="E388" s="127"/>
      <c r="F388" s="131"/>
      <c r="G388" s="374"/>
      <c r="H388" s="127"/>
      <c r="I388" s="127"/>
      <c r="J388" s="127"/>
      <c r="K388" s="383"/>
      <c r="L388" s="374"/>
      <c r="M388" s="127"/>
      <c r="N388" s="127"/>
      <c r="O388" s="127"/>
      <c r="P388" s="383"/>
      <c r="Q388" s="164"/>
      <c r="R388" s="127"/>
      <c r="S388" s="127"/>
      <c r="T388" s="127"/>
      <c r="U388" s="131"/>
      <c r="V388" s="374"/>
      <c r="W388" s="127"/>
      <c r="X388" s="127"/>
      <c r="Y388" s="127"/>
      <c r="Z388" s="131"/>
      <c r="AA388" s="374"/>
      <c r="AB388" s="127"/>
      <c r="AC388" s="127"/>
      <c r="AD388" s="127"/>
      <c r="AE388" s="131"/>
      <c r="AF388" s="374"/>
      <c r="AG388" s="127"/>
      <c r="AH388" s="127"/>
      <c r="AI388" s="127"/>
      <c r="AJ388" s="131"/>
      <c r="AK388" s="374"/>
      <c r="AL388" s="127"/>
      <c r="AM388" s="127"/>
      <c r="AN388" s="127"/>
      <c r="AO388" s="359"/>
      <c r="AP388" s="359"/>
      <c r="AQ388" s="359"/>
      <c r="AR388" s="359"/>
      <c r="AS388" s="359"/>
    </row>
    <row r="389">
      <c r="A389" s="131"/>
      <c r="B389" s="374"/>
      <c r="C389" s="127"/>
      <c r="D389" s="127"/>
      <c r="E389" s="127"/>
      <c r="F389" s="131"/>
      <c r="G389" s="374"/>
      <c r="H389" s="127"/>
      <c r="I389" s="127"/>
      <c r="J389" s="127"/>
      <c r="K389" s="383"/>
      <c r="L389" s="374"/>
      <c r="M389" s="127"/>
      <c r="N389" s="127"/>
      <c r="O389" s="127"/>
      <c r="P389" s="383"/>
      <c r="Q389" s="164"/>
      <c r="R389" s="127"/>
      <c r="S389" s="127"/>
      <c r="T389" s="127"/>
      <c r="U389" s="131"/>
      <c r="V389" s="374"/>
      <c r="W389" s="127"/>
      <c r="X389" s="127"/>
      <c r="Y389" s="127"/>
      <c r="Z389" s="131"/>
      <c r="AA389" s="374"/>
      <c r="AB389" s="127"/>
      <c r="AC389" s="127"/>
      <c r="AD389" s="127"/>
      <c r="AE389" s="131"/>
      <c r="AF389" s="374"/>
      <c r="AG389" s="127"/>
      <c r="AH389" s="127"/>
      <c r="AI389" s="127"/>
      <c r="AJ389" s="131"/>
      <c r="AK389" s="374"/>
      <c r="AL389" s="127"/>
      <c r="AM389" s="127"/>
      <c r="AN389" s="127"/>
      <c r="AO389" s="359"/>
      <c r="AP389" s="359"/>
      <c r="AQ389" s="359"/>
      <c r="AR389" s="359"/>
      <c r="AS389" s="359"/>
    </row>
    <row r="390">
      <c r="A390" s="131"/>
      <c r="B390" s="374"/>
      <c r="C390" s="127"/>
      <c r="D390" s="127"/>
      <c r="E390" s="127"/>
      <c r="F390" s="131"/>
      <c r="G390" s="374"/>
      <c r="H390" s="127"/>
      <c r="I390" s="127"/>
      <c r="J390" s="127"/>
      <c r="K390" s="383"/>
      <c r="L390" s="374"/>
      <c r="M390" s="127"/>
      <c r="N390" s="127"/>
      <c r="O390" s="127"/>
      <c r="P390" s="383"/>
      <c r="Q390" s="164"/>
      <c r="R390" s="127"/>
      <c r="S390" s="127"/>
      <c r="T390" s="127"/>
      <c r="U390" s="131"/>
      <c r="V390" s="374"/>
      <c r="W390" s="127"/>
      <c r="X390" s="127"/>
      <c r="Y390" s="127"/>
      <c r="Z390" s="131"/>
      <c r="AA390" s="374"/>
      <c r="AB390" s="127"/>
      <c r="AC390" s="127"/>
      <c r="AD390" s="127"/>
      <c r="AE390" s="131"/>
      <c r="AF390" s="374"/>
      <c r="AG390" s="127"/>
      <c r="AH390" s="127"/>
      <c r="AI390" s="127"/>
      <c r="AJ390" s="131"/>
      <c r="AK390" s="374"/>
      <c r="AL390" s="127"/>
      <c r="AM390" s="127"/>
      <c r="AN390" s="127"/>
      <c r="AO390" s="359"/>
      <c r="AP390" s="359"/>
      <c r="AQ390" s="359"/>
      <c r="AR390" s="359"/>
      <c r="AS390" s="359"/>
    </row>
    <row r="391">
      <c r="A391" s="131"/>
      <c r="B391" s="374"/>
      <c r="C391" s="127"/>
      <c r="D391" s="127"/>
      <c r="E391" s="127"/>
      <c r="F391" s="131"/>
      <c r="G391" s="374"/>
      <c r="H391" s="127"/>
      <c r="I391" s="127"/>
      <c r="J391" s="127"/>
      <c r="K391" s="383"/>
      <c r="L391" s="374"/>
      <c r="M391" s="127"/>
      <c r="N391" s="127"/>
      <c r="O391" s="127"/>
      <c r="P391" s="383"/>
      <c r="Q391" s="164"/>
      <c r="R391" s="127"/>
      <c r="S391" s="127"/>
      <c r="T391" s="127"/>
      <c r="U391" s="131"/>
      <c r="V391" s="374"/>
      <c r="W391" s="127"/>
      <c r="X391" s="127"/>
      <c r="Y391" s="127"/>
      <c r="Z391" s="131"/>
      <c r="AA391" s="374"/>
      <c r="AB391" s="127"/>
      <c r="AC391" s="127"/>
      <c r="AD391" s="127"/>
      <c r="AE391" s="131"/>
      <c r="AF391" s="374"/>
      <c r="AG391" s="127"/>
      <c r="AH391" s="127"/>
      <c r="AI391" s="127"/>
      <c r="AJ391" s="131"/>
      <c r="AK391" s="374"/>
      <c r="AL391" s="127"/>
      <c r="AM391" s="127"/>
      <c r="AN391" s="127"/>
      <c r="AO391" s="359"/>
      <c r="AP391" s="359"/>
      <c r="AQ391" s="359"/>
      <c r="AR391" s="359"/>
      <c r="AS391" s="359"/>
    </row>
    <row r="392">
      <c r="A392" s="131"/>
      <c r="B392" s="374"/>
      <c r="C392" s="127"/>
      <c r="D392" s="127"/>
      <c r="E392" s="127"/>
      <c r="F392" s="131"/>
      <c r="G392" s="374"/>
      <c r="H392" s="127"/>
      <c r="I392" s="127"/>
      <c r="J392" s="127"/>
      <c r="K392" s="383"/>
      <c r="L392" s="374"/>
      <c r="M392" s="127"/>
      <c r="N392" s="127"/>
      <c r="O392" s="127"/>
      <c r="P392" s="383"/>
      <c r="Q392" s="164"/>
      <c r="R392" s="127"/>
      <c r="S392" s="127"/>
      <c r="T392" s="127"/>
      <c r="U392" s="131"/>
      <c r="V392" s="374"/>
      <c r="W392" s="127"/>
      <c r="X392" s="127"/>
      <c r="Y392" s="127"/>
      <c r="Z392" s="131"/>
      <c r="AA392" s="374"/>
      <c r="AB392" s="127"/>
      <c r="AC392" s="127"/>
      <c r="AD392" s="127"/>
      <c r="AE392" s="131"/>
      <c r="AF392" s="374"/>
      <c r="AG392" s="127"/>
      <c r="AH392" s="127"/>
      <c r="AI392" s="127"/>
      <c r="AJ392" s="131"/>
      <c r="AK392" s="374"/>
      <c r="AL392" s="127"/>
      <c r="AM392" s="127"/>
      <c r="AN392" s="127"/>
      <c r="AO392" s="359"/>
      <c r="AP392" s="359"/>
      <c r="AQ392" s="359"/>
      <c r="AR392" s="359"/>
      <c r="AS392" s="359"/>
    </row>
    <row r="393">
      <c r="A393" s="131"/>
      <c r="B393" s="374"/>
      <c r="C393" s="127"/>
      <c r="D393" s="127"/>
      <c r="E393" s="127"/>
      <c r="F393" s="131"/>
      <c r="G393" s="374"/>
      <c r="H393" s="127"/>
      <c r="I393" s="127"/>
      <c r="J393" s="127"/>
      <c r="K393" s="383"/>
      <c r="L393" s="374"/>
      <c r="M393" s="127"/>
      <c r="N393" s="127"/>
      <c r="O393" s="127"/>
      <c r="P393" s="383"/>
      <c r="Q393" s="164"/>
      <c r="R393" s="127"/>
      <c r="S393" s="127"/>
      <c r="T393" s="127"/>
      <c r="U393" s="131"/>
      <c r="V393" s="374"/>
      <c r="W393" s="127"/>
      <c r="X393" s="127"/>
      <c r="Y393" s="127"/>
      <c r="Z393" s="131"/>
      <c r="AA393" s="374"/>
      <c r="AB393" s="127"/>
      <c r="AC393" s="127"/>
      <c r="AD393" s="127"/>
      <c r="AE393" s="131"/>
      <c r="AF393" s="374"/>
      <c r="AG393" s="127"/>
      <c r="AH393" s="127"/>
      <c r="AI393" s="127"/>
      <c r="AJ393" s="131"/>
      <c r="AK393" s="374"/>
      <c r="AL393" s="127"/>
      <c r="AM393" s="127"/>
      <c r="AN393" s="127"/>
      <c r="AO393" s="359"/>
      <c r="AP393" s="359"/>
      <c r="AQ393" s="359"/>
      <c r="AR393" s="359"/>
      <c r="AS393" s="359"/>
    </row>
    <row r="394">
      <c r="A394" s="131"/>
      <c r="B394" s="374"/>
      <c r="C394" s="127"/>
      <c r="D394" s="127"/>
      <c r="E394" s="127"/>
      <c r="F394" s="131"/>
      <c r="G394" s="374"/>
      <c r="H394" s="127"/>
      <c r="I394" s="127"/>
      <c r="J394" s="127"/>
      <c r="K394" s="383"/>
      <c r="L394" s="374"/>
      <c r="M394" s="127"/>
      <c r="N394" s="127"/>
      <c r="O394" s="127"/>
      <c r="P394" s="383"/>
      <c r="Q394" s="164"/>
      <c r="R394" s="127"/>
      <c r="S394" s="127"/>
      <c r="T394" s="127"/>
      <c r="U394" s="131"/>
      <c r="V394" s="374"/>
      <c r="W394" s="127"/>
      <c r="X394" s="127"/>
      <c r="Y394" s="127"/>
      <c r="Z394" s="131"/>
      <c r="AA394" s="374"/>
      <c r="AB394" s="127"/>
      <c r="AC394" s="127"/>
      <c r="AD394" s="127"/>
      <c r="AE394" s="131"/>
      <c r="AF394" s="374"/>
      <c r="AG394" s="127"/>
      <c r="AH394" s="127"/>
      <c r="AI394" s="127"/>
      <c r="AJ394" s="131"/>
      <c r="AK394" s="374"/>
      <c r="AL394" s="127"/>
      <c r="AM394" s="127"/>
      <c r="AN394" s="127"/>
      <c r="AO394" s="359"/>
      <c r="AP394" s="359"/>
      <c r="AQ394" s="359"/>
      <c r="AR394" s="359"/>
      <c r="AS394" s="359"/>
    </row>
    <row r="395">
      <c r="A395" s="131"/>
      <c r="B395" s="374"/>
      <c r="C395" s="127"/>
      <c r="D395" s="127"/>
      <c r="E395" s="127"/>
      <c r="F395" s="131"/>
      <c r="G395" s="374"/>
      <c r="H395" s="127"/>
      <c r="I395" s="127"/>
      <c r="J395" s="127"/>
      <c r="K395" s="383"/>
      <c r="L395" s="374"/>
      <c r="M395" s="127"/>
      <c r="N395" s="127"/>
      <c r="O395" s="127"/>
      <c r="P395" s="383"/>
      <c r="Q395" s="164"/>
      <c r="R395" s="127"/>
      <c r="S395" s="127"/>
      <c r="T395" s="127"/>
      <c r="U395" s="131"/>
      <c r="V395" s="374"/>
      <c r="W395" s="127"/>
      <c r="X395" s="127"/>
      <c r="Y395" s="127"/>
      <c r="Z395" s="131"/>
      <c r="AA395" s="374"/>
      <c r="AB395" s="127"/>
      <c r="AC395" s="127"/>
      <c r="AD395" s="127"/>
      <c r="AE395" s="131"/>
      <c r="AF395" s="374"/>
      <c r="AG395" s="127"/>
      <c r="AH395" s="127"/>
      <c r="AI395" s="127"/>
      <c r="AJ395" s="131"/>
      <c r="AK395" s="374"/>
      <c r="AL395" s="127"/>
      <c r="AM395" s="127"/>
      <c r="AN395" s="127"/>
      <c r="AO395" s="359"/>
      <c r="AP395" s="359"/>
      <c r="AQ395" s="359"/>
      <c r="AR395" s="359"/>
      <c r="AS395" s="359"/>
    </row>
    <row r="396">
      <c r="A396" s="131"/>
      <c r="B396" s="374"/>
      <c r="C396" s="127"/>
      <c r="D396" s="127"/>
      <c r="E396" s="127"/>
      <c r="F396" s="131"/>
      <c r="G396" s="374"/>
      <c r="H396" s="127"/>
      <c r="I396" s="127"/>
      <c r="J396" s="127"/>
      <c r="K396" s="383"/>
      <c r="L396" s="374"/>
      <c r="M396" s="127"/>
      <c r="N396" s="127"/>
      <c r="O396" s="127"/>
      <c r="P396" s="383"/>
      <c r="Q396" s="164"/>
      <c r="R396" s="127"/>
      <c r="S396" s="127"/>
      <c r="T396" s="127"/>
      <c r="U396" s="131"/>
      <c r="V396" s="374"/>
      <c r="W396" s="127"/>
      <c r="X396" s="127"/>
      <c r="Y396" s="127"/>
      <c r="Z396" s="131"/>
      <c r="AA396" s="374"/>
      <c r="AB396" s="127"/>
      <c r="AC396" s="127"/>
      <c r="AD396" s="127"/>
      <c r="AE396" s="131"/>
      <c r="AF396" s="374"/>
      <c r="AG396" s="127"/>
      <c r="AH396" s="127"/>
      <c r="AI396" s="127"/>
      <c r="AJ396" s="131"/>
      <c r="AK396" s="374"/>
      <c r="AL396" s="127"/>
      <c r="AM396" s="127"/>
      <c r="AN396" s="127"/>
      <c r="AO396" s="359"/>
      <c r="AP396" s="359"/>
      <c r="AQ396" s="359"/>
      <c r="AR396" s="359"/>
      <c r="AS396" s="359"/>
    </row>
    <row r="397">
      <c r="A397" s="131"/>
      <c r="B397" s="374"/>
      <c r="C397" s="127"/>
      <c r="D397" s="127"/>
      <c r="E397" s="127"/>
      <c r="F397" s="131"/>
      <c r="G397" s="374"/>
      <c r="H397" s="127"/>
      <c r="I397" s="127"/>
      <c r="J397" s="127"/>
      <c r="K397" s="383"/>
      <c r="L397" s="374"/>
      <c r="M397" s="127"/>
      <c r="N397" s="127"/>
      <c r="O397" s="127"/>
      <c r="P397" s="383"/>
      <c r="Q397" s="164"/>
      <c r="R397" s="127"/>
      <c r="S397" s="127"/>
      <c r="T397" s="127"/>
      <c r="U397" s="131"/>
      <c r="V397" s="374"/>
      <c r="W397" s="127"/>
      <c r="X397" s="127"/>
      <c r="Y397" s="127"/>
      <c r="Z397" s="131"/>
      <c r="AA397" s="374"/>
      <c r="AB397" s="127"/>
      <c r="AC397" s="127"/>
      <c r="AD397" s="127"/>
      <c r="AE397" s="131"/>
      <c r="AF397" s="374"/>
      <c r="AG397" s="127"/>
      <c r="AH397" s="127"/>
      <c r="AI397" s="127"/>
      <c r="AJ397" s="131"/>
      <c r="AK397" s="374"/>
      <c r="AL397" s="127"/>
      <c r="AM397" s="127"/>
      <c r="AN397" s="127"/>
      <c r="AO397" s="359"/>
      <c r="AP397" s="359"/>
      <c r="AQ397" s="359"/>
      <c r="AR397" s="359"/>
      <c r="AS397" s="359"/>
    </row>
    <row r="398">
      <c r="A398" s="131"/>
      <c r="B398" s="374"/>
      <c r="C398" s="127"/>
      <c r="D398" s="127"/>
      <c r="E398" s="127"/>
      <c r="F398" s="131"/>
      <c r="G398" s="374"/>
      <c r="H398" s="127"/>
      <c r="I398" s="127"/>
      <c r="J398" s="127"/>
      <c r="K398" s="383"/>
      <c r="L398" s="374"/>
      <c r="M398" s="127"/>
      <c r="N398" s="127"/>
      <c r="O398" s="127"/>
      <c r="P398" s="383"/>
      <c r="Q398" s="164"/>
      <c r="R398" s="127"/>
      <c r="S398" s="127"/>
      <c r="T398" s="127"/>
      <c r="U398" s="131"/>
      <c r="V398" s="374"/>
      <c r="W398" s="127"/>
      <c r="X398" s="127"/>
      <c r="Y398" s="127"/>
      <c r="Z398" s="131"/>
      <c r="AA398" s="374"/>
      <c r="AB398" s="127"/>
      <c r="AC398" s="127"/>
      <c r="AD398" s="127"/>
      <c r="AE398" s="131"/>
      <c r="AF398" s="374"/>
      <c r="AG398" s="127"/>
      <c r="AH398" s="127"/>
      <c r="AI398" s="127"/>
      <c r="AJ398" s="131"/>
      <c r="AK398" s="374"/>
      <c r="AL398" s="127"/>
      <c r="AM398" s="127"/>
      <c r="AN398" s="127"/>
      <c r="AO398" s="359"/>
      <c r="AP398" s="359"/>
      <c r="AQ398" s="359"/>
      <c r="AR398" s="359"/>
      <c r="AS398" s="359"/>
    </row>
    <row r="399">
      <c r="A399" s="131"/>
      <c r="B399" s="374"/>
      <c r="C399" s="127"/>
      <c r="D399" s="127"/>
      <c r="E399" s="127"/>
      <c r="F399" s="131"/>
      <c r="G399" s="374"/>
      <c r="H399" s="127"/>
      <c r="I399" s="127"/>
      <c r="J399" s="127"/>
      <c r="K399" s="383"/>
      <c r="L399" s="374"/>
      <c r="M399" s="127"/>
      <c r="N399" s="127"/>
      <c r="O399" s="127"/>
      <c r="P399" s="383"/>
      <c r="Q399" s="164"/>
      <c r="R399" s="127"/>
      <c r="S399" s="127"/>
      <c r="T399" s="127"/>
      <c r="U399" s="131"/>
      <c r="V399" s="374"/>
      <c r="W399" s="127"/>
      <c r="X399" s="127"/>
      <c r="Y399" s="127"/>
      <c r="Z399" s="131"/>
      <c r="AA399" s="374"/>
      <c r="AB399" s="127"/>
      <c r="AC399" s="127"/>
      <c r="AD399" s="127"/>
      <c r="AE399" s="131"/>
      <c r="AF399" s="374"/>
      <c r="AG399" s="127"/>
      <c r="AH399" s="127"/>
      <c r="AI399" s="127"/>
      <c r="AJ399" s="131"/>
      <c r="AK399" s="374"/>
      <c r="AL399" s="127"/>
      <c r="AM399" s="127"/>
      <c r="AN399" s="127"/>
      <c r="AO399" s="359"/>
      <c r="AP399" s="359"/>
      <c r="AQ399" s="359"/>
      <c r="AR399" s="359"/>
      <c r="AS399" s="359"/>
    </row>
    <row r="400">
      <c r="A400" s="131"/>
      <c r="B400" s="374"/>
      <c r="C400" s="127"/>
      <c r="D400" s="127"/>
      <c r="E400" s="127"/>
      <c r="F400" s="131"/>
      <c r="G400" s="374"/>
      <c r="H400" s="127"/>
      <c r="I400" s="127"/>
      <c r="J400" s="127"/>
      <c r="K400" s="383"/>
      <c r="L400" s="374"/>
      <c r="M400" s="127"/>
      <c r="N400" s="127"/>
      <c r="O400" s="127"/>
      <c r="P400" s="383"/>
      <c r="Q400" s="164"/>
      <c r="R400" s="127"/>
      <c r="S400" s="127"/>
      <c r="T400" s="127"/>
      <c r="U400" s="131"/>
      <c r="V400" s="374"/>
      <c r="W400" s="127"/>
      <c r="X400" s="127"/>
      <c r="Y400" s="127"/>
      <c r="Z400" s="131"/>
      <c r="AA400" s="374"/>
      <c r="AB400" s="127"/>
      <c r="AC400" s="127"/>
      <c r="AD400" s="127"/>
      <c r="AE400" s="131"/>
      <c r="AF400" s="374"/>
      <c r="AG400" s="127"/>
      <c r="AH400" s="127"/>
      <c r="AI400" s="127"/>
      <c r="AJ400" s="131"/>
      <c r="AK400" s="374"/>
      <c r="AL400" s="127"/>
      <c r="AM400" s="127"/>
      <c r="AN400" s="127"/>
      <c r="AO400" s="359"/>
      <c r="AP400" s="359"/>
      <c r="AQ400" s="359"/>
      <c r="AR400" s="359"/>
      <c r="AS400" s="359"/>
    </row>
    <row r="401">
      <c r="A401" s="131"/>
      <c r="B401" s="374"/>
      <c r="C401" s="127"/>
      <c r="D401" s="127"/>
      <c r="E401" s="127"/>
      <c r="F401" s="131"/>
      <c r="G401" s="374"/>
      <c r="H401" s="127"/>
      <c r="I401" s="127"/>
      <c r="J401" s="127"/>
      <c r="K401" s="383"/>
      <c r="L401" s="374"/>
      <c r="M401" s="127"/>
      <c r="N401" s="127"/>
      <c r="O401" s="127"/>
      <c r="P401" s="383"/>
      <c r="Q401" s="164"/>
      <c r="R401" s="127"/>
      <c r="S401" s="127"/>
      <c r="T401" s="127"/>
      <c r="U401" s="131"/>
      <c r="V401" s="374"/>
      <c r="W401" s="127"/>
      <c r="X401" s="127"/>
      <c r="Y401" s="127"/>
      <c r="Z401" s="131"/>
      <c r="AA401" s="374"/>
      <c r="AB401" s="127"/>
      <c r="AC401" s="127"/>
      <c r="AD401" s="127"/>
      <c r="AE401" s="131"/>
      <c r="AF401" s="374"/>
      <c r="AG401" s="127"/>
      <c r="AH401" s="127"/>
      <c r="AI401" s="127"/>
      <c r="AJ401" s="131"/>
      <c r="AK401" s="374"/>
      <c r="AL401" s="127"/>
      <c r="AM401" s="127"/>
      <c r="AN401" s="127"/>
      <c r="AO401" s="359"/>
      <c r="AP401" s="359"/>
      <c r="AQ401" s="359"/>
      <c r="AR401" s="359"/>
      <c r="AS401" s="359"/>
    </row>
    <row r="402">
      <c r="A402" s="131"/>
      <c r="B402" s="374"/>
      <c r="C402" s="127"/>
      <c r="D402" s="127"/>
      <c r="E402" s="127"/>
      <c r="F402" s="131"/>
      <c r="G402" s="374"/>
      <c r="H402" s="127"/>
      <c r="I402" s="127"/>
      <c r="J402" s="127"/>
      <c r="K402" s="383"/>
      <c r="L402" s="374"/>
      <c r="M402" s="127"/>
      <c r="N402" s="127"/>
      <c r="O402" s="127"/>
      <c r="P402" s="383"/>
      <c r="Q402" s="164"/>
      <c r="R402" s="127"/>
      <c r="S402" s="127"/>
      <c r="T402" s="127"/>
      <c r="U402" s="131"/>
      <c r="V402" s="374"/>
      <c r="W402" s="127"/>
      <c r="X402" s="127"/>
      <c r="Y402" s="127"/>
      <c r="Z402" s="131"/>
      <c r="AA402" s="374"/>
      <c r="AB402" s="127"/>
      <c r="AC402" s="127"/>
      <c r="AD402" s="127"/>
      <c r="AE402" s="131"/>
      <c r="AF402" s="374"/>
      <c r="AG402" s="127"/>
      <c r="AH402" s="127"/>
      <c r="AI402" s="127"/>
      <c r="AJ402" s="131"/>
      <c r="AK402" s="374"/>
      <c r="AL402" s="127"/>
      <c r="AM402" s="127"/>
      <c r="AN402" s="127"/>
      <c r="AO402" s="359"/>
      <c r="AP402" s="359"/>
      <c r="AQ402" s="359"/>
      <c r="AR402" s="359"/>
      <c r="AS402" s="359"/>
    </row>
    <row r="403">
      <c r="A403" s="131"/>
      <c r="B403" s="374"/>
      <c r="C403" s="127"/>
      <c r="D403" s="127"/>
      <c r="E403" s="127"/>
      <c r="F403" s="131"/>
      <c r="G403" s="374"/>
      <c r="H403" s="127"/>
      <c r="I403" s="127"/>
      <c r="J403" s="127"/>
      <c r="K403" s="383"/>
      <c r="L403" s="374"/>
      <c r="M403" s="127"/>
      <c r="N403" s="127"/>
      <c r="O403" s="127"/>
      <c r="P403" s="383"/>
      <c r="Q403" s="164"/>
      <c r="R403" s="127"/>
      <c r="S403" s="127"/>
      <c r="T403" s="127"/>
      <c r="U403" s="131"/>
      <c r="V403" s="374"/>
      <c r="W403" s="127"/>
      <c r="X403" s="127"/>
      <c r="Y403" s="127"/>
      <c r="Z403" s="131"/>
      <c r="AA403" s="374"/>
      <c r="AB403" s="127"/>
      <c r="AC403" s="127"/>
      <c r="AD403" s="127"/>
      <c r="AE403" s="131"/>
      <c r="AF403" s="374"/>
      <c r="AG403" s="127"/>
      <c r="AH403" s="127"/>
      <c r="AI403" s="127"/>
      <c r="AJ403" s="131"/>
      <c r="AK403" s="374"/>
      <c r="AL403" s="127"/>
      <c r="AM403" s="127"/>
      <c r="AN403" s="127"/>
      <c r="AO403" s="359"/>
      <c r="AP403" s="359"/>
      <c r="AQ403" s="359"/>
      <c r="AR403" s="359"/>
      <c r="AS403" s="359"/>
    </row>
    <row r="404">
      <c r="A404" s="131"/>
      <c r="B404" s="374"/>
      <c r="C404" s="127"/>
      <c r="D404" s="127"/>
      <c r="E404" s="127"/>
      <c r="F404" s="131"/>
      <c r="G404" s="374"/>
      <c r="H404" s="127"/>
      <c r="I404" s="127"/>
      <c r="J404" s="127"/>
      <c r="K404" s="383"/>
      <c r="L404" s="374"/>
      <c r="M404" s="127"/>
      <c r="N404" s="127"/>
      <c r="O404" s="127"/>
      <c r="P404" s="383"/>
      <c r="Q404" s="164"/>
      <c r="R404" s="127"/>
      <c r="S404" s="127"/>
      <c r="T404" s="127"/>
      <c r="U404" s="131"/>
      <c r="V404" s="374"/>
      <c r="W404" s="127"/>
      <c r="X404" s="127"/>
      <c r="Y404" s="127"/>
      <c r="Z404" s="131"/>
      <c r="AA404" s="374"/>
      <c r="AB404" s="127"/>
      <c r="AC404" s="127"/>
      <c r="AD404" s="127"/>
      <c r="AE404" s="131"/>
      <c r="AF404" s="374"/>
      <c r="AG404" s="127"/>
      <c r="AH404" s="127"/>
      <c r="AI404" s="127"/>
      <c r="AJ404" s="131"/>
      <c r="AK404" s="374"/>
      <c r="AL404" s="127"/>
      <c r="AM404" s="127"/>
      <c r="AN404" s="127"/>
      <c r="AO404" s="359"/>
      <c r="AP404" s="359"/>
      <c r="AQ404" s="359"/>
      <c r="AR404" s="359"/>
      <c r="AS404" s="359"/>
    </row>
    <row r="405">
      <c r="A405" s="131"/>
      <c r="B405" s="374"/>
      <c r="C405" s="127"/>
      <c r="D405" s="127"/>
      <c r="E405" s="127"/>
      <c r="F405" s="131"/>
      <c r="G405" s="374"/>
      <c r="H405" s="127"/>
      <c r="I405" s="127"/>
      <c r="J405" s="127"/>
      <c r="K405" s="383"/>
      <c r="L405" s="374"/>
      <c r="M405" s="127"/>
      <c r="N405" s="127"/>
      <c r="O405" s="127"/>
      <c r="P405" s="383"/>
      <c r="Q405" s="164"/>
      <c r="R405" s="127"/>
      <c r="S405" s="127"/>
      <c r="T405" s="127"/>
      <c r="U405" s="131"/>
      <c r="V405" s="374"/>
      <c r="W405" s="127"/>
      <c r="X405" s="127"/>
      <c r="Y405" s="127"/>
      <c r="Z405" s="131"/>
      <c r="AA405" s="374"/>
      <c r="AB405" s="127"/>
      <c r="AC405" s="127"/>
      <c r="AD405" s="127"/>
      <c r="AE405" s="131"/>
      <c r="AF405" s="374"/>
      <c r="AG405" s="127"/>
      <c r="AH405" s="127"/>
      <c r="AI405" s="127"/>
      <c r="AJ405" s="131"/>
      <c r="AK405" s="374"/>
      <c r="AL405" s="127"/>
      <c r="AM405" s="127"/>
      <c r="AN405" s="127"/>
      <c r="AO405" s="359"/>
      <c r="AP405" s="359"/>
      <c r="AQ405" s="359"/>
      <c r="AR405" s="359"/>
      <c r="AS405" s="359"/>
    </row>
    <row r="406">
      <c r="A406" s="131"/>
      <c r="B406" s="374"/>
      <c r="C406" s="127"/>
      <c r="D406" s="127"/>
      <c r="E406" s="127"/>
      <c r="F406" s="131"/>
      <c r="G406" s="374"/>
      <c r="H406" s="127"/>
      <c r="I406" s="127"/>
      <c r="J406" s="127"/>
      <c r="K406" s="383"/>
      <c r="L406" s="374"/>
      <c r="M406" s="127"/>
      <c r="N406" s="127"/>
      <c r="O406" s="127"/>
      <c r="P406" s="383"/>
      <c r="Q406" s="164"/>
      <c r="R406" s="127"/>
      <c r="S406" s="127"/>
      <c r="T406" s="127"/>
      <c r="U406" s="131"/>
      <c r="V406" s="374"/>
      <c r="W406" s="127"/>
      <c r="X406" s="127"/>
      <c r="Y406" s="127"/>
      <c r="Z406" s="131"/>
      <c r="AA406" s="374"/>
      <c r="AB406" s="127"/>
      <c r="AC406" s="127"/>
      <c r="AD406" s="127"/>
      <c r="AE406" s="131"/>
      <c r="AF406" s="374"/>
      <c r="AG406" s="127"/>
      <c r="AH406" s="127"/>
      <c r="AI406" s="127"/>
      <c r="AJ406" s="131"/>
      <c r="AK406" s="374"/>
      <c r="AL406" s="127"/>
      <c r="AM406" s="127"/>
      <c r="AN406" s="127"/>
      <c r="AO406" s="359"/>
      <c r="AP406" s="359"/>
      <c r="AQ406" s="359"/>
      <c r="AR406" s="359"/>
      <c r="AS406" s="359"/>
    </row>
    <row r="407">
      <c r="A407" s="131"/>
      <c r="B407" s="374"/>
      <c r="C407" s="127"/>
      <c r="D407" s="127"/>
      <c r="E407" s="127"/>
      <c r="F407" s="131"/>
      <c r="G407" s="374"/>
      <c r="H407" s="127"/>
      <c r="I407" s="127"/>
      <c r="J407" s="127"/>
      <c r="K407" s="383"/>
      <c r="L407" s="374"/>
      <c r="M407" s="127"/>
      <c r="N407" s="127"/>
      <c r="O407" s="127"/>
      <c r="P407" s="383"/>
      <c r="Q407" s="164"/>
      <c r="R407" s="127"/>
      <c r="S407" s="127"/>
      <c r="T407" s="127"/>
      <c r="U407" s="131"/>
      <c r="V407" s="374"/>
      <c r="W407" s="127"/>
      <c r="X407" s="127"/>
      <c r="Y407" s="127"/>
      <c r="Z407" s="131"/>
      <c r="AA407" s="374"/>
      <c r="AB407" s="127"/>
      <c r="AC407" s="127"/>
      <c r="AD407" s="127"/>
      <c r="AE407" s="131"/>
      <c r="AF407" s="374"/>
      <c r="AG407" s="127"/>
      <c r="AH407" s="127"/>
      <c r="AI407" s="127"/>
      <c r="AJ407" s="131"/>
      <c r="AK407" s="374"/>
      <c r="AL407" s="127"/>
      <c r="AM407" s="127"/>
      <c r="AN407" s="127"/>
      <c r="AO407" s="359"/>
      <c r="AP407" s="359"/>
      <c r="AQ407" s="359"/>
      <c r="AR407" s="359"/>
      <c r="AS407" s="359"/>
    </row>
    <row r="408">
      <c r="A408" s="131"/>
      <c r="B408" s="374"/>
      <c r="C408" s="127"/>
      <c r="D408" s="127"/>
      <c r="E408" s="127"/>
      <c r="F408" s="131"/>
      <c r="G408" s="374"/>
      <c r="H408" s="127"/>
      <c r="I408" s="127"/>
      <c r="J408" s="127"/>
      <c r="K408" s="383"/>
      <c r="L408" s="374"/>
      <c r="M408" s="127"/>
      <c r="N408" s="127"/>
      <c r="O408" s="127"/>
      <c r="P408" s="383"/>
      <c r="Q408" s="164"/>
      <c r="R408" s="127"/>
      <c r="S408" s="127"/>
      <c r="T408" s="127"/>
      <c r="U408" s="131"/>
      <c r="V408" s="374"/>
      <c r="W408" s="127"/>
      <c r="X408" s="127"/>
      <c r="Y408" s="127"/>
      <c r="Z408" s="131"/>
      <c r="AA408" s="374"/>
      <c r="AB408" s="127"/>
      <c r="AC408" s="127"/>
      <c r="AD408" s="127"/>
      <c r="AE408" s="131"/>
      <c r="AF408" s="374"/>
      <c r="AG408" s="127"/>
      <c r="AH408" s="127"/>
      <c r="AI408" s="127"/>
      <c r="AJ408" s="131"/>
      <c r="AK408" s="374"/>
      <c r="AL408" s="127"/>
      <c r="AM408" s="127"/>
      <c r="AN408" s="127"/>
      <c r="AO408" s="359"/>
      <c r="AP408" s="359"/>
      <c r="AQ408" s="359"/>
      <c r="AR408" s="359"/>
      <c r="AS408" s="359"/>
    </row>
    <row r="409">
      <c r="A409" s="131"/>
      <c r="B409" s="374"/>
      <c r="C409" s="127"/>
      <c r="D409" s="127"/>
      <c r="E409" s="127"/>
      <c r="F409" s="131"/>
      <c r="G409" s="374"/>
      <c r="H409" s="127"/>
      <c r="I409" s="127"/>
      <c r="J409" s="127"/>
      <c r="K409" s="383"/>
      <c r="L409" s="374"/>
      <c r="M409" s="127"/>
      <c r="N409" s="127"/>
      <c r="O409" s="127"/>
      <c r="P409" s="383"/>
      <c r="Q409" s="164"/>
      <c r="R409" s="127"/>
      <c r="S409" s="127"/>
      <c r="T409" s="127"/>
      <c r="U409" s="131"/>
      <c r="V409" s="374"/>
      <c r="W409" s="127"/>
      <c r="X409" s="127"/>
      <c r="Y409" s="127"/>
      <c r="Z409" s="131"/>
      <c r="AA409" s="374"/>
      <c r="AB409" s="127"/>
      <c r="AC409" s="127"/>
      <c r="AD409" s="127"/>
      <c r="AE409" s="131"/>
      <c r="AF409" s="374"/>
      <c r="AG409" s="127"/>
      <c r="AH409" s="127"/>
      <c r="AI409" s="127"/>
      <c r="AJ409" s="131"/>
      <c r="AK409" s="374"/>
      <c r="AL409" s="127"/>
      <c r="AM409" s="127"/>
      <c r="AN409" s="127"/>
      <c r="AO409" s="359"/>
      <c r="AP409" s="359"/>
      <c r="AQ409" s="359"/>
      <c r="AR409" s="359"/>
      <c r="AS409" s="359"/>
    </row>
    <row r="410">
      <c r="A410" s="131"/>
      <c r="B410" s="374"/>
      <c r="C410" s="127"/>
      <c r="D410" s="127"/>
      <c r="E410" s="127"/>
      <c r="F410" s="131"/>
      <c r="G410" s="374"/>
      <c r="H410" s="127"/>
      <c r="I410" s="127"/>
      <c r="J410" s="127"/>
      <c r="K410" s="383"/>
      <c r="L410" s="374"/>
      <c r="M410" s="127"/>
      <c r="N410" s="127"/>
      <c r="O410" s="127"/>
      <c r="P410" s="383"/>
      <c r="Q410" s="164"/>
      <c r="R410" s="127"/>
      <c r="S410" s="127"/>
      <c r="T410" s="127"/>
      <c r="U410" s="131"/>
      <c r="V410" s="374"/>
      <c r="W410" s="127"/>
      <c r="X410" s="127"/>
      <c r="Y410" s="127"/>
      <c r="Z410" s="131"/>
      <c r="AA410" s="374"/>
      <c r="AB410" s="127"/>
      <c r="AC410" s="127"/>
      <c r="AD410" s="127"/>
      <c r="AE410" s="131"/>
      <c r="AF410" s="374"/>
      <c r="AG410" s="127"/>
      <c r="AH410" s="127"/>
      <c r="AI410" s="127"/>
      <c r="AJ410" s="131"/>
      <c r="AK410" s="374"/>
      <c r="AL410" s="127"/>
      <c r="AM410" s="127"/>
      <c r="AN410" s="127"/>
      <c r="AO410" s="359"/>
      <c r="AP410" s="359"/>
      <c r="AQ410" s="359"/>
      <c r="AR410" s="359"/>
      <c r="AS410" s="359"/>
    </row>
    <row r="411">
      <c r="A411" s="131"/>
      <c r="B411" s="374"/>
      <c r="C411" s="127"/>
      <c r="D411" s="127"/>
      <c r="E411" s="127"/>
      <c r="F411" s="131"/>
      <c r="G411" s="374"/>
      <c r="H411" s="127"/>
      <c r="I411" s="127"/>
      <c r="J411" s="127"/>
      <c r="K411" s="383"/>
      <c r="L411" s="374"/>
      <c r="M411" s="127"/>
      <c r="N411" s="127"/>
      <c r="O411" s="127"/>
      <c r="P411" s="383"/>
      <c r="Q411" s="164"/>
      <c r="R411" s="127"/>
      <c r="S411" s="127"/>
      <c r="T411" s="127"/>
      <c r="U411" s="131"/>
      <c r="V411" s="374"/>
      <c r="W411" s="127"/>
      <c r="X411" s="127"/>
      <c r="Y411" s="127"/>
      <c r="Z411" s="131"/>
      <c r="AA411" s="374"/>
      <c r="AB411" s="127"/>
      <c r="AC411" s="127"/>
      <c r="AD411" s="127"/>
      <c r="AE411" s="131"/>
      <c r="AF411" s="374"/>
      <c r="AG411" s="127"/>
      <c r="AH411" s="127"/>
      <c r="AI411" s="127"/>
      <c r="AJ411" s="131"/>
      <c r="AK411" s="374"/>
      <c r="AL411" s="127"/>
      <c r="AM411" s="127"/>
      <c r="AN411" s="127"/>
      <c r="AO411" s="359"/>
      <c r="AP411" s="359"/>
      <c r="AQ411" s="359"/>
      <c r="AR411" s="359"/>
      <c r="AS411" s="359"/>
    </row>
    <row r="412">
      <c r="A412" s="131"/>
      <c r="B412" s="374"/>
      <c r="C412" s="127"/>
      <c r="D412" s="127"/>
      <c r="E412" s="127"/>
      <c r="F412" s="131"/>
      <c r="G412" s="374"/>
      <c r="H412" s="127"/>
      <c r="I412" s="127"/>
      <c r="J412" s="127"/>
      <c r="K412" s="383"/>
      <c r="L412" s="374"/>
      <c r="M412" s="127"/>
      <c r="N412" s="127"/>
      <c r="O412" s="127"/>
      <c r="P412" s="383"/>
      <c r="Q412" s="164"/>
      <c r="R412" s="127"/>
      <c r="S412" s="127"/>
      <c r="T412" s="127"/>
      <c r="U412" s="131"/>
      <c r="V412" s="374"/>
      <c r="W412" s="127"/>
      <c r="X412" s="127"/>
      <c r="Y412" s="127"/>
      <c r="Z412" s="131"/>
      <c r="AA412" s="374"/>
      <c r="AB412" s="127"/>
      <c r="AC412" s="127"/>
      <c r="AD412" s="127"/>
      <c r="AE412" s="131"/>
      <c r="AF412" s="374"/>
      <c r="AG412" s="127"/>
      <c r="AH412" s="127"/>
      <c r="AI412" s="127"/>
      <c r="AJ412" s="131"/>
      <c r="AK412" s="374"/>
      <c r="AL412" s="127"/>
      <c r="AM412" s="127"/>
      <c r="AN412" s="127"/>
      <c r="AO412" s="359"/>
      <c r="AP412" s="359"/>
      <c r="AQ412" s="359"/>
      <c r="AR412" s="359"/>
      <c r="AS412" s="359"/>
    </row>
    <row r="413">
      <c r="A413" s="131"/>
      <c r="B413" s="374"/>
      <c r="C413" s="127"/>
      <c r="D413" s="127"/>
      <c r="E413" s="127"/>
      <c r="F413" s="131"/>
      <c r="G413" s="374"/>
      <c r="H413" s="127"/>
      <c r="I413" s="127"/>
      <c r="J413" s="127"/>
      <c r="K413" s="383"/>
      <c r="L413" s="374"/>
      <c r="M413" s="127"/>
      <c r="N413" s="127"/>
      <c r="O413" s="127"/>
      <c r="P413" s="383"/>
      <c r="Q413" s="164"/>
      <c r="R413" s="127"/>
      <c r="S413" s="127"/>
      <c r="T413" s="127"/>
      <c r="U413" s="131"/>
      <c r="V413" s="374"/>
      <c r="W413" s="127"/>
      <c r="X413" s="127"/>
      <c r="Y413" s="127"/>
      <c r="Z413" s="131"/>
      <c r="AA413" s="374"/>
      <c r="AB413" s="127"/>
      <c r="AC413" s="127"/>
      <c r="AD413" s="127"/>
      <c r="AE413" s="131"/>
      <c r="AF413" s="374"/>
      <c r="AG413" s="127"/>
      <c r="AH413" s="127"/>
      <c r="AI413" s="127"/>
      <c r="AJ413" s="131"/>
      <c r="AK413" s="374"/>
      <c r="AL413" s="127"/>
      <c r="AM413" s="127"/>
      <c r="AN413" s="127"/>
      <c r="AO413" s="359"/>
      <c r="AP413" s="359"/>
      <c r="AQ413" s="359"/>
      <c r="AR413" s="359"/>
      <c r="AS413" s="359"/>
    </row>
    <row r="414">
      <c r="A414" s="131"/>
      <c r="B414" s="374"/>
      <c r="C414" s="127"/>
      <c r="D414" s="127"/>
      <c r="E414" s="127"/>
      <c r="F414" s="131"/>
      <c r="G414" s="374"/>
      <c r="H414" s="127"/>
      <c r="I414" s="127"/>
      <c r="J414" s="127"/>
      <c r="K414" s="383"/>
      <c r="L414" s="374"/>
      <c r="M414" s="127"/>
      <c r="N414" s="127"/>
      <c r="O414" s="127"/>
      <c r="P414" s="383"/>
      <c r="Q414" s="164"/>
      <c r="R414" s="127"/>
      <c r="S414" s="127"/>
      <c r="T414" s="127"/>
      <c r="U414" s="131"/>
      <c r="V414" s="374"/>
      <c r="W414" s="127"/>
      <c r="X414" s="127"/>
      <c r="Y414" s="127"/>
      <c r="Z414" s="131"/>
      <c r="AA414" s="374"/>
      <c r="AB414" s="127"/>
      <c r="AC414" s="127"/>
      <c r="AD414" s="127"/>
      <c r="AE414" s="131"/>
      <c r="AF414" s="374"/>
      <c r="AG414" s="127"/>
      <c r="AH414" s="127"/>
      <c r="AI414" s="127"/>
      <c r="AJ414" s="131"/>
      <c r="AK414" s="374"/>
      <c r="AL414" s="127"/>
      <c r="AM414" s="127"/>
      <c r="AN414" s="127"/>
      <c r="AO414" s="359"/>
      <c r="AP414" s="359"/>
      <c r="AQ414" s="359"/>
      <c r="AR414" s="359"/>
      <c r="AS414" s="359"/>
    </row>
    <row r="415">
      <c r="A415" s="131"/>
      <c r="B415" s="374"/>
      <c r="C415" s="127"/>
      <c r="D415" s="127"/>
      <c r="E415" s="127"/>
      <c r="F415" s="131"/>
      <c r="G415" s="374"/>
      <c r="H415" s="127"/>
      <c r="I415" s="127"/>
      <c r="J415" s="127"/>
      <c r="K415" s="383"/>
      <c r="L415" s="374"/>
      <c r="M415" s="127"/>
      <c r="N415" s="127"/>
      <c r="O415" s="127"/>
      <c r="P415" s="383"/>
      <c r="Q415" s="164"/>
      <c r="R415" s="127"/>
      <c r="S415" s="127"/>
      <c r="T415" s="127"/>
      <c r="U415" s="131"/>
      <c r="V415" s="374"/>
      <c r="W415" s="127"/>
      <c r="X415" s="127"/>
      <c r="Y415" s="127"/>
      <c r="Z415" s="131"/>
      <c r="AA415" s="374"/>
      <c r="AB415" s="127"/>
      <c r="AC415" s="127"/>
      <c r="AD415" s="127"/>
      <c r="AE415" s="131"/>
      <c r="AF415" s="374"/>
      <c r="AG415" s="127"/>
      <c r="AH415" s="127"/>
      <c r="AI415" s="127"/>
      <c r="AJ415" s="131"/>
      <c r="AK415" s="374"/>
      <c r="AL415" s="127"/>
      <c r="AM415" s="127"/>
      <c r="AN415" s="127"/>
      <c r="AO415" s="359"/>
      <c r="AP415" s="359"/>
      <c r="AQ415" s="359"/>
      <c r="AR415" s="359"/>
      <c r="AS415" s="359"/>
    </row>
    <row r="416">
      <c r="A416" s="131"/>
      <c r="B416" s="374"/>
      <c r="C416" s="127"/>
      <c r="D416" s="127"/>
      <c r="E416" s="127"/>
      <c r="F416" s="131"/>
      <c r="G416" s="374"/>
      <c r="H416" s="127"/>
      <c r="I416" s="127"/>
      <c r="J416" s="127"/>
      <c r="K416" s="383"/>
      <c r="L416" s="374"/>
      <c r="M416" s="127"/>
      <c r="N416" s="127"/>
      <c r="O416" s="127"/>
      <c r="P416" s="383"/>
      <c r="Q416" s="164"/>
      <c r="R416" s="127"/>
      <c r="S416" s="127"/>
      <c r="T416" s="127"/>
      <c r="U416" s="131"/>
      <c r="V416" s="374"/>
      <c r="W416" s="127"/>
      <c r="X416" s="127"/>
      <c r="Y416" s="127"/>
      <c r="Z416" s="131"/>
      <c r="AA416" s="374"/>
      <c r="AB416" s="127"/>
      <c r="AC416" s="127"/>
      <c r="AD416" s="127"/>
      <c r="AE416" s="131"/>
      <c r="AF416" s="374"/>
      <c r="AG416" s="127"/>
      <c r="AH416" s="127"/>
      <c r="AI416" s="127"/>
      <c r="AJ416" s="131"/>
      <c r="AK416" s="374"/>
      <c r="AL416" s="127"/>
      <c r="AM416" s="127"/>
      <c r="AN416" s="127"/>
      <c r="AO416" s="359"/>
      <c r="AP416" s="359"/>
      <c r="AQ416" s="359"/>
      <c r="AR416" s="359"/>
      <c r="AS416" s="359"/>
    </row>
    <row r="417">
      <c r="A417" s="131"/>
      <c r="B417" s="374"/>
      <c r="C417" s="127"/>
      <c r="D417" s="127"/>
      <c r="E417" s="127"/>
      <c r="F417" s="131"/>
      <c r="G417" s="374"/>
      <c r="H417" s="127"/>
      <c r="I417" s="127"/>
      <c r="J417" s="127"/>
      <c r="K417" s="383"/>
      <c r="L417" s="374"/>
      <c r="M417" s="127"/>
      <c r="N417" s="127"/>
      <c r="O417" s="127"/>
      <c r="P417" s="383"/>
      <c r="Q417" s="164"/>
      <c r="R417" s="127"/>
      <c r="S417" s="127"/>
      <c r="T417" s="127"/>
      <c r="U417" s="131"/>
      <c r="V417" s="374"/>
      <c r="W417" s="127"/>
      <c r="X417" s="127"/>
      <c r="Y417" s="127"/>
      <c r="Z417" s="131"/>
      <c r="AA417" s="374"/>
      <c r="AB417" s="127"/>
      <c r="AC417" s="127"/>
      <c r="AD417" s="127"/>
      <c r="AE417" s="131"/>
      <c r="AF417" s="374"/>
      <c r="AG417" s="127"/>
      <c r="AH417" s="127"/>
      <c r="AI417" s="127"/>
      <c r="AJ417" s="131"/>
      <c r="AK417" s="374"/>
      <c r="AL417" s="127"/>
      <c r="AM417" s="127"/>
      <c r="AN417" s="127"/>
      <c r="AO417" s="359"/>
      <c r="AP417" s="359"/>
      <c r="AQ417" s="359"/>
      <c r="AR417" s="359"/>
      <c r="AS417" s="359"/>
    </row>
    <row r="418">
      <c r="A418" s="131"/>
      <c r="B418" s="374"/>
      <c r="C418" s="127"/>
      <c r="D418" s="127"/>
      <c r="E418" s="127"/>
      <c r="F418" s="131"/>
      <c r="G418" s="374"/>
      <c r="H418" s="127"/>
      <c r="I418" s="127"/>
      <c r="J418" s="127"/>
      <c r="K418" s="383"/>
      <c r="L418" s="374"/>
      <c r="M418" s="127"/>
      <c r="N418" s="127"/>
      <c r="O418" s="127"/>
      <c r="P418" s="383"/>
      <c r="Q418" s="164"/>
      <c r="R418" s="127"/>
      <c r="S418" s="127"/>
      <c r="T418" s="127"/>
      <c r="U418" s="131"/>
      <c r="V418" s="374"/>
      <c r="W418" s="127"/>
      <c r="X418" s="127"/>
      <c r="Y418" s="127"/>
      <c r="Z418" s="131"/>
      <c r="AA418" s="374"/>
      <c r="AB418" s="127"/>
      <c r="AC418" s="127"/>
      <c r="AD418" s="127"/>
      <c r="AE418" s="131"/>
      <c r="AF418" s="374"/>
      <c r="AG418" s="127"/>
      <c r="AH418" s="127"/>
      <c r="AI418" s="127"/>
      <c r="AJ418" s="131"/>
      <c r="AK418" s="374"/>
      <c r="AL418" s="127"/>
      <c r="AM418" s="127"/>
      <c r="AN418" s="127"/>
      <c r="AO418" s="359"/>
      <c r="AP418" s="359"/>
      <c r="AQ418" s="359"/>
      <c r="AR418" s="359"/>
      <c r="AS418" s="359"/>
    </row>
    <row r="419">
      <c r="A419" s="131"/>
      <c r="B419" s="374"/>
      <c r="C419" s="127"/>
      <c r="D419" s="127"/>
      <c r="E419" s="127"/>
      <c r="F419" s="131"/>
      <c r="G419" s="374"/>
      <c r="H419" s="127"/>
      <c r="I419" s="127"/>
      <c r="J419" s="127"/>
      <c r="K419" s="383"/>
      <c r="L419" s="374"/>
      <c r="M419" s="127"/>
      <c r="N419" s="127"/>
      <c r="O419" s="127"/>
      <c r="P419" s="383"/>
      <c r="Q419" s="164"/>
      <c r="R419" s="127"/>
      <c r="S419" s="127"/>
      <c r="T419" s="127"/>
      <c r="U419" s="131"/>
      <c r="V419" s="374"/>
      <c r="W419" s="127"/>
      <c r="X419" s="127"/>
      <c r="Y419" s="127"/>
      <c r="Z419" s="131"/>
      <c r="AA419" s="374"/>
      <c r="AB419" s="127"/>
      <c r="AC419" s="127"/>
      <c r="AD419" s="127"/>
      <c r="AE419" s="131"/>
      <c r="AF419" s="374"/>
      <c r="AG419" s="127"/>
      <c r="AH419" s="127"/>
      <c r="AI419" s="127"/>
      <c r="AJ419" s="131"/>
      <c r="AK419" s="374"/>
      <c r="AL419" s="127"/>
      <c r="AM419" s="127"/>
      <c r="AN419" s="127"/>
      <c r="AO419" s="359"/>
      <c r="AP419" s="359"/>
      <c r="AQ419" s="359"/>
      <c r="AR419" s="359"/>
      <c r="AS419" s="359"/>
    </row>
    <row r="420">
      <c r="A420" s="131"/>
      <c r="B420" s="374"/>
      <c r="C420" s="127"/>
      <c r="D420" s="127"/>
      <c r="E420" s="127"/>
      <c r="F420" s="131"/>
      <c r="G420" s="374"/>
      <c r="H420" s="127"/>
      <c r="I420" s="127"/>
      <c r="J420" s="127"/>
      <c r="K420" s="383"/>
      <c r="L420" s="374"/>
      <c r="M420" s="127"/>
      <c r="N420" s="127"/>
      <c r="O420" s="127"/>
      <c r="P420" s="383"/>
      <c r="Q420" s="164"/>
      <c r="R420" s="127"/>
      <c r="S420" s="127"/>
      <c r="T420" s="127"/>
      <c r="U420" s="131"/>
      <c r="V420" s="374"/>
      <c r="W420" s="127"/>
      <c r="X420" s="127"/>
      <c r="Y420" s="127"/>
      <c r="Z420" s="131"/>
      <c r="AA420" s="374"/>
      <c r="AB420" s="127"/>
      <c r="AC420" s="127"/>
      <c r="AD420" s="127"/>
      <c r="AE420" s="131"/>
      <c r="AF420" s="374"/>
      <c r="AG420" s="127"/>
      <c r="AH420" s="127"/>
      <c r="AI420" s="127"/>
      <c r="AJ420" s="131"/>
      <c r="AK420" s="374"/>
      <c r="AL420" s="127"/>
      <c r="AM420" s="127"/>
      <c r="AN420" s="127"/>
      <c r="AO420" s="359"/>
      <c r="AP420" s="359"/>
      <c r="AQ420" s="359"/>
      <c r="AR420" s="359"/>
      <c r="AS420" s="359"/>
    </row>
    <row r="421">
      <c r="A421" s="131"/>
      <c r="B421" s="374"/>
      <c r="C421" s="127"/>
      <c r="D421" s="127"/>
      <c r="E421" s="127"/>
      <c r="F421" s="131"/>
      <c r="G421" s="374"/>
      <c r="H421" s="127"/>
      <c r="I421" s="127"/>
      <c r="J421" s="127"/>
      <c r="K421" s="383"/>
      <c r="L421" s="374"/>
      <c r="M421" s="127"/>
      <c r="N421" s="127"/>
      <c r="O421" s="127"/>
      <c r="P421" s="383"/>
      <c r="Q421" s="164"/>
      <c r="R421" s="127"/>
      <c r="S421" s="127"/>
      <c r="T421" s="127"/>
      <c r="U421" s="131"/>
      <c r="V421" s="374"/>
      <c r="W421" s="127"/>
      <c r="X421" s="127"/>
      <c r="Y421" s="127"/>
      <c r="Z421" s="131"/>
      <c r="AA421" s="374"/>
      <c r="AB421" s="127"/>
      <c r="AC421" s="127"/>
      <c r="AD421" s="127"/>
      <c r="AE421" s="131"/>
      <c r="AF421" s="374"/>
      <c r="AG421" s="127"/>
      <c r="AH421" s="127"/>
      <c r="AI421" s="127"/>
      <c r="AJ421" s="131"/>
      <c r="AK421" s="374"/>
      <c r="AL421" s="127"/>
      <c r="AM421" s="127"/>
      <c r="AN421" s="127"/>
      <c r="AO421" s="359"/>
      <c r="AP421" s="359"/>
      <c r="AQ421" s="359"/>
      <c r="AR421" s="359"/>
      <c r="AS421" s="359"/>
    </row>
    <row r="422">
      <c r="A422" s="131"/>
      <c r="B422" s="374"/>
      <c r="C422" s="127"/>
      <c r="D422" s="127"/>
      <c r="E422" s="127"/>
      <c r="F422" s="131"/>
      <c r="G422" s="374"/>
      <c r="H422" s="127"/>
      <c r="I422" s="127"/>
      <c r="J422" s="127"/>
      <c r="K422" s="383"/>
      <c r="L422" s="374"/>
      <c r="M422" s="127"/>
      <c r="N422" s="127"/>
      <c r="O422" s="127"/>
      <c r="P422" s="383"/>
      <c r="Q422" s="164"/>
      <c r="R422" s="127"/>
      <c r="S422" s="127"/>
      <c r="T422" s="127"/>
      <c r="U422" s="131"/>
      <c r="V422" s="374"/>
      <c r="W422" s="127"/>
      <c r="X422" s="127"/>
      <c r="Y422" s="127"/>
      <c r="Z422" s="131"/>
      <c r="AA422" s="374"/>
      <c r="AB422" s="127"/>
      <c r="AC422" s="127"/>
      <c r="AD422" s="127"/>
      <c r="AE422" s="131"/>
      <c r="AF422" s="374"/>
      <c r="AG422" s="127"/>
      <c r="AH422" s="127"/>
      <c r="AI422" s="127"/>
      <c r="AJ422" s="131"/>
      <c r="AK422" s="374"/>
      <c r="AL422" s="127"/>
      <c r="AM422" s="127"/>
      <c r="AN422" s="127"/>
      <c r="AO422" s="359"/>
      <c r="AP422" s="359"/>
      <c r="AQ422" s="359"/>
      <c r="AR422" s="359"/>
      <c r="AS422" s="359"/>
    </row>
    <row r="423">
      <c r="A423" s="131"/>
      <c r="B423" s="374"/>
      <c r="C423" s="127"/>
      <c r="D423" s="127"/>
      <c r="E423" s="127"/>
      <c r="F423" s="131"/>
      <c r="G423" s="374"/>
      <c r="H423" s="127"/>
      <c r="I423" s="127"/>
      <c r="J423" s="127"/>
      <c r="K423" s="383"/>
      <c r="L423" s="374"/>
      <c r="M423" s="127"/>
      <c r="N423" s="127"/>
      <c r="O423" s="127"/>
      <c r="P423" s="383"/>
      <c r="Q423" s="164"/>
      <c r="R423" s="127"/>
      <c r="S423" s="127"/>
      <c r="T423" s="127"/>
      <c r="U423" s="131"/>
      <c r="V423" s="374"/>
      <c r="W423" s="127"/>
      <c r="X423" s="127"/>
      <c r="Y423" s="127"/>
      <c r="Z423" s="131"/>
      <c r="AA423" s="374"/>
      <c r="AB423" s="127"/>
      <c r="AC423" s="127"/>
      <c r="AD423" s="127"/>
      <c r="AE423" s="131"/>
      <c r="AF423" s="374"/>
      <c r="AG423" s="127"/>
      <c r="AH423" s="127"/>
      <c r="AI423" s="127"/>
      <c r="AJ423" s="131"/>
      <c r="AK423" s="374"/>
      <c r="AL423" s="127"/>
      <c r="AM423" s="127"/>
      <c r="AN423" s="127"/>
      <c r="AO423" s="359"/>
      <c r="AP423" s="359"/>
      <c r="AQ423" s="359"/>
      <c r="AR423" s="359"/>
      <c r="AS423" s="359"/>
    </row>
    <row r="424">
      <c r="A424" s="131"/>
      <c r="B424" s="374"/>
      <c r="C424" s="127"/>
      <c r="D424" s="127"/>
      <c r="E424" s="127"/>
      <c r="F424" s="131"/>
      <c r="G424" s="374"/>
      <c r="H424" s="127"/>
      <c r="I424" s="127"/>
      <c r="J424" s="127"/>
      <c r="K424" s="383"/>
      <c r="L424" s="374"/>
      <c r="M424" s="127"/>
      <c r="N424" s="127"/>
      <c r="O424" s="127"/>
      <c r="P424" s="383"/>
      <c r="Q424" s="164"/>
      <c r="R424" s="127"/>
      <c r="S424" s="127"/>
      <c r="T424" s="127"/>
      <c r="U424" s="131"/>
      <c r="V424" s="374"/>
      <c r="W424" s="127"/>
      <c r="X424" s="127"/>
      <c r="Y424" s="127"/>
      <c r="Z424" s="131"/>
      <c r="AA424" s="374"/>
      <c r="AB424" s="127"/>
      <c r="AC424" s="127"/>
      <c r="AD424" s="127"/>
      <c r="AE424" s="131"/>
      <c r="AF424" s="374"/>
      <c r="AG424" s="127"/>
      <c r="AH424" s="127"/>
      <c r="AI424" s="127"/>
      <c r="AJ424" s="131"/>
      <c r="AK424" s="374"/>
      <c r="AL424" s="127"/>
      <c r="AM424" s="127"/>
      <c r="AN424" s="127"/>
      <c r="AO424" s="359"/>
      <c r="AP424" s="359"/>
      <c r="AQ424" s="359"/>
      <c r="AR424" s="359"/>
      <c r="AS424" s="359"/>
    </row>
    <row r="425">
      <c r="A425" s="131"/>
      <c r="B425" s="374"/>
      <c r="C425" s="127"/>
      <c r="D425" s="127"/>
      <c r="E425" s="127"/>
      <c r="F425" s="131"/>
      <c r="G425" s="374"/>
      <c r="H425" s="127"/>
      <c r="I425" s="127"/>
      <c r="J425" s="127"/>
      <c r="K425" s="383"/>
      <c r="L425" s="374"/>
      <c r="M425" s="127"/>
      <c r="N425" s="127"/>
      <c r="O425" s="127"/>
      <c r="P425" s="383"/>
      <c r="Q425" s="164"/>
      <c r="R425" s="127"/>
      <c r="S425" s="127"/>
      <c r="T425" s="127"/>
      <c r="U425" s="131"/>
      <c r="V425" s="374"/>
      <c r="W425" s="127"/>
      <c r="X425" s="127"/>
      <c r="Y425" s="127"/>
      <c r="Z425" s="131"/>
      <c r="AA425" s="374"/>
      <c r="AB425" s="127"/>
      <c r="AC425" s="127"/>
      <c r="AD425" s="127"/>
      <c r="AE425" s="131"/>
      <c r="AF425" s="374"/>
      <c r="AG425" s="127"/>
      <c r="AH425" s="127"/>
      <c r="AI425" s="127"/>
      <c r="AJ425" s="131"/>
      <c r="AK425" s="374"/>
      <c r="AL425" s="127"/>
      <c r="AM425" s="127"/>
      <c r="AN425" s="127"/>
      <c r="AO425" s="359"/>
      <c r="AP425" s="359"/>
      <c r="AQ425" s="359"/>
      <c r="AR425" s="359"/>
      <c r="AS425" s="359"/>
    </row>
    <row r="426">
      <c r="A426" s="131"/>
      <c r="B426" s="374"/>
      <c r="C426" s="127"/>
      <c r="D426" s="127"/>
      <c r="E426" s="127"/>
      <c r="F426" s="131"/>
      <c r="G426" s="374"/>
      <c r="H426" s="127"/>
      <c r="I426" s="127"/>
      <c r="J426" s="127"/>
      <c r="K426" s="383"/>
      <c r="L426" s="374"/>
      <c r="M426" s="127"/>
      <c r="N426" s="127"/>
      <c r="O426" s="127"/>
      <c r="P426" s="383"/>
      <c r="Q426" s="164"/>
      <c r="R426" s="127"/>
      <c r="S426" s="127"/>
      <c r="T426" s="127"/>
      <c r="U426" s="131"/>
      <c r="V426" s="374"/>
      <c r="W426" s="127"/>
      <c r="X426" s="127"/>
      <c r="Y426" s="127"/>
      <c r="Z426" s="131"/>
      <c r="AA426" s="374"/>
      <c r="AB426" s="127"/>
      <c r="AC426" s="127"/>
      <c r="AD426" s="127"/>
      <c r="AE426" s="131"/>
      <c r="AF426" s="374"/>
      <c r="AG426" s="127"/>
      <c r="AH426" s="127"/>
      <c r="AI426" s="127"/>
      <c r="AJ426" s="131"/>
      <c r="AK426" s="374"/>
      <c r="AL426" s="127"/>
      <c r="AM426" s="127"/>
      <c r="AN426" s="127"/>
      <c r="AO426" s="359"/>
      <c r="AP426" s="359"/>
      <c r="AQ426" s="359"/>
      <c r="AR426" s="359"/>
      <c r="AS426" s="359"/>
    </row>
    <row r="427">
      <c r="A427" s="131"/>
      <c r="B427" s="374"/>
      <c r="C427" s="127"/>
      <c r="D427" s="127"/>
      <c r="E427" s="127"/>
      <c r="F427" s="131"/>
      <c r="G427" s="374"/>
      <c r="H427" s="127"/>
      <c r="I427" s="127"/>
      <c r="J427" s="127"/>
      <c r="K427" s="383"/>
      <c r="L427" s="374"/>
      <c r="M427" s="127"/>
      <c r="N427" s="127"/>
      <c r="O427" s="127"/>
      <c r="P427" s="383"/>
      <c r="Q427" s="164"/>
      <c r="R427" s="127"/>
      <c r="S427" s="127"/>
      <c r="T427" s="127"/>
      <c r="U427" s="131"/>
      <c r="V427" s="374"/>
      <c r="W427" s="127"/>
      <c r="X427" s="127"/>
      <c r="Y427" s="127"/>
      <c r="Z427" s="131"/>
      <c r="AA427" s="374"/>
      <c r="AB427" s="127"/>
      <c r="AC427" s="127"/>
      <c r="AD427" s="127"/>
      <c r="AE427" s="131"/>
      <c r="AF427" s="374"/>
      <c r="AG427" s="127"/>
      <c r="AH427" s="127"/>
      <c r="AI427" s="127"/>
      <c r="AJ427" s="131"/>
      <c r="AK427" s="374"/>
      <c r="AL427" s="127"/>
      <c r="AM427" s="127"/>
      <c r="AN427" s="127"/>
      <c r="AO427" s="359"/>
      <c r="AP427" s="359"/>
      <c r="AQ427" s="359"/>
      <c r="AR427" s="359"/>
      <c r="AS427" s="359"/>
    </row>
    <row r="428">
      <c r="A428" s="131"/>
      <c r="B428" s="374"/>
      <c r="C428" s="127"/>
      <c r="D428" s="127"/>
      <c r="E428" s="127"/>
      <c r="F428" s="131"/>
      <c r="G428" s="374"/>
      <c r="H428" s="127"/>
      <c r="I428" s="127"/>
      <c r="J428" s="127"/>
      <c r="K428" s="383"/>
      <c r="L428" s="374"/>
      <c r="M428" s="127"/>
      <c r="N428" s="127"/>
      <c r="O428" s="127"/>
      <c r="P428" s="383"/>
      <c r="Q428" s="164"/>
      <c r="R428" s="127"/>
      <c r="S428" s="127"/>
      <c r="T428" s="127"/>
      <c r="U428" s="131"/>
      <c r="V428" s="374"/>
      <c r="W428" s="127"/>
      <c r="X428" s="127"/>
      <c r="Y428" s="127"/>
      <c r="Z428" s="131"/>
      <c r="AA428" s="374"/>
      <c r="AB428" s="127"/>
      <c r="AC428" s="127"/>
      <c r="AD428" s="127"/>
      <c r="AE428" s="131"/>
      <c r="AF428" s="374"/>
      <c r="AG428" s="127"/>
      <c r="AH428" s="127"/>
      <c r="AI428" s="127"/>
      <c r="AJ428" s="131"/>
      <c r="AK428" s="374"/>
      <c r="AL428" s="127"/>
      <c r="AM428" s="127"/>
      <c r="AN428" s="127"/>
      <c r="AO428" s="359"/>
      <c r="AP428" s="359"/>
      <c r="AQ428" s="359"/>
      <c r="AR428" s="359"/>
      <c r="AS428" s="359"/>
    </row>
    <row r="429">
      <c r="A429" s="131"/>
      <c r="B429" s="374"/>
      <c r="C429" s="127"/>
      <c r="D429" s="127"/>
      <c r="E429" s="127"/>
      <c r="F429" s="131"/>
      <c r="G429" s="374"/>
      <c r="H429" s="127"/>
      <c r="I429" s="127"/>
      <c r="J429" s="127"/>
      <c r="K429" s="383"/>
      <c r="L429" s="374"/>
      <c r="M429" s="127"/>
      <c r="N429" s="127"/>
      <c r="O429" s="127"/>
      <c r="P429" s="383"/>
      <c r="Q429" s="164"/>
      <c r="R429" s="127"/>
      <c r="S429" s="127"/>
      <c r="T429" s="127"/>
      <c r="U429" s="131"/>
      <c r="V429" s="374"/>
      <c r="W429" s="127"/>
      <c r="X429" s="127"/>
      <c r="Y429" s="127"/>
      <c r="Z429" s="131"/>
      <c r="AA429" s="374"/>
      <c r="AB429" s="127"/>
      <c r="AC429" s="127"/>
      <c r="AD429" s="127"/>
      <c r="AE429" s="131"/>
      <c r="AF429" s="374"/>
      <c r="AG429" s="127"/>
      <c r="AH429" s="127"/>
      <c r="AI429" s="127"/>
      <c r="AJ429" s="131"/>
      <c r="AK429" s="374"/>
      <c r="AL429" s="127"/>
      <c r="AM429" s="127"/>
      <c r="AN429" s="127"/>
      <c r="AO429" s="359"/>
      <c r="AP429" s="359"/>
      <c r="AQ429" s="359"/>
      <c r="AR429" s="359"/>
      <c r="AS429" s="359"/>
    </row>
    <row r="430">
      <c r="A430" s="131"/>
      <c r="B430" s="374"/>
      <c r="C430" s="127"/>
      <c r="D430" s="127"/>
      <c r="E430" s="127"/>
      <c r="F430" s="131"/>
      <c r="G430" s="374"/>
      <c r="H430" s="127"/>
      <c r="I430" s="127"/>
      <c r="J430" s="127"/>
      <c r="K430" s="383"/>
      <c r="L430" s="374"/>
      <c r="M430" s="127"/>
      <c r="N430" s="127"/>
      <c r="O430" s="127"/>
      <c r="P430" s="383"/>
      <c r="Q430" s="164"/>
      <c r="R430" s="127"/>
      <c r="S430" s="127"/>
      <c r="T430" s="127"/>
      <c r="U430" s="131"/>
      <c r="V430" s="374"/>
      <c r="W430" s="127"/>
      <c r="X430" s="127"/>
      <c r="Y430" s="127"/>
      <c r="Z430" s="131"/>
      <c r="AA430" s="374"/>
      <c r="AB430" s="127"/>
      <c r="AC430" s="127"/>
      <c r="AD430" s="127"/>
      <c r="AE430" s="131"/>
      <c r="AF430" s="374"/>
      <c r="AG430" s="127"/>
      <c r="AH430" s="127"/>
      <c r="AI430" s="127"/>
      <c r="AJ430" s="131"/>
      <c r="AK430" s="374"/>
      <c r="AL430" s="127"/>
      <c r="AM430" s="127"/>
      <c r="AN430" s="127"/>
      <c r="AO430" s="359"/>
      <c r="AP430" s="359"/>
      <c r="AQ430" s="359"/>
      <c r="AR430" s="359"/>
      <c r="AS430" s="359"/>
    </row>
    <row r="431">
      <c r="A431" s="131"/>
      <c r="B431" s="374"/>
      <c r="C431" s="127"/>
      <c r="D431" s="127"/>
      <c r="E431" s="127"/>
      <c r="F431" s="131"/>
      <c r="G431" s="374"/>
      <c r="H431" s="127"/>
      <c r="I431" s="127"/>
      <c r="J431" s="127"/>
      <c r="K431" s="383"/>
      <c r="L431" s="374"/>
      <c r="M431" s="127"/>
      <c r="N431" s="127"/>
      <c r="O431" s="127"/>
      <c r="P431" s="383"/>
      <c r="Q431" s="164"/>
      <c r="R431" s="127"/>
      <c r="S431" s="127"/>
      <c r="T431" s="127"/>
      <c r="U431" s="131"/>
      <c r="V431" s="374"/>
      <c r="W431" s="127"/>
      <c r="X431" s="127"/>
      <c r="Y431" s="127"/>
      <c r="Z431" s="131"/>
      <c r="AA431" s="374"/>
      <c r="AB431" s="127"/>
      <c r="AC431" s="127"/>
      <c r="AD431" s="127"/>
      <c r="AE431" s="131"/>
      <c r="AF431" s="374"/>
      <c r="AG431" s="127"/>
      <c r="AH431" s="127"/>
      <c r="AI431" s="127"/>
      <c r="AJ431" s="131"/>
      <c r="AK431" s="374"/>
      <c r="AL431" s="127"/>
      <c r="AM431" s="127"/>
      <c r="AN431" s="127"/>
      <c r="AO431" s="359"/>
      <c r="AP431" s="359"/>
      <c r="AQ431" s="359"/>
      <c r="AR431" s="359"/>
      <c r="AS431" s="359"/>
    </row>
    <row r="432">
      <c r="A432" s="131"/>
      <c r="B432" s="374"/>
      <c r="C432" s="127"/>
      <c r="D432" s="127"/>
      <c r="E432" s="127"/>
      <c r="F432" s="131"/>
      <c r="G432" s="374"/>
      <c r="H432" s="127"/>
      <c r="I432" s="127"/>
      <c r="J432" s="127"/>
      <c r="K432" s="383"/>
      <c r="L432" s="374"/>
      <c r="M432" s="127"/>
      <c r="N432" s="127"/>
      <c r="O432" s="127"/>
      <c r="P432" s="383"/>
      <c r="Q432" s="164"/>
      <c r="R432" s="127"/>
      <c r="S432" s="127"/>
      <c r="T432" s="127"/>
      <c r="U432" s="131"/>
      <c r="V432" s="374"/>
      <c r="W432" s="127"/>
      <c r="X432" s="127"/>
      <c r="Y432" s="127"/>
      <c r="Z432" s="131"/>
      <c r="AA432" s="374"/>
      <c r="AB432" s="127"/>
      <c r="AC432" s="127"/>
      <c r="AD432" s="127"/>
      <c r="AE432" s="131"/>
      <c r="AF432" s="374"/>
      <c r="AG432" s="127"/>
      <c r="AH432" s="127"/>
      <c r="AI432" s="127"/>
      <c r="AJ432" s="131"/>
      <c r="AK432" s="374"/>
      <c r="AL432" s="127"/>
      <c r="AM432" s="127"/>
      <c r="AN432" s="127"/>
      <c r="AO432" s="359"/>
      <c r="AP432" s="359"/>
      <c r="AQ432" s="359"/>
      <c r="AR432" s="359"/>
      <c r="AS432" s="359"/>
    </row>
    <row r="433">
      <c r="A433" s="131"/>
      <c r="B433" s="374"/>
      <c r="C433" s="127"/>
      <c r="D433" s="127"/>
      <c r="E433" s="127"/>
      <c r="F433" s="131"/>
      <c r="G433" s="374"/>
      <c r="H433" s="127"/>
      <c r="I433" s="127"/>
      <c r="J433" s="127"/>
      <c r="K433" s="383"/>
      <c r="L433" s="374"/>
      <c r="M433" s="127"/>
      <c r="N433" s="127"/>
      <c r="O433" s="127"/>
      <c r="P433" s="383"/>
      <c r="Q433" s="164"/>
      <c r="R433" s="127"/>
      <c r="S433" s="127"/>
      <c r="T433" s="127"/>
      <c r="U433" s="131"/>
      <c r="V433" s="374"/>
      <c r="W433" s="127"/>
      <c r="X433" s="127"/>
      <c r="Y433" s="127"/>
      <c r="Z433" s="131"/>
      <c r="AA433" s="374"/>
      <c r="AB433" s="127"/>
      <c r="AC433" s="127"/>
      <c r="AD433" s="127"/>
      <c r="AE433" s="131"/>
      <c r="AF433" s="374"/>
      <c r="AG433" s="127"/>
      <c r="AH433" s="127"/>
      <c r="AI433" s="127"/>
      <c r="AJ433" s="131"/>
      <c r="AK433" s="374"/>
      <c r="AL433" s="127"/>
      <c r="AM433" s="127"/>
      <c r="AN433" s="127"/>
      <c r="AO433" s="359"/>
      <c r="AP433" s="359"/>
      <c r="AQ433" s="359"/>
      <c r="AR433" s="359"/>
      <c r="AS433" s="359"/>
    </row>
    <row r="434">
      <c r="A434" s="131"/>
      <c r="B434" s="374"/>
      <c r="C434" s="127"/>
      <c r="D434" s="127"/>
      <c r="E434" s="127"/>
      <c r="F434" s="131"/>
      <c r="G434" s="374"/>
      <c r="H434" s="127"/>
      <c r="I434" s="127"/>
      <c r="J434" s="127"/>
      <c r="K434" s="383"/>
      <c r="L434" s="374"/>
      <c r="M434" s="127"/>
      <c r="N434" s="127"/>
      <c r="O434" s="127"/>
      <c r="P434" s="383"/>
      <c r="Q434" s="164"/>
      <c r="R434" s="127"/>
      <c r="S434" s="127"/>
      <c r="T434" s="127"/>
      <c r="U434" s="131"/>
      <c r="V434" s="374"/>
      <c r="W434" s="127"/>
      <c r="X434" s="127"/>
      <c r="Y434" s="127"/>
      <c r="Z434" s="131"/>
      <c r="AA434" s="374"/>
      <c r="AB434" s="127"/>
      <c r="AC434" s="127"/>
      <c r="AD434" s="127"/>
      <c r="AE434" s="131"/>
      <c r="AF434" s="374"/>
      <c r="AG434" s="127"/>
      <c r="AH434" s="127"/>
      <c r="AI434" s="127"/>
      <c r="AJ434" s="131"/>
      <c r="AK434" s="374"/>
      <c r="AL434" s="127"/>
      <c r="AM434" s="127"/>
      <c r="AN434" s="127"/>
      <c r="AO434" s="359"/>
      <c r="AP434" s="359"/>
      <c r="AQ434" s="359"/>
      <c r="AR434" s="359"/>
      <c r="AS434" s="359"/>
    </row>
    <row r="435">
      <c r="A435" s="131"/>
      <c r="B435" s="374"/>
      <c r="C435" s="127"/>
      <c r="D435" s="127"/>
      <c r="E435" s="127"/>
      <c r="F435" s="131"/>
      <c r="G435" s="374"/>
      <c r="H435" s="127"/>
      <c r="I435" s="127"/>
      <c r="J435" s="127"/>
      <c r="K435" s="383"/>
      <c r="L435" s="374"/>
      <c r="M435" s="127"/>
      <c r="N435" s="127"/>
      <c r="O435" s="127"/>
      <c r="P435" s="383"/>
      <c r="Q435" s="164"/>
      <c r="R435" s="127"/>
      <c r="S435" s="127"/>
      <c r="T435" s="127"/>
      <c r="U435" s="131"/>
      <c r="V435" s="374"/>
      <c r="W435" s="127"/>
      <c r="X435" s="127"/>
      <c r="Y435" s="127"/>
      <c r="Z435" s="131"/>
      <c r="AA435" s="374"/>
      <c r="AB435" s="127"/>
      <c r="AC435" s="127"/>
      <c r="AD435" s="127"/>
      <c r="AE435" s="131"/>
      <c r="AF435" s="374"/>
      <c r="AG435" s="127"/>
      <c r="AH435" s="127"/>
      <c r="AI435" s="127"/>
      <c r="AJ435" s="131"/>
      <c r="AK435" s="374"/>
      <c r="AL435" s="127"/>
      <c r="AM435" s="127"/>
      <c r="AN435" s="127"/>
      <c r="AO435" s="359"/>
      <c r="AP435" s="359"/>
      <c r="AQ435" s="359"/>
      <c r="AR435" s="359"/>
      <c r="AS435" s="359"/>
    </row>
    <row r="436">
      <c r="A436" s="131"/>
      <c r="B436" s="374"/>
      <c r="C436" s="127"/>
      <c r="D436" s="127"/>
      <c r="E436" s="127"/>
      <c r="F436" s="131"/>
      <c r="G436" s="374"/>
      <c r="H436" s="127"/>
      <c r="I436" s="127"/>
      <c r="J436" s="127"/>
      <c r="K436" s="383"/>
      <c r="L436" s="374"/>
      <c r="M436" s="127"/>
      <c r="N436" s="127"/>
      <c r="O436" s="127"/>
      <c r="P436" s="383"/>
      <c r="Q436" s="164"/>
      <c r="R436" s="127"/>
      <c r="S436" s="127"/>
      <c r="T436" s="127"/>
      <c r="U436" s="131"/>
      <c r="V436" s="374"/>
      <c r="W436" s="127"/>
      <c r="X436" s="127"/>
      <c r="Y436" s="127"/>
      <c r="Z436" s="131"/>
      <c r="AA436" s="374"/>
      <c r="AB436" s="127"/>
      <c r="AC436" s="127"/>
      <c r="AD436" s="127"/>
      <c r="AE436" s="131"/>
      <c r="AF436" s="374"/>
      <c r="AG436" s="127"/>
      <c r="AH436" s="127"/>
      <c r="AI436" s="127"/>
      <c r="AJ436" s="131"/>
      <c r="AK436" s="374"/>
      <c r="AL436" s="127"/>
      <c r="AM436" s="127"/>
      <c r="AN436" s="127"/>
      <c r="AO436" s="359"/>
      <c r="AP436" s="359"/>
      <c r="AQ436" s="359"/>
      <c r="AR436" s="359"/>
      <c r="AS436" s="359"/>
    </row>
    <row r="437">
      <c r="A437" s="131"/>
      <c r="B437" s="374"/>
      <c r="C437" s="127"/>
      <c r="D437" s="127"/>
      <c r="E437" s="127"/>
      <c r="F437" s="131"/>
      <c r="G437" s="374"/>
      <c r="H437" s="127"/>
      <c r="I437" s="127"/>
      <c r="J437" s="127"/>
      <c r="K437" s="383"/>
      <c r="L437" s="374"/>
      <c r="M437" s="127"/>
      <c r="N437" s="127"/>
      <c r="O437" s="127"/>
      <c r="P437" s="383"/>
      <c r="Q437" s="164"/>
      <c r="R437" s="127"/>
      <c r="S437" s="127"/>
      <c r="T437" s="127"/>
      <c r="U437" s="131"/>
      <c r="V437" s="374"/>
      <c r="W437" s="127"/>
      <c r="X437" s="127"/>
      <c r="Y437" s="127"/>
      <c r="Z437" s="131"/>
      <c r="AA437" s="374"/>
      <c r="AB437" s="127"/>
      <c r="AC437" s="127"/>
      <c r="AD437" s="127"/>
      <c r="AE437" s="131"/>
      <c r="AF437" s="374"/>
      <c r="AG437" s="127"/>
      <c r="AH437" s="127"/>
      <c r="AI437" s="127"/>
      <c r="AJ437" s="131"/>
      <c r="AK437" s="374"/>
      <c r="AL437" s="127"/>
      <c r="AM437" s="127"/>
      <c r="AN437" s="127"/>
      <c r="AO437" s="359"/>
      <c r="AP437" s="359"/>
      <c r="AQ437" s="359"/>
      <c r="AR437" s="359"/>
      <c r="AS437" s="359"/>
    </row>
    <row r="438">
      <c r="A438" s="131"/>
      <c r="B438" s="374"/>
      <c r="C438" s="127"/>
      <c r="D438" s="127"/>
      <c r="E438" s="127"/>
      <c r="F438" s="131"/>
      <c r="G438" s="374"/>
      <c r="H438" s="127"/>
      <c r="I438" s="127"/>
      <c r="J438" s="127"/>
      <c r="K438" s="383"/>
      <c r="L438" s="374"/>
      <c r="M438" s="127"/>
      <c r="N438" s="127"/>
      <c r="O438" s="127"/>
      <c r="P438" s="383"/>
      <c r="Q438" s="164"/>
      <c r="R438" s="127"/>
      <c r="S438" s="127"/>
      <c r="T438" s="127"/>
      <c r="U438" s="131"/>
      <c r="V438" s="374"/>
      <c r="W438" s="127"/>
      <c r="X438" s="127"/>
      <c r="Y438" s="127"/>
      <c r="Z438" s="131"/>
      <c r="AA438" s="374"/>
      <c r="AB438" s="127"/>
      <c r="AC438" s="127"/>
      <c r="AD438" s="127"/>
      <c r="AE438" s="131"/>
      <c r="AF438" s="374"/>
      <c r="AG438" s="127"/>
      <c r="AH438" s="127"/>
      <c r="AI438" s="127"/>
      <c r="AJ438" s="131"/>
      <c r="AK438" s="374"/>
      <c r="AL438" s="127"/>
      <c r="AM438" s="127"/>
      <c r="AN438" s="127"/>
      <c r="AO438" s="359"/>
      <c r="AP438" s="359"/>
      <c r="AQ438" s="359"/>
      <c r="AR438" s="359"/>
      <c r="AS438" s="359"/>
    </row>
    <row r="439">
      <c r="A439" s="131"/>
      <c r="B439" s="374"/>
      <c r="C439" s="127"/>
      <c r="D439" s="127"/>
      <c r="E439" s="127"/>
      <c r="F439" s="131"/>
      <c r="G439" s="374"/>
      <c r="H439" s="127"/>
      <c r="I439" s="127"/>
      <c r="J439" s="127"/>
      <c r="K439" s="383"/>
      <c r="L439" s="374"/>
      <c r="M439" s="127"/>
      <c r="N439" s="127"/>
      <c r="O439" s="127"/>
      <c r="P439" s="383"/>
      <c r="Q439" s="164"/>
      <c r="R439" s="127"/>
      <c r="S439" s="127"/>
      <c r="T439" s="127"/>
      <c r="U439" s="131"/>
      <c r="V439" s="374"/>
      <c r="W439" s="127"/>
      <c r="X439" s="127"/>
      <c r="Y439" s="127"/>
      <c r="Z439" s="131"/>
      <c r="AA439" s="374"/>
      <c r="AB439" s="127"/>
      <c r="AC439" s="127"/>
      <c r="AD439" s="127"/>
      <c r="AE439" s="131"/>
      <c r="AF439" s="374"/>
      <c r="AG439" s="127"/>
      <c r="AH439" s="127"/>
      <c r="AI439" s="127"/>
      <c r="AJ439" s="131"/>
      <c r="AK439" s="374"/>
      <c r="AL439" s="127"/>
      <c r="AM439" s="127"/>
      <c r="AN439" s="127"/>
      <c r="AO439" s="359"/>
      <c r="AP439" s="359"/>
      <c r="AQ439" s="359"/>
      <c r="AR439" s="359"/>
      <c r="AS439" s="359"/>
    </row>
    <row r="440">
      <c r="A440" s="131"/>
      <c r="B440" s="374"/>
      <c r="C440" s="127"/>
      <c r="D440" s="127"/>
      <c r="E440" s="127"/>
      <c r="F440" s="131"/>
      <c r="G440" s="374"/>
      <c r="H440" s="127"/>
      <c r="I440" s="127"/>
      <c r="J440" s="127"/>
      <c r="K440" s="383"/>
      <c r="L440" s="374"/>
      <c r="M440" s="127"/>
      <c r="N440" s="127"/>
      <c r="O440" s="127"/>
      <c r="P440" s="383"/>
      <c r="Q440" s="164"/>
      <c r="R440" s="127"/>
      <c r="S440" s="127"/>
      <c r="T440" s="127"/>
      <c r="U440" s="131"/>
      <c r="V440" s="374"/>
      <c r="W440" s="127"/>
      <c r="X440" s="127"/>
      <c r="Y440" s="127"/>
      <c r="Z440" s="131"/>
      <c r="AA440" s="374"/>
      <c r="AB440" s="127"/>
      <c r="AC440" s="127"/>
      <c r="AD440" s="127"/>
      <c r="AE440" s="131"/>
      <c r="AF440" s="374"/>
      <c r="AG440" s="127"/>
      <c r="AH440" s="127"/>
      <c r="AI440" s="127"/>
      <c r="AJ440" s="131"/>
      <c r="AK440" s="374"/>
      <c r="AL440" s="127"/>
      <c r="AM440" s="127"/>
      <c r="AN440" s="127"/>
      <c r="AO440" s="359"/>
      <c r="AP440" s="359"/>
      <c r="AQ440" s="359"/>
      <c r="AR440" s="359"/>
      <c r="AS440" s="359"/>
    </row>
    <row r="441">
      <c r="A441" s="131"/>
      <c r="B441" s="374"/>
      <c r="C441" s="127"/>
      <c r="D441" s="127"/>
      <c r="E441" s="127"/>
      <c r="F441" s="131"/>
      <c r="G441" s="374"/>
      <c r="H441" s="127"/>
      <c r="I441" s="127"/>
      <c r="J441" s="127"/>
      <c r="K441" s="383"/>
      <c r="L441" s="374"/>
      <c r="M441" s="127"/>
      <c r="N441" s="127"/>
      <c r="O441" s="127"/>
      <c r="P441" s="383"/>
      <c r="Q441" s="164"/>
      <c r="R441" s="127"/>
      <c r="S441" s="127"/>
      <c r="T441" s="127"/>
      <c r="U441" s="131"/>
      <c r="V441" s="374"/>
      <c r="W441" s="127"/>
      <c r="X441" s="127"/>
      <c r="Y441" s="127"/>
      <c r="Z441" s="131"/>
      <c r="AA441" s="374"/>
      <c r="AB441" s="127"/>
      <c r="AC441" s="127"/>
      <c r="AD441" s="127"/>
      <c r="AE441" s="131"/>
      <c r="AF441" s="374"/>
      <c r="AG441" s="127"/>
      <c r="AH441" s="127"/>
      <c r="AI441" s="127"/>
      <c r="AJ441" s="131"/>
      <c r="AK441" s="374"/>
      <c r="AL441" s="127"/>
      <c r="AM441" s="127"/>
      <c r="AN441" s="127"/>
      <c r="AO441" s="359"/>
      <c r="AP441" s="359"/>
      <c r="AQ441" s="359"/>
      <c r="AR441" s="359"/>
      <c r="AS441" s="359"/>
    </row>
    <row r="442">
      <c r="A442" s="131"/>
      <c r="B442" s="374"/>
      <c r="C442" s="127"/>
      <c r="D442" s="127"/>
      <c r="E442" s="127"/>
      <c r="F442" s="131"/>
      <c r="G442" s="374"/>
      <c r="H442" s="127"/>
      <c r="I442" s="127"/>
      <c r="J442" s="127"/>
      <c r="K442" s="383"/>
      <c r="L442" s="374"/>
      <c r="M442" s="127"/>
      <c r="N442" s="127"/>
      <c r="O442" s="127"/>
      <c r="P442" s="383"/>
      <c r="Q442" s="164"/>
      <c r="R442" s="127"/>
      <c r="S442" s="127"/>
      <c r="T442" s="127"/>
      <c r="U442" s="131"/>
      <c r="V442" s="374"/>
      <c r="W442" s="127"/>
      <c r="X442" s="127"/>
      <c r="Y442" s="127"/>
      <c r="Z442" s="131"/>
      <c r="AA442" s="374"/>
      <c r="AB442" s="127"/>
      <c r="AC442" s="127"/>
      <c r="AD442" s="127"/>
      <c r="AE442" s="131"/>
      <c r="AF442" s="374"/>
      <c r="AG442" s="127"/>
      <c r="AH442" s="127"/>
      <c r="AI442" s="127"/>
      <c r="AJ442" s="131"/>
      <c r="AK442" s="374"/>
      <c r="AL442" s="127"/>
      <c r="AM442" s="127"/>
      <c r="AN442" s="127"/>
      <c r="AO442" s="359"/>
      <c r="AP442" s="359"/>
      <c r="AQ442" s="359"/>
      <c r="AR442" s="359"/>
      <c r="AS442" s="359"/>
    </row>
    <row r="443">
      <c r="A443" s="131"/>
      <c r="B443" s="374"/>
      <c r="C443" s="127"/>
      <c r="D443" s="127"/>
      <c r="E443" s="127"/>
      <c r="F443" s="131"/>
      <c r="G443" s="374"/>
      <c r="H443" s="127"/>
      <c r="I443" s="127"/>
      <c r="J443" s="127"/>
      <c r="K443" s="383"/>
      <c r="L443" s="374"/>
      <c r="M443" s="127"/>
      <c r="N443" s="127"/>
      <c r="O443" s="127"/>
      <c r="P443" s="383"/>
      <c r="Q443" s="164"/>
      <c r="R443" s="127"/>
      <c r="S443" s="127"/>
      <c r="T443" s="127"/>
      <c r="U443" s="131"/>
      <c r="V443" s="374"/>
      <c r="W443" s="127"/>
      <c r="X443" s="127"/>
      <c r="Y443" s="127"/>
      <c r="Z443" s="131"/>
      <c r="AA443" s="374"/>
      <c r="AB443" s="127"/>
      <c r="AC443" s="127"/>
      <c r="AD443" s="127"/>
      <c r="AE443" s="131"/>
      <c r="AF443" s="374"/>
      <c r="AG443" s="127"/>
      <c r="AH443" s="127"/>
      <c r="AI443" s="127"/>
      <c r="AJ443" s="131"/>
      <c r="AK443" s="374"/>
      <c r="AL443" s="127"/>
      <c r="AM443" s="127"/>
      <c r="AN443" s="127"/>
      <c r="AO443" s="359"/>
      <c r="AP443" s="359"/>
      <c r="AQ443" s="359"/>
      <c r="AR443" s="359"/>
      <c r="AS443" s="359"/>
    </row>
    <row r="444">
      <c r="A444" s="131"/>
      <c r="B444" s="374"/>
      <c r="C444" s="127"/>
      <c r="D444" s="127"/>
      <c r="E444" s="127"/>
      <c r="F444" s="131"/>
      <c r="G444" s="374"/>
      <c r="H444" s="127"/>
      <c r="I444" s="127"/>
      <c r="J444" s="127"/>
      <c r="K444" s="383"/>
      <c r="L444" s="374"/>
      <c r="M444" s="127"/>
      <c r="N444" s="127"/>
      <c r="O444" s="127"/>
      <c r="P444" s="383"/>
      <c r="Q444" s="164"/>
      <c r="R444" s="127"/>
      <c r="S444" s="127"/>
      <c r="T444" s="127"/>
      <c r="U444" s="131"/>
      <c r="V444" s="374"/>
      <c r="W444" s="127"/>
      <c r="X444" s="127"/>
      <c r="Y444" s="127"/>
      <c r="Z444" s="131"/>
      <c r="AA444" s="374"/>
      <c r="AB444" s="127"/>
      <c r="AC444" s="127"/>
      <c r="AD444" s="127"/>
      <c r="AE444" s="131"/>
      <c r="AF444" s="374"/>
      <c r="AG444" s="127"/>
      <c r="AH444" s="127"/>
      <c r="AI444" s="127"/>
      <c r="AJ444" s="131"/>
      <c r="AK444" s="374"/>
      <c r="AL444" s="127"/>
      <c r="AM444" s="127"/>
      <c r="AN444" s="127"/>
      <c r="AO444" s="359"/>
      <c r="AP444" s="359"/>
      <c r="AQ444" s="359"/>
      <c r="AR444" s="359"/>
      <c r="AS444" s="359"/>
    </row>
    <row r="445">
      <c r="A445" s="131"/>
      <c r="B445" s="374"/>
      <c r="C445" s="127"/>
      <c r="D445" s="127"/>
      <c r="E445" s="127"/>
      <c r="F445" s="131"/>
      <c r="G445" s="374"/>
      <c r="H445" s="127"/>
      <c r="I445" s="127"/>
      <c r="J445" s="127"/>
      <c r="K445" s="383"/>
      <c r="L445" s="374"/>
      <c r="M445" s="127"/>
      <c r="N445" s="127"/>
      <c r="O445" s="127"/>
      <c r="P445" s="383"/>
      <c r="Q445" s="164"/>
      <c r="R445" s="127"/>
      <c r="S445" s="127"/>
      <c r="T445" s="127"/>
      <c r="U445" s="131"/>
      <c r="V445" s="374"/>
      <c r="W445" s="127"/>
      <c r="X445" s="127"/>
      <c r="Y445" s="127"/>
      <c r="Z445" s="131"/>
      <c r="AA445" s="374"/>
      <c r="AB445" s="127"/>
      <c r="AC445" s="127"/>
      <c r="AD445" s="127"/>
      <c r="AE445" s="131"/>
      <c r="AF445" s="374"/>
      <c r="AG445" s="127"/>
      <c r="AH445" s="127"/>
      <c r="AI445" s="127"/>
      <c r="AJ445" s="131"/>
      <c r="AK445" s="374"/>
      <c r="AL445" s="127"/>
      <c r="AM445" s="127"/>
      <c r="AN445" s="127"/>
      <c r="AO445" s="359"/>
      <c r="AP445" s="359"/>
      <c r="AQ445" s="359"/>
      <c r="AR445" s="359"/>
      <c r="AS445" s="359"/>
    </row>
    <row r="446">
      <c r="A446" s="131"/>
      <c r="B446" s="374"/>
      <c r="C446" s="127"/>
      <c r="D446" s="127"/>
      <c r="E446" s="127"/>
      <c r="F446" s="131"/>
      <c r="G446" s="374"/>
      <c r="H446" s="127"/>
      <c r="I446" s="127"/>
      <c r="J446" s="127"/>
      <c r="K446" s="383"/>
      <c r="L446" s="374"/>
      <c r="M446" s="127"/>
      <c r="N446" s="127"/>
      <c r="O446" s="127"/>
      <c r="P446" s="383"/>
      <c r="Q446" s="164"/>
      <c r="R446" s="127"/>
      <c r="S446" s="127"/>
      <c r="T446" s="127"/>
      <c r="U446" s="131"/>
      <c r="V446" s="374"/>
      <c r="W446" s="127"/>
      <c r="X446" s="127"/>
      <c r="Y446" s="127"/>
      <c r="Z446" s="131"/>
      <c r="AA446" s="374"/>
      <c r="AB446" s="127"/>
      <c r="AC446" s="127"/>
      <c r="AD446" s="127"/>
      <c r="AE446" s="131"/>
      <c r="AF446" s="374"/>
      <c r="AG446" s="127"/>
      <c r="AH446" s="127"/>
      <c r="AI446" s="127"/>
      <c r="AJ446" s="131"/>
      <c r="AK446" s="374"/>
      <c r="AL446" s="127"/>
      <c r="AM446" s="127"/>
      <c r="AN446" s="127"/>
      <c r="AO446" s="359"/>
      <c r="AP446" s="359"/>
      <c r="AQ446" s="359"/>
      <c r="AR446" s="359"/>
      <c r="AS446" s="359"/>
    </row>
    <row r="447">
      <c r="A447" s="131"/>
      <c r="B447" s="374"/>
      <c r="C447" s="127"/>
      <c r="D447" s="127"/>
      <c r="E447" s="127"/>
      <c r="F447" s="131"/>
      <c r="G447" s="374"/>
      <c r="H447" s="127"/>
      <c r="I447" s="127"/>
      <c r="J447" s="127"/>
      <c r="K447" s="383"/>
      <c r="L447" s="374"/>
      <c r="M447" s="127"/>
      <c r="N447" s="127"/>
      <c r="O447" s="127"/>
      <c r="P447" s="383"/>
      <c r="Q447" s="164"/>
      <c r="R447" s="127"/>
      <c r="S447" s="127"/>
      <c r="T447" s="127"/>
      <c r="U447" s="131"/>
      <c r="V447" s="374"/>
      <c r="W447" s="127"/>
      <c r="X447" s="127"/>
      <c r="Y447" s="127"/>
      <c r="Z447" s="131"/>
      <c r="AA447" s="374"/>
      <c r="AB447" s="127"/>
      <c r="AC447" s="127"/>
      <c r="AD447" s="127"/>
      <c r="AE447" s="131"/>
      <c r="AF447" s="374"/>
      <c r="AG447" s="127"/>
      <c r="AH447" s="127"/>
      <c r="AI447" s="127"/>
      <c r="AJ447" s="131"/>
      <c r="AK447" s="374"/>
      <c r="AL447" s="127"/>
      <c r="AM447" s="127"/>
      <c r="AN447" s="127"/>
      <c r="AO447" s="359"/>
      <c r="AP447" s="359"/>
      <c r="AQ447" s="359"/>
      <c r="AR447" s="359"/>
      <c r="AS447" s="359"/>
    </row>
    <row r="448">
      <c r="A448" s="131"/>
      <c r="B448" s="374"/>
      <c r="C448" s="127"/>
      <c r="D448" s="127"/>
      <c r="E448" s="127"/>
      <c r="F448" s="131"/>
      <c r="G448" s="374"/>
      <c r="H448" s="127"/>
      <c r="I448" s="127"/>
      <c r="J448" s="127"/>
      <c r="K448" s="383"/>
      <c r="L448" s="374"/>
      <c r="M448" s="127"/>
      <c r="N448" s="127"/>
      <c r="O448" s="127"/>
      <c r="P448" s="383"/>
      <c r="Q448" s="164"/>
      <c r="R448" s="127"/>
      <c r="S448" s="127"/>
      <c r="T448" s="127"/>
      <c r="U448" s="131"/>
      <c r="V448" s="374"/>
      <c r="W448" s="127"/>
      <c r="X448" s="127"/>
      <c r="Y448" s="127"/>
      <c r="Z448" s="131"/>
      <c r="AA448" s="374"/>
      <c r="AB448" s="127"/>
      <c r="AC448" s="127"/>
      <c r="AD448" s="127"/>
      <c r="AE448" s="131"/>
      <c r="AF448" s="374"/>
      <c r="AG448" s="127"/>
      <c r="AH448" s="127"/>
      <c r="AI448" s="127"/>
      <c r="AJ448" s="131"/>
      <c r="AK448" s="374"/>
      <c r="AL448" s="127"/>
      <c r="AM448" s="127"/>
      <c r="AN448" s="127"/>
      <c r="AO448" s="359"/>
      <c r="AP448" s="359"/>
      <c r="AQ448" s="359"/>
      <c r="AR448" s="359"/>
      <c r="AS448" s="359"/>
    </row>
    <row r="449">
      <c r="A449" s="131"/>
      <c r="B449" s="374"/>
      <c r="C449" s="127"/>
      <c r="D449" s="127"/>
      <c r="E449" s="127"/>
      <c r="F449" s="131"/>
      <c r="G449" s="374"/>
      <c r="H449" s="127"/>
      <c r="I449" s="127"/>
      <c r="J449" s="127"/>
      <c r="K449" s="383"/>
      <c r="L449" s="374"/>
      <c r="M449" s="127"/>
      <c r="N449" s="127"/>
      <c r="O449" s="127"/>
      <c r="P449" s="383"/>
      <c r="Q449" s="164"/>
      <c r="R449" s="127"/>
      <c r="S449" s="127"/>
      <c r="T449" s="127"/>
      <c r="U449" s="131"/>
      <c r="V449" s="374"/>
      <c r="W449" s="127"/>
      <c r="X449" s="127"/>
      <c r="Y449" s="127"/>
      <c r="Z449" s="131"/>
      <c r="AA449" s="374"/>
      <c r="AB449" s="127"/>
      <c r="AC449" s="127"/>
      <c r="AD449" s="127"/>
      <c r="AE449" s="131"/>
      <c r="AF449" s="374"/>
      <c r="AG449" s="127"/>
      <c r="AH449" s="127"/>
      <c r="AI449" s="127"/>
      <c r="AJ449" s="131"/>
      <c r="AK449" s="374"/>
      <c r="AL449" s="127"/>
      <c r="AM449" s="127"/>
      <c r="AN449" s="127"/>
      <c r="AO449" s="359"/>
      <c r="AP449" s="359"/>
      <c r="AQ449" s="359"/>
      <c r="AR449" s="359"/>
      <c r="AS449" s="359"/>
    </row>
    <row r="450">
      <c r="A450" s="131"/>
      <c r="B450" s="374"/>
      <c r="C450" s="127"/>
      <c r="D450" s="127"/>
      <c r="E450" s="127"/>
      <c r="F450" s="131"/>
      <c r="G450" s="374"/>
      <c r="H450" s="127"/>
      <c r="I450" s="127"/>
      <c r="J450" s="127"/>
      <c r="K450" s="383"/>
      <c r="L450" s="374"/>
      <c r="M450" s="127"/>
      <c r="N450" s="127"/>
      <c r="O450" s="127"/>
      <c r="P450" s="383"/>
      <c r="Q450" s="164"/>
      <c r="R450" s="127"/>
      <c r="S450" s="127"/>
      <c r="T450" s="127"/>
      <c r="U450" s="131"/>
      <c r="V450" s="374"/>
      <c r="W450" s="127"/>
      <c r="X450" s="127"/>
      <c r="Y450" s="127"/>
      <c r="Z450" s="131"/>
      <c r="AA450" s="374"/>
      <c r="AB450" s="127"/>
      <c r="AC450" s="127"/>
      <c r="AD450" s="127"/>
      <c r="AE450" s="131"/>
      <c r="AF450" s="374"/>
      <c r="AG450" s="127"/>
      <c r="AH450" s="127"/>
      <c r="AI450" s="127"/>
      <c r="AJ450" s="131"/>
      <c r="AK450" s="374"/>
      <c r="AL450" s="127"/>
      <c r="AM450" s="127"/>
      <c r="AN450" s="127"/>
      <c r="AO450" s="359"/>
      <c r="AP450" s="359"/>
      <c r="AQ450" s="359"/>
      <c r="AR450" s="359"/>
      <c r="AS450" s="359"/>
    </row>
    <row r="451">
      <c r="A451" s="131"/>
      <c r="B451" s="374"/>
      <c r="C451" s="127"/>
      <c r="D451" s="127"/>
      <c r="E451" s="127"/>
      <c r="F451" s="131"/>
      <c r="G451" s="374"/>
      <c r="H451" s="127"/>
      <c r="I451" s="127"/>
      <c r="J451" s="127"/>
      <c r="K451" s="383"/>
      <c r="L451" s="374"/>
      <c r="M451" s="127"/>
      <c r="N451" s="127"/>
      <c r="O451" s="127"/>
      <c r="P451" s="383"/>
      <c r="Q451" s="164"/>
      <c r="R451" s="127"/>
      <c r="S451" s="127"/>
      <c r="T451" s="127"/>
      <c r="U451" s="131"/>
      <c r="V451" s="374"/>
      <c r="W451" s="127"/>
      <c r="X451" s="127"/>
      <c r="Y451" s="127"/>
      <c r="Z451" s="131"/>
      <c r="AA451" s="374"/>
      <c r="AB451" s="127"/>
      <c r="AC451" s="127"/>
      <c r="AD451" s="127"/>
      <c r="AE451" s="131"/>
      <c r="AF451" s="374"/>
      <c r="AG451" s="127"/>
      <c r="AH451" s="127"/>
      <c r="AI451" s="127"/>
      <c r="AJ451" s="131"/>
      <c r="AK451" s="374"/>
      <c r="AL451" s="127"/>
      <c r="AM451" s="127"/>
      <c r="AN451" s="127"/>
      <c r="AO451" s="359"/>
      <c r="AP451" s="359"/>
      <c r="AQ451" s="359"/>
      <c r="AR451" s="359"/>
      <c r="AS451" s="359"/>
    </row>
    <row r="452">
      <c r="A452" s="131"/>
      <c r="B452" s="374"/>
      <c r="C452" s="127"/>
      <c r="D452" s="127"/>
      <c r="E452" s="127"/>
      <c r="F452" s="131"/>
      <c r="G452" s="374"/>
      <c r="H452" s="127"/>
      <c r="I452" s="127"/>
      <c r="J452" s="127"/>
      <c r="K452" s="383"/>
      <c r="L452" s="374"/>
      <c r="M452" s="127"/>
      <c r="N452" s="127"/>
      <c r="O452" s="127"/>
      <c r="P452" s="383"/>
      <c r="Q452" s="164"/>
      <c r="R452" s="127"/>
      <c r="S452" s="127"/>
      <c r="T452" s="127"/>
      <c r="U452" s="131"/>
      <c r="V452" s="374"/>
      <c r="W452" s="127"/>
      <c r="X452" s="127"/>
      <c r="Y452" s="127"/>
      <c r="Z452" s="131"/>
      <c r="AA452" s="374"/>
      <c r="AB452" s="127"/>
      <c r="AC452" s="127"/>
      <c r="AD452" s="127"/>
      <c r="AE452" s="131"/>
      <c r="AF452" s="374"/>
      <c r="AG452" s="127"/>
      <c r="AH452" s="127"/>
      <c r="AI452" s="127"/>
      <c r="AJ452" s="131"/>
      <c r="AK452" s="374"/>
      <c r="AL452" s="127"/>
      <c r="AM452" s="127"/>
      <c r="AN452" s="127"/>
      <c r="AO452" s="359"/>
      <c r="AP452" s="359"/>
      <c r="AQ452" s="359"/>
      <c r="AR452" s="359"/>
      <c r="AS452" s="359"/>
    </row>
    <row r="453">
      <c r="A453" s="131"/>
      <c r="B453" s="374"/>
      <c r="C453" s="127"/>
      <c r="D453" s="127"/>
      <c r="E453" s="127"/>
      <c r="F453" s="131"/>
      <c r="G453" s="374"/>
      <c r="H453" s="127"/>
      <c r="I453" s="127"/>
      <c r="J453" s="127"/>
      <c r="K453" s="383"/>
      <c r="L453" s="374"/>
      <c r="M453" s="127"/>
      <c r="N453" s="127"/>
      <c r="O453" s="127"/>
      <c r="P453" s="383"/>
      <c r="Q453" s="164"/>
      <c r="R453" s="127"/>
      <c r="S453" s="127"/>
      <c r="T453" s="127"/>
      <c r="U453" s="131"/>
      <c r="V453" s="374"/>
      <c r="W453" s="127"/>
      <c r="X453" s="127"/>
      <c r="Y453" s="127"/>
      <c r="Z453" s="131"/>
      <c r="AA453" s="374"/>
      <c r="AB453" s="127"/>
      <c r="AC453" s="127"/>
      <c r="AD453" s="127"/>
      <c r="AE453" s="131"/>
      <c r="AF453" s="374"/>
      <c r="AG453" s="127"/>
      <c r="AH453" s="127"/>
      <c r="AI453" s="127"/>
      <c r="AJ453" s="131"/>
      <c r="AK453" s="374"/>
      <c r="AL453" s="127"/>
      <c r="AM453" s="127"/>
      <c r="AN453" s="127"/>
      <c r="AO453" s="359"/>
      <c r="AP453" s="359"/>
      <c r="AQ453" s="359"/>
      <c r="AR453" s="359"/>
      <c r="AS453" s="359"/>
    </row>
    <row r="454">
      <c r="A454" s="131"/>
      <c r="B454" s="374"/>
      <c r="C454" s="127"/>
      <c r="D454" s="127"/>
      <c r="E454" s="127"/>
      <c r="F454" s="131"/>
      <c r="G454" s="374"/>
      <c r="H454" s="127"/>
      <c r="I454" s="127"/>
      <c r="J454" s="127"/>
      <c r="K454" s="383"/>
      <c r="L454" s="374"/>
      <c r="M454" s="127"/>
      <c r="N454" s="127"/>
      <c r="O454" s="127"/>
      <c r="P454" s="383"/>
      <c r="Q454" s="164"/>
      <c r="R454" s="127"/>
      <c r="S454" s="127"/>
      <c r="T454" s="127"/>
      <c r="U454" s="131"/>
      <c r="V454" s="374"/>
      <c r="W454" s="127"/>
      <c r="X454" s="127"/>
      <c r="Y454" s="127"/>
      <c r="Z454" s="131"/>
      <c r="AA454" s="374"/>
      <c r="AB454" s="127"/>
      <c r="AC454" s="127"/>
      <c r="AD454" s="127"/>
      <c r="AE454" s="131"/>
      <c r="AF454" s="374"/>
      <c r="AG454" s="127"/>
      <c r="AH454" s="127"/>
      <c r="AI454" s="127"/>
      <c r="AJ454" s="131"/>
      <c r="AK454" s="374"/>
      <c r="AL454" s="127"/>
      <c r="AM454" s="127"/>
      <c r="AN454" s="127"/>
      <c r="AO454" s="359"/>
      <c r="AP454" s="359"/>
      <c r="AQ454" s="359"/>
      <c r="AR454" s="359"/>
      <c r="AS454" s="359"/>
    </row>
    <row r="455">
      <c r="A455" s="131"/>
      <c r="B455" s="374"/>
      <c r="C455" s="127"/>
      <c r="D455" s="127"/>
      <c r="E455" s="127"/>
      <c r="F455" s="131"/>
      <c r="G455" s="374"/>
      <c r="H455" s="127"/>
      <c r="I455" s="127"/>
      <c r="J455" s="127"/>
      <c r="K455" s="383"/>
      <c r="L455" s="374"/>
      <c r="M455" s="127"/>
      <c r="N455" s="127"/>
      <c r="O455" s="127"/>
      <c r="P455" s="383"/>
      <c r="Q455" s="164"/>
      <c r="R455" s="127"/>
      <c r="S455" s="127"/>
      <c r="T455" s="127"/>
      <c r="U455" s="131"/>
      <c r="V455" s="374"/>
      <c r="W455" s="127"/>
      <c r="X455" s="127"/>
      <c r="Y455" s="127"/>
      <c r="Z455" s="131"/>
      <c r="AA455" s="374"/>
      <c r="AB455" s="127"/>
      <c r="AC455" s="127"/>
      <c r="AD455" s="127"/>
      <c r="AE455" s="131"/>
      <c r="AF455" s="374"/>
      <c r="AG455" s="127"/>
      <c r="AH455" s="127"/>
      <c r="AI455" s="127"/>
      <c r="AJ455" s="131"/>
      <c r="AK455" s="374"/>
      <c r="AL455" s="127"/>
      <c r="AM455" s="127"/>
      <c r="AN455" s="127"/>
      <c r="AO455" s="359"/>
      <c r="AP455" s="359"/>
      <c r="AQ455" s="359"/>
      <c r="AR455" s="359"/>
      <c r="AS455" s="359"/>
    </row>
    <row r="456">
      <c r="A456" s="131"/>
      <c r="B456" s="374"/>
      <c r="C456" s="127"/>
      <c r="D456" s="127"/>
      <c r="E456" s="127"/>
      <c r="F456" s="131"/>
      <c r="G456" s="374"/>
      <c r="H456" s="127"/>
      <c r="I456" s="127"/>
      <c r="J456" s="127"/>
      <c r="K456" s="383"/>
      <c r="L456" s="374"/>
      <c r="M456" s="127"/>
      <c r="N456" s="127"/>
      <c r="O456" s="127"/>
      <c r="P456" s="383"/>
      <c r="Q456" s="164"/>
      <c r="R456" s="127"/>
      <c r="S456" s="127"/>
      <c r="T456" s="127"/>
      <c r="U456" s="131"/>
      <c r="V456" s="374"/>
      <c r="W456" s="127"/>
      <c r="X456" s="127"/>
      <c r="Y456" s="127"/>
      <c r="Z456" s="131"/>
      <c r="AA456" s="374"/>
      <c r="AB456" s="127"/>
      <c r="AC456" s="127"/>
      <c r="AD456" s="127"/>
      <c r="AE456" s="131"/>
      <c r="AF456" s="374"/>
      <c r="AG456" s="127"/>
      <c r="AH456" s="127"/>
      <c r="AI456" s="127"/>
      <c r="AJ456" s="131"/>
      <c r="AK456" s="374"/>
      <c r="AL456" s="127"/>
      <c r="AM456" s="127"/>
      <c r="AN456" s="127"/>
      <c r="AO456" s="359"/>
      <c r="AP456" s="359"/>
      <c r="AQ456" s="359"/>
      <c r="AR456" s="359"/>
      <c r="AS456" s="359"/>
    </row>
    <row r="457">
      <c r="A457" s="131"/>
      <c r="B457" s="374"/>
      <c r="C457" s="127"/>
      <c r="D457" s="127"/>
      <c r="E457" s="127"/>
      <c r="F457" s="131"/>
      <c r="G457" s="374"/>
      <c r="H457" s="127"/>
      <c r="I457" s="127"/>
      <c r="J457" s="127"/>
      <c r="K457" s="383"/>
      <c r="L457" s="374"/>
      <c r="M457" s="127"/>
      <c r="N457" s="127"/>
      <c r="O457" s="127"/>
      <c r="P457" s="383"/>
      <c r="Q457" s="164"/>
      <c r="R457" s="127"/>
      <c r="S457" s="127"/>
      <c r="T457" s="127"/>
      <c r="U457" s="131"/>
      <c r="V457" s="374"/>
      <c r="W457" s="127"/>
      <c r="X457" s="127"/>
      <c r="Y457" s="127"/>
      <c r="Z457" s="131"/>
      <c r="AA457" s="374"/>
      <c r="AB457" s="127"/>
      <c r="AC457" s="127"/>
      <c r="AD457" s="127"/>
      <c r="AE457" s="131"/>
      <c r="AF457" s="374"/>
      <c r="AG457" s="127"/>
      <c r="AH457" s="127"/>
      <c r="AI457" s="127"/>
      <c r="AJ457" s="131"/>
      <c r="AK457" s="374"/>
      <c r="AL457" s="127"/>
      <c r="AM457" s="127"/>
      <c r="AN457" s="127"/>
      <c r="AO457" s="359"/>
      <c r="AP457" s="359"/>
      <c r="AQ457" s="359"/>
      <c r="AR457" s="359"/>
      <c r="AS457" s="359"/>
    </row>
    <row r="458">
      <c r="A458" s="131"/>
      <c r="B458" s="374"/>
      <c r="C458" s="127"/>
      <c r="D458" s="127"/>
      <c r="E458" s="127"/>
      <c r="F458" s="131"/>
      <c r="G458" s="374"/>
      <c r="H458" s="127"/>
      <c r="I458" s="127"/>
      <c r="J458" s="127"/>
      <c r="K458" s="383"/>
      <c r="L458" s="374"/>
      <c r="M458" s="127"/>
      <c r="N458" s="127"/>
      <c r="O458" s="127"/>
      <c r="P458" s="383"/>
      <c r="Q458" s="164"/>
      <c r="R458" s="127"/>
      <c r="S458" s="127"/>
      <c r="T458" s="127"/>
      <c r="U458" s="131"/>
      <c r="V458" s="374"/>
      <c r="W458" s="127"/>
      <c r="X458" s="127"/>
      <c r="Y458" s="127"/>
      <c r="Z458" s="131"/>
      <c r="AA458" s="374"/>
      <c r="AB458" s="127"/>
      <c r="AC458" s="127"/>
      <c r="AD458" s="127"/>
      <c r="AE458" s="131"/>
      <c r="AF458" s="374"/>
      <c r="AG458" s="127"/>
      <c r="AH458" s="127"/>
      <c r="AI458" s="127"/>
      <c r="AJ458" s="131"/>
      <c r="AK458" s="374"/>
      <c r="AL458" s="127"/>
      <c r="AM458" s="127"/>
      <c r="AN458" s="127"/>
      <c r="AO458" s="359"/>
      <c r="AP458" s="359"/>
      <c r="AQ458" s="359"/>
      <c r="AR458" s="359"/>
      <c r="AS458" s="359"/>
    </row>
    <row r="459">
      <c r="A459" s="131"/>
      <c r="B459" s="374"/>
      <c r="C459" s="127"/>
      <c r="D459" s="127"/>
      <c r="E459" s="127"/>
      <c r="F459" s="131"/>
      <c r="G459" s="374"/>
      <c r="H459" s="127"/>
      <c r="I459" s="127"/>
      <c r="J459" s="127"/>
      <c r="K459" s="383"/>
      <c r="L459" s="374"/>
      <c r="M459" s="127"/>
      <c r="N459" s="127"/>
      <c r="O459" s="127"/>
      <c r="P459" s="383"/>
      <c r="Q459" s="164"/>
      <c r="R459" s="127"/>
      <c r="S459" s="127"/>
      <c r="T459" s="127"/>
      <c r="U459" s="131"/>
      <c r="V459" s="374"/>
      <c r="W459" s="127"/>
      <c r="X459" s="127"/>
      <c r="Y459" s="127"/>
      <c r="Z459" s="131"/>
      <c r="AA459" s="374"/>
      <c r="AB459" s="127"/>
      <c r="AC459" s="127"/>
      <c r="AD459" s="127"/>
      <c r="AE459" s="131"/>
      <c r="AF459" s="374"/>
      <c r="AG459" s="127"/>
      <c r="AH459" s="127"/>
      <c r="AI459" s="127"/>
      <c r="AJ459" s="131"/>
      <c r="AK459" s="374"/>
      <c r="AL459" s="127"/>
      <c r="AM459" s="127"/>
      <c r="AN459" s="127"/>
      <c r="AO459" s="359"/>
      <c r="AP459" s="359"/>
      <c r="AQ459" s="359"/>
      <c r="AR459" s="359"/>
      <c r="AS459" s="359"/>
    </row>
    <row r="460">
      <c r="A460" s="131"/>
      <c r="B460" s="374"/>
      <c r="C460" s="127"/>
      <c r="D460" s="127"/>
      <c r="E460" s="127"/>
      <c r="F460" s="131"/>
      <c r="G460" s="374"/>
      <c r="H460" s="127"/>
      <c r="I460" s="127"/>
      <c r="J460" s="127"/>
      <c r="K460" s="383"/>
      <c r="L460" s="374"/>
      <c r="M460" s="127"/>
      <c r="N460" s="127"/>
      <c r="O460" s="127"/>
      <c r="P460" s="383"/>
      <c r="Q460" s="164"/>
      <c r="R460" s="127"/>
      <c r="S460" s="127"/>
      <c r="T460" s="127"/>
      <c r="U460" s="131"/>
      <c r="V460" s="374"/>
      <c r="W460" s="127"/>
      <c r="X460" s="127"/>
      <c r="Y460" s="127"/>
      <c r="Z460" s="131"/>
      <c r="AA460" s="374"/>
      <c r="AB460" s="127"/>
      <c r="AC460" s="127"/>
      <c r="AD460" s="127"/>
      <c r="AE460" s="131"/>
      <c r="AF460" s="374"/>
      <c r="AG460" s="127"/>
      <c r="AH460" s="127"/>
      <c r="AI460" s="127"/>
      <c r="AJ460" s="131"/>
      <c r="AK460" s="374"/>
      <c r="AL460" s="127"/>
      <c r="AM460" s="127"/>
      <c r="AN460" s="127"/>
      <c r="AO460" s="359"/>
      <c r="AP460" s="359"/>
      <c r="AQ460" s="359"/>
      <c r="AR460" s="359"/>
      <c r="AS460" s="359"/>
    </row>
    <row r="461">
      <c r="A461" s="131"/>
      <c r="B461" s="374"/>
      <c r="C461" s="127"/>
      <c r="D461" s="127"/>
      <c r="E461" s="127"/>
      <c r="F461" s="131"/>
      <c r="G461" s="374"/>
      <c r="H461" s="127"/>
      <c r="I461" s="127"/>
      <c r="J461" s="127"/>
      <c r="K461" s="383"/>
      <c r="L461" s="374"/>
      <c r="M461" s="127"/>
      <c r="N461" s="127"/>
      <c r="O461" s="127"/>
      <c r="P461" s="383"/>
      <c r="Q461" s="164"/>
      <c r="R461" s="127"/>
      <c r="S461" s="127"/>
      <c r="T461" s="127"/>
      <c r="U461" s="131"/>
      <c r="V461" s="374"/>
      <c r="W461" s="127"/>
      <c r="X461" s="127"/>
      <c r="Y461" s="127"/>
      <c r="Z461" s="131"/>
      <c r="AA461" s="374"/>
      <c r="AB461" s="127"/>
      <c r="AC461" s="127"/>
      <c r="AD461" s="127"/>
      <c r="AE461" s="131"/>
      <c r="AF461" s="374"/>
      <c r="AG461" s="127"/>
      <c r="AH461" s="127"/>
      <c r="AI461" s="127"/>
      <c r="AJ461" s="131"/>
      <c r="AK461" s="374"/>
      <c r="AL461" s="127"/>
      <c r="AM461" s="127"/>
      <c r="AN461" s="127"/>
      <c r="AO461" s="359"/>
      <c r="AP461" s="359"/>
      <c r="AQ461" s="359"/>
      <c r="AR461" s="359"/>
      <c r="AS461" s="359"/>
    </row>
    <row r="462">
      <c r="A462" s="131"/>
      <c r="B462" s="374"/>
      <c r="C462" s="127"/>
      <c r="D462" s="127"/>
      <c r="E462" s="127"/>
      <c r="F462" s="131"/>
      <c r="G462" s="374"/>
      <c r="H462" s="127"/>
      <c r="I462" s="127"/>
      <c r="J462" s="127"/>
      <c r="K462" s="383"/>
      <c r="L462" s="374"/>
      <c r="M462" s="127"/>
      <c r="N462" s="127"/>
      <c r="O462" s="127"/>
      <c r="P462" s="383"/>
      <c r="Q462" s="164"/>
      <c r="R462" s="127"/>
      <c r="S462" s="127"/>
      <c r="T462" s="127"/>
      <c r="U462" s="131"/>
      <c r="V462" s="374"/>
      <c r="W462" s="127"/>
      <c r="X462" s="127"/>
      <c r="Y462" s="127"/>
      <c r="Z462" s="131"/>
      <c r="AA462" s="374"/>
      <c r="AB462" s="127"/>
      <c r="AC462" s="127"/>
      <c r="AD462" s="127"/>
      <c r="AE462" s="131"/>
      <c r="AF462" s="374"/>
      <c r="AG462" s="127"/>
      <c r="AH462" s="127"/>
      <c r="AI462" s="127"/>
      <c r="AJ462" s="131"/>
      <c r="AK462" s="374"/>
      <c r="AL462" s="127"/>
      <c r="AM462" s="127"/>
      <c r="AN462" s="127"/>
      <c r="AO462" s="359"/>
      <c r="AP462" s="359"/>
      <c r="AQ462" s="359"/>
      <c r="AR462" s="359"/>
      <c r="AS462" s="359"/>
    </row>
    <row r="463">
      <c r="A463" s="131"/>
      <c r="B463" s="374"/>
      <c r="C463" s="127"/>
      <c r="D463" s="127"/>
      <c r="E463" s="127"/>
      <c r="F463" s="131"/>
      <c r="G463" s="374"/>
      <c r="H463" s="127"/>
      <c r="I463" s="127"/>
      <c r="J463" s="127"/>
      <c r="K463" s="383"/>
      <c r="L463" s="374"/>
      <c r="M463" s="127"/>
      <c r="N463" s="127"/>
      <c r="O463" s="127"/>
      <c r="P463" s="383"/>
      <c r="Q463" s="164"/>
      <c r="R463" s="127"/>
      <c r="S463" s="127"/>
      <c r="T463" s="127"/>
      <c r="U463" s="131"/>
      <c r="V463" s="374"/>
      <c r="W463" s="127"/>
      <c r="X463" s="127"/>
      <c r="Y463" s="127"/>
      <c r="Z463" s="131"/>
      <c r="AA463" s="374"/>
      <c r="AB463" s="127"/>
      <c r="AC463" s="127"/>
      <c r="AD463" s="127"/>
      <c r="AE463" s="131"/>
      <c r="AF463" s="374"/>
      <c r="AG463" s="127"/>
      <c r="AH463" s="127"/>
      <c r="AI463" s="127"/>
      <c r="AJ463" s="131"/>
      <c r="AK463" s="374"/>
      <c r="AL463" s="127"/>
      <c r="AM463" s="127"/>
      <c r="AN463" s="127"/>
      <c r="AO463" s="359"/>
      <c r="AP463" s="359"/>
      <c r="AQ463" s="359"/>
      <c r="AR463" s="359"/>
      <c r="AS463" s="359"/>
    </row>
    <row r="464">
      <c r="A464" s="131"/>
      <c r="B464" s="374"/>
      <c r="C464" s="127"/>
      <c r="D464" s="127"/>
      <c r="E464" s="127"/>
      <c r="F464" s="131"/>
      <c r="G464" s="374"/>
      <c r="H464" s="127"/>
      <c r="I464" s="127"/>
      <c r="J464" s="127"/>
      <c r="K464" s="383"/>
      <c r="L464" s="374"/>
      <c r="M464" s="127"/>
      <c r="N464" s="127"/>
      <c r="O464" s="127"/>
      <c r="P464" s="383"/>
      <c r="Q464" s="164"/>
      <c r="R464" s="127"/>
      <c r="S464" s="127"/>
      <c r="T464" s="127"/>
      <c r="U464" s="131"/>
      <c r="V464" s="374"/>
      <c r="W464" s="127"/>
      <c r="X464" s="127"/>
      <c r="Y464" s="127"/>
      <c r="Z464" s="131"/>
      <c r="AA464" s="374"/>
      <c r="AB464" s="127"/>
      <c r="AC464" s="127"/>
      <c r="AD464" s="127"/>
      <c r="AE464" s="131"/>
      <c r="AF464" s="374"/>
      <c r="AG464" s="127"/>
      <c r="AH464" s="127"/>
      <c r="AI464" s="127"/>
      <c r="AJ464" s="131"/>
      <c r="AK464" s="374"/>
      <c r="AL464" s="127"/>
      <c r="AM464" s="127"/>
      <c r="AN464" s="127"/>
      <c r="AO464" s="359"/>
      <c r="AP464" s="359"/>
      <c r="AQ464" s="359"/>
      <c r="AR464" s="359"/>
      <c r="AS464" s="359"/>
    </row>
    <row r="465">
      <c r="A465" s="131"/>
      <c r="B465" s="374"/>
      <c r="C465" s="127"/>
      <c r="D465" s="127"/>
      <c r="E465" s="127"/>
      <c r="F465" s="131"/>
      <c r="G465" s="374"/>
      <c r="H465" s="127"/>
      <c r="I465" s="127"/>
      <c r="J465" s="127"/>
      <c r="K465" s="383"/>
      <c r="L465" s="374"/>
      <c r="M465" s="127"/>
      <c r="N465" s="127"/>
      <c r="O465" s="127"/>
      <c r="P465" s="383"/>
      <c r="Q465" s="164"/>
      <c r="R465" s="127"/>
      <c r="S465" s="127"/>
      <c r="T465" s="127"/>
      <c r="U465" s="131"/>
      <c r="V465" s="374"/>
      <c r="W465" s="127"/>
      <c r="X465" s="127"/>
      <c r="Y465" s="127"/>
      <c r="Z465" s="131"/>
      <c r="AA465" s="374"/>
      <c r="AB465" s="127"/>
      <c r="AC465" s="127"/>
      <c r="AD465" s="127"/>
      <c r="AE465" s="131"/>
      <c r="AF465" s="374"/>
      <c r="AG465" s="127"/>
      <c r="AH465" s="127"/>
      <c r="AI465" s="127"/>
      <c r="AJ465" s="131"/>
      <c r="AK465" s="374"/>
      <c r="AL465" s="127"/>
      <c r="AM465" s="127"/>
      <c r="AN465" s="127"/>
      <c r="AO465" s="359"/>
      <c r="AP465" s="359"/>
      <c r="AQ465" s="359"/>
      <c r="AR465" s="359"/>
      <c r="AS465" s="359"/>
    </row>
    <row r="466">
      <c r="A466" s="131"/>
      <c r="B466" s="374"/>
      <c r="C466" s="127"/>
      <c r="D466" s="127"/>
      <c r="E466" s="127"/>
      <c r="F466" s="131"/>
      <c r="G466" s="374"/>
      <c r="H466" s="127"/>
      <c r="I466" s="127"/>
      <c r="J466" s="127"/>
      <c r="K466" s="383"/>
      <c r="L466" s="374"/>
      <c r="M466" s="127"/>
      <c r="N466" s="127"/>
      <c r="O466" s="127"/>
      <c r="P466" s="383"/>
      <c r="Q466" s="164"/>
      <c r="R466" s="127"/>
      <c r="S466" s="127"/>
      <c r="T466" s="127"/>
      <c r="U466" s="131"/>
      <c r="V466" s="374"/>
      <c r="W466" s="127"/>
      <c r="X466" s="127"/>
      <c r="Y466" s="127"/>
      <c r="Z466" s="131"/>
      <c r="AA466" s="374"/>
      <c r="AB466" s="127"/>
      <c r="AC466" s="127"/>
      <c r="AD466" s="127"/>
      <c r="AE466" s="131"/>
      <c r="AF466" s="374"/>
      <c r="AG466" s="127"/>
      <c r="AH466" s="127"/>
      <c r="AI466" s="127"/>
      <c r="AJ466" s="131"/>
      <c r="AK466" s="374"/>
      <c r="AL466" s="127"/>
      <c r="AM466" s="127"/>
      <c r="AN466" s="127"/>
      <c r="AO466" s="359"/>
      <c r="AP466" s="359"/>
      <c r="AQ466" s="359"/>
      <c r="AR466" s="359"/>
      <c r="AS466" s="359"/>
    </row>
    <row r="467">
      <c r="A467" s="131"/>
      <c r="B467" s="374"/>
      <c r="C467" s="127"/>
      <c r="D467" s="127"/>
      <c r="E467" s="127"/>
      <c r="F467" s="131"/>
      <c r="G467" s="374"/>
      <c r="H467" s="127"/>
      <c r="I467" s="127"/>
      <c r="J467" s="127"/>
      <c r="K467" s="383"/>
      <c r="L467" s="374"/>
      <c r="M467" s="127"/>
      <c r="N467" s="127"/>
      <c r="O467" s="127"/>
      <c r="P467" s="383"/>
      <c r="Q467" s="164"/>
      <c r="R467" s="127"/>
      <c r="S467" s="127"/>
      <c r="T467" s="127"/>
      <c r="U467" s="131"/>
      <c r="V467" s="374"/>
      <c r="W467" s="127"/>
      <c r="X467" s="127"/>
      <c r="Y467" s="127"/>
      <c r="Z467" s="131"/>
      <c r="AA467" s="374"/>
      <c r="AB467" s="127"/>
      <c r="AC467" s="127"/>
      <c r="AD467" s="127"/>
      <c r="AE467" s="131"/>
      <c r="AF467" s="374"/>
      <c r="AG467" s="127"/>
      <c r="AH467" s="127"/>
      <c r="AI467" s="127"/>
      <c r="AJ467" s="131"/>
      <c r="AK467" s="374"/>
      <c r="AL467" s="127"/>
      <c r="AM467" s="127"/>
      <c r="AN467" s="127"/>
      <c r="AO467" s="359"/>
      <c r="AP467" s="359"/>
      <c r="AQ467" s="359"/>
      <c r="AR467" s="359"/>
      <c r="AS467" s="359"/>
    </row>
    <row r="468">
      <c r="A468" s="131"/>
      <c r="B468" s="374"/>
      <c r="C468" s="127"/>
      <c r="D468" s="127"/>
      <c r="E468" s="127"/>
      <c r="F468" s="131"/>
      <c r="G468" s="374"/>
      <c r="H468" s="127"/>
      <c r="I468" s="127"/>
      <c r="J468" s="127"/>
      <c r="K468" s="383"/>
      <c r="L468" s="374"/>
      <c r="M468" s="127"/>
      <c r="N468" s="127"/>
      <c r="O468" s="127"/>
      <c r="P468" s="383"/>
      <c r="Q468" s="164"/>
      <c r="R468" s="127"/>
      <c r="S468" s="127"/>
      <c r="T468" s="127"/>
      <c r="U468" s="131"/>
      <c r="V468" s="374"/>
      <c r="W468" s="127"/>
      <c r="X468" s="127"/>
      <c r="Y468" s="127"/>
      <c r="Z468" s="131"/>
      <c r="AA468" s="374"/>
      <c r="AB468" s="127"/>
      <c r="AC468" s="127"/>
      <c r="AD468" s="127"/>
      <c r="AE468" s="131"/>
      <c r="AF468" s="374"/>
      <c r="AG468" s="127"/>
      <c r="AH468" s="127"/>
      <c r="AI468" s="127"/>
      <c r="AJ468" s="131"/>
      <c r="AK468" s="374"/>
      <c r="AL468" s="127"/>
      <c r="AM468" s="127"/>
      <c r="AN468" s="127"/>
      <c r="AO468" s="359"/>
      <c r="AP468" s="359"/>
      <c r="AQ468" s="359"/>
      <c r="AR468" s="359"/>
      <c r="AS468" s="359"/>
    </row>
    <row r="469">
      <c r="A469" s="131"/>
      <c r="B469" s="374"/>
      <c r="C469" s="127"/>
      <c r="D469" s="127"/>
      <c r="E469" s="127"/>
      <c r="F469" s="131"/>
      <c r="G469" s="374"/>
      <c r="H469" s="127"/>
      <c r="I469" s="127"/>
      <c r="J469" s="127"/>
      <c r="K469" s="383"/>
      <c r="L469" s="374"/>
      <c r="M469" s="127"/>
      <c r="N469" s="127"/>
      <c r="O469" s="127"/>
      <c r="P469" s="383"/>
      <c r="Q469" s="164"/>
      <c r="R469" s="127"/>
      <c r="S469" s="127"/>
      <c r="T469" s="127"/>
      <c r="U469" s="131"/>
      <c r="V469" s="374"/>
      <c r="W469" s="127"/>
      <c r="X469" s="127"/>
      <c r="Y469" s="127"/>
      <c r="Z469" s="131"/>
      <c r="AA469" s="374"/>
      <c r="AB469" s="127"/>
      <c r="AC469" s="127"/>
      <c r="AD469" s="127"/>
      <c r="AE469" s="131"/>
      <c r="AF469" s="374"/>
      <c r="AG469" s="127"/>
      <c r="AH469" s="127"/>
      <c r="AI469" s="127"/>
      <c r="AJ469" s="131"/>
      <c r="AK469" s="374"/>
      <c r="AL469" s="127"/>
      <c r="AM469" s="127"/>
      <c r="AN469" s="127"/>
      <c r="AO469" s="359"/>
      <c r="AP469" s="359"/>
      <c r="AQ469" s="359"/>
      <c r="AR469" s="359"/>
      <c r="AS469" s="359"/>
    </row>
    <row r="470">
      <c r="A470" s="131"/>
      <c r="B470" s="374"/>
      <c r="C470" s="127"/>
      <c r="D470" s="127"/>
      <c r="E470" s="127"/>
      <c r="F470" s="131"/>
      <c r="G470" s="374"/>
      <c r="H470" s="127"/>
      <c r="I470" s="127"/>
      <c r="J470" s="127"/>
      <c r="K470" s="383"/>
      <c r="L470" s="374"/>
      <c r="M470" s="127"/>
      <c r="N470" s="127"/>
      <c r="O470" s="127"/>
      <c r="P470" s="383"/>
      <c r="Q470" s="164"/>
      <c r="R470" s="127"/>
      <c r="S470" s="127"/>
      <c r="T470" s="127"/>
      <c r="U470" s="131"/>
      <c r="V470" s="374"/>
      <c r="W470" s="127"/>
      <c r="X470" s="127"/>
      <c r="Y470" s="127"/>
      <c r="Z470" s="131"/>
      <c r="AA470" s="374"/>
      <c r="AB470" s="127"/>
      <c r="AC470" s="127"/>
      <c r="AD470" s="127"/>
      <c r="AE470" s="131"/>
      <c r="AF470" s="374"/>
      <c r="AG470" s="127"/>
      <c r="AH470" s="127"/>
      <c r="AI470" s="127"/>
      <c r="AJ470" s="131"/>
      <c r="AK470" s="374"/>
      <c r="AL470" s="127"/>
      <c r="AM470" s="127"/>
      <c r="AN470" s="127"/>
      <c r="AO470" s="359"/>
      <c r="AP470" s="359"/>
      <c r="AQ470" s="359"/>
      <c r="AR470" s="359"/>
      <c r="AS470" s="359"/>
    </row>
    <row r="471">
      <c r="A471" s="131"/>
      <c r="B471" s="374"/>
      <c r="C471" s="127"/>
      <c r="D471" s="127"/>
      <c r="E471" s="127"/>
      <c r="F471" s="131"/>
      <c r="G471" s="374"/>
      <c r="H471" s="127"/>
      <c r="I471" s="127"/>
      <c r="J471" s="127"/>
      <c r="K471" s="383"/>
      <c r="L471" s="374"/>
      <c r="M471" s="127"/>
      <c r="N471" s="127"/>
      <c r="O471" s="127"/>
      <c r="P471" s="383"/>
      <c r="Q471" s="164"/>
      <c r="R471" s="127"/>
      <c r="S471" s="127"/>
      <c r="T471" s="127"/>
      <c r="U471" s="131"/>
      <c r="V471" s="374"/>
      <c r="W471" s="127"/>
      <c r="X471" s="127"/>
      <c r="Y471" s="127"/>
      <c r="Z471" s="131"/>
      <c r="AA471" s="374"/>
      <c r="AB471" s="127"/>
      <c r="AC471" s="127"/>
      <c r="AD471" s="127"/>
      <c r="AE471" s="131"/>
      <c r="AF471" s="374"/>
      <c r="AG471" s="127"/>
      <c r="AH471" s="127"/>
      <c r="AI471" s="127"/>
      <c r="AJ471" s="131"/>
      <c r="AK471" s="374"/>
      <c r="AL471" s="127"/>
      <c r="AM471" s="127"/>
      <c r="AN471" s="127"/>
      <c r="AO471" s="359"/>
      <c r="AP471" s="359"/>
      <c r="AQ471" s="359"/>
      <c r="AR471" s="359"/>
      <c r="AS471" s="359"/>
    </row>
    <row r="472">
      <c r="A472" s="131"/>
      <c r="B472" s="374"/>
      <c r="C472" s="127"/>
      <c r="D472" s="127"/>
      <c r="E472" s="127"/>
      <c r="F472" s="131"/>
      <c r="G472" s="374"/>
      <c r="H472" s="127"/>
      <c r="I472" s="127"/>
      <c r="J472" s="127"/>
      <c r="K472" s="383"/>
      <c r="L472" s="374"/>
      <c r="M472" s="127"/>
      <c r="N472" s="127"/>
      <c r="O472" s="127"/>
      <c r="P472" s="383"/>
      <c r="Q472" s="164"/>
      <c r="R472" s="127"/>
      <c r="S472" s="127"/>
      <c r="T472" s="127"/>
      <c r="U472" s="131"/>
      <c r="V472" s="374"/>
      <c r="W472" s="127"/>
      <c r="X472" s="127"/>
      <c r="Y472" s="127"/>
      <c r="Z472" s="131"/>
      <c r="AA472" s="374"/>
      <c r="AB472" s="127"/>
      <c r="AC472" s="127"/>
      <c r="AD472" s="127"/>
      <c r="AE472" s="131"/>
      <c r="AF472" s="374"/>
      <c r="AG472" s="127"/>
      <c r="AH472" s="127"/>
      <c r="AI472" s="127"/>
      <c r="AJ472" s="131"/>
      <c r="AK472" s="374"/>
      <c r="AL472" s="127"/>
      <c r="AM472" s="127"/>
      <c r="AN472" s="127"/>
      <c r="AO472" s="359"/>
      <c r="AP472" s="359"/>
      <c r="AQ472" s="359"/>
      <c r="AR472" s="359"/>
      <c r="AS472" s="359"/>
    </row>
    <row r="473">
      <c r="A473" s="131"/>
      <c r="B473" s="374"/>
      <c r="C473" s="127"/>
      <c r="D473" s="127"/>
      <c r="E473" s="127"/>
      <c r="F473" s="131"/>
      <c r="G473" s="374"/>
      <c r="H473" s="127"/>
      <c r="I473" s="127"/>
      <c r="J473" s="127"/>
      <c r="K473" s="383"/>
      <c r="L473" s="374"/>
      <c r="M473" s="127"/>
      <c r="N473" s="127"/>
      <c r="O473" s="127"/>
      <c r="P473" s="383"/>
      <c r="Q473" s="164"/>
      <c r="R473" s="127"/>
      <c r="S473" s="127"/>
      <c r="T473" s="127"/>
      <c r="U473" s="131"/>
      <c r="V473" s="374"/>
      <c r="W473" s="127"/>
      <c r="X473" s="127"/>
      <c r="Y473" s="127"/>
      <c r="Z473" s="131"/>
      <c r="AA473" s="374"/>
      <c r="AB473" s="127"/>
      <c r="AC473" s="127"/>
      <c r="AD473" s="127"/>
      <c r="AE473" s="131"/>
      <c r="AF473" s="374"/>
      <c r="AG473" s="127"/>
      <c r="AH473" s="127"/>
      <c r="AI473" s="127"/>
      <c r="AJ473" s="131"/>
      <c r="AK473" s="374"/>
      <c r="AL473" s="127"/>
      <c r="AM473" s="127"/>
      <c r="AN473" s="127"/>
      <c r="AO473" s="359"/>
      <c r="AP473" s="359"/>
      <c r="AQ473" s="359"/>
      <c r="AR473" s="359"/>
      <c r="AS473" s="359"/>
    </row>
    <row r="474">
      <c r="A474" s="131"/>
      <c r="B474" s="374"/>
      <c r="C474" s="127"/>
      <c r="D474" s="127"/>
      <c r="E474" s="127"/>
      <c r="F474" s="131"/>
      <c r="G474" s="374"/>
      <c r="H474" s="127"/>
      <c r="I474" s="127"/>
      <c r="J474" s="127"/>
      <c r="K474" s="383"/>
      <c r="L474" s="374"/>
      <c r="M474" s="127"/>
      <c r="N474" s="127"/>
      <c r="O474" s="127"/>
      <c r="P474" s="383"/>
      <c r="Q474" s="164"/>
      <c r="R474" s="127"/>
      <c r="S474" s="127"/>
      <c r="T474" s="127"/>
      <c r="U474" s="131"/>
      <c r="V474" s="374"/>
      <c r="W474" s="127"/>
      <c r="X474" s="127"/>
      <c r="Y474" s="127"/>
      <c r="Z474" s="131"/>
      <c r="AA474" s="374"/>
      <c r="AB474" s="127"/>
      <c r="AC474" s="127"/>
      <c r="AD474" s="127"/>
      <c r="AE474" s="131"/>
      <c r="AF474" s="374"/>
      <c r="AG474" s="127"/>
      <c r="AH474" s="127"/>
      <c r="AI474" s="127"/>
      <c r="AJ474" s="131"/>
      <c r="AK474" s="374"/>
      <c r="AL474" s="127"/>
      <c r="AM474" s="127"/>
      <c r="AN474" s="127"/>
      <c r="AO474" s="359"/>
      <c r="AP474" s="359"/>
      <c r="AQ474" s="359"/>
      <c r="AR474" s="359"/>
      <c r="AS474" s="359"/>
    </row>
    <row r="475">
      <c r="A475" s="131"/>
      <c r="B475" s="374"/>
      <c r="C475" s="127"/>
      <c r="D475" s="127"/>
      <c r="E475" s="127"/>
      <c r="F475" s="131"/>
      <c r="G475" s="374"/>
      <c r="H475" s="127"/>
      <c r="I475" s="127"/>
      <c r="J475" s="127"/>
      <c r="K475" s="383"/>
      <c r="L475" s="374"/>
      <c r="M475" s="127"/>
      <c r="N475" s="127"/>
      <c r="O475" s="127"/>
      <c r="P475" s="383"/>
      <c r="Q475" s="164"/>
      <c r="R475" s="127"/>
      <c r="S475" s="127"/>
      <c r="T475" s="127"/>
      <c r="U475" s="131"/>
      <c r="V475" s="374"/>
      <c r="W475" s="127"/>
      <c r="X475" s="127"/>
      <c r="Y475" s="127"/>
      <c r="Z475" s="131"/>
      <c r="AA475" s="374"/>
      <c r="AB475" s="127"/>
      <c r="AC475" s="127"/>
      <c r="AD475" s="127"/>
      <c r="AE475" s="131"/>
      <c r="AF475" s="374"/>
      <c r="AG475" s="127"/>
      <c r="AH475" s="127"/>
      <c r="AI475" s="127"/>
      <c r="AJ475" s="131"/>
      <c r="AK475" s="374"/>
      <c r="AL475" s="127"/>
      <c r="AM475" s="127"/>
      <c r="AN475" s="127"/>
      <c r="AO475" s="359"/>
      <c r="AP475" s="359"/>
      <c r="AQ475" s="359"/>
      <c r="AR475" s="359"/>
      <c r="AS475" s="359"/>
    </row>
    <row r="476">
      <c r="A476" s="131"/>
      <c r="B476" s="374"/>
      <c r="C476" s="127"/>
      <c r="D476" s="127"/>
      <c r="E476" s="127"/>
      <c r="F476" s="131"/>
      <c r="G476" s="374"/>
      <c r="H476" s="127"/>
      <c r="I476" s="127"/>
      <c r="J476" s="127"/>
      <c r="K476" s="383"/>
      <c r="L476" s="374"/>
      <c r="M476" s="127"/>
      <c r="N476" s="127"/>
      <c r="O476" s="127"/>
      <c r="P476" s="383"/>
      <c r="Q476" s="164"/>
      <c r="R476" s="127"/>
      <c r="S476" s="127"/>
      <c r="T476" s="127"/>
      <c r="U476" s="131"/>
      <c r="V476" s="374"/>
      <c r="W476" s="127"/>
      <c r="X476" s="127"/>
      <c r="Y476" s="127"/>
      <c r="Z476" s="131"/>
      <c r="AA476" s="374"/>
      <c r="AB476" s="127"/>
      <c r="AC476" s="127"/>
      <c r="AD476" s="127"/>
      <c r="AE476" s="131"/>
      <c r="AF476" s="374"/>
      <c r="AG476" s="127"/>
      <c r="AH476" s="127"/>
      <c r="AI476" s="127"/>
      <c r="AJ476" s="131"/>
      <c r="AK476" s="374"/>
      <c r="AL476" s="127"/>
      <c r="AM476" s="127"/>
      <c r="AN476" s="127"/>
      <c r="AO476" s="359"/>
      <c r="AP476" s="359"/>
      <c r="AQ476" s="359"/>
      <c r="AR476" s="359"/>
      <c r="AS476" s="359"/>
    </row>
    <row r="477">
      <c r="A477" s="131"/>
      <c r="B477" s="374"/>
      <c r="C477" s="127"/>
      <c r="D477" s="127"/>
      <c r="E477" s="127"/>
      <c r="F477" s="131"/>
      <c r="G477" s="374"/>
      <c r="H477" s="127"/>
      <c r="I477" s="127"/>
      <c r="J477" s="127"/>
      <c r="K477" s="383"/>
      <c r="L477" s="374"/>
      <c r="M477" s="127"/>
      <c r="N477" s="127"/>
      <c r="O477" s="127"/>
      <c r="P477" s="383"/>
      <c r="Q477" s="164"/>
      <c r="R477" s="127"/>
      <c r="S477" s="127"/>
      <c r="T477" s="127"/>
      <c r="U477" s="131"/>
      <c r="V477" s="374"/>
      <c r="W477" s="127"/>
      <c r="X477" s="127"/>
      <c r="Y477" s="127"/>
      <c r="Z477" s="131"/>
      <c r="AA477" s="374"/>
      <c r="AB477" s="127"/>
      <c r="AC477" s="127"/>
      <c r="AD477" s="127"/>
      <c r="AE477" s="131"/>
      <c r="AF477" s="374"/>
      <c r="AG477" s="127"/>
      <c r="AH477" s="127"/>
      <c r="AI477" s="127"/>
      <c r="AJ477" s="131"/>
      <c r="AK477" s="374"/>
      <c r="AL477" s="127"/>
      <c r="AM477" s="127"/>
      <c r="AN477" s="127"/>
      <c r="AO477" s="359"/>
      <c r="AP477" s="359"/>
      <c r="AQ477" s="359"/>
      <c r="AR477" s="359"/>
      <c r="AS477" s="359"/>
    </row>
    <row r="478">
      <c r="A478" s="131"/>
      <c r="B478" s="374"/>
      <c r="C478" s="127"/>
      <c r="D478" s="127"/>
      <c r="E478" s="127"/>
      <c r="F478" s="131"/>
      <c r="G478" s="374"/>
      <c r="H478" s="127"/>
      <c r="I478" s="127"/>
      <c r="J478" s="127"/>
      <c r="K478" s="383"/>
      <c r="L478" s="374"/>
      <c r="M478" s="127"/>
      <c r="N478" s="127"/>
      <c r="O478" s="127"/>
      <c r="P478" s="383"/>
      <c r="Q478" s="164"/>
      <c r="R478" s="127"/>
      <c r="S478" s="127"/>
      <c r="T478" s="127"/>
      <c r="U478" s="131"/>
      <c r="V478" s="374"/>
      <c r="W478" s="127"/>
      <c r="X478" s="127"/>
      <c r="Y478" s="127"/>
      <c r="Z478" s="131"/>
      <c r="AA478" s="374"/>
      <c r="AB478" s="127"/>
      <c r="AC478" s="127"/>
      <c r="AD478" s="127"/>
      <c r="AE478" s="131"/>
      <c r="AF478" s="374"/>
      <c r="AG478" s="127"/>
      <c r="AH478" s="127"/>
      <c r="AI478" s="127"/>
      <c r="AJ478" s="131"/>
      <c r="AK478" s="374"/>
      <c r="AL478" s="127"/>
      <c r="AM478" s="127"/>
      <c r="AN478" s="127"/>
      <c r="AO478" s="359"/>
      <c r="AP478" s="359"/>
      <c r="AQ478" s="359"/>
      <c r="AR478" s="359"/>
      <c r="AS478" s="359"/>
    </row>
    <row r="479">
      <c r="A479" s="131"/>
      <c r="B479" s="374"/>
      <c r="C479" s="127"/>
      <c r="D479" s="127"/>
      <c r="E479" s="127"/>
      <c r="F479" s="131"/>
      <c r="G479" s="374"/>
      <c r="H479" s="127"/>
      <c r="I479" s="127"/>
      <c r="J479" s="127"/>
      <c r="K479" s="383"/>
      <c r="L479" s="374"/>
      <c r="M479" s="127"/>
      <c r="N479" s="127"/>
      <c r="O479" s="127"/>
      <c r="P479" s="383"/>
      <c r="Q479" s="164"/>
      <c r="R479" s="127"/>
      <c r="S479" s="127"/>
      <c r="T479" s="127"/>
      <c r="U479" s="131"/>
      <c r="V479" s="374"/>
      <c r="W479" s="127"/>
      <c r="X479" s="127"/>
      <c r="Y479" s="127"/>
      <c r="Z479" s="131"/>
      <c r="AA479" s="374"/>
      <c r="AB479" s="127"/>
      <c r="AC479" s="127"/>
      <c r="AD479" s="127"/>
      <c r="AE479" s="131"/>
      <c r="AF479" s="374"/>
      <c r="AG479" s="127"/>
      <c r="AH479" s="127"/>
      <c r="AI479" s="127"/>
      <c r="AJ479" s="131"/>
      <c r="AK479" s="374"/>
      <c r="AL479" s="127"/>
      <c r="AM479" s="127"/>
      <c r="AN479" s="127"/>
      <c r="AO479" s="359"/>
      <c r="AP479" s="359"/>
      <c r="AQ479" s="359"/>
      <c r="AR479" s="359"/>
      <c r="AS479" s="359"/>
    </row>
    <row r="480">
      <c r="A480" s="131"/>
      <c r="B480" s="374"/>
      <c r="C480" s="127"/>
      <c r="D480" s="127"/>
      <c r="E480" s="127"/>
      <c r="F480" s="131"/>
      <c r="G480" s="374"/>
      <c r="H480" s="127"/>
      <c r="I480" s="127"/>
      <c r="J480" s="127"/>
      <c r="K480" s="383"/>
      <c r="L480" s="374"/>
      <c r="M480" s="127"/>
      <c r="N480" s="127"/>
      <c r="O480" s="127"/>
      <c r="P480" s="383"/>
      <c r="Q480" s="164"/>
      <c r="R480" s="127"/>
      <c r="S480" s="127"/>
      <c r="T480" s="127"/>
      <c r="U480" s="131"/>
      <c r="V480" s="374"/>
      <c r="W480" s="127"/>
      <c r="X480" s="127"/>
      <c r="Y480" s="127"/>
      <c r="Z480" s="131"/>
      <c r="AA480" s="374"/>
      <c r="AB480" s="127"/>
      <c r="AC480" s="127"/>
      <c r="AD480" s="127"/>
      <c r="AE480" s="131"/>
      <c r="AF480" s="374"/>
      <c r="AG480" s="127"/>
      <c r="AH480" s="127"/>
      <c r="AI480" s="127"/>
      <c r="AJ480" s="131"/>
      <c r="AK480" s="374"/>
      <c r="AL480" s="127"/>
      <c r="AM480" s="127"/>
      <c r="AN480" s="127"/>
      <c r="AO480" s="359"/>
      <c r="AP480" s="359"/>
      <c r="AQ480" s="359"/>
      <c r="AR480" s="359"/>
      <c r="AS480" s="359"/>
    </row>
    <row r="481">
      <c r="A481" s="131"/>
      <c r="B481" s="374"/>
      <c r="C481" s="127"/>
      <c r="D481" s="127"/>
      <c r="E481" s="127"/>
      <c r="F481" s="131"/>
      <c r="G481" s="374"/>
      <c r="H481" s="127"/>
      <c r="I481" s="127"/>
      <c r="J481" s="127"/>
      <c r="K481" s="383"/>
      <c r="L481" s="374"/>
      <c r="M481" s="127"/>
      <c r="N481" s="127"/>
      <c r="O481" s="127"/>
      <c r="P481" s="383"/>
      <c r="Q481" s="164"/>
      <c r="R481" s="127"/>
      <c r="S481" s="127"/>
      <c r="T481" s="127"/>
      <c r="U481" s="131"/>
      <c r="V481" s="374"/>
      <c r="W481" s="127"/>
      <c r="X481" s="127"/>
      <c r="Y481" s="127"/>
      <c r="Z481" s="131"/>
      <c r="AA481" s="374"/>
      <c r="AB481" s="127"/>
      <c r="AC481" s="127"/>
      <c r="AD481" s="127"/>
      <c r="AE481" s="131"/>
      <c r="AF481" s="374"/>
      <c r="AG481" s="127"/>
      <c r="AH481" s="127"/>
      <c r="AI481" s="127"/>
      <c r="AJ481" s="131"/>
      <c r="AK481" s="374"/>
      <c r="AL481" s="127"/>
      <c r="AM481" s="127"/>
      <c r="AN481" s="127"/>
      <c r="AO481" s="359"/>
      <c r="AP481" s="359"/>
      <c r="AQ481" s="359"/>
      <c r="AR481" s="359"/>
      <c r="AS481" s="359"/>
    </row>
    <row r="482">
      <c r="A482" s="131"/>
      <c r="B482" s="374"/>
      <c r="C482" s="127"/>
      <c r="D482" s="127"/>
      <c r="E482" s="127"/>
      <c r="F482" s="131"/>
      <c r="G482" s="374"/>
      <c r="H482" s="127"/>
      <c r="I482" s="127"/>
      <c r="J482" s="127"/>
      <c r="K482" s="383"/>
      <c r="L482" s="374"/>
      <c r="M482" s="127"/>
      <c r="N482" s="127"/>
      <c r="O482" s="127"/>
      <c r="P482" s="383"/>
      <c r="Q482" s="164"/>
      <c r="R482" s="127"/>
      <c r="S482" s="127"/>
      <c r="T482" s="127"/>
      <c r="U482" s="131"/>
      <c r="V482" s="374"/>
      <c r="W482" s="127"/>
      <c r="X482" s="127"/>
      <c r="Y482" s="127"/>
      <c r="Z482" s="131"/>
      <c r="AA482" s="374"/>
      <c r="AB482" s="127"/>
      <c r="AC482" s="127"/>
      <c r="AD482" s="127"/>
      <c r="AE482" s="131"/>
      <c r="AF482" s="374"/>
      <c r="AG482" s="127"/>
      <c r="AH482" s="127"/>
      <c r="AI482" s="127"/>
      <c r="AJ482" s="131"/>
      <c r="AK482" s="374"/>
      <c r="AL482" s="127"/>
      <c r="AM482" s="127"/>
      <c r="AN482" s="127"/>
      <c r="AO482" s="359"/>
      <c r="AP482" s="359"/>
      <c r="AQ482" s="359"/>
      <c r="AR482" s="359"/>
      <c r="AS482" s="359"/>
    </row>
    <row r="483">
      <c r="A483" s="131"/>
      <c r="B483" s="374"/>
      <c r="C483" s="127"/>
      <c r="D483" s="127"/>
      <c r="E483" s="127"/>
      <c r="F483" s="131"/>
      <c r="G483" s="374"/>
      <c r="H483" s="127"/>
      <c r="I483" s="127"/>
      <c r="J483" s="127"/>
      <c r="K483" s="383"/>
      <c r="L483" s="374"/>
      <c r="M483" s="127"/>
      <c r="N483" s="127"/>
      <c r="O483" s="127"/>
      <c r="P483" s="383"/>
      <c r="Q483" s="164"/>
      <c r="R483" s="127"/>
      <c r="S483" s="127"/>
      <c r="T483" s="127"/>
      <c r="U483" s="131"/>
      <c r="V483" s="374"/>
      <c r="W483" s="127"/>
      <c r="X483" s="127"/>
      <c r="Y483" s="127"/>
      <c r="Z483" s="131"/>
      <c r="AA483" s="374"/>
      <c r="AB483" s="127"/>
      <c r="AC483" s="127"/>
      <c r="AD483" s="127"/>
      <c r="AE483" s="131"/>
      <c r="AF483" s="374"/>
      <c r="AG483" s="127"/>
      <c r="AH483" s="127"/>
      <c r="AI483" s="127"/>
      <c r="AJ483" s="131"/>
      <c r="AK483" s="374"/>
      <c r="AL483" s="127"/>
      <c r="AM483" s="127"/>
      <c r="AN483" s="127"/>
      <c r="AO483" s="359"/>
      <c r="AP483" s="359"/>
      <c r="AQ483" s="359"/>
      <c r="AR483" s="359"/>
      <c r="AS483" s="359"/>
    </row>
    <row r="484">
      <c r="A484" s="131"/>
      <c r="B484" s="374"/>
      <c r="C484" s="127"/>
      <c r="D484" s="127"/>
      <c r="E484" s="127"/>
      <c r="F484" s="131"/>
      <c r="G484" s="374"/>
      <c r="H484" s="127"/>
      <c r="I484" s="127"/>
      <c r="J484" s="127"/>
      <c r="K484" s="383"/>
      <c r="L484" s="374"/>
      <c r="M484" s="127"/>
      <c r="N484" s="127"/>
      <c r="O484" s="127"/>
      <c r="P484" s="383"/>
      <c r="Q484" s="164"/>
      <c r="R484" s="127"/>
      <c r="S484" s="127"/>
      <c r="T484" s="127"/>
      <c r="U484" s="131"/>
      <c r="V484" s="374"/>
      <c r="W484" s="127"/>
      <c r="X484" s="127"/>
      <c r="Y484" s="127"/>
      <c r="Z484" s="131"/>
      <c r="AA484" s="374"/>
      <c r="AB484" s="127"/>
      <c r="AC484" s="127"/>
      <c r="AD484" s="127"/>
      <c r="AE484" s="131"/>
      <c r="AF484" s="374"/>
      <c r="AG484" s="127"/>
      <c r="AH484" s="127"/>
      <c r="AI484" s="127"/>
      <c r="AJ484" s="131"/>
      <c r="AK484" s="374"/>
      <c r="AL484" s="127"/>
      <c r="AM484" s="127"/>
      <c r="AN484" s="127"/>
      <c r="AO484" s="359"/>
      <c r="AP484" s="359"/>
      <c r="AQ484" s="359"/>
      <c r="AR484" s="359"/>
      <c r="AS484" s="359"/>
    </row>
    <row r="485">
      <c r="A485" s="131"/>
      <c r="B485" s="374"/>
      <c r="C485" s="127"/>
      <c r="D485" s="127"/>
      <c r="E485" s="127"/>
      <c r="F485" s="131"/>
      <c r="G485" s="374"/>
      <c r="H485" s="127"/>
      <c r="I485" s="127"/>
      <c r="J485" s="127"/>
      <c r="K485" s="383"/>
      <c r="L485" s="374"/>
      <c r="M485" s="127"/>
      <c r="N485" s="127"/>
      <c r="O485" s="127"/>
      <c r="P485" s="383"/>
      <c r="Q485" s="164"/>
      <c r="R485" s="127"/>
      <c r="S485" s="127"/>
      <c r="T485" s="127"/>
      <c r="U485" s="131"/>
      <c r="V485" s="374"/>
      <c r="W485" s="127"/>
      <c r="X485" s="127"/>
      <c r="Y485" s="127"/>
      <c r="Z485" s="131"/>
      <c r="AA485" s="374"/>
      <c r="AB485" s="127"/>
      <c r="AC485" s="127"/>
      <c r="AD485" s="127"/>
      <c r="AE485" s="131"/>
      <c r="AF485" s="374"/>
      <c r="AG485" s="127"/>
      <c r="AH485" s="127"/>
      <c r="AI485" s="127"/>
      <c r="AJ485" s="131"/>
      <c r="AK485" s="374"/>
      <c r="AL485" s="127"/>
      <c r="AM485" s="127"/>
      <c r="AN485" s="127"/>
      <c r="AO485" s="359"/>
      <c r="AP485" s="359"/>
      <c r="AQ485" s="359"/>
      <c r="AR485" s="359"/>
      <c r="AS485" s="359"/>
    </row>
    <row r="486">
      <c r="A486" s="131"/>
      <c r="B486" s="374"/>
      <c r="C486" s="127"/>
      <c r="D486" s="127"/>
      <c r="E486" s="127"/>
      <c r="F486" s="131"/>
      <c r="G486" s="374"/>
      <c r="H486" s="127"/>
      <c r="I486" s="127"/>
      <c r="J486" s="127"/>
      <c r="K486" s="383"/>
      <c r="L486" s="374"/>
      <c r="M486" s="127"/>
      <c r="N486" s="127"/>
      <c r="O486" s="127"/>
      <c r="P486" s="383"/>
      <c r="Q486" s="164"/>
      <c r="R486" s="127"/>
      <c r="S486" s="127"/>
      <c r="T486" s="127"/>
      <c r="U486" s="131"/>
      <c r="V486" s="374"/>
      <c r="W486" s="127"/>
      <c r="X486" s="127"/>
      <c r="Y486" s="127"/>
      <c r="Z486" s="131"/>
      <c r="AA486" s="374"/>
      <c r="AB486" s="127"/>
      <c r="AC486" s="127"/>
      <c r="AD486" s="127"/>
      <c r="AE486" s="131"/>
      <c r="AF486" s="374"/>
      <c r="AG486" s="127"/>
      <c r="AH486" s="127"/>
      <c r="AI486" s="127"/>
      <c r="AJ486" s="131"/>
      <c r="AK486" s="374"/>
      <c r="AL486" s="127"/>
      <c r="AM486" s="127"/>
      <c r="AN486" s="127"/>
      <c r="AO486" s="359"/>
      <c r="AP486" s="359"/>
      <c r="AQ486" s="359"/>
      <c r="AR486" s="359"/>
      <c r="AS486" s="359"/>
    </row>
    <row r="487">
      <c r="A487" s="131"/>
      <c r="B487" s="374"/>
      <c r="C487" s="127"/>
      <c r="D487" s="127"/>
      <c r="E487" s="127"/>
      <c r="F487" s="131"/>
      <c r="G487" s="374"/>
      <c r="H487" s="127"/>
      <c r="I487" s="127"/>
      <c r="J487" s="127"/>
      <c r="K487" s="383"/>
      <c r="L487" s="374"/>
      <c r="M487" s="127"/>
      <c r="N487" s="127"/>
      <c r="O487" s="127"/>
      <c r="P487" s="383"/>
      <c r="Q487" s="164"/>
      <c r="R487" s="127"/>
      <c r="S487" s="127"/>
      <c r="T487" s="127"/>
      <c r="U487" s="131"/>
      <c r="V487" s="374"/>
      <c r="W487" s="127"/>
      <c r="X487" s="127"/>
      <c r="Y487" s="127"/>
      <c r="Z487" s="131"/>
      <c r="AA487" s="374"/>
      <c r="AB487" s="127"/>
      <c r="AC487" s="127"/>
      <c r="AD487" s="127"/>
      <c r="AE487" s="131"/>
      <c r="AF487" s="374"/>
      <c r="AG487" s="127"/>
      <c r="AH487" s="127"/>
      <c r="AI487" s="127"/>
      <c r="AJ487" s="131"/>
      <c r="AK487" s="374"/>
      <c r="AL487" s="127"/>
      <c r="AM487" s="127"/>
      <c r="AN487" s="127"/>
      <c r="AO487" s="359"/>
      <c r="AP487" s="359"/>
      <c r="AQ487" s="359"/>
      <c r="AR487" s="359"/>
      <c r="AS487" s="359"/>
    </row>
    <row r="488">
      <c r="A488" s="131"/>
      <c r="B488" s="374"/>
      <c r="C488" s="127"/>
      <c r="D488" s="127"/>
      <c r="E488" s="127"/>
      <c r="F488" s="131"/>
      <c r="G488" s="374"/>
      <c r="H488" s="127"/>
      <c r="I488" s="127"/>
      <c r="J488" s="127"/>
      <c r="K488" s="383"/>
      <c r="L488" s="374"/>
      <c r="M488" s="127"/>
      <c r="N488" s="127"/>
      <c r="O488" s="127"/>
      <c r="P488" s="383"/>
      <c r="Q488" s="164"/>
      <c r="R488" s="127"/>
      <c r="S488" s="127"/>
      <c r="T488" s="127"/>
      <c r="U488" s="131"/>
      <c r="V488" s="374"/>
      <c r="W488" s="127"/>
      <c r="X488" s="127"/>
      <c r="Y488" s="127"/>
      <c r="Z488" s="131"/>
      <c r="AA488" s="374"/>
      <c r="AB488" s="127"/>
      <c r="AC488" s="127"/>
      <c r="AD488" s="127"/>
      <c r="AE488" s="131"/>
      <c r="AF488" s="374"/>
      <c r="AG488" s="127"/>
      <c r="AH488" s="127"/>
      <c r="AI488" s="127"/>
      <c r="AJ488" s="131"/>
      <c r="AK488" s="374"/>
      <c r="AL488" s="127"/>
      <c r="AM488" s="127"/>
      <c r="AN488" s="127"/>
      <c r="AO488" s="359"/>
      <c r="AP488" s="359"/>
      <c r="AQ488" s="359"/>
      <c r="AR488" s="359"/>
      <c r="AS488" s="359"/>
    </row>
    <row r="489">
      <c r="A489" s="131"/>
      <c r="B489" s="374"/>
      <c r="C489" s="127"/>
      <c r="D489" s="127"/>
      <c r="E489" s="127"/>
      <c r="F489" s="131"/>
      <c r="G489" s="374"/>
      <c r="H489" s="127"/>
      <c r="I489" s="127"/>
      <c r="J489" s="127"/>
      <c r="K489" s="383"/>
      <c r="L489" s="374"/>
      <c r="M489" s="127"/>
      <c r="N489" s="127"/>
      <c r="O489" s="127"/>
      <c r="P489" s="383"/>
      <c r="Q489" s="164"/>
      <c r="R489" s="127"/>
      <c r="S489" s="127"/>
      <c r="T489" s="127"/>
      <c r="U489" s="131"/>
      <c r="V489" s="374"/>
      <c r="W489" s="127"/>
      <c r="X489" s="127"/>
      <c r="Y489" s="127"/>
      <c r="Z489" s="131"/>
      <c r="AA489" s="374"/>
      <c r="AB489" s="127"/>
      <c r="AC489" s="127"/>
      <c r="AD489" s="127"/>
      <c r="AE489" s="131"/>
      <c r="AF489" s="374"/>
      <c r="AG489" s="127"/>
      <c r="AH489" s="127"/>
      <c r="AI489" s="127"/>
      <c r="AJ489" s="131"/>
      <c r="AK489" s="374"/>
      <c r="AL489" s="127"/>
      <c r="AM489" s="127"/>
      <c r="AN489" s="127"/>
      <c r="AO489" s="359"/>
      <c r="AP489" s="359"/>
      <c r="AQ489" s="359"/>
      <c r="AR489" s="359"/>
      <c r="AS489" s="359"/>
    </row>
    <row r="490">
      <c r="A490" s="131"/>
      <c r="B490" s="374"/>
      <c r="C490" s="127"/>
      <c r="D490" s="127"/>
      <c r="E490" s="127"/>
      <c r="F490" s="131"/>
      <c r="G490" s="374"/>
      <c r="H490" s="127"/>
      <c r="I490" s="127"/>
      <c r="J490" s="127"/>
      <c r="K490" s="383"/>
      <c r="L490" s="374"/>
      <c r="M490" s="127"/>
      <c r="N490" s="127"/>
      <c r="O490" s="127"/>
      <c r="P490" s="383"/>
      <c r="Q490" s="164"/>
      <c r="R490" s="127"/>
      <c r="S490" s="127"/>
      <c r="T490" s="127"/>
      <c r="U490" s="131"/>
      <c r="V490" s="374"/>
      <c r="W490" s="127"/>
      <c r="X490" s="127"/>
      <c r="Y490" s="127"/>
      <c r="Z490" s="131"/>
      <c r="AA490" s="374"/>
      <c r="AB490" s="127"/>
      <c r="AC490" s="127"/>
      <c r="AD490" s="127"/>
      <c r="AE490" s="131"/>
      <c r="AF490" s="374"/>
      <c r="AG490" s="127"/>
      <c r="AH490" s="127"/>
      <c r="AI490" s="127"/>
      <c r="AJ490" s="131"/>
      <c r="AK490" s="374"/>
      <c r="AL490" s="127"/>
      <c r="AM490" s="127"/>
      <c r="AN490" s="127"/>
      <c r="AO490" s="359"/>
      <c r="AP490" s="359"/>
      <c r="AQ490" s="359"/>
      <c r="AR490" s="359"/>
      <c r="AS490" s="359"/>
    </row>
    <row r="491">
      <c r="A491" s="131"/>
      <c r="B491" s="374"/>
      <c r="C491" s="127"/>
      <c r="D491" s="127"/>
      <c r="E491" s="127"/>
      <c r="F491" s="131"/>
      <c r="G491" s="374"/>
      <c r="H491" s="127"/>
      <c r="I491" s="127"/>
      <c r="J491" s="127"/>
      <c r="K491" s="383"/>
      <c r="L491" s="374"/>
      <c r="M491" s="127"/>
      <c r="N491" s="127"/>
      <c r="O491" s="127"/>
      <c r="P491" s="383"/>
      <c r="Q491" s="164"/>
      <c r="R491" s="127"/>
      <c r="S491" s="127"/>
      <c r="T491" s="127"/>
      <c r="U491" s="131"/>
      <c r="V491" s="374"/>
      <c r="W491" s="127"/>
      <c r="X491" s="127"/>
      <c r="Y491" s="127"/>
      <c r="Z491" s="131"/>
      <c r="AA491" s="374"/>
      <c r="AB491" s="127"/>
      <c r="AC491" s="127"/>
      <c r="AD491" s="127"/>
      <c r="AE491" s="131"/>
      <c r="AF491" s="374"/>
      <c r="AG491" s="127"/>
      <c r="AH491" s="127"/>
      <c r="AI491" s="127"/>
      <c r="AJ491" s="131"/>
      <c r="AK491" s="374"/>
      <c r="AL491" s="127"/>
      <c r="AM491" s="127"/>
      <c r="AN491" s="127"/>
      <c r="AO491" s="359"/>
      <c r="AP491" s="359"/>
      <c r="AQ491" s="359"/>
      <c r="AR491" s="359"/>
      <c r="AS491" s="359"/>
    </row>
    <row r="492">
      <c r="A492" s="131"/>
      <c r="B492" s="374"/>
      <c r="C492" s="127"/>
      <c r="D492" s="127"/>
      <c r="E492" s="127"/>
      <c r="F492" s="131"/>
      <c r="G492" s="374"/>
      <c r="H492" s="127"/>
      <c r="I492" s="127"/>
      <c r="J492" s="127"/>
      <c r="K492" s="383"/>
      <c r="L492" s="374"/>
      <c r="M492" s="127"/>
      <c r="N492" s="127"/>
      <c r="O492" s="127"/>
      <c r="P492" s="383"/>
      <c r="Q492" s="164"/>
      <c r="R492" s="127"/>
      <c r="S492" s="127"/>
      <c r="T492" s="127"/>
      <c r="U492" s="131"/>
      <c r="V492" s="374"/>
      <c r="W492" s="127"/>
      <c r="X492" s="127"/>
      <c r="Y492" s="127"/>
      <c r="Z492" s="131"/>
      <c r="AA492" s="374"/>
      <c r="AB492" s="127"/>
      <c r="AC492" s="127"/>
      <c r="AD492" s="127"/>
      <c r="AE492" s="131"/>
      <c r="AF492" s="374"/>
      <c r="AG492" s="127"/>
      <c r="AH492" s="127"/>
      <c r="AI492" s="127"/>
      <c r="AJ492" s="131"/>
      <c r="AK492" s="374"/>
      <c r="AL492" s="127"/>
      <c r="AM492" s="127"/>
      <c r="AN492" s="127"/>
      <c r="AO492" s="359"/>
      <c r="AP492" s="359"/>
      <c r="AQ492" s="359"/>
      <c r="AR492" s="359"/>
      <c r="AS492" s="359"/>
    </row>
    <row r="493">
      <c r="A493" s="131"/>
      <c r="B493" s="374"/>
      <c r="C493" s="127"/>
      <c r="D493" s="127"/>
      <c r="E493" s="127"/>
      <c r="F493" s="131"/>
      <c r="G493" s="374"/>
      <c r="H493" s="127"/>
      <c r="I493" s="127"/>
      <c r="J493" s="127"/>
      <c r="K493" s="383"/>
      <c r="L493" s="374"/>
      <c r="M493" s="127"/>
      <c r="N493" s="127"/>
      <c r="O493" s="127"/>
      <c r="P493" s="383"/>
      <c r="Q493" s="164"/>
      <c r="R493" s="127"/>
      <c r="S493" s="127"/>
      <c r="T493" s="127"/>
      <c r="U493" s="131"/>
      <c r="V493" s="374"/>
      <c r="W493" s="127"/>
      <c r="X493" s="127"/>
      <c r="Y493" s="127"/>
      <c r="Z493" s="131"/>
      <c r="AA493" s="374"/>
      <c r="AB493" s="127"/>
      <c r="AC493" s="127"/>
      <c r="AD493" s="127"/>
      <c r="AE493" s="131"/>
      <c r="AF493" s="374"/>
      <c r="AG493" s="127"/>
      <c r="AH493" s="127"/>
      <c r="AI493" s="127"/>
      <c r="AJ493" s="131"/>
      <c r="AK493" s="374"/>
      <c r="AL493" s="127"/>
      <c r="AM493" s="127"/>
      <c r="AN493" s="127"/>
      <c r="AO493" s="359"/>
      <c r="AP493" s="359"/>
      <c r="AQ493" s="359"/>
      <c r="AR493" s="359"/>
      <c r="AS493" s="359"/>
    </row>
    <row r="494">
      <c r="A494" s="131"/>
      <c r="B494" s="374"/>
      <c r="C494" s="127"/>
      <c r="D494" s="127"/>
      <c r="E494" s="127"/>
      <c r="F494" s="131"/>
      <c r="G494" s="374"/>
      <c r="H494" s="127"/>
      <c r="I494" s="127"/>
      <c r="J494" s="127"/>
      <c r="K494" s="383"/>
      <c r="L494" s="374"/>
      <c r="M494" s="127"/>
      <c r="N494" s="127"/>
      <c r="O494" s="127"/>
      <c r="P494" s="383"/>
      <c r="Q494" s="164"/>
      <c r="R494" s="127"/>
      <c r="S494" s="127"/>
      <c r="T494" s="127"/>
      <c r="U494" s="131"/>
      <c r="V494" s="374"/>
      <c r="W494" s="127"/>
      <c r="X494" s="127"/>
      <c r="Y494" s="127"/>
      <c r="Z494" s="131"/>
      <c r="AA494" s="374"/>
      <c r="AB494" s="127"/>
      <c r="AC494" s="127"/>
      <c r="AD494" s="127"/>
      <c r="AE494" s="131"/>
      <c r="AF494" s="374"/>
      <c r="AG494" s="127"/>
      <c r="AH494" s="127"/>
      <c r="AI494" s="127"/>
      <c r="AJ494" s="131"/>
      <c r="AK494" s="374"/>
      <c r="AL494" s="127"/>
      <c r="AM494" s="127"/>
      <c r="AN494" s="127"/>
      <c r="AO494" s="359"/>
      <c r="AP494" s="359"/>
      <c r="AQ494" s="359"/>
      <c r="AR494" s="359"/>
      <c r="AS494" s="359"/>
    </row>
    <row r="495">
      <c r="A495" s="131"/>
      <c r="B495" s="374"/>
      <c r="C495" s="127"/>
      <c r="D495" s="127"/>
      <c r="E495" s="127"/>
      <c r="F495" s="131"/>
      <c r="G495" s="374"/>
      <c r="H495" s="127"/>
      <c r="I495" s="127"/>
      <c r="J495" s="127"/>
      <c r="K495" s="383"/>
      <c r="L495" s="374"/>
      <c r="M495" s="127"/>
      <c r="N495" s="127"/>
      <c r="O495" s="127"/>
      <c r="P495" s="383"/>
      <c r="Q495" s="164"/>
      <c r="R495" s="127"/>
      <c r="S495" s="127"/>
      <c r="T495" s="127"/>
      <c r="U495" s="131"/>
      <c r="V495" s="374"/>
      <c r="W495" s="127"/>
      <c r="X495" s="127"/>
      <c r="Y495" s="127"/>
      <c r="Z495" s="131"/>
      <c r="AA495" s="374"/>
      <c r="AB495" s="127"/>
      <c r="AC495" s="127"/>
      <c r="AD495" s="127"/>
      <c r="AE495" s="131"/>
      <c r="AF495" s="374"/>
      <c r="AG495" s="127"/>
      <c r="AH495" s="127"/>
      <c r="AI495" s="127"/>
      <c r="AJ495" s="131"/>
      <c r="AK495" s="374"/>
      <c r="AL495" s="127"/>
      <c r="AM495" s="127"/>
      <c r="AN495" s="127"/>
      <c r="AO495" s="359"/>
      <c r="AP495" s="359"/>
      <c r="AQ495" s="359"/>
      <c r="AR495" s="359"/>
      <c r="AS495" s="359"/>
    </row>
    <row r="496">
      <c r="A496" s="131"/>
      <c r="B496" s="374"/>
      <c r="C496" s="127"/>
      <c r="D496" s="127"/>
      <c r="E496" s="127"/>
      <c r="F496" s="131"/>
      <c r="G496" s="374"/>
      <c r="H496" s="127"/>
      <c r="I496" s="127"/>
      <c r="J496" s="127"/>
      <c r="K496" s="383"/>
      <c r="L496" s="374"/>
      <c r="M496" s="127"/>
      <c r="N496" s="127"/>
      <c r="O496" s="127"/>
      <c r="P496" s="383"/>
      <c r="Q496" s="164"/>
      <c r="R496" s="127"/>
      <c r="S496" s="127"/>
      <c r="T496" s="127"/>
      <c r="U496" s="131"/>
      <c r="V496" s="374"/>
      <c r="W496" s="127"/>
      <c r="X496" s="127"/>
      <c r="Y496" s="127"/>
      <c r="Z496" s="131"/>
      <c r="AA496" s="374"/>
      <c r="AB496" s="127"/>
      <c r="AC496" s="127"/>
      <c r="AD496" s="127"/>
      <c r="AE496" s="131"/>
      <c r="AF496" s="374"/>
      <c r="AG496" s="127"/>
      <c r="AH496" s="127"/>
      <c r="AI496" s="127"/>
      <c r="AJ496" s="131"/>
      <c r="AK496" s="374"/>
      <c r="AL496" s="127"/>
      <c r="AM496" s="127"/>
      <c r="AN496" s="127"/>
      <c r="AO496" s="359"/>
      <c r="AP496" s="359"/>
      <c r="AQ496" s="359"/>
      <c r="AR496" s="359"/>
      <c r="AS496" s="359"/>
    </row>
    <row r="497">
      <c r="A497" s="131"/>
      <c r="B497" s="374"/>
      <c r="C497" s="127"/>
      <c r="D497" s="127"/>
      <c r="E497" s="127"/>
      <c r="F497" s="131"/>
      <c r="G497" s="374"/>
      <c r="H497" s="127"/>
      <c r="I497" s="127"/>
      <c r="J497" s="127"/>
      <c r="K497" s="383"/>
      <c r="L497" s="374"/>
      <c r="M497" s="127"/>
      <c r="N497" s="127"/>
      <c r="O497" s="127"/>
      <c r="P497" s="383"/>
      <c r="Q497" s="164"/>
      <c r="R497" s="127"/>
      <c r="S497" s="127"/>
      <c r="T497" s="127"/>
      <c r="U497" s="131"/>
      <c r="V497" s="374"/>
      <c r="W497" s="127"/>
      <c r="X497" s="127"/>
      <c r="Y497" s="127"/>
      <c r="Z497" s="131"/>
      <c r="AA497" s="374"/>
      <c r="AB497" s="127"/>
      <c r="AC497" s="127"/>
      <c r="AD497" s="127"/>
      <c r="AE497" s="131"/>
      <c r="AF497" s="374"/>
      <c r="AG497" s="127"/>
      <c r="AH497" s="127"/>
      <c r="AI497" s="127"/>
      <c r="AJ497" s="131"/>
      <c r="AK497" s="374"/>
      <c r="AL497" s="127"/>
      <c r="AM497" s="127"/>
      <c r="AN497" s="127"/>
      <c r="AO497" s="359"/>
      <c r="AP497" s="359"/>
      <c r="AQ497" s="359"/>
      <c r="AR497" s="359"/>
      <c r="AS497" s="359"/>
    </row>
    <row r="498">
      <c r="A498" s="131"/>
      <c r="B498" s="374"/>
      <c r="C498" s="127"/>
      <c r="D498" s="127"/>
      <c r="E498" s="127"/>
      <c r="F498" s="131"/>
      <c r="G498" s="374"/>
      <c r="H498" s="127"/>
      <c r="I498" s="127"/>
      <c r="J498" s="127"/>
      <c r="K498" s="383"/>
      <c r="L498" s="374"/>
      <c r="M498" s="127"/>
      <c r="N498" s="127"/>
      <c r="O498" s="127"/>
      <c r="P498" s="383"/>
      <c r="Q498" s="164"/>
      <c r="R498" s="127"/>
      <c r="S498" s="127"/>
      <c r="T498" s="127"/>
      <c r="U498" s="131"/>
      <c r="V498" s="374"/>
      <c r="W498" s="127"/>
      <c r="X498" s="127"/>
      <c r="Y498" s="127"/>
      <c r="Z498" s="131"/>
      <c r="AA498" s="374"/>
      <c r="AB498" s="127"/>
      <c r="AC498" s="127"/>
      <c r="AD498" s="127"/>
      <c r="AE498" s="131"/>
      <c r="AF498" s="374"/>
      <c r="AG498" s="127"/>
      <c r="AH498" s="127"/>
      <c r="AI498" s="127"/>
      <c r="AJ498" s="131"/>
      <c r="AK498" s="374"/>
      <c r="AL498" s="127"/>
      <c r="AM498" s="127"/>
      <c r="AN498" s="127"/>
      <c r="AO498" s="359"/>
      <c r="AP498" s="359"/>
      <c r="AQ498" s="359"/>
      <c r="AR498" s="359"/>
      <c r="AS498" s="359"/>
    </row>
    <row r="499">
      <c r="A499" s="131"/>
      <c r="B499" s="374"/>
      <c r="C499" s="127"/>
      <c r="D499" s="127"/>
      <c r="E499" s="127"/>
      <c r="F499" s="131"/>
      <c r="G499" s="374"/>
      <c r="H499" s="127"/>
      <c r="I499" s="127"/>
      <c r="J499" s="127"/>
      <c r="K499" s="383"/>
      <c r="L499" s="374"/>
      <c r="M499" s="127"/>
      <c r="N499" s="127"/>
      <c r="O499" s="127"/>
      <c r="P499" s="383"/>
      <c r="Q499" s="164"/>
      <c r="R499" s="127"/>
      <c r="S499" s="127"/>
      <c r="T499" s="127"/>
      <c r="U499" s="131"/>
      <c r="V499" s="374"/>
      <c r="W499" s="127"/>
      <c r="X499" s="127"/>
      <c r="Y499" s="127"/>
      <c r="Z499" s="131"/>
      <c r="AA499" s="374"/>
      <c r="AB499" s="127"/>
      <c r="AC499" s="127"/>
      <c r="AD499" s="127"/>
      <c r="AE499" s="131"/>
      <c r="AF499" s="374"/>
      <c r="AG499" s="127"/>
      <c r="AH499" s="127"/>
      <c r="AI499" s="127"/>
      <c r="AJ499" s="131"/>
      <c r="AK499" s="374"/>
      <c r="AL499" s="127"/>
      <c r="AM499" s="127"/>
      <c r="AN499" s="127"/>
      <c r="AO499" s="359"/>
      <c r="AP499" s="359"/>
      <c r="AQ499" s="359"/>
      <c r="AR499" s="359"/>
      <c r="AS499" s="359"/>
    </row>
    <row r="500">
      <c r="A500" s="131"/>
      <c r="B500" s="374"/>
      <c r="C500" s="127"/>
      <c r="D500" s="127"/>
      <c r="E500" s="127"/>
      <c r="F500" s="131"/>
      <c r="G500" s="374"/>
      <c r="H500" s="127"/>
      <c r="I500" s="127"/>
      <c r="J500" s="127"/>
      <c r="K500" s="383"/>
      <c r="L500" s="374"/>
      <c r="M500" s="127"/>
      <c r="N500" s="127"/>
      <c r="O500" s="127"/>
      <c r="P500" s="383"/>
      <c r="Q500" s="164"/>
      <c r="R500" s="127"/>
      <c r="S500" s="127"/>
      <c r="T500" s="127"/>
      <c r="U500" s="131"/>
      <c r="V500" s="374"/>
      <c r="W500" s="127"/>
      <c r="X500" s="127"/>
      <c r="Y500" s="127"/>
      <c r="Z500" s="131"/>
      <c r="AA500" s="374"/>
      <c r="AB500" s="127"/>
      <c r="AC500" s="127"/>
      <c r="AD500" s="127"/>
      <c r="AE500" s="131"/>
      <c r="AF500" s="374"/>
      <c r="AG500" s="127"/>
      <c r="AH500" s="127"/>
      <c r="AI500" s="127"/>
      <c r="AJ500" s="131"/>
      <c r="AK500" s="374"/>
      <c r="AL500" s="127"/>
      <c r="AM500" s="127"/>
      <c r="AN500" s="127"/>
      <c r="AO500" s="359"/>
      <c r="AP500" s="359"/>
      <c r="AQ500" s="359"/>
      <c r="AR500" s="359"/>
      <c r="AS500" s="359"/>
    </row>
    <row r="501">
      <c r="A501" s="131"/>
      <c r="B501" s="374"/>
      <c r="C501" s="127"/>
      <c r="D501" s="127"/>
      <c r="E501" s="127"/>
      <c r="F501" s="131"/>
      <c r="G501" s="374"/>
      <c r="H501" s="127"/>
      <c r="I501" s="127"/>
      <c r="J501" s="127"/>
      <c r="K501" s="383"/>
      <c r="L501" s="374"/>
      <c r="M501" s="127"/>
      <c r="N501" s="127"/>
      <c r="O501" s="127"/>
      <c r="P501" s="383"/>
      <c r="Q501" s="164"/>
      <c r="R501" s="127"/>
      <c r="S501" s="127"/>
      <c r="T501" s="127"/>
      <c r="U501" s="131"/>
      <c r="V501" s="374"/>
      <c r="W501" s="127"/>
      <c r="X501" s="127"/>
      <c r="Y501" s="127"/>
      <c r="Z501" s="131"/>
      <c r="AA501" s="374"/>
      <c r="AB501" s="127"/>
      <c r="AC501" s="127"/>
      <c r="AD501" s="127"/>
      <c r="AE501" s="131"/>
      <c r="AF501" s="374"/>
      <c r="AG501" s="127"/>
      <c r="AH501" s="127"/>
      <c r="AI501" s="127"/>
      <c r="AJ501" s="131"/>
      <c r="AK501" s="374"/>
      <c r="AL501" s="127"/>
      <c r="AM501" s="127"/>
      <c r="AN501" s="127"/>
      <c r="AO501" s="359"/>
      <c r="AP501" s="359"/>
      <c r="AQ501" s="359"/>
      <c r="AR501" s="359"/>
      <c r="AS501" s="359"/>
    </row>
    <row r="502">
      <c r="A502" s="131"/>
      <c r="B502" s="374"/>
      <c r="C502" s="127"/>
      <c r="D502" s="127"/>
      <c r="E502" s="127"/>
      <c r="F502" s="131"/>
      <c r="G502" s="374"/>
      <c r="H502" s="127"/>
      <c r="I502" s="127"/>
      <c r="J502" s="127"/>
      <c r="K502" s="383"/>
      <c r="L502" s="374"/>
      <c r="M502" s="127"/>
      <c r="N502" s="127"/>
      <c r="O502" s="127"/>
      <c r="P502" s="383"/>
      <c r="Q502" s="164"/>
      <c r="R502" s="127"/>
      <c r="S502" s="127"/>
      <c r="T502" s="127"/>
      <c r="U502" s="131"/>
      <c r="V502" s="374"/>
      <c r="W502" s="127"/>
      <c r="X502" s="127"/>
      <c r="Y502" s="127"/>
      <c r="Z502" s="131"/>
      <c r="AA502" s="374"/>
      <c r="AB502" s="127"/>
      <c r="AC502" s="127"/>
      <c r="AD502" s="127"/>
      <c r="AE502" s="131"/>
      <c r="AF502" s="374"/>
      <c r="AG502" s="127"/>
      <c r="AH502" s="127"/>
      <c r="AI502" s="127"/>
      <c r="AJ502" s="131"/>
      <c r="AK502" s="374"/>
      <c r="AL502" s="127"/>
      <c r="AM502" s="127"/>
      <c r="AN502" s="127"/>
      <c r="AO502" s="359"/>
      <c r="AP502" s="359"/>
      <c r="AQ502" s="359"/>
      <c r="AR502" s="359"/>
      <c r="AS502" s="359"/>
    </row>
    <row r="503">
      <c r="A503" s="131"/>
      <c r="B503" s="374"/>
      <c r="C503" s="127"/>
      <c r="D503" s="127"/>
      <c r="E503" s="127"/>
      <c r="F503" s="131"/>
      <c r="G503" s="374"/>
      <c r="H503" s="127"/>
      <c r="I503" s="127"/>
      <c r="J503" s="127"/>
      <c r="K503" s="383"/>
      <c r="L503" s="374"/>
      <c r="M503" s="127"/>
      <c r="N503" s="127"/>
      <c r="O503" s="127"/>
      <c r="P503" s="383"/>
      <c r="Q503" s="164"/>
      <c r="R503" s="127"/>
      <c r="S503" s="127"/>
      <c r="T503" s="127"/>
      <c r="U503" s="131"/>
      <c r="V503" s="374"/>
      <c r="W503" s="127"/>
      <c r="X503" s="127"/>
      <c r="Y503" s="127"/>
      <c r="Z503" s="131"/>
      <c r="AA503" s="374"/>
      <c r="AB503" s="127"/>
      <c r="AC503" s="127"/>
      <c r="AD503" s="127"/>
      <c r="AE503" s="131"/>
      <c r="AF503" s="374"/>
      <c r="AG503" s="127"/>
      <c r="AH503" s="127"/>
      <c r="AI503" s="127"/>
      <c r="AJ503" s="131"/>
      <c r="AK503" s="374"/>
      <c r="AL503" s="127"/>
      <c r="AM503" s="127"/>
      <c r="AN503" s="127"/>
      <c r="AO503" s="359"/>
      <c r="AP503" s="359"/>
      <c r="AQ503" s="359"/>
      <c r="AR503" s="359"/>
      <c r="AS503" s="359"/>
    </row>
    <row r="504">
      <c r="A504" s="131"/>
      <c r="B504" s="374"/>
      <c r="C504" s="127"/>
      <c r="D504" s="127"/>
      <c r="E504" s="127"/>
      <c r="F504" s="131"/>
      <c r="G504" s="374"/>
      <c r="H504" s="127"/>
      <c r="I504" s="127"/>
      <c r="J504" s="127"/>
      <c r="K504" s="383"/>
      <c r="L504" s="374"/>
      <c r="M504" s="127"/>
      <c r="N504" s="127"/>
      <c r="O504" s="127"/>
      <c r="P504" s="383"/>
      <c r="Q504" s="164"/>
      <c r="R504" s="127"/>
      <c r="S504" s="127"/>
      <c r="T504" s="127"/>
      <c r="U504" s="131"/>
      <c r="V504" s="374"/>
      <c r="W504" s="127"/>
      <c r="X504" s="127"/>
      <c r="Y504" s="127"/>
      <c r="Z504" s="131"/>
      <c r="AA504" s="374"/>
      <c r="AB504" s="127"/>
      <c r="AC504" s="127"/>
      <c r="AD504" s="127"/>
      <c r="AE504" s="131"/>
      <c r="AF504" s="374"/>
      <c r="AG504" s="127"/>
      <c r="AH504" s="127"/>
      <c r="AI504" s="127"/>
      <c r="AJ504" s="131"/>
      <c r="AK504" s="374"/>
      <c r="AL504" s="127"/>
      <c r="AM504" s="127"/>
      <c r="AN504" s="127"/>
      <c r="AO504" s="359"/>
      <c r="AP504" s="359"/>
      <c r="AQ504" s="359"/>
      <c r="AR504" s="359"/>
      <c r="AS504" s="359"/>
    </row>
    <row r="505">
      <c r="A505" s="131"/>
      <c r="B505" s="374"/>
      <c r="C505" s="127"/>
      <c r="D505" s="127"/>
      <c r="E505" s="127"/>
      <c r="F505" s="131"/>
      <c r="G505" s="374"/>
      <c r="H505" s="127"/>
      <c r="I505" s="127"/>
      <c r="J505" s="127"/>
      <c r="K505" s="383"/>
      <c r="L505" s="374"/>
      <c r="M505" s="127"/>
      <c r="N505" s="127"/>
      <c r="O505" s="127"/>
      <c r="P505" s="383"/>
      <c r="Q505" s="164"/>
      <c r="R505" s="127"/>
      <c r="S505" s="127"/>
      <c r="T505" s="127"/>
      <c r="U505" s="131"/>
      <c r="V505" s="374"/>
      <c r="W505" s="127"/>
      <c r="X505" s="127"/>
      <c r="Y505" s="127"/>
      <c r="Z505" s="131"/>
      <c r="AA505" s="374"/>
      <c r="AB505" s="127"/>
      <c r="AC505" s="127"/>
      <c r="AD505" s="127"/>
      <c r="AE505" s="131"/>
      <c r="AF505" s="374"/>
      <c r="AG505" s="127"/>
      <c r="AH505" s="127"/>
      <c r="AI505" s="127"/>
      <c r="AJ505" s="131"/>
      <c r="AK505" s="374"/>
      <c r="AL505" s="127"/>
      <c r="AM505" s="127"/>
      <c r="AN505" s="127"/>
      <c r="AO505" s="359"/>
      <c r="AP505" s="359"/>
      <c r="AQ505" s="359"/>
      <c r="AR505" s="359"/>
      <c r="AS505" s="359"/>
    </row>
    <row r="506">
      <c r="A506" s="131"/>
      <c r="B506" s="374"/>
      <c r="C506" s="127"/>
      <c r="D506" s="127"/>
      <c r="E506" s="127"/>
      <c r="F506" s="131"/>
      <c r="G506" s="374"/>
      <c r="H506" s="127"/>
      <c r="I506" s="127"/>
      <c r="J506" s="127"/>
      <c r="K506" s="383"/>
      <c r="L506" s="374"/>
      <c r="M506" s="127"/>
      <c r="N506" s="127"/>
      <c r="O506" s="127"/>
      <c r="P506" s="383"/>
      <c r="Q506" s="164"/>
      <c r="R506" s="127"/>
      <c r="S506" s="127"/>
      <c r="T506" s="127"/>
      <c r="U506" s="131"/>
      <c r="V506" s="374"/>
      <c r="W506" s="127"/>
      <c r="X506" s="127"/>
      <c r="Y506" s="127"/>
      <c r="Z506" s="131"/>
      <c r="AA506" s="374"/>
      <c r="AB506" s="127"/>
      <c r="AC506" s="127"/>
      <c r="AD506" s="127"/>
      <c r="AE506" s="131"/>
      <c r="AF506" s="374"/>
      <c r="AG506" s="127"/>
      <c r="AH506" s="127"/>
      <c r="AI506" s="127"/>
      <c r="AJ506" s="131"/>
      <c r="AK506" s="374"/>
      <c r="AL506" s="127"/>
      <c r="AM506" s="127"/>
      <c r="AN506" s="127"/>
      <c r="AO506" s="359"/>
      <c r="AP506" s="359"/>
      <c r="AQ506" s="359"/>
      <c r="AR506" s="359"/>
      <c r="AS506" s="359"/>
    </row>
    <row r="507">
      <c r="A507" s="131"/>
      <c r="B507" s="374"/>
      <c r="C507" s="127"/>
      <c r="D507" s="127"/>
      <c r="E507" s="127"/>
      <c r="F507" s="131"/>
      <c r="G507" s="374"/>
      <c r="H507" s="127"/>
      <c r="I507" s="127"/>
      <c r="J507" s="127"/>
      <c r="K507" s="383"/>
      <c r="L507" s="374"/>
      <c r="M507" s="127"/>
      <c r="N507" s="127"/>
      <c r="O507" s="127"/>
      <c r="P507" s="383"/>
      <c r="Q507" s="164"/>
      <c r="R507" s="127"/>
      <c r="S507" s="127"/>
      <c r="T507" s="127"/>
      <c r="U507" s="131"/>
      <c r="V507" s="374"/>
      <c r="W507" s="127"/>
      <c r="X507" s="127"/>
      <c r="Y507" s="127"/>
      <c r="Z507" s="131"/>
      <c r="AA507" s="374"/>
      <c r="AB507" s="127"/>
      <c r="AC507" s="127"/>
      <c r="AD507" s="127"/>
      <c r="AE507" s="131"/>
      <c r="AF507" s="374"/>
      <c r="AG507" s="127"/>
      <c r="AH507" s="127"/>
      <c r="AI507" s="127"/>
      <c r="AJ507" s="131"/>
      <c r="AK507" s="374"/>
      <c r="AL507" s="127"/>
      <c r="AM507" s="127"/>
      <c r="AN507" s="127"/>
      <c r="AO507" s="359"/>
      <c r="AP507" s="359"/>
      <c r="AQ507" s="359"/>
      <c r="AR507" s="359"/>
      <c r="AS507" s="359"/>
    </row>
    <row r="508">
      <c r="A508" s="131"/>
      <c r="B508" s="374"/>
      <c r="C508" s="127"/>
      <c r="D508" s="127"/>
      <c r="E508" s="127"/>
      <c r="F508" s="131"/>
      <c r="G508" s="374"/>
      <c r="H508" s="127"/>
      <c r="I508" s="127"/>
      <c r="J508" s="127"/>
      <c r="K508" s="383"/>
      <c r="L508" s="374"/>
      <c r="M508" s="127"/>
      <c r="N508" s="127"/>
      <c r="O508" s="127"/>
      <c r="P508" s="383"/>
      <c r="Q508" s="164"/>
      <c r="R508" s="127"/>
      <c r="S508" s="127"/>
      <c r="T508" s="127"/>
      <c r="U508" s="131"/>
      <c r="V508" s="374"/>
      <c r="W508" s="127"/>
      <c r="X508" s="127"/>
      <c r="Y508" s="127"/>
      <c r="Z508" s="131"/>
      <c r="AA508" s="374"/>
      <c r="AB508" s="127"/>
      <c r="AC508" s="127"/>
      <c r="AD508" s="127"/>
      <c r="AE508" s="131"/>
      <c r="AF508" s="374"/>
      <c r="AG508" s="127"/>
      <c r="AH508" s="127"/>
      <c r="AI508" s="127"/>
      <c r="AJ508" s="131"/>
      <c r="AK508" s="374"/>
      <c r="AL508" s="127"/>
      <c r="AM508" s="127"/>
      <c r="AN508" s="127"/>
      <c r="AO508" s="359"/>
      <c r="AP508" s="359"/>
      <c r="AQ508" s="359"/>
      <c r="AR508" s="359"/>
      <c r="AS508" s="359"/>
    </row>
    <row r="509">
      <c r="A509" s="131"/>
      <c r="B509" s="374"/>
      <c r="C509" s="127"/>
      <c r="D509" s="127"/>
      <c r="E509" s="127"/>
      <c r="F509" s="131"/>
      <c r="G509" s="374"/>
      <c r="H509" s="127"/>
      <c r="I509" s="127"/>
      <c r="J509" s="127"/>
      <c r="K509" s="383"/>
      <c r="L509" s="374"/>
      <c r="M509" s="127"/>
      <c r="N509" s="127"/>
      <c r="O509" s="127"/>
      <c r="P509" s="383"/>
      <c r="Q509" s="164"/>
      <c r="R509" s="127"/>
      <c r="S509" s="127"/>
      <c r="T509" s="127"/>
      <c r="U509" s="131"/>
      <c r="V509" s="374"/>
      <c r="W509" s="127"/>
      <c r="X509" s="127"/>
      <c r="Y509" s="127"/>
      <c r="Z509" s="131"/>
      <c r="AA509" s="374"/>
      <c r="AB509" s="127"/>
      <c r="AC509" s="127"/>
      <c r="AD509" s="127"/>
      <c r="AE509" s="131"/>
      <c r="AF509" s="374"/>
      <c r="AG509" s="127"/>
      <c r="AH509" s="127"/>
      <c r="AI509" s="127"/>
      <c r="AJ509" s="131"/>
      <c r="AK509" s="374"/>
      <c r="AL509" s="127"/>
      <c r="AM509" s="127"/>
      <c r="AN509" s="127"/>
      <c r="AO509" s="359"/>
      <c r="AP509" s="359"/>
      <c r="AQ509" s="359"/>
      <c r="AR509" s="359"/>
      <c r="AS509" s="359"/>
    </row>
    <row r="510">
      <c r="A510" s="131"/>
      <c r="B510" s="374"/>
      <c r="C510" s="127"/>
      <c r="D510" s="127"/>
      <c r="E510" s="127"/>
      <c r="F510" s="131"/>
      <c r="G510" s="374"/>
      <c r="H510" s="127"/>
      <c r="I510" s="127"/>
      <c r="J510" s="127"/>
      <c r="K510" s="383"/>
      <c r="L510" s="374"/>
      <c r="M510" s="127"/>
      <c r="N510" s="127"/>
      <c r="O510" s="127"/>
      <c r="P510" s="383"/>
      <c r="Q510" s="164"/>
      <c r="R510" s="127"/>
      <c r="S510" s="127"/>
      <c r="T510" s="127"/>
      <c r="U510" s="131"/>
      <c r="V510" s="374"/>
      <c r="W510" s="127"/>
      <c r="X510" s="127"/>
      <c r="Y510" s="127"/>
      <c r="Z510" s="131"/>
      <c r="AA510" s="374"/>
      <c r="AB510" s="127"/>
      <c r="AC510" s="127"/>
      <c r="AD510" s="127"/>
      <c r="AE510" s="131"/>
      <c r="AF510" s="374"/>
      <c r="AG510" s="127"/>
      <c r="AH510" s="127"/>
      <c r="AI510" s="127"/>
      <c r="AJ510" s="131"/>
      <c r="AK510" s="374"/>
      <c r="AL510" s="127"/>
      <c r="AM510" s="127"/>
      <c r="AN510" s="127"/>
      <c r="AO510" s="359"/>
      <c r="AP510" s="359"/>
      <c r="AQ510" s="359"/>
      <c r="AR510" s="359"/>
      <c r="AS510" s="359"/>
    </row>
    <row r="511">
      <c r="A511" s="131"/>
      <c r="B511" s="374"/>
      <c r="C511" s="127"/>
      <c r="D511" s="127"/>
      <c r="E511" s="127"/>
      <c r="F511" s="131"/>
      <c r="G511" s="374"/>
      <c r="H511" s="127"/>
      <c r="I511" s="127"/>
      <c r="J511" s="127"/>
      <c r="K511" s="383"/>
      <c r="L511" s="374"/>
      <c r="M511" s="127"/>
      <c r="N511" s="127"/>
      <c r="O511" s="127"/>
      <c r="P511" s="383"/>
      <c r="Q511" s="164"/>
      <c r="R511" s="127"/>
      <c r="S511" s="127"/>
      <c r="T511" s="127"/>
      <c r="U511" s="131"/>
      <c r="V511" s="374"/>
      <c r="W511" s="127"/>
      <c r="X511" s="127"/>
      <c r="Y511" s="127"/>
      <c r="Z511" s="131"/>
      <c r="AA511" s="374"/>
      <c r="AB511" s="127"/>
      <c r="AC511" s="127"/>
      <c r="AD511" s="127"/>
      <c r="AE511" s="131"/>
      <c r="AF511" s="374"/>
      <c r="AG511" s="127"/>
      <c r="AH511" s="127"/>
      <c r="AI511" s="127"/>
      <c r="AJ511" s="131"/>
      <c r="AK511" s="374"/>
      <c r="AL511" s="127"/>
      <c r="AM511" s="127"/>
      <c r="AN511" s="127"/>
      <c r="AO511" s="359"/>
      <c r="AP511" s="359"/>
      <c r="AQ511" s="359"/>
      <c r="AR511" s="359"/>
      <c r="AS511" s="359"/>
    </row>
    <row r="512">
      <c r="A512" s="131"/>
      <c r="B512" s="374"/>
      <c r="C512" s="127"/>
      <c r="D512" s="127"/>
      <c r="E512" s="127"/>
      <c r="F512" s="131"/>
      <c r="G512" s="374"/>
      <c r="H512" s="127"/>
      <c r="I512" s="127"/>
      <c r="J512" s="127"/>
      <c r="K512" s="383"/>
      <c r="L512" s="374"/>
      <c r="M512" s="127"/>
      <c r="N512" s="127"/>
      <c r="O512" s="127"/>
      <c r="P512" s="383"/>
      <c r="Q512" s="164"/>
      <c r="R512" s="127"/>
      <c r="S512" s="127"/>
      <c r="T512" s="127"/>
      <c r="U512" s="131"/>
      <c r="V512" s="374"/>
      <c r="W512" s="127"/>
      <c r="X512" s="127"/>
      <c r="Y512" s="127"/>
      <c r="Z512" s="131"/>
      <c r="AA512" s="374"/>
      <c r="AB512" s="127"/>
      <c r="AC512" s="127"/>
      <c r="AD512" s="127"/>
      <c r="AE512" s="131"/>
      <c r="AF512" s="374"/>
      <c r="AG512" s="127"/>
      <c r="AH512" s="127"/>
      <c r="AI512" s="127"/>
      <c r="AJ512" s="131"/>
      <c r="AK512" s="374"/>
      <c r="AL512" s="127"/>
      <c r="AM512" s="127"/>
      <c r="AN512" s="127"/>
      <c r="AO512" s="359"/>
      <c r="AP512" s="359"/>
      <c r="AQ512" s="359"/>
      <c r="AR512" s="359"/>
      <c r="AS512" s="359"/>
    </row>
    <row r="513">
      <c r="A513" s="131"/>
      <c r="B513" s="374"/>
      <c r="C513" s="127"/>
      <c r="D513" s="127"/>
      <c r="E513" s="127"/>
      <c r="F513" s="131"/>
      <c r="G513" s="374"/>
      <c r="H513" s="127"/>
      <c r="I513" s="127"/>
      <c r="J513" s="127"/>
      <c r="K513" s="383"/>
      <c r="L513" s="374"/>
      <c r="M513" s="127"/>
      <c r="N513" s="127"/>
      <c r="O513" s="127"/>
      <c r="P513" s="383"/>
      <c r="Q513" s="164"/>
      <c r="R513" s="127"/>
      <c r="S513" s="127"/>
      <c r="T513" s="127"/>
      <c r="U513" s="131"/>
      <c r="V513" s="374"/>
      <c r="W513" s="127"/>
      <c r="X513" s="127"/>
      <c r="Y513" s="127"/>
      <c r="Z513" s="131"/>
      <c r="AA513" s="374"/>
      <c r="AB513" s="127"/>
      <c r="AC513" s="127"/>
      <c r="AD513" s="127"/>
      <c r="AE513" s="131"/>
      <c r="AF513" s="374"/>
      <c r="AG513" s="127"/>
      <c r="AH513" s="127"/>
      <c r="AI513" s="127"/>
      <c r="AJ513" s="131"/>
      <c r="AK513" s="374"/>
      <c r="AL513" s="127"/>
      <c r="AM513" s="127"/>
      <c r="AN513" s="127"/>
      <c r="AO513" s="359"/>
      <c r="AP513" s="359"/>
      <c r="AQ513" s="359"/>
      <c r="AR513" s="359"/>
      <c r="AS513" s="359"/>
    </row>
    <row r="514">
      <c r="A514" s="131"/>
      <c r="B514" s="374"/>
      <c r="C514" s="127"/>
      <c r="D514" s="127"/>
      <c r="E514" s="127"/>
      <c r="F514" s="131"/>
      <c r="G514" s="374"/>
      <c r="H514" s="127"/>
      <c r="I514" s="127"/>
      <c r="J514" s="127"/>
      <c r="K514" s="383"/>
      <c r="L514" s="374"/>
      <c r="M514" s="127"/>
      <c r="N514" s="127"/>
      <c r="O514" s="127"/>
      <c r="P514" s="383"/>
      <c r="Q514" s="164"/>
      <c r="R514" s="127"/>
      <c r="S514" s="127"/>
      <c r="T514" s="127"/>
      <c r="U514" s="131"/>
      <c r="V514" s="374"/>
      <c r="W514" s="127"/>
      <c r="X514" s="127"/>
      <c r="Y514" s="127"/>
      <c r="Z514" s="131"/>
      <c r="AA514" s="374"/>
      <c r="AB514" s="127"/>
      <c r="AC514" s="127"/>
      <c r="AD514" s="127"/>
      <c r="AE514" s="131"/>
      <c r="AF514" s="374"/>
      <c r="AG514" s="127"/>
      <c r="AH514" s="127"/>
      <c r="AI514" s="127"/>
      <c r="AJ514" s="131"/>
      <c r="AK514" s="374"/>
      <c r="AL514" s="127"/>
      <c r="AM514" s="127"/>
      <c r="AN514" s="127"/>
      <c r="AO514" s="359"/>
      <c r="AP514" s="359"/>
      <c r="AQ514" s="359"/>
      <c r="AR514" s="359"/>
      <c r="AS514" s="359"/>
    </row>
    <row r="515">
      <c r="A515" s="131"/>
      <c r="B515" s="374"/>
      <c r="C515" s="127"/>
      <c r="D515" s="127"/>
      <c r="E515" s="127"/>
      <c r="F515" s="131"/>
      <c r="G515" s="374"/>
      <c r="H515" s="127"/>
      <c r="I515" s="127"/>
      <c r="J515" s="127"/>
      <c r="K515" s="383"/>
      <c r="L515" s="374"/>
      <c r="M515" s="127"/>
      <c r="N515" s="127"/>
      <c r="O515" s="127"/>
      <c r="P515" s="383"/>
      <c r="Q515" s="164"/>
      <c r="R515" s="127"/>
      <c r="S515" s="127"/>
      <c r="T515" s="127"/>
      <c r="U515" s="131"/>
      <c r="V515" s="374"/>
      <c r="W515" s="127"/>
      <c r="X515" s="127"/>
      <c r="Y515" s="127"/>
      <c r="Z515" s="131"/>
      <c r="AA515" s="374"/>
      <c r="AB515" s="127"/>
      <c r="AC515" s="127"/>
      <c r="AD515" s="127"/>
      <c r="AE515" s="131"/>
      <c r="AF515" s="374"/>
      <c r="AG515" s="127"/>
      <c r="AH515" s="127"/>
      <c r="AI515" s="127"/>
      <c r="AJ515" s="131"/>
      <c r="AK515" s="374"/>
      <c r="AL515" s="127"/>
      <c r="AM515" s="127"/>
      <c r="AN515" s="127"/>
      <c r="AO515" s="359"/>
      <c r="AP515" s="359"/>
      <c r="AQ515" s="359"/>
      <c r="AR515" s="359"/>
      <c r="AS515" s="359"/>
    </row>
    <row r="516">
      <c r="A516" s="131"/>
      <c r="B516" s="374"/>
      <c r="C516" s="127"/>
      <c r="D516" s="127"/>
      <c r="E516" s="127"/>
      <c r="F516" s="131"/>
      <c r="G516" s="374"/>
      <c r="H516" s="127"/>
      <c r="I516" s="127"/>
      <c r="J516" s="127"/>
      <c r="K516" s="383"/>
      <c r="L516" s="374"/>
      <c r="M516" s="127"/>
      <c r="N516" s="127"/>
      <c r="O516" s="127"/>
      <c r="P516" s="383"/>
      <c r="Q516" s="164"/>
      <c r="R516" s="127"/>
      <c r="S516" s="127"/>
      <c r="T516" s="127"/>
      <c r="U516" s="131"/>
      <c r="V516" s="374"/>
      <c r="W516" s="127"/>
      <c r="X516" s="127"/>
      <c r="Y516" s="127"/>
      <c r="Z516" s="131"/>
      <c r="AA516" s="374"/>
      <c r="AB516" s="127"/>
      <c r="AC516" s="127"/>
      <c r="AD516" s="127"/>
      <c r="AE516" s="131"/>
      <c r="AF516" s="374"/>
      <c r="AG516" s="127"/>
      <c r="AH516" s="127"/>
      <c r="AI516" s="127"/>
      <c r="AJ516" s="131"/>
      <c r="AK516" s="374"/>
      <c r="AL516" s="127"/>
      <c r="AM516" s="127"/>
      <c r="AN516" s="127"/>
      <c r="AO516" s="359"/>
      <c r="AP516" s="359"/>
      <c r="AQ516" s="359"/>
      <c r="AR516" s="359"/>
      <c r="AS516" s="359"/>
    </row>
    <row r="517">
      <c r="A517" s="131"/>
      <c r="B517" s="374"/>
      <c r="C517" s="127"/>
      <c r="D517" s="127"/>
      <c r="E517" s="127"/>
      <c r="F517" s="131"/>
      <c r="G517" s="374"/>
      <c r="H517" s="127"/>
      <c r="I517" s="127"/>
      <c r="J517" s="127"/>
      <c r="K517" s="383"/>
      <c r="L517" s="374"/>
      <c r="M517" s="127"/>
      <c r="N517" s="127"/>
      <c r="O517" s="127"/>
      <c r="P517" s="383"/>
      <c r="Q517" s="164"/>
      <c r="R517" s="127"/>
      <c r="S517" s="127"/>
      <c r="T517" s="127"/>
      <c r="U517" s="131"/>
      <c r="V517" s="374"/>
      <c r="W517" s="127"/>
      <c r="X517" s="127"/>
      <c r="Y517" s="127"/>
      <c r="Z517" s="131"/>
      <c r="AA517" s="374"/>
      <c r="AB517" s="127"/>
      <c r="AC517" s="127"/>
      <c r="AD517" s="127"/>
      <c r="AE517" s="131"/>
      <c r="AF517" s="374"/>
      <c r="AG517" s="127"/>
      <c r="AH517" s="127"/>
      <c r="AI517" s="127"/>
      <c r="AJ517" s="131"/>
      <c r="AK517" s="374"/>
      <c r="AL517" s="127"/>
      <c r="AM517" s="127"/>
      <c r="AN517" s="127"/>
      <c r="AO517" s="359"/>
      <c r="AP517" s="359"/>
      <c r="AQ517" s="359"/>
      <c r="AR517" s="359"/>
      <c r="AS517" s="359"/>
    </row>
    <row r="518">
      <c r="A518" s="131"/>
      <c r="B518" s="374"/>
      <c r="C518" s="127"/>
      <c r="D518" s="127"/>
      <c r="E518" s="127"/>
      <c r="F518" s="131"/>
      <c r="G518" s="374"/>
      <c r="H518" s="127"/>
      <c r="I518" s="127"/>
      <c r="J518" s="127"/>
      <c r="K518" s="383"/>
      <c r="L518" s="374"/>
      <c r="M518" s="127"/>
      <c r="N518" s="127"/>
      <c r="O518" s="127"/>
      <c r="P518" s="383"/>
      <c r="Q518" s="164"/>
      <c r="R518" s="127"/>
      <c r="S518" s="127"/>
      <c r="T518" s="127"/>
      <c r="U518" s="131"/>
      <c r="V518" s="374"/>
      <c r="W518" s="127"/>
      <c r="X518" s="127"/>
      <c r="Y518" s="127"/>
      <c r="Z518" s="131"/>
      <c r="AA518" s="374"/>
      <c r="AB518" s="127"/>
      <c r="AC518" s="127"/>
      <c r="AD518" s="127"/>
      <c r="AE518" s="131"/>
      <c r="AF518" s="374"/>
      <c r="AG518" s="127"/>
      <c r="AH518" s="127"/>
      <c r="AI518" s="127"/>
      <c r="AJ518" s="131"/>
      <c r="AK518" s="374"/>
      <c r="AL518" s="127"/>
      <c r="AM518" s="127"/>
      <c r="AN518" s="127"/>
      <c r="AO518" s="359"/>
      <c r="AP518" s="359"/>
      <c r="AQ518" s="359"/>
      <c r="AR518" s="359"/>
      <c r="AS518" s="359"/>
    </row>
    <row r="519">
      <c r="A519" s="131"/>
      <c r="B519" s="374"/>
      <c r="C519" s="127"/>
      <c r="D519" s="127"/>
      <c r="E519" s="127"/>
      <c r="F519" s="131"/>
      <c r="G519" s="374"/>
      <c r="H519" s="127"/>
      <c r="I519" s="127"/>
      <c r="J519" s="127"/>
      <c r="K519" s="383"/>
      <c r="L519" s="374"/>
      <c r="M519" s="127"/>
      <c r="N519" s="127"/>
      <c r="O519" s="127"/>
      <c r="P519" s="383"/>
      <c r="Q519" s="164"/>
      <c r="R519" s="127"/>
      <c r="S519" s="127"/>
      <c r="T519" s="127"/>
      <c r="U519" s="131"/>
      <c r="V519" s="374"/>
      <c r="W519" s="127"/>
      <c r="X519" s="127"/>
      <c r="Y519" s="127"/>
      <c r="Z519" s="131"/>
      <c r="AA519" s="374"/>
      <c r="AB519" s="127"/>
      <c r="AC519" s="127"/>
      <c r="AD519" s="127"/>
      <c r="AE519" s="131"/>
      <c r="AF519" s="374"/>
      <c r="AG519" s="127"/>
      <c r="AH519" s="127"/>
      <c r="AI519" s="127"/>
      <c r="AJ519" s="131"/>
      <c r="AK519" s="374"/>
      <c r="AL519" s="127"/>
      <c r="AM519" s="127"/>
      <c r="AN519" s="127"/>
      <c r="AO519" s="359"/>
      <c r="AP519" s="359"/>
      <c r="AQ519" s="359"/>
      <c r="AR519" s="359"/>
      <c r="AS519" s="359"/>
    </row>
    <row r="520">
      <c r="A520" s="131"/>
      <c r="B520" s="374"/>
      <c r="C520" s="127"/>
      <c r="D520" s="127"/>
      <c r="E520" s="127"/>
      <c r="F520" s="131"/>
      <c r="G520" s="374"/>
      <c r="H520" s="127"/>
      <c r="I520" s="127"/>
      <c r="J520" s="127"/>
      <c r="K520" s="383"/>
      <c r="L520" s="374"/>
      <c r="M520" s="127"/>
      <c r="N520" s="127"/>
      <c r="O520" s="127"/>
      <c r="P520" s="383"/>
      <c r="Q520" s="164"/>
      <c r="R520" s="127"/>
      <c r="S520" s="127"/>
      <c r="T520" s="127"/>
      <c r="U520" s="131"/>
      <c r="V520" s="374"/>
      <c r="W520" s="127"/>
      <c r="X520" s="127"/>
      <c r="Y520" s="127"/>
      <c r="Z520" s="131"/>
      <c r="AA520" s="374"/>
      <c r="AB520" s="127"/>
      <c r="AC520" s="127"/>
      <c r="AD520" s="127"/>
      <c r="AE520" s="131"/>
      <c r="AF520" s="374"/>
      <c r="AG520" s="127"/>
      <c r="AH520" s="127"/>
      <c r="AI520" s="127"/>
      <c r="AJ520" s="131"/>
      <c r="AK520" s="374"/>
      <c r="AL520" s="127"/>
      <c r="AM520" s="127"/>
      <c r="AN520" s="127"/>
      <c r="AO520" s="359"/>
      <c r="AP520" s="359"/>
      <c r="AQ520" s="359"/>
      <c r="AR520" s="359"/>
      <c r="AS520" s="359"/>
    </row>
    <row r="521">
      <c r="A521" s="131"/>
      <c r="B521" s="374"/>
      <c r="C521" s="127"/>
      <c r="D521" s="127"/>
      <c r="E521" s="127"/>
      <c r="F521" s="131"/>
      <c r="G521" s="374"/>
      <c r="H521" s="127"/>
      <c r="I521" s="127"/>
      <c r="J521" s="127"/>
      <c r="K521" s="383"/>
      <c r="L521" s="374"/>
      <c r="M521" s="127"/>
      <c r="N521" s="127"/>
      <c r="O521" s="127"/>
      <c r="P521" s="383"/>
      <c r="Q521" s="164"/>
      <c r="R521" s="127"/>
      <c r="S521" s="127"/>
      <c r="T521" s="127"/>
      <c r="U521" s="131"/>
      <c r="V521" s="374"/>
      <c r="W521" s="127"/>
      <c r="X521" s="127"/>
      <c r="Y521" s="127"/>
      <c r="Z521" s="131"/>
      <c r="AA521" s="374"/>
      <c r="AB521" s="127"/>
      <c r="AC521" s="127"/>
      <c r="AD521" s="127"/>
      <c r="AE521" s="131"/>
      <c r="AF521" s="374"/>
      <c r="AG521" s="127"/>
      <c r="AH521" s="127"/>
      <c r="AI521" s="127"/>
      <c r="AJ521" s="131"/>
      <c r="AK521" s="374"/>
      <c r="AL521" s="127"/>
      <c r="AM521" s="127"/>
      <c r="AN521" s="127"/>
      <c r="AO521" s="359"/>
      <c r="AP521" s="359"/>
      <c r="AQ521" s="359"/>
      <c r="AR521" s="359"/>
      <c r="AS521" s="359"/>
    </row>
    <row r="522">
      <c r="A522" s="131"/>
      <c r="B522" s="374"/>
      <c r="C522" s="127"/>
      <c r="D522" s="127"/>
      <c r="E522" s="127"/>
      <c r="F522" s="131"/>
      <c r="G522" s="374"/>
      <c r="H522" s="127"/>
      <c r="I522" s="127"/>
      <c r="J522" s="127"/>
      <c r="K522" s="383"/>
      <c r="L522" s="374"/>
      <c r="M522" s="127"/>
      <c r="N522" s="127"/>
      <c r="O522" s="127"/>
      <c r="P522" s="383"/>
      <c r="Q522" s="164"/>
      <c r="R522" s="127"/>
      <c r="S522" s="127"/>
      <c r="T522" s="127"/>
      <c r="U522" s="131"/>
      <c r="V522" s="374"/>
      <c r="W522" s="127"/>
      <c r="X522" s="127"/>
      <c r="Y522" s="127"/>
      <c r="Z522" s="131"/>
      <c r="AA522" s="374"/>
      <c r="AB522" s="127"/>
      <c r="AC522" s="127"/>
      <c r="AD522" s="127"/>
      <c r="AE522" s="131"/>
      <c r="AF522" s="374"/>
      <c r="AG522" s="127"/>
      <c r="AH522" s="127"/>
      <c r="AI522" s="127"/>
      <c r="AJ522" s="131"/>
      <c r="AK522" s="374"/>
      <c r="AL522" s="127"/>
      <c r="AM522" s="127"/>
      <c r="AN522" s="127"/>
      <c r="AO522" s="359"/>
      <c r="AP522" s="359"/>
      <c r="AQ522" s="359"/>
      <c r="AR522" s="359"/>
      <c r="AS522" s="359"/>
    </row>
    <row r="523">
      <c r="A523" s="131"/>
      <c r="B523" s="374"/>
      <c r="C523" s="127"/>
      <c r="D523" s="127"/>
      <c r="E523" s="127"/>
      <c r="F523" s="131"/>
      <c r="G523" s="374"/>
      <c r="H523" s="127"/>
      <c r="I523" s="127"/>
      <c r="J523" s="127"/>
      <c r="K523" s="383"/>
      <c r="L523" s="374"/>
      <c r="M523" s="127"/>
      <c r="N523" s="127"/>
      <c r="O523" s="127"/>
      <c r="P523" s="383"/>
      <c r="Q523" s="164"/>
      <c r="R523" s="127"/>
      <c r="S523" s="127"/>
      <c r="T523" s="127"/>
      <c r="U523" s="131"/>
      <c r="V523" s="374"/>
      <c r="W523" s="127"/>
      <c r="X523" s="127"/>
      <c r="Y523" s="127"/>
      <c r="Z523" s="131"/>
      <c r="AA523" s="374"/>
      <c r="AB523" s="127"/>
      <c r="AC523" s="127"/>
      <c r="AD523" s="127"/>
      <c r="AE523" s="131"/>
      <c r="AF523" s="374"/>
      <c r="AG523" s="127"/>
      <c r="AH523" s="127"/>
      <c r="AI523" s="127"/>
      <c r="AJ523" s="131"/>
      <c r="AK523" s="374"/>
      <c r="AL523" s="127"/>
      <c r="AM523" s="127"/>
      <c r="AN523" s="127"/>
      <c r="AO523" s="359"/>
      <c r="AP523" s="359"/>
      <c r="AQ523" s="359"/>
      <c r="AR523" s="359"/>
      <c r="AS523" s="359"/>
    </row>
    <row r="524">
      <c r="A524" s="131"/>
      <c r="B524" s="374"/>
      <c r="C524" s="127"/>
      <c r="D524" s="127"/>
      <c r="E524" s="127"/>
      <c r="F524" s="131"/>
      <c r="G524" s="374"/>
      <c r="H524" s="127"/>
      <c r="I524" s="127"/>
      <c r="J524" s="127"/>
      <c r="K524" s="383"/>
      <c r="L524" s="374"/>
      <c r="M524" s="127"/>
      <c r="N524" s="127"/>
      <c r="O524" s="127"/>
      <c r="P524" s="383"/>
      <c r="Q524" s="164"/>
      <c r="R524" s="127"/>
      <c r="S524" s="127"/>
      <c r="T524" s="127"/>
      <c r="U524" s="131"/>
      <c r="V524" s="374"/>
      <c r="W524" s="127"/>
      <c r="X524" s="127"/>
      <c r="Y524" s="127"/>
      <c r="Z524" s="131"/>
      <c r="AA524" s="374"/>
      <c r="AB524" s="127"/>
      <c r="AC524" s="127"/>
      <c r="AD524" s="127"/>
      <c r="AE524" s="131"/>
      <c r="AF524" s="374"/>
      <c r="AG524" s="127"/>
      <c r="AH524" s="127"/>
      <c r="AI524" s="127"/>
      <c r="AJ524" s="131"/>
      <c r="AK524" s="374"/>
      <c r="AL524" s="127"/>
      <c r="AM524" s="127"/>
      <c r="AN524" s="127"/>
      <c r="AO524" s="359"/>
      <c r="AP524" s="359"/>
      <c r="AQ524" s="359"/>
      <c r="AR524" s="359"/>
      <c r="AS524" s="359"/>
    </row>
    <row r="525">
      <c r="A525" s="131"/>
      <c r="B525" s="374"/>
      <c r="C525" s="127"/>
      <c r="D525" s="127"/>
      <c r="E525" s="127"/>
      <c r="F525" s="131"/>
      <c r="G525" s="374"/>
      <c r="H525" s="127"/>
      <c r="I525" s="127"/>
      <c r="J525" s="127"/>
      <c r="K525" s="383"/>
      <c r="L525" s="374"/>
      <c r="M525" s="127"/>
      <c r="N525" s="127"/>
      <c r="O525" s="127"/>
      <c r="P525" s="383"/>
      <c r="Q525" s="164"/>
      <c r="R525" s="127"/>
      <c r="S525" s="127"/>
      <c r="T525" s="127"/>
      <c r="U525" s="131"/>
      <c r="V525" s="374"/>
      <c r="W525" s="127"/>
      <c r="X525" s="127"/>
      <c r="Y525" s="127"/>
      <c r="Z525" s="131"/>
      <c r="AA525" s="374"/>
      <c r="AB525" s="127"/>
      <c r="AC525" s="127"/>
      <c r="AD525" s="127"/>
      <c r="AE525" s="131"/>
      <c r="AF525" s="374"/>
      <c r="AG525" s="127"/>
      <c r="AH525" s="127"/>
      <c r="AI525" s="127"/>
      <c r="AJ525" s="131"/>
      <c r="AK525" s="374"/>
      <c r="AL525" s="127"/>
      <c r="AM525" s="127"/>
      <c r="AN525" s="127"/>
      <c r="AO525" s="359"/>
      <c r="AP525" s="359"/>
      <c r="AQ525" s="359"/>
      <c r="AR525" s="359"/>
      <c r="AS525" s="359"/>
    </row>
    <row r="526">
      <c r="A526" s="131"/>
      <c r="B526" s="374"/>
      <c r="C526" s="127"/>
      <c r="D526" s="127"/>
      <c r="E526" s="127"/>
      <c r="F526" s="131"/>
      <c r="G526" s="374"/>
      <c r="H526" s="127"/>
      <c r="I526" s="127"/>
      <c r="J526" s="127"/>
      <c r="K526" s="383"/>
      <c r="L526" s="374"/>
      <c r="M526" s="127"/>
      <c r="N526" s="127"/>
      <c r="O526" s="127"/>
      <c r="P526" s="383"/>
      <c r="Q526" s="164"/>
      <c r="R526" s="127"/>
      <c r="S526" s="127"/>
      <c r="T526" s="127"/>
      <c r="U526" s="131"/>
      <c r="V526" s="374"/>
      <c r="W526" s="127"/>
      <c r="X526" s="127"/>
      <c r="Y526" s="127"/>
      <c r="Z526" s="131"/>
      <c r="AA526" s="374"/>
      <c r="AB526" s="127"/>
      <c r="AC526" s="127"/>
      <c r="AD526" s="127"/>
      <c r="AE526" s="131"/>
      <c r="AF526" s="374"/>
      <c r="AG526" s="127"/>
      <c r="AH526" s="127"/>
      <c r="AI526" s="127"/>
      <c r="AJ526" s="131"/>
      <c r="AK526" s="374"/>
      <c r="AL526" s="127"/>
      <c r="AM526" s="127"/>
      <c r="AN526" s="127"/>
      <c r="AO526" s="359"/>
      <c r="AP526" s="359"/>
      <c r="AQ526" s="359"/>
      <c r="AR526" s="359"/>
      <c r="AS526" s="359"/>
    </row>
    <row r="527">
      <c r="A527" s="131"/>
      <c r="B527" s="374"/>
      <c r="C527" s="127"/>
      <c r="D527" s="127"/>
      <c r="E527" s="127"/>
      <c r="F527" s="131"/>
      <c r="G527" s="374"/>
      <c r="H527" s="127"/>
      <c r="I527" s="127"/>
      <c r="J527" s="127"/>
      <c r="K527" s="383"/>
      <c r="L527" s="374"/>
      <c r="M527" s="127"/>
      <c r="N527" s="127"/>
      <c r="O527" s="127"/>
      <c r="P527" s="383"/>
      <c r="Q527" s="164"/>
      <c r="R527" s="127"/>
      <c r="S527" s="127"/>
      <c r="T527" s="127"/>
      <c r="U527" s="131"/>
      <c r="V527" s="374"/>
      <c r="W527" s="127"/>
      <c r="X527" s="127"/>
      <c r="Y527" s="127"/>
      <c r="Z527" s="131"/>
      <c r="AA527" s="374"/>
      <c r="AB527" s="127"/>
      <c r="AC527" s="127"/>
      <c r="AD527" s="127"/>
      <c r="AE527" s="131"/>
      <c r="AF527" s="374"/>
      <c r="AG527" s="127"/>
      <c r="AH527" s="127"/>
      <c r="AI527" s="127"/>
      <c r="AJ527" s="131"/>
      <c r="AK527" s="374"/>
      <c r="AL527" s="127"/>
      <c r="AM527" s="127"/>
      <c r="AN527" s="127"/>
      <c r="AO527" s="359"/>
      <c r="AP527" s="359"/>
      <c r="AQ527" s="359"/>
      <c r="AR527" s="359"/>
      <c r="AS527" s="359"/>
    </row>
    <row r="528">
      <c r="A528" s="131"/>
      <c r="B528" s="374"/>
      <c r="C528" s="127"/>
      <c r="D528" s="127"/>
      <c r="E528" s="127"/>
      <c r="F528" s="131"/>
      <c r="G528" s="374"/>
      <c r="H528" s="127"/>
      <c r="I528" s="127"/>
      <c r="J528" s="127"/>
      <c r="K528" s="383"/>
      <c r="L528" s="374"/>
      <c r="M528" s="127"/>
      <c r="N528" s="127"/>
      <c r="O528" s="127"/>
      <c r="P528" s="383"/>
      <c r="Q528" s="164"/>
      <c r="R528" s="127"/>
      <c r="S528" s="127"/>
      <c r="T528" s="127"/>
      <c r="U528" s="131"/>
      <c r="V528" s="374"/>
      <c r="W528" s="127"/>
      <c r="X528" s="127"/>
      <c r="Y528" s="127"/>
      <c r="Z528" s="131"/>
      <c r="AA528" s="374"/>
      <c r="AB528" s="127"/>
      <c r="AC528" s="127"/>
      <c r="AD528" s="127"/>
      <c r="AE528" s="131"/>
      <c r="AF528" s="374"/>
      <c r="AG528" s="127"/>
      <c r="AH528" s="127"/>
      <c r="AI528" s="127"/>
      <c r="AJ528" s="131"/>
      <c r="AK528" s="374"/>
      <c r="AL528" s="127"/>
      <c r="AM528" s="127"/>
      <c r="AN528" s="127"/>
      <c r="AO528" s="359"/>
      <c r="AP528" s="359"/>
      <c r="AQ528" s="359"/>
      <c r="AR528" s="359"/>
      <c r="AS528" s="359"/>
    </row>
    <row r="529">
      <c r="A529" s="131"/>
      <c r="B529" s="374"/>
      <c r="C529" s="127"/>
      <c r="D529" s="127"/>
      <c r="E529" s="127"/>
      <c r="F529" s="131"/>
      <c r="G529" s="374"/>
      <c r="H529" s="127"/>
      <c r="I529" s="127"/>
      <c r="J529" s="127"/>
      <c r="K529" s="383"/>
      <c r="L529" s="374"/>
      <c r="M529" s="127"/>
      <c r="N529" s="127"/>
      <c r="O529" s="127"/>
      <c r="P529" s="383"/>
      <c r="Q529" s="164"/>
      <c r="R529" s="127"/>
      <c r="S529" s="127"/>
      <c r="T529" s="127"/>
      <c r="U529" s="131"/>
      <c r="V529" s="374"/>
      <c r="W529" s="127"/>
      <c r="X529" s="127"/>
      <c r="Y529" s="127"/>
      <c r="Z529" s="131"/>
      <c r="AA529" s="374"/>
      <c r="AB529" s="127"/>
      <c r="AC529" s="127"/>
      <c r="AD529" s="127"/>
      <c r="AE529" s="131"/>
      <c r="AF529" s="374"/>
      <c r="AG529" s="127"/>
      <c r="AH529" s="127"/>
      <c r="AI529" s="127"/>
      <c r="AJ529" s="131"/>
      <c r="AK529" s="374"/>
      <c r="AL529" s="127"/>
      <c r="AM529" s="127"/>
      <c r="AN529" s="127"/>
      <c r="AO529" s="359"/>
      <c r="AP529" s="359"/>
      <c r="AQ529" s="359"/>
      <c r="AR529" s="359"/>
      <c r="AS529" s="359"/>
    </row>
    <row r="530">
      <c r="A530" s="131"/>
      <c r="B530" s="374"/>
      <c r="C530" s="127"/>
      <c r="D530" s="127"/>
      <c r="E530" s="127"/>
      <c r="F530" s="131"/>
      <c r="G530" s="374"/>
      <c r="H530" s="127"/>
      <c r="I530" s="127"/>
      <c r="J530" s="127"/>
      <c r="K530" s="383"/>
      <c r="L530" s="374"/>
      <c r="M530" s="127"/>
      <c r="N530" s="127"/>
      <c r="O530" s="127"/>
      <c r="P530" s="383"/>
      <c r="Q530" s="164"/>
      <c r="R530" s="127"/>
      <c r="S530" s="127"/>
      <c r="T530" s="127"/>
      <c r="U530" s="131"/>
      <c r="V530" s="374"/>
      <c r="W530" s="127"/>
      <c r="X530" s="127"/>
      <c r="Y530" s="127"/>
      <c r="Z530" s="131"/>
      <c r="AA530" s="374"/>
      <c r="AB530" s="127"/>
      <c r="AC530" s="127"/>
      <c r="AD530" s="127"/>
      <c r="AE530" s="131"/>
      <c r="AF530" s="374"/>
      <c r="AG530" s="127"/>
      <c r="AH530" s="127"/>
      <c r="AI530" s="127"/>
      <c r="AJ530" s="131"/>
      <c r="AK530" s="374"/>
      <c r="AL530" s="127"/>
      <c r="AM530" s="127"/>
      <c r="AN530" s="127"/>
      <c r="AO530" s="359"/>
      <c r="AP530" s="359"/>
      <c r="AQ530" s="359"/>
      <c r="AR530" s="359"/>
      <c r="AS530" s="359"/>
    </row>
    <row r="531">
      <c r="A531" s="131"/>
      <c r="B531" s="374"/>
      <c r="C531" s="127"/>
      <c r="D531" s="127"/>
      <c r="E531" s="127"/>
      <c r="F531" s="131"/>
      <c r="G531" s="374"/>
      <c r="H531" s="127"/>
      <c r="I531" s="127"/>
      <c r="J531" s="127"/>
      <c r="K531" s="383"/>
      <c r="L531" s="374"/>
      <c r="M531" s="127"/>
      <c r="N531" s="127"/>
      <c r="O531" s="127"/>
      <c r="P531" s="383"/>
      <c r="Q531" s="164"/>
      <c r="R531" s="127"/>
      <c r="S531" s="127"/>
      <c r="T531" s="127"/>
      <c r="U531" s="131"/>
      <c r="V531" s="374"/>
      <c r="W531" s="127"/>
      <c r="X531" s="127"/>
      <c r="Y531" s="127"/>
      <c r="Z531" s="131"/>
      <c r="AA531" s="374"/>
      <c r="AB531" s="127"/>
      <c r="AC531" s="127"/>
      <c r="AD531" s="127"/>
      <c r="AE531" s="131"/>
      <c r="AF531" s="374"/>
      <c r="AG531" s="127"/>
      <c r="AH531" s="127"/>
      <c r="AI531" s="127"/>
      <c r="AJ531" s="131"/>
      <c r="AK531" s="374"/>
      <c r="AL531" s="127"/>
      <c r="AM531" s="127"/>
      <c r="AN531" s="127"/>
      <c r="AO531" s="359"/>
      <c r="AP531" s="359"/>
      <c r="AQ531" s="359"/>
      <c r="AR531" s="359"/>
      <c r="AS531" s="359"/>
    </row>
    <row r="532">
      <c r="A532" s="131"/>
      <c r="B532" s="374"/>
      <c r="C532" s="127"/>
      <c r="D532" s="127"/>
      <c r="E532" s="127"/>
      <c r="F532" s="131"/>
      <c r="G532" s="374"/>
      <c r="H532" s="127"/>
      <c r="I532" s="127"/>
      <c r="J532" s="127"/>
      <c r="K532" s="383"/>
      <c r="L532" s="374"/>
      <c r="M532" s="127"/>
      <c r="N532" s="127"/>
      <c r="O532" s="127"/>
      <c r="P532" s="383"/>
      <c r="Q532" s="164"/>
      <c r="R532" s="127"/>
      <c r="S532" s="127"/>
      <c r="T532" s="127"/>
      <c r="U532" s="131"/>
      <c r="V532" s="374"/>
      <c r="W532" s="127"/>
      <c r="X532" s="127"/>
      <c r="Y532" s="127"/>
      <c r="Z532" s="131"/>
      <c r="AA532" s="374"/>
      <c r="AB532" s="127"/>
      <c r="AC532" s="127"/>
      <c r="AD532" s="127"/>
      <c r="AE532" s="131"/>
      <c r="AF532" s="374"/>
      <c r="AG532" s="127"/>
      <c r="AH532" s="127"/>
      <c r="AI532" s="127"/>
      <c r="AJ532" s="131"/>
      <c r="AK532" s="374"/>
      <c r="AL532" s="127"/>
      <c r="AM532" s="127"/>
      <c r="AN532" s="127"/>
      <c r="AO532" s="359"/>
      <c r="AP532" s="359"/>
      <c r="AQ532" s="359"/>
      <c r="AR532" s="359"/>
      <c r="AS532" s="359"/>
    </row>
    <row r="533">
      <c r="A533" s="131"/>
      <c r="B533" s="374"/>
      <c r="C533" s="127"/>
      <c r="D533" s="127"/>
      <c r="E533" s="127"/>
      <c r="F533" s="131"/>
      <c r="G533" s="374"/>
      <c r="H533" s="127"/>
      <c r="I533" s="127"/>
      <c r="J533" s="127"/>
      <c r="K533" s="383"/>
      <c r="L533" s="374"/>
      <c r="M533" s="127"/>
      <c r="N533" s="127"/>
      <c r="O533" s="127"/>
      <c r="P533" s="383"/>
      <c r="Q533" s="164"/>
      <c r="R533" s="127"/>
      <c r="S533" s="127"/>
      <c r="T533" s="127"/>
      <c r="U533" s="131"/>
      <c r="V533" s="374"/>
      <c r="W533" s="127"/>
      <c r="X533" s="127"/>
      <c r="Y533" s="127"/>
      <c r="Z533" s="131"/>
      <c r="AA533" s="374"/>
      <c r="AB533" s="127"/>
      <c r="AC533" s="127"/>
      <c r="AD533" s="127"/>
      <c r="AE533" s="131"/>
      <c r="AF533" s="374"/>
      <c r="AG533" s="127"/>
      <c r="AH533" s="127"/>
      <c r="AI533" s="127"/>
      <c r="AJ533" s="131"/>
      <c r="AK533" s="374"/>
      <c r="AL533" s="127"/>
      <c r="AM533" s="127"/>
      <c r="AN533" s="127"/>
      <c r="AO533" s="359"/>
      <c r="AP533" s="359"/>
      <c r="AQ533" s="359"/>
      <c r="AR533" s="359"/>
      <c r="AS533" s="359"/>
    </row>
    <row r="534">
      <c r="A534" s="131"/>
      <c r="B534" s="374"/>
      <c r="C534" s="127"/>
      <c r="D534" s="127"/>
      <c r="E534" s="127"/>
      <c r="F534" s="131"/>
      <c r="G534" s="374"/>
      <c r="H534" s="127"/>
      <c r="I534" s="127"/>
      <c r="J534" s="127"/>
      <c r="K534" s="383"/>
      <c r="L534" s="374"/>
      <c r="M534" s="127"/>
      <c r="N534" s="127"/>
      <c r="O534" s="127"/>
      <c r="P534" s="383"/>
      <c r="Q534" s="164"/>
      <c r="R534" s="127"/>
      <c r="S534" s="127"/>
      <c r="T534" s="127"/>
      <c r="U534" s="131"/>
      <c r="V534" s="374"/>
      <c r="W534" s="127"/>
      <c r="X534" s="127"/>
      <c r="Y534" s="127"/>
      <c r="Z534" s="131"/>
      <c r="AA534" s="374"/>
      <c r="AB534" s="127"/>
      <c r="AC534" s="127"/>
      <c r="AD534" s="127"/>
      <c r="AE534" s="131"/>
      <c r="AF534" s="374"/>
      <c r="AG534" s="127"/>
      <c r="AH534" s="127"/>
      <c r="AI534" s="127"/>
      <c r="AJ534" s="131"/>
      <c r="AK534" s="374"/>
      <c r="AL534" s="127"/>
      <c r="AM534" s="127"/>
      <c r="AN534" s="127"/>
      <c r="AO534" s="359"/>
      <c r="AP534" s="359"/>
      <c r="AQ534" s="359"/>
      <c r="AR534" s="359"/>
      <c r="AS534" s="359"/>
    </row>
    <row r="535">
      <c r="A535" s="131"/>
      <c r="B535" s="374"/>
      <c r="C535" s="127"/>
      <c r="D535" s="127"/>
      <c r="E535" s="127"/>
      <c r="F535" s="131"/>
      <c r="G535" s="374"/>
      <c r="H535" s="127"/>
      <c r="I535" s="127"/>
      <c r="J535" s="127"/>
      <c r="K535" s="383"/>
      <c r="L535" s="374"/>
      <c r="M535" s="127"/>
      <c r="N535" s="127"/>
      <c r="O535" s="127"/>
      <c r="P535" s="383"/>
      <c r="Q535" s="164"/>
      <c r="R535" s="127"/>
      <c r="S535" s="127"/>
      <c r="T535" s="127"/>
      <c r="U535" s="131"/>
      <c r="V535" s="374"/>
      <c r="W535" s="127"/>
      <c r="X535" s="127"/>
      <c r="Y535" s="127"/>
      <c r="Z535" s="131"/>
      <c r="AA535" s="374"/>
      <c r="AB535" s="127"/>
      <c r="AC535" s="127"/>
      <c r="AD535" s="127"/>
      <c r="AE535" s="131"/>
      <c r="AF535" s="374"/>
      <c r="AG535" s="127"/>
      <c r="AH535" s="127"/>
      <c r="AI535" s="127"/>
      <c r="AJ535" s="131"/>
      <c r="AK535" s="374"/>
      <c r="AL535" s="127"/>
      <c r="AM535" s="127"/>
      <c r="AN535" s="127"/>
      <c r="AO535" s="359"/>
      <c r="AP535" s="359"/>
      <c r="AQ535" s="359"/>
      <c r="AR535" s="359"/>
      <c r="AS535" s="359"/>
    </row>
    <row r="536">
      <c r="A536" s="131"/>
      <c r="B536" s="374"/>
      <c r="C536" s="127"/>
      <c r="D536" s="127"/>
      <c r="E536" s="127"/>
      <c r="F536" s="131"/>
      <c r="G536" s="374"/>
      <c r="H536" s="127"/>
      <c r="I536" s="127"/>
      <c r="J536" s="127"/>
      <c r="K536" s="383"/>
      <c r="L536" s="374"/>
      <c r="M536" s="127"/>
      <c r="N536" s="127"/>
      <c r="O536" s="127"/>
      <c r="P536" s="383"/>
      <c r="Q536" s="164"/>
      <c r="R536" s="127"/>
      <c r="S536" s="127"/>
      <c r="T536" s="127"/>
      <c r="U536" s="131"/>
      <c r="V536" s="374"/>
      <c r="W536" s="127"/>
      <c r="X536" s="127"/>
      <c r="Y536" s="127"/>
      <c r="Z536" s="131"/>
      <c r="AA536" s="374"/>
      <c r="AB536" s="127"/>
      <c r="AC536" s="127"/>
      <c r="AD536" s="127"/>
      <c r="AE536" s="131"/>
      <c r="AF536" s="374"/>
      <c r="AG536" s="127"/>
      <c r="AH536" s="127"/>
      <c r="AI536" s="127"/>
      <c r="AJ536" s="131"/>
      <c r="AK536" s="374"/>
      <c r="AL536" s="127"/>
      <c r="AM536" s="127"/>
      <c r="AN536" s="127"/>
      <c r="AO536" s="359"/>
      <c r="AP536" s="359"/>
      <c r="AQ536" s="359"/>
      <c r="AR536" s="359"/>
      <c r="AS536" s="359"/>
    </row>
    <row r="537">
      <c r="A537" s="131"/>
      <c r="B537" s="374"/>
      <c r="C537" s="127"/>
      <c r="D537" s="127"/>
      <c r="E537" s="127"/>
      <c r="F537" s="131"/>
      <c r="G537" s="374"/>
      <c r="H537" s="127"/>
      <c r="I537" s="127"/>
      <c r="J537" s="127"/>
      <c r="K537" s="383"/>
      <c r="L537" s="374"/>
      <c r="M537" s="127"/>
      <c r="N537" s="127"/>
      <c r="O537" s="127"/>
      <c r="P537" s="383"/>
      <c r="Q537" s="164"/>
      <c r="R537" s="127"/>
      <c r="S537" s="127"/>
      <c r="T537" s="127"/>
      <c r="U537" s="131"/>
      <c r="V537" s="374"/>
      <c r="W537" s="127"/>
      <c r="X537" s="127"/>
      <c r="Y537" s="127"/>
      <c r="Z537" s="131"/>
      <c r="AA537" s="374"/>
      <c r="AB537" s="127"/>
      <c r="AC537" s="127"/>
      <c r="AD537" s="127"/>
      <c r="AE537" s="131"/>
      <c r="AF537" s="374"/>
      <c r="AG537" s="127"/>
      <c r="AH537" s="127"/>
      <c r="AI537" s="127"/>
      <c r="AJ537" s="131"/>
      <c r="AK537" s="374"/>
      <c r="AL537" s="127"/>
      <c r="AM537" s="127"/>
      <c r="AN537" s="127"/>
      <c r="AO537" s="359"/>
      <c r="AP537" s="359"/>
      <c r="AQ537" s="359"/>
      <c r="AR537" s="359"/>
      <c r="AS537" s="359"/>
    </row>
    <row r="538">
      <c r="A538" s="131"/>
      <c r="B538" s="374"/>
      <c r="C538" s="127"/>
      <c r="D538" s="127"/>
      <c r="E538" s="127"/>
      <c r="F538" s="131"/>
      <c r="G538" s="374"/>
      <c r="H538" s="127"/>
      <c r="I538" s="127"/>
      <c r="J538" s="127"/>
      <c r="K538" s="383"/>
      <c r="L538" s="374"/>
      <c r="M538" s="127"/>
      <c r="N538" s="127"/>
      <c r="O538" s="127"/>
      <c r="P538" s="383"/>
      <c r="Q538" s="164"/>
      <c r="R538" s="127"/>
      <c r="S538" s="127"/>
      <c r="T538" s="127"/>
      <c r="U538" s="131"/>
      <c r="V538" s="374"/>
      <c r="W538" s="127"/>
      <c r="X538" s="127"/>
      <c r="Y538" s="127"/>
      <c r="Z538" s="131"/>
      <c r="AA538" s="374"/>
      <c r="AB538" s="127"/>
      <c r="AC538" s="127"/>
      <c r="AD538" s="127"/>
      <c r="AE538" s="131"/>
      <c r="AF538" s="374"/>
      <c r="AG538" s="127"/>
      <c r="AH538" s="127"/>
      <c r="AI538" s="127"/>
      <c r="AJ538" s="131"/>
      <c r="AK538" s="374"/>
      <c r="AL538" s="127"/>
      <c r="AM538" s="127"/>
      <c r="AN538" s="127"/>
      <c r="AO538" s="359"/>
      <c r="AP538" s="359"/>
      <c r="AQ538" s="359"/>
      <c r="AR538" s="359"/>
      <c r="AS538" s="359"/>
    </row>
    <row r="539">
      <c r="A539" s="131"/>
      <c r="B539" s="374"/>
      <c r="C539" s="127"/>
      <c r="D539" s="127"/>
      <c r="E539" s="127"/>
      <c r="F539" s="131"/>
      <c r="G539" s="374"/>
      <c r="H539" s="127"/>
      <c r="I539" s="127"/>
      <c r="J539" s="127"/>
      <c r="K539" s="383"/>
      <c r="L539" s="374"/>
      <c r="M539" s="127"/>
      <c r="N539" s="127"/>
      <c r="O539" s="127"/>
      <c r="P539" s="383"/>
      <c r="Q539" s="164"/>
      <c r="R539" s="127"/>
      <c r="S539" s="127"/>
      <c r="T539" s="127"/>
      <c r="U539" s="131"/>
      <c r="V539" s="374"/>
      <c r="W539" s="127"/>
      <c r="X539" s="127"/>
      <c r="Y539" s="127"/>
      <c r="Z539" s="131"/>
      <c r="AA539" s="374"/>
      <c r="AB539" s="127"/>
      <c r="AC539" s="127"/>
      <c r="AD539" s="127"/>
      <c r="AE539" s="131"/>
      <c r="AF539" s="374"/>
      <c r="AG539" s="127"/>
      <c r="AH539" s="127"/>
      <c r="AI539" s="127"/>
      <c r="AJ539" s="131"/>
      <c r="AK539" s="374"/>
      <c r="AL539" s="127"/>
      <c r="AM539" s="127"/>
      <c r="AN539" s="127"/>
      <c r="AO539" s="359"/>
      <c r="AP539" s="359"/>
      <c r="AQ539" s="359"/>
      <c r="AR539" s="359"/>
      <c r="AS539" s="359"/>
    </row>
    <row r="540">
      <c r="A540" s="131"/>
      <c r="B540" s="374"/>
      <c r="C540" s="127"/>
      <c r="D540" s="127"/>
      <c r="E540" s="127"/>
      <c r="F540" s="131"/>
      <c r="G540" s="374"/>
      <c r="H540" s="127"/>
      <c r="I540" s="127"/>
      <c r="J540" s="127"/>
      <c r="K540" s="383"/>
      <c r="L540" s="374"/>
      <c r="M540" s="127"/>
      <c r="N540" s="127"/>
      <c r="O540" s="127"/>
      <c r="P540" s="383"/>
      <c r="Q540" s="164"/>
      <c r="R540" s="127"/>
      <c r="S540" s="127"/>
      <c r="T540" s="127"/>
      <c r="U540" s="131"/>
      <c r="V540" s="374"/>
      <c r="W540" s="127"/>
      <c r="X540" s="127"/>
      <c r="Y540" s="127"/>
      <c r="Z540" s="131"/>
      <c r="AA540" s="374"/>
      <c r="AB540" s="127"/>
      <c r="AC540" s="127"/>
      <c r="AD540" s="127"/>
      <c r="AE540" s="131"/>
      <c r="AF540" s="374"/>
      <c r="AG540" s="127"/>
      <c r="AH540" s="127"/>
      <c r="AI540" s="127"/>
      <c r="AJ540" s="131"/>
      <c r="AK540" s="374"/>
      <c r="AL540" s="127"/>
      <c r="AM540" s="127"/>
      <c r="AN540" s="127"/>
      <c r="AO540" s="359"/>
      <c r="AP540" s="359"/>
      <c r="AQ540" s="359"/>
      <c r="AR540" s="359"/>
      <c r="AS540" s="359"/>
    </row>
    <row r="541">
      <c r="A541" s="131"/>
      <c r="B541" s="374"/>
      <c r="C541" s="127"/>
      <c r="D541" s="127"/>
      <c r="E541" s="127"/>
      <c r="F541" s="131"/>
      <c r="G541" s="374"/>
      <c r="H541" s="127"/>
      <c r="I541" s="127"/>
      <c r="J541" s="127"/>
      <c r="K541" s="383"/>
      <c r="L541" s="374"/>
      <c r="M541" s="127"/>
      <c r="N541" s="127"/>
      <c r="O541" s="127"/>
      <c r="P541" s="383"/>
      <c r="Q541" s="164"/>
      <c r="R541" s="127"/>
      <c r="S541" s="127"/>
      <c r="T541" s="127"/>
      <c r="U541" s="131"/>
      <c r="V541" s="374"/>
      <c r="W541" s="127"/>
      <c r="X541" s="127"/>
      <c r="Y541" s="127"/>
      <c r="Z541" s="131"/>
      <c r="AA541" s="374"/>
      <c r="AB541" s="127"/>
      <c r="AC541" s="127"/>
      <c r="AD541" s="127"/>
      <c r="AE541" s="131"/>
      <c r="AF541" s="374"/>
      <c r="AG541" s="127"/>
      <c r="AH541" s="127"/>
      <c r="AI541" s="127"/>
      <c r="AJ541" s="131"/>
      <c r="AK541" s="374"/>
      <c r="AL541" s="127"/>
      <c r="AM541" s="127"/>
      <c r="AN541" s="127"/>
      <c r="AO541" s="359"/>
      <c r="AP541" s="359"/>
      <c r="AQ541" s="359"/>
      <c r="AR541" s="359"/>
      <c r="AS541" s="359"/>
    </row>
    <row r="542">
      <c r="A542" s="131"/>
      <c r="B542" s="374"/>
      <c r="C542" s="127"/>
      <c r="D542" s="127"/>
      <c r="E542" s="127"/>
      <c r="F542" s="131"/>
      <c r="G542" s="374"/>
      <c r="H542" s="127"/>
      <c r="I542" s="127"/>
      <c r="J542" s="127"/>
      <c r="K542" s="383"/>
      <c r="L542" s="374"/>
      <c r="M542" s="127"/>
      <c r="N542" s="127"/>
      <c r="O542" s="127"/>
      <c r="P542" s="383"/>
      <c r="Q542" s="164"/>
      <c r="R542" s="127"/>
      <c r="S542" s="127"/>
      <c r="T542" s="127"/>
      <c r="U542" s="131"/>
      <c r="V542" s="374"/>
      <c r="W542" s="127"/>
      <c r="X542" s="127"/>
      <c r="Y542" s="127"/>
      <c r="Z542" s="131"/>
      <c r="AA542" s="374"/>
      <c r="AB542" s="127"/>
      <c r="AC542" s="127"/>
      <c r="AD542" s="127"/>
      <c r="AE542" s="131"/>
      <c r="AF542" s="374"/>
      <c r="AG542" s="127"/>
      <c r="AH542" s="127"/>
      <c r="AI542" s="127"/>
      <c r="AJ542" s="131"/>
      <c r="AK542" s="374"/>
      <c r="AL542" s="127"/>
      <c r="AM542" s="127"/>
      <c r="AN542" s="127"/>
      <c r="AO542" s="359"/>
      <c r="AP542" s="359"/>
      <c r="AQ542" s="359"/>
      <c r="AR542" s="359"/>
      <c r="AS542" s="359"/>
    </row>
    <row r="543">
      <c r="A543" s="131"/>
      <c r="B543" s="374"/>
      <c r="C543" s="127"/>
      <c r="D543" s="127"/>
      <c r="E543" s="127"/>
      <c r="F543" s="131"/>
      <c r="G543" s="374"/>
      <c r="H543" s="127"/>
      <c r="I543" s="127"/>
      <c r="J543" s="127"/>
      <c r="K543" s="383"/>
      <c r="L543" s="374"/>
      <c r="M543" s="127"/>
      <c r="N543" s="127"/>
      <c r="O543" s="127"/>
      <c r="P543" s="383"/>
      <c r="Q543" s="164"/>
      <c r="R543" s="127"/>
      <c r="S543" s="127"/>
      <c r="T543" s="127"/>
      <c r="U543" s="131"/>
      <c r="V543" s="374"/>
      <c r="W543" s="127"/>
      <c r="X543" s="127"/>
      <c r="Y543" s="127"/>
      <c r="Z543" s="131"/>
      <c r="AA543" s="374"/>
      <c r="AB543" s="127"/>
      <c r="AC543" s="127"/>
      <c r="AD543" s="127"/>
      <c r="AE543" s="131"/>
      <c r="AF543" s="374"/>
      <c r="AG543" s="127"/>
      <c r="AH543" s="127"/>
      <c r="AI543" s="127"/>
      <c r="AJ543" s="131"/>
      <c r="AK543" s="374"/>
      <c r="AL543" s="127"/>
      <c r="AM543" s="127"/>
      <c r="AN543" s="127"/>
      <c r="AO543" s="359"/>
      <c r="AP543" s="359"/>
      <c r="AQ543" s="359"/>
      <c r="AR543" s="359"/>
      <c r="AS543" s="359"/>
    </row>
    <row r="544">
      <c r="A544" s="131"/>
      <c r="B544" s="374"/>
      <c r="C544" s="127"/>
      <c r="D544" s="127"/>
      <c r="E544" s="127"/>
      <c r="F544" s="131"/>
      <c r="G544" s="374"/>
      <c r="H544" s="127"/>
      <c r="I544" s="127"/>
      <c r="J544" s="127"/>
      <c r="K544" s="383"/>
      <c r="L544" s="374"/>
      <c r="M544" s="127"/>
      <c r="N544" s="127"/>
      <c r="O544" s="127"/>
      <c r="P544" s="383"/>
      <c r="Q544" s="164"/>
      <c r="R544" s="127"/>
      <c r="S544" s="127"/>
      <c r="T544" s="127"/>
      <c r="U544" s="131"/>
      <c r="V544" s="374"/>
      <c r="W544" s="127"/>
      <c r="X544" s="127"/>
      <c r="Y544" s="127"/>
      <c r="Z544" s="131"/>
      <c r="AA544" s="374"/>
      <c r="AB544" s="127"/>
      <c r="AC544" s="127"/>
      <c r="AD544" s="127"/>
      <c r="AE544" s="131"/>
      <c r="AF544" s="374"/>
      <c r="AG544" s="127"/>
      <c r="AH544" s="127"/>
      <c r="AI544" s="127"/>
      <c r="AJ544" s="131"/>
      <c r="AK544" s="374"/>
      <c r="AL544" s="127"/>
      <c r="AM544" s="127"/>
      <c r="AN544" s="127"/>
      <c r="AO544" s="359"/>
      <c r="AP544" s="359"/>
      <c r="AQ544" s="359"/>
      <c r="AR544" s="359"/>
      <c r="AS544" s="359"/>
    </row>
    <row r="545">
      <c r="A545" s="131"/>
      <c r="B545" s="374"/>
      <c r="C545" s="127"/>
      <c r="D545" s="127"/>
      <c r="E545" s="127"/>
      <c r="F545" s="131"/>
      <c r="G545" s="374"/>
      <c r="H545" s="127"/>
      <c r="I545" s="127"/>
      <c r="J545" s="127"/>
      <c r="K545" s="383"/>
      <c r="L545" s="374"/>
      <c r="M545" s="127"/>
      <c r="N545" s="127"/>
      <c r="O545" s="127"/>
      <c r="P545" s="383"/>
      <c r="Q545" s="164"/>
      <c r="R545" s="127"/>
      <c r="S545" s="127"/>
      <c r="T545" s="127"/>
      <c r="U545" s="131"/>
      <c r="V545" s="374"/>
      <c r="W545" s="127"/>
      <c r="X545" s="127"/>
      <c r="Y545" s="127"/>
      <c r="Z545" s="131"/>
      <c r="AA545" s="374"/>
      <c r="AB545" s="127"/>
      <c r="AC545" s="127"/>
      <c r="AD545" s="127"/>
      <c r="AE545" s="131"/>
      <c r="AF545" s="374"/>
      <c r="AG545" s="127"/>
      <c r="AH545" s="127"/>
      <c r="AI545" s="127"/>
      <c r="AJ545" s="131"/>
      <c r="AK545" s="374"/>
      <c r="AL545" s="127"/>
      <c r="AM545" s="127"/>
      <c r="AN545" s="127"/>
      <c r="AO545" s="359"/>
      <c r="AP545" s="359"/>
      <c r="AQ545" s="359"/>
      <c r="AR545" s="359"/>
      <c r="AS545" s="359"/>
    </row>
    <row r="546">
      <c r="A546" s="131"/>
      <c r="B546" s="374"/>
      <c r="C546" s="127"/>
      <c r="D546" s="127"/>
      <c r="E546" s="127"/>
      <c r="F546" s="131"/>
      <c r="G546" s="374"/>
      <c r="H546" s="127"/>
      <c r="I546" s="127"/>
      <c r="J546" s="127"/>
      <c r="K546" s="383"/>
      <c r="L546" s="374"/>
      <c r="M546" s="127"/>
      <c r="N546" s="127"/>
      <c r="O546" s="127"/>
      <c r="P546" s="383"/>
      <c r="Q546" s="164"/>
      <c r="R546" s="127"/>
      <c r="S546" s="127"/>
      <c r="T546" s="127"/>
      <c r="U546" s="131"/>
      <c r="V546" s="374"/>
      <c r="W546" s="127"/>
      <c r="X546" s="127"/>
      <c r="Y546" s="127"/>
      <c r="Z546" s="131"/>
      <c r="AA546" s="374"/>
      <c r="AB546" s="127"/>
      <c r="AC546" s="127"/>
      <c r="AD546" s="127"/>
      <c r="AE546" s="131"/>
      <c r="AF546" s="374"/>
      <c r="AG546" s="127"/>
      <c r="AH546" s="127"/>
      <c r="AI546" s="127"/>
      <c r="AJ546" s="131"/>
      <c r="AK546" s="374"/>
      <c r="AL546" s="127"/>
      <c r="AM546" s="127"/>
      <c r="AN546" s="127"/>
      <c r="AO546" s="359"/>
      <c r="AP546" s="359"/>
      <c r="AQ546" s="359"/>
      <c r="AR546" s="359"/>
      <c r="AS546" s="359"/>
    </row>
    <row r="547">
      <c r="A547" s="131"/>
      <c r="B547" s="374"/>
      <c r="C547" s="127"/>
      <c r="D547" s="127"/>
      <c r="E547" s="127"/>
      <c r="F547" s="131"/>
      <c r="G547" s="374"/>
      <c r="H547" s="127"/>
      <c r="I547" s="127"/>
      <c r="J547" s="127"/>
      <c r="K547" s="383"/>
      <c r="L547" s="374"/>
      <c r="M547" s="127"/>
      <c r="N547" s="127"/>
      <c r="O547" s="127"/>
      <c r="P547" s="383"/>
      <c r="Q547" s="164"/>
      <c r="R547" s="127"/>
      <c r="S547" s="127"/>
      <c r="T547" s="127"/>
      <c r="U547" s="131"/>
      <c r="V547" s="374"/>
      <c r="W547" s="127"/>
      <c r="X547" s="127"/>
      <c r="Y547" s="127"/>
      <c r="Z547" s="131"/>
      <c r="AA547" s="374"/>
      <c r="AB547" s="127"/>
      <c r="AC547" s="127"/>
      <c r="AD547" s="127"/>
      <c r="AE547" s="131"/>
      <c r="AF547" s="374"/>
      <c r="AG547" s="127"/>
      <c r="AH547" s="127"/>
      <c r="AI547" s="127"/>
      <c r="AJ547" s="131"/>
      <c r="AK547" s="374"/>
      <c r="AL547" s="127"/>
      <c r="AM547" s="127"/>
      <c r="AN547" s="127"/>
      <c r="AO547" s="359"/>
      <c r="AP547" s="359"/>
      <c r="AQ547" s="359"/>
      <c r="AR547" s="359"/>
      <c r="AS547" s="359"/>
    </row>
    <row r="548">
      <c r="A548" s="131"/>
      <c r="B548" s="374"/>
      <c r="C548" s="127"/>
      <c r="D548" s="127"/>
      <c r="E548" s="127"/>
      <c r="F548" s="131"/>
      <c r="G548" s="374"/>
      <c r="H548" s="127"/>
      <c r="I548" s="127"/>
      <c r="J548" s="127"/>
      <c r="K548" s="383"/>
      <c r="L548" s="374"/>
      <c r="M548" s="127"/>
      <c r="N548" s="127"/>
      <c r="O548" s="127"/>
      <c r="P548" s="383"/>
      <c r="Q548" s="164"/>
      <c r="R548" s="127"/>
      <c r="S548" s="127"/>
      <c r="T548" s="127"/>
      <c r="U548" s="131"/>
      <c r="V548" s="374"/>
      <c r="W548" s="127"/>
      <c r="X548" s="127"/>
      <c r="Y548" s="127"/>
      <c r="Z548" s="131"/>
      <c r="AA548" s="374"/>
      <c r="AB548" s="127"/>
      <c r="AC548" s="127"/>
      <c r="AD548" s="127"/>
      <c r="AE548" s="131"/>
      <c r="AF548" s="374"/>
      <c r="AG548" s="127"/>
      <c r="AH548" s="127"/>
      <c r="AI548" s="127"/>
      <c r="AJ548" s="131"/>
      <c r="AK548" s="374"/>
      <c r="AL548" s="127"/>
      <c r="AM548" s="127"/>
      <c r="AN548" s="127"/>
      <c r="AO548" s="359"/>
      <c r="AP548" s="359"/>
      <c r="AQ548" s="359"/>
      <c r="AR548" s="359"/>
      <c r="AS548" s="359"/>
    </row>
    <row r="549">
      <c r="A549" s="131"/>
      <c r="B549" s="374"/>
      <c r="C549" s="127"/>
      <c r="D549" s="127"/>
      <c r="E549" s="127"/>
      <c r="F549" s="131"/>
      <c r="G549" s="374"/>
      <c r="H549" s="127"/>
      <c r="I549" s="127"/>
      <c r="J549" s="127"/>
      <c r="K549" s="383"/>
      <c r="L549" s="374"/>
      <c r="M549" s="127"/>
      <c r="N549" s="127"/>
      <c r="O549" s="127"/>
      <c r="P549" s="383"/>
      <c r="Q549" s="164"/>
      <c r="R549" s="127"/>
      <c r="S549" s="127"/>
      <c r="T549" s="127"/>
      <c r="U549" s="131"/>
      <c r="V549" s="374"/>
      <c r="W549" s="127"/>
      <c r="X549" s="127"/>
      <c r="Y549" s="127"/>
      <c r="Z549" s="131"/>
      <c r="AA549" s="374"/>
      <c r="AB549" s="127"/>
      <c r="AC549" s="127"/>
      <c r="AD549" s="127"/>
      <c r="AE549" s="131"/>
      <c r="AF549" s="374"/>
      <c r="AG549" s="127"/>
      <c r="AH549" s="127"/>
      <c r="AI549" s="127"/>
      <c r="AJ549" s="131"/>
      <c r="AK549" s="374"/>
      <c r="AL549" s="127"/>
      <c r="AM549" s="127"/>
      <c r="AN549" s="127"/>
      <c r="AO549" s="359"/>
      <c r="AP549" s="359"/>
      <c r="AQ549" s="359"/>
      <c r="AR549" s="359"/>
      <c r="AS549" s="359"/>
    </row>
    <row r="550">
      <c r="A550" s="131"/>
      <c r="B550" s="374"/>
      <c r="C550" s="127"/>
      <c r="D550" s="127"/>
      <c r="E550" s="127"/>
      <c r="F550" s="131"/>
      <c r="G550" s="374"/>
      <c r="H550" s="127"/>
      <c r="I550" s="127"/>
      <c r="J550" s="127"/>
      <c r="K550" s="383"/>
      <c r="L550" s="374"/>
      <c r="M550" s="127"/>
      <c r="N550" s="127"/>
      <c r="O550" s="127"/>
      <c r="P550" s="383"/>
      <c r="Q550" s="164"/>
      <c r="R550" s="127"/>
      <c r="S550" s="127"/>
      <c r="T550" s="127"/>
      <c r="U550" s="131"/>
      <c r="V550" s="374"/>
      <c r="W550" s="127"/>
      <c r="X550" s="127"/>
      <c r="Y550" s="127"/>
      <c r="Z550" s="131"/>
      <c r="AA550" s="374"/>
      <c r="AB550" s="127"/>
      <c r="AC550" s="127"/>
      <c r="AD550" s="127"/>
      <c r="AE550" s="131"/>
      <c r="AF550" s="374"/>
      <c r="AG550" s="127"/>
      <c r="AH550" s="127"/>
      <c r="AI550" s="127"/>
      <c r="AJ550" s="131"/>
      <c r="AK550" s="374"/>
      <c r="AL550" s="127"/>
      <c r="AM550" s="127"/>
      <c r="AN550" s="127"/>
      <c r="AO550" s="359"/>
      <c r="AP550" s="359"/>
      <c r="AQ550" s="359"/>
      <c r="AR550" s="359"/>
      <c r="AS550" s="359"/>
    </row>
    <row r="551">
      <c r="A551" s="131"/>
      <c r="B551" s="374"/>
      <c r="C551" s="127"/>
      <c r="D551" s="127"/>
      <c r="E551" s="127"/>
      <c r="F551" s="131"/>
      <c r="G551" s="374"/>
      <c r="H551" s="127"/>
      <c r="I551" s="127"/>
      <c r="J551" s="127"/>
      <c r="K551" s="383"/>
      <c r="L551" s="374"/>
      <c r="M551" s="127"/>
      <c r="N551" s="127"/>
      <c r="O551" s="127"/>
      <c r="P551" s="383"/>
      <c r="Q551" s="164"/>
      <c r="R551" s="127"/>
      <c r="S551" s="127"/>
      <c r="T551" s="127"/>
      <c r="U551" s="131"/>
      <c r="V551" s="374"/>
      <c r="W551" s="127"/>
      <c r="X551" s="127"/>
      <c r="Y551" s="127"/>
      <c r="Z551" s="131"/>
      <c r="AA551" s="374"/>
      <c r="AB551" s="127"/>
      <c r="AC551" s="127"/>
      <c r="AD551" s="127"/>
      <c r="AE551" s="131"/>
      <c r="AF551" s="374"/>
      <c r="AG551" s="127"/>
      <c r="AH551" s="127"/>
      <c r="AI551" s="127"/>
      <c r="AJ551" s="131"/>
      <c r="AK551" s="374"/>
      <c r="AL551" s="127"/>
      <c r="AM551" s="127"/>
      <c r="AN551" s="127"/>
      <c r="AO551" s="359"/>
      <c r="AP551" s="359"/>
      <c r="AQ551" s="359"/>
      <c r="AR551" s="359"/>
      <c r="AS551" s="359"/>
    </row>
    <row r="552">
      <c r="A552" s="131"/>
      <c r="B552" s="374"/>
      <c r="C552" s="127"/>
      <c r="D552" s="127"/>
      <c r="E552" s="127"/>
      <c r="F552" s="131"/>
      <c r="G552" s="374"/>
      <c r="H552" s="127"/>
      <c r="I552" s="127"/>
      <c r="J552" s="127"/>
      <c r="K552" s="383"/>
      <c r="L552" s="374"/>
      <c r="M552" s="127"/>
      <c r="N552" s="127"/>
      <c r="O552" s="127"/>
      <c r="P552" s="383"/>
      <c r="Q552" s="164"/>
      <c r="R552" s="127"/>
      <c r="S552" s="127"/>
      <c r="T552" s="127"/>
      <c r="U552" s="131"/>
      <c r="V552" s="374"/>
      <c r="W552" s="127"/>
      <c r="X552" s="127"/>
      <c r="Y552" s="127"/>
      <c r="Z552" s="131"/>
      <c r="AA552" s="374"/>
      <c r="AB552" s="127"/>
      <c r="AC552" s="127"/>
      <c r="AD552" s="127"/>
      <c r="AE552" s="131"/>
      <c r="AF552" s="374"/>
      <c r="AG552" s="127"/>
      <c r="AH552" s="127"/>
      <c r="AI552" s="127"/>
      <c r="AJ552" s="131"/>
      <c r="AK552" s="374"/>
      <c r="AL552" s="127"/>
      <c r="AM552" s="127"/>
      <c r="AN552" s="127"/>
      <c r="AO552" s="359"/>
      <c r="AP552" s="359"/>
      <c r="AQ552" s="359"/>
      <c r="AR552" s="359"/>
      <c r="AS552" s="359"/>
    </row>
    <row r="553">
      <c r="A553" s="131"/>
      <c r="B553" s="374"/>
      <c r="C553" s="127"/>
      <c r="D553" s="127"/>
      <c r="E553" s="127"/>
      <c r="F553" s="131"/>
      <c r="G553" s="374"/>
      <c r="H553" s="127"/>
      <c r="I553" s="127"/>
      <c r="J553" s="127"/>
      <c r="K553" s="383"/>
      <c r="L553" s="374"/>
      <c r="M553" s="127"/>
      <c r="N553" s="127"/>
      <c r="O553" s="127"/>
      <c r="P553" s="383"/>
      <c r="Q553" s="164"/>
      <c r="R553" s="127"/>
      <c r="S553" s="127"/>
      <c r="T553" s="127"/>
      <c r="U553" s="131"/>
      <c r="V553" s="374"/>
      <c r="W553" s="127"/>
      <c r="X553" s="127"/>
      <c r="Y553" s="127"/>
      <c r="Z553" s="131"/>
      <c r="AA553" s="374"/>
      <c r="AB553" s="127"/>
      <c r="AC553" s="127"/>
      <c r="AD553" s="127"/>
      <c r="AE553" s="131"/>
      <c r="AF553" s="374"/>
      <c r="AG553" s="127"/>
      <c r="AH553" s="127"/>
      <c r="AI553" s="127"/>
      <c r="AJ553" s="131"/>
      <c r="AK553" s="374"/>
      <c r="AL553" s="127"/>
      <c r="AM553" s="127"/>
      <c r="AN553" s="127"/>
      <c r="AO553" s="359"/>
      <c r="AP553" s="359"/>
      <c r="AQ553" s="359"/>
      <c r="AR553" s="359"/>
      <c r="AS553" s="359"/>
    </row>
    <row r="554">
      <c r="A554" s="131"/>
      <c r="B554" s="374"/>
      <c r="C554" s="127"/>
      <c r="D554" s="127"/>
      <c r="E554" s="127"/>
      <c r="F554" s="131"/>
      <c r="G554" s="374"/>
      <c r="H554" s="127"/>
      <c r="I554" s="127"/>
      <c r="J554" s="127"/>
      <c r="K554" s="383"/>
      <c r="L554" s="374"/>
      <c r="M554" s="127"/>
      <c r="N554" s="127"/>
      <c r="O554" s="127"/>
      <c r="P554" s="383"/>
      <c r="Q554" s="164"/>
      <c r="R554" s="127"/>
      <c r="S554" s="127"/>
      <c r="T554" s="127"/>
      <c r="U554" s="131"/>
      <c r="V554" s="374"/>
      <c r="W554" s="127"/>
      <c r="X554" s="127"/>
      <c r="Y554" s="127"/>
      <c r="Z554" s="131"/>
      <c r="AA554" s="374"/>
      <c r="AB554" s="127"/>
      <c r="AC554" s="127"/>
      <c r="AD554" s="127"/>
      <c r="AE554" s="131"/>
      <c r="AF554" s="374"/>
      <c r="AG554" s="127"/>
      <c r="AH554" s="127"/>
      <c r="AI554" s="127"/>
      <c r="AJ554" s="131"/>
      <c r="AK554" s="374"/>
      <c r="AL554" s="127"/>
      <c r="AM554" s="127"/>
      <c r="AN554" s="127"/>
      <c r="AO554" s="359"/>
      <c r="AP554" s="359"/>
      <c r="AQ554" s="359"/>
      <c r="AR554" s="359"/>
      <c r="AS554" s="359"/>
    </row>
    <row r="555">
      <c r="A555" s="131"/>
      <c r="B555" s="374"/>
      <c r="C555" s="127"/>
      <c r="D555" s="127"/>
      <c r="E555" s="127"/>
      <c r="F555" s="131"/>
      <c r="G555" s="374"/>
      <c r="H555" s="127"/>
      <c r="I555" s="127"/>
      <c r="J555" s="127"/>
      <c r="K555" s="383"/>
      <c r="L555" s="374"/>
      <c r="M555" s="127"/>
      <c r="N555" s="127"/>
      <c r="O555" s="127"/>
      <c r="P555" s="383"/>
      <c r="Q555" s="164"/>
      <c r="R555" s="127"/>
      <c r="S555" s="127"/>
      <c r="T555" s="127"/>
      <c r="U555" s="131"/>
      <c r="V555" s="374"/>
      <c r="W555" s="127"/>
      <c r="X555" s="127"/>
      <c r="Y555" s="127"/>
      <c r="Z555" s="131"/>
      <c r="AA555" s="374"/>
      <c r="AB555" s="127"/>
      <c r="AC555" s="127"/>
      <c r="AD555" s="127"/>
      <c r="AE555" s="131"/>
      <c r="AF555" s="374"/>
      <c r="AG555" s="127"/>
      <c r="AH555" s="127"/>
      <c r="AI555" s="127"/>
      <c r="AJ555" s="131"/>
      <c r="AK555" s="374"/>
      <c r="AL555" s="127"/>
      <c r="AM555" s="127"/>
      <c r="AN555" s="127"/>
      <c r="AO555" s="359"/>
      <c r="AP555" s="359"/>
      <c r="AQ555" s="359"/>
      <c r="AR555" s="359"/>
      <c r="AS555" s="359"/>
    </row>
    <row r="556">
      <c r="A556" s="131"/>
      <c r="B556" s="374"/>
      <c r="C556" s="127"/>
      <c r="D556" s="127"/>
      <c r="E556" s="127"/>
      <c r="F556" s="131"/>
      <c r="G556" s="374"/>
      <c r="H556" s="127"/>
      <c r="I556" s="127"/>
      <c r="J556" s="127"/>
      <c r="K556" s="383"/>
      <c r="L556" s="374"/>
      <c r="M556" s="127"/>
      <c r="N556" s="127"/>
      <c r="O556" s="127"/>
      <c r="P556" s="383"/>
      <c r="Q556" s="164"/>
      <c r="R556" s="127"/>
      <c r="S556" s="127"/>
      <c r="T556" s="127"/>
      <c r="U556" s="131"/>
      <c r="V556" s="374"/>
      <c r="W556" s="127"/>
      <c r="X556" s="127"/>
      <c r="Y556" s="127"/>
      <c r="Z556" s="131"/>
      <c r="AA556" s="374"/>
      <c r="AB556" s="127"/>
      <c r="AC556" s="127"/>
      <c r="AD556" s="127"/>
      <c r="AE556" s="131"/>
      <c r="AF556" s="374"/>
      <c r="AG556" s="127"/>
      <c r="AH556" s="127"/>
      <c r="AI556" s="127"/>
      <c r="AJ556" s="131"/>
      <c r="AK556" s="374"/>
      <c r="AL556" s="127"/>
      <c r="AM556" s="127"/>
      <c r="AN556" s="127"/>
      <c r="AO556" s="359"/>
      <c r="AP556" s="359"/>
      <c r="AQ556" s="359"/>
      <c r="AR556" s="359"/>
      <c r="AS556" s="359"/>
    </row>
    <row r="557">
      <c r="A557" s="131"/>
      <c r="B557" s="374"/>
      <c r="C557" s="127"/>
      <c r="D557" s="127"/>
      <c r="E557" s="127"/>
      <c r="F557" s="131"/>
      <c r="G557" s="374"/>
      <c r="H557" s="127"/>
      <c r="I557" s="127"/>
      <c r="J557" s="127"/>
      <c r="K557" s="383"/>
      <c r="L557" s="374"/>
      <c r="M557" s="127"/>
      <c r="N557" s="127"/>
      <c r="O557" s="127"/>
      <c r="P557" s="383"/>
      <c r="Q557" s="164"/>
      <c r="R557" s="127"/>
      <c r="S557" s="127"/>
      <c r="T557" s="127"/>
      <c r="U557" s="131"/>
      <c r="V557" s="374"/>
      <c r="W557" s="127"/>
      <c r="X557" s="127"/>
      <c r="Y557" s="127"/>
      <c r="Z557" s="131"/>
      <c r="AA557" s="374"/>
      <c r="AB557" s="127"/>
      <c r="AC557" s="127"/>
      <c r="AD557" s="127"/>
      <c r="AE557" s="131"/>
      <c r="AF557" s="374"/>
      <c r="AG557" s="127"/>
      <c r="AH557" s="127"/>
      <c r="AI557" s="127"/>
      <c r="AJ557" s="131"/>
      <c r="AK557" s="374"/>
      <c r="AL557" s="127"/>
      <c r="AM557" s="127"/>
      <c r="AN557" s="127"/>
      <c r="AO557" s="359"/>
      <c r="AP557" s="359"/>
      <c r="AQ557" s="359"/>
      <c r="AR557" s="359"/>
      <c r="AS557" s="359"/>
    </row>
    <row r="558">
      <c r="A558" s="131"/>
      <c r="B558" s="374"/>
      <c r="C558" s="127"/>
      <c r="D558" s="127"/>
      <c r="E558" s="127"/>
      <c r="F558" s="131"/>
      <c r="G558" s="374"/>
      <c r="H558" s="127"/>
      <c r="I558" s="127"/>
      <c r="J558" s="127"/>
      <c r="K558" s="383"/>
      <c r="L558" s="374"/>
      <c r="M558" s="127"/>
      <c r="N558" s="127"/>
      <c r="O558" s="127"/>
      <c r="P558" s="383"/>
      <c r="Q558" s="164"/>
      <c r="R558" s="127"/>
      <c r="S558" s="127"/>
      <c r="T558" s="127"/>
      <c r="U558" s="131"/>
      <c r="V558" s="374"/>
      <c r="W558" s="127"/>
      <c r="X558" s="127"/>
      <c r="Y558" s="127"/>
      <c r="Z558" s="131"/>
      <c r="AA558" s="374"/>
      <c r="AB558" s="127"/>
      <c r="AC558" s="127"/>
      <c r="AD558" s="127"/>
      <c r="AE558" s="131"/>
      <c r="AF558" s="374"/>
      <c r="AG558" s="127"/>
      <c r="AH558" s="127"/>
      <c r="AI558" s="127"/>
      <c r="AJ558" s="131"/>
      <c r="AK558" s="374"/>
      <c r="AL558" s="127"/>
      <c r="AM558" s="127"/>
      <c r="AN558" s="127"/>
      <c r="AO558" s="359"/>
      <c r="AP558" s="359"/>
      <c r="AQ558" s="359"/>
      <c r="AR558" s="359"/>
      <c r="AS558" s="359"/>
    </row>
    <row r="559">
      <c r="A559" s="131"/>
      <c r="B559" s="374"/>
      <c r="C559" s="127"/>
      <c r="D559" s="127"/>
      <c r="E559" s="127"/>
      <c r="F559" s="131"/>
      <c r="G559" s="374"/>
      <c r="H559" s="127"/>
      <c r="I559" s="127"/>
      <c r="J559" s="127"/>
      <c r="K559" s="383"/>
      <c r="L559" s="374"/>
      <c r="M559" s="127"/>
      <c r="N559" s="127"/>
      <c r="O559" s="127"/>
      <c r="P559" s="383"/>
      <c r="Q559" s="164"/>
      <c r="R559" s="127"/>
      <c r="S559" s="127"/>
      <c r="T559" s="127"/>
      <c r="U559" s="131"/>
      <c r="V559" s="374"/>
      <c r="W559" s="127"/>
      <c r="X559" s="127"/>
      <c r="Y559" s="127"/>
      <c r="Z559" s="131"/>
      <c r="AA559" s="374"/>
      <c r="AB559" s="127"/>
      <c r="AC559" s="127"/>
      <c r="AD559" s="127"/>
      <c r="AE559" s="131"/>
      <c r="AF559" s="374"/>
      <c r="AG559" s="127"/>
      <c r="AH559" s="127"/>
      <c r="AI559" s="127"/>
      <c r="AJ559" s="131"/>
      <c r="AK559" s="374"/>
      <c r="AL559" s="127"/>
      <c r="AM559" s="127"/>
      <c r="AN559" s="127"/>
      <c r="AO559" s="359"/>
      <c r="AP559" s="359"/>
      <c r="AQ559" s="359"/>
      <c r="AR559" s="359"/>
      <c r="AS559" s="359"/>
    </row>
    <row r="560">
      <c r="A560" s="131"/>
      <c r="B560" s="374"/>
      <c r="C560" s="127"/>
      <c r="D560" s="127"/>
      <c r="E560" s="127"/>
      <c r="F560" s="131"/>
      <c r="G560" s="374"/>
      <c r="H560" s="127"/>
      <c r="I560" s="127"/>
      <c r="J560" s="127"/>
      <c r="K560" s="383"/>
      <c r="L560" s="374"/>
      <c r="M560" s="127"/>
      <c r="N560" s="127"/>
      <c r="O560" s="127"/>
      <c r="P560" s="383"/>
      <c r="Q560" s="164"/>
      <c r="R560" s="127"/>
      <c r="S560" s="127"/>
      <c r="T560" s="127"/>
      <c r="U560" s="131"/>
      <c r="V560" s="374"/>
      <c r="W560" s="127"/>
      <c r="X560" s="127"/>
      <c r="Y560" s="127"/>
      <c r="Z560" s="131"/>
      <c r="AA560" s="374"/>
      <c r="AB560" s="127"/>
      <c r="AC560" s="127"/>
      <c r="AD560" s="127"/>
      <c r="AE560" s="131"/>
      <c r="AF560" s="374"/>
      <c r="AG560" s="127"/>
      <c r="AH560" s="127"/>
      <c r="AI560" s="127"/>
      <c r="AJ560" s="131"/>
      <c r="AK560" s="374"/>
      <c r="AL560" s="127"/>
      <c r="AM560" s="127"/>
      <c r="AN560" s="127"/>
      <c r="AO560" s="359"/>
      <c r="AP560" s="359"/>
      <c r="AQ560" s="359"/>
      <c r="AR560" s="359"/>
      <c r="AS560" s="359"/>
    </row>
    <row r="561">
      <c r="A561" s="131"/>
      <c r="B561" s="374"/>
      <c r="C561" s="127"/>
      <c r="D561" s="127"/>
      <c r="E561" s="127"/>
      <c r="F561" s="131"/>
      <c r="G561" s="374"/>
      <c r="H561" s="127"/>
      <c r="I561" s="127"/>
      <c r="J561" s="127"/>
      <c r="K561" s="383"/>
      <c r="L561" s="374"/>
      <c r="M561" s="127"/>
      <c r="N561" s="127"/>
      <c r="O561" s="127"/>
      <c r="P561" s="383"/>
      <c r="Q561" s="164"/>
      <c r="R561" s="127"/>
      <c r="S561" s="127"/>
      <c r="T561" s="127"/>
      <c r="U561" s="131"/>
      <c r="V561" s="374"/>
      <c r="W561" s="127"/>
      <c r="X561" s="127"/>
      <c r="Y561" s="127"/>
      <c r="Z561" s="131"/>
      <c r="AA561" s="374"/>
      <c r="AB561" s="127"/>
      <c r="AC561" s="127"/>
      <c r="AD561" s="127"/>
      <c r="AE561" s="131"/>
      <c r="AF561" s="374"/>
      <c r="AG561" s="127"/>
      <c r="AH561" s="127"/>
      <c r="AI561" s="127"/>
      <c r="AJ561" s="131"/>
      <c r="AK561" s="374"/>
      <c r="AL561" s="127"/>
      <c r="AM561" s="127"/>
      <c r="AN561" s="127"/>
      <c r="AO561" s="359"/>
      <c r="AP561" s="359"/>
      <c r="AQ561" s="359"/>
      <c r="AR561" s="359"/>
      <c r="AS561" s="359"/>
    </row>
    <row r="562">
      <c r="A562" s="131"/>
      <c r="B562" s="374"/>
      <c r="C562" s="127"/>
      <c r="D562" s="127"/>
      <c r="E562" s="127"/>
      <c r="F562" s="131"/>
      <c r="G562" s="374"/>
      <c r="H562" s="127"/>
      <c r="I562" s="127"/>
      <c r="J562" s="127"/>
      <c r="K562" s="383"/>
      <c r="L562" s="374"/>
      <c r="M562" s="127"/>
      <c r="N562" s="127"/>
      <c r="O562" s="127"/>
      <c r="P562" s="383"/>
      <c r="Q562" s="164"/>
      <c r="R562" s="127"/>
      <c r="S562" s="127"/>
      <c r="T562" s="127"/>
      <c r="U562" s="131"/>
      <c r="V562" s="374"/>
      <c r="W562" s="127"/>
      <c r="X562" s="127"/>
      <c r="Y562" s="127"/>
      <c r="Z562" s="131"/>
      <c r="AA562" s="374"/>
      <c r="AB562" s="127"/>
      <c r="AC562" s="127"/>
      <c r="AD562" s="127"/>
      <c r="AE562" s="131"/>
      <c r="AF562" s="374"/>
      <c r="AG562" s="127"/>
      <c r="AH562" s="127"/>
      <c r="AI562" s="127"/>
      <c r="AJ562" s="131"/>
      <c r="AK562" s="374"/>
      <c r="AL562" s="127"/>
      <c r="AM562" s="127"/>
      <c r="AN562" s="127"/>
      <c r="AO562" s="359"/>
      <c r="AP562" s="359"/>
      <c r="AQ562" s="359"/>
      <c r="AR562" s="359"/>
      <c r="AS562" s="359"/>
    </row>
    <row r="563">
      <c r="A563" s="131"/>
      <c r="B563" s="374"/>
      <c r="C563" s="127"/>
      <c r="D563" s="127"/>
      <c r="E563" s="127"/>
      <c r="F563" s="131"/>
      <c r="G563" s="374"/>
      <c r="H563" s="127"/>
      <c r="I563" s="127"/>
      <c r="J563" s="127"/>
      <c r="K563" s="383"/>
      <c r="L563" s="374"/>
      <c r="M563" s="127"/>
      <c r="N563" s="127"/>
      <c r="O563" s="127"/>
      <c r="P563" s="383"/>
      <c r="Q563" s="164"/>
      <c r="R563" s="127"/>
      <c r="S563" s="127"/>
      <c r="T563" s="127"/>
      <c r="U563" s="131"/>
      <c r="V563" s="374"/>
      <c r="W563" s="127"/>
      <c r="X563" s="127"/>
      <c r="Y563" s="127"/>
      <c r="Z563" s="131"/>
      <c r="AA563" s="374"/>
      <c r="AB563" s="127"/>
      <c r="AC563" s="127"/>
      <c r="AD563" s="127"/>
      <c r="AE563" s="131"/>
      <c r="AF563" s="374"/>
      <c r="AG563" s="127"/>
      <c r="AH563" s="127"/>
      <c r="AI563" s="127"/>
      <c r="AJ563" s="131"/>
      <c r="AK563" s="374"/>
      <c r="AL563" s="127"/>
      <c r="AM563" s="127"/>
      <c r="AN563" s="127"/>
      <c r="AO563" s="359"/>
      <c r="AP563" s="359"/>
      <c r="AQ563" s="359"/>
      <c r="AR563" s="359"/>
      <c r="AS563" s="359"/>
    </row>
    <row r="564">
      <c r="A564" s="131"/>
      <c r="B564" s="374"/>
      <c r="C564" s="127"/>
      <c r="D564" s="127"/>
      <c r="E564" s="127"/>
      <c r="F564" s="131"/>
      <c r="G564" s="374"/>
      <c r="H564" s="127"/>
      <c r="I564" s="127"/>
      <c r="J564" s="127"/>
      <c r="K564" s="383"/>
      <c r="L564" s="374"/>
      <c r="M564" s="127"/>
      <c r="N564" s="127"/>
      <c r="O564" s="127"/>
      <c r="P564" s="383"/>
      <c r="Q564" s="164"/>
      <c r="R564" s="127"/>
      <c r="S564" s="127"/>
      <c r="T564" s="127"/>
      <c r="U564" s="131"/>
      <c r="V564" s="374"/>
      <c r="W564" s="127"/>
      <c r="X564" s="127"/>
      <c r="Y564" s="127"/>
      <c r="Z564" s="131"/>
      <c r="AA564" s="374"/>
      <c r="AB564" s="127"/>
      <c r="AC564" s="127"/>
      <c r="AD564" s="127"/>
      <c r="AE564" s="131"/>
      <c r="AF564" s="374"/>
      <c r="AG564" s="127"/>
      <c r="AH564" s="127"/>
      <c r="AI564" s="127"/>
      <c r="AJ564" s="131"/>
      <c r="AK564" s="374"/>
      <c r="AL564" s="127"/>
      <c r="AM564" s="127"/>
      <c r="AN564" s="127"/>
      <c r="AO564" s="359"/>
      <c r="AP564" s="359"/>
      <c r="AQ564" s="359"/>
      <c r="AR564" s="359"/>
      <c r="AS564" s="359"/>
    </row>
    <row r="565">
      <c r="A565" s="131"/>
      <c r="B565" s="374"/>
      <c r="C565" s="127"/>
      <c r="D565" s="127"/>
      <c r="E565" s="127"/>
      <c r="F565" s="131"/>
      <c r="G565" s="374"/>
      <c r="H565" s="127"/>
      <c r="I565" s="127"/>
      <c r="J565" s="127"/>
      <c r="K565" s="383"/>
      <c r="L565" s="374"/>
      <c r="M565" s="127"/>
      <c r="N565" s="127"/>
      <c r="O565" s="127"/>
      <c r="P565" s="383"/>
      <c r="Q565" s="164"/>
      <c r="R565" s="127"/>
      <c r="S565" s="127"/>
      <c r="T565" s="127"/>
      <c r="U565" s="131"/>
      <c r="V565" s="374"/>
      <c r="W565" s="127"/>
      <c r="X565" s="127"/>
      <c r="Y565" s="127"/>
      <c r="Z565" s="131"/>
      <c r="AA565" s="374"/>
      <c r="AB565" s="127"/>
      <c r="AC565" s="127"/>
      <c r="AD565" s="127"/>
      <c r="AE565" s="131"/>
      <c r="AF565" s="374"/>
      <c r="AG565" s="127"/>
      <c r="AH565" s="127"/>
      <c r="AI565" s="127"/>
      <c r="AJ565" s="131"/>
      <c r="AK565" s="374"/>
      <c r="AL565" s="127"/>
      <c r="AM565" s="127"/>
      <c r="AN565" s="127"/>
      <c r="AO565" s="359"/>
      <c r="AP565" s="359"/>
      <c r="AQ565" s="359"/>
      <c r="AR565" s="359"/>
      <c r="AS565" s="359"/>
    </row>
    <row r="566">
      <c r="A566" s="131"/>
      <c r="B566" s="374"/>
      <c r="C566" s="127"/>
      <c r="D566" s="127"/>
      <c r="E566" s="127"/>
      <c r="F566" s="131"/>
      <c r="G566" s="374"/>
      <c r="H566" s="127"/>
      <c r="I566" s="127"/>
      <c r="J566" s="127"/>
      <c r="K566" s="383"/>
      <c r="L566" s="374"/>
      <c r="M566" s="127"/>
      <c r="N566" s="127"/>
      <c r="O566" s="127"/>
      <c r="P566" s="383"/>
      <c r="Q566" s="164"/>
      <c r="R566" s="127"/>
      <c r="S566" s="127"/>
      <c r="T566" s="127"/>
      <c r="U566" s="131"/>
      <c r="V566" s="374"/>
      <c r="W566" s="127"/>
      <c r="X566" s="127"/>
      <c r="Y566" s="127"/>
      <c r="Z566" s="131"/>
      <c r="AA566" s="374"/>
      <c r="AB566" s="127"/>
      <c r="AC566" s="127"/>
      <c r="AD566" s="127"/>
      <c r="AE566" s="131"/>
      <c r="AF566" s="374"/>
      <c r="AG566" s="127"/>
      <c r="AH566" s="127"/>
      <c r="AI566" s="127"/>
      <c r="AJ566" s="131"/>
      <c r="AK566" s="374"/>
      <c r="AL566" s="127"/>
      <c r="AM566" s="127"/>
      <c r="AN566" s="127"/>
      <c r="AO566" s="359"/>
      <c r="AP566" s="359"/>
      <c r="AQ566" s="359"/>
      <c r="AR566" s="359"/>
      <c r="AS566" s="359"/>
    </row>
    <row r="567">
      <c r="A567" s="131"/>
      <c r="B567" s="374"/>
      <c r="C567" s="127"/>
      <c r="D567" s="127"/>
      <c r="E567" s="127"/>
      <c r="F567" s="131"/>
      <c r="G567" s="374"/>
      <c r="H567" s="127"/>
      <c r="I567" s="127"/>
      <c r="J567" s="127"/>
      <c r="K567" s="383"/>
      <c r="L567" s="374"/>
      <c r="M567" s="127"/>
      <c r="N567" s="127"/>
      <c r="O567" s="127"/>
      <c r="P567" s="383"/>
      <c r="Q567" s="164"/>
      <c r="R567" s="127"/>
      <c r="S567" s="127"/>
      <c r="T567" s="127"/>
      <c r="U567" s="131"/>
      <c r="V567" s="374"/>
      <c r="W567" s="127"/>
      <c r="X567" s="127"/>
      <c r="Y567" s="127"/>
      <c r="Z567" s="131"/>
      <c r="AA567" s="374"/>
      <c r="AB567" s="127"/>
      <c r="AC567" s="127"/>
      <c r="AD567" s="127"/>
      <c r="AE567" s="131"/>
      <c r="AF567" s="374"/>
      <c r="AG567" s="127"/>
      <c r="AH567" s="127"/>
      <c r="AI567" s="127"/>
      <c r="AJ567" s="131"/>
      <c r="AK567" s="374"/>
      <c r="AL567" s="127"/>
      <c r="AM567" s="127"/>
      <c r="AN567" s="127"/>
      <c r="AO567" s="359"/>
      <c r="AP567" s="359"/>
      <c r="AQ567" s="359"/>
      <c r="AR567" s="359"/>
      <c r="AS567" s="359"/>
    </row>
    <row r="568">
      <c r="A568" s="131"/>
      <c r="B568" s="374"/>
      <c r="C568" s="127"/>
      <c r="D568" s="127"/>
      <c r="E568" s="127"/>
      <c r="F568" s="131"/>
      <c r="G568" s="374"/>
      <c r="H568" s="127"/>
      <c r="I568" s="127"/>
      <c r="J568" s="127"/>
      <c r="K568" s="383"/>
      <c r="L568" s="374"/>
      <c r="M568" s="127"/>
      <c r="N568" s="127"/>
      <c r="O568" s="127"/>
      <c r="P568" s="383"/>
      <c r="Q568" s="164"/>
      <c r="R568" s="127"/>
      <c r="S568" s="127"/>
      <c r="T568" s="127"/>
      <c r="U568" s="131"/>
      <c r="V568" s="374"/>
      <c r="W568" s="127"/>
      <c r="X568" s="127"/>
      <c r="Y568" s="127"/>
      <c r="Z568" s="131"/>
      <c r="AA568" s="374"/>
      <c r="AB568" s="127"/>
      <c r="AC568" s="127"/>
      <c r="AD568" s="127"/>
      <c r="AE568" s="131"/>
      <c r="AF568" s="374"/>
      <c r="AG568" s="127"/>
      <c r="AH568" s="127"/>
      <c r="AI568" s="127"/>
      <c r="AJ568" s="131"/>
      <c r="AK568" s="374"/>
      <c r="AL568" s="127"/>
      <c r="AM568" s="127"/>
      <c r="AN568" s="127"/>
      <c r="AO568" s="359"/>
      <c r="AP568" s="359"/>
      <c r="AQ568" s="359"/>
      <c r="AR568" s="359"/>
      <c r="AS568" s="359"/>
    </row>
    <row r="569">
      <c r="A569" s="131"/>
      <c r="B569" s="374"/>
      <c r="C569" s="127"/>
      <c r="D569" s="127"/>
      <c r="E569" s="127"/>
      <c r="F569" s="131"/>
      <c r="G569" s="374"/>
      <c r="H569" s="127"/>
      <c r="I569" s="127"/>
      <c r="J569" s="127"/>
      <c r="K569" s="383"/>
      <c r="L569" s="374"/>
      <c r="M569" s="127"/>
      <c r="N569" s="127"/>
      <c r="O569" s="127"/>
      <c r="P569" s="383"/>
      <c r="Q569" s="164"/>
      <c r="R569" s="127"/>
      <c r="S569" s="127"/>
      <c r="T569" s="127"/>
      <c r="U569" s="131"/>
      <c r="V569" s="374"/>
      <c r="W569" s="127"/>
      <c r="X569" s="127"/>
      <c r="Y569" s="127"/>
      <c r="Z569" s="131"/>
      <c r="AA569" s="374"/>
      <c r="AB569" s="127"/>
      <c r="AC569" s="127"/>
      <c r="AD569" s="127"/>
      <c r="AE569" s="131"/>
      <c r="AF569" s="374"/>
      <c r="AG569" s="127"/>
      <c r="AH569" s="127"/>
      <c r="AI569" s="127"/>
      <c r="AJ569" s="131"/>
      <c r="AK569" s="374"/>
      <c r="AL569" s="127"/>
      <c r="AM569" s="127"/>
      <c r="AN569" s="127"/>
      <c r="AO569" s="359"/>
      <c r="AP569" s="359"/>
      <c r="AQ569" s="359"/>
      <c r="AR569" s="359"/>
      <c r="AS569" s="359"/>
    </row>
    <row r="570">
      <c r="A570" s="131"/>
      <c r="B570" s="374"/>
      <c r="C570" s="127"/>
      <c r="D570" s="127"/>
      <c r="E570" s="127"/>
      <c r="F570" s="131"/>
      <c r="G570" s="374"/>
      <c r="H570" s="127"/>
      <c r="I570" s="127"/>
      <c r="J570" s="127"/>
      <c r="K570" s="383"/>
      <c r="L570" s="374"/>
      <c r="M570" s="127"/>
      <c r="N570" s="127"/>
      <c r="O570" s="127"/>
      <c r="P570" s="383"/>
      <c r="Q570" s="164"/>
      <c r="R570" s="127"/>
      <c r="S570" s="127"/>
      <c r="T570" s="127"/>
      <c r="U570" s="131"/>
      <c r="V570" s="374"/>
      <c r="W570" s="127"/>
      <c r="X570" s="127"/>
      <c r="Y570" s="127"/>
      <c r="Z570" s="131"/>
      <c r="AA570" s="374"/>
      <c r="AB570" s="127"/>
      <c r="AC570" s="127"/>
      <c r="AD570" s="127"/>
      <c r="AE570" s="131"/>
      <c r="AF570" s="374"/>
      <c r="AG570" s="127"/>
      <c r="AH570" s="127"/>
      <c r="AI570" s="127"/>
      <c r="AJ570" s="131"/>
      <c r="AK570" s="374"/>
      <c r="AL570" s="127"/>
      <c r="AM570" s="127"/>
      <c r="AN570" s="127"/>
      <c r="AO570" s="359"/>
      <c r="AP570" s="359"/>
      <c r="AQ570" s="359"/>
      <c r="AR570" s="359"/>
      <c r="AS570" s="359"/>
    </row>
    <row r="571">
      <c r="A571" s="131"/>
      <c r="B571" s="374"/>
      <c r="C571" s="127"/>
      <c r="D571" s="127"/>
      <c r="E571" s="127"/>
      <c r="F571" s="131"/>
      <c r="G571" s="374"/>
      <c r="H571" s="127"/>
      <c r="I571" s="127"/>
      <c r="J571" s="127"/>
      <c r="K571" s="383"/>
      <c r="L571" s="374"/>
      <c r="M571" s="127"/>
      <c r="N571" s="127"/>
      <c r="O571" s="127"/>
      <c r="P571" s="383"/>
      <c r="Q571" s="164"/>
      <c r="R571" s="127"/>
      <c r="S571" s="127"/>
      <c r="T571" s="127"/>
      <c r="U571" s="131"/>
      <c r="V571" s="374"/>
      <c r="W571" s="127"/>
      <c r="X571" s="127"/>
      <c r="Y571" s="127"/>
      <c r="Z571" s="131"/>
      <c r="AA571" s="374"/>
      <c r="AB571" s="127"/>
      <c r="AC571" s="127"/>
      <c r="AD571" s="127"/>
      <c r="AE571" s="131"/>
      <c r="AF571" s="374"/>
      <c r="AG571" s="127"/>
      <c r="AH571" s="127"/>
      <c r="AI571" s="127"/>
      <c r="AJ571" s="131"/>
      <c r="AK571" s="374"/>
      <c r="AL571" s="127"/>
      <c r="AM571" s="127"/>
      <c r="AN571" s="127"/>
      <c r="AO571" s="359"/>
      <c r="AP571" s="359"/>
      <c r="AQ571" s="359"/>
      <c r="AR571" s="359"/>
      <c r="AS571" s="359"/>
    </row>
    <row r="572">
      <c r="A572" s="131"/>
      <c r="B572" s="374"/>
      <c r="C572" s="127"/>
      <c r="D572" s="127"/>
      <c r="E572" s="127"/>
      <c r="F572" s="131"/>
      <c r="G572" s="374"/>
      <c r="H572" s="127"/>
      <c r="I572" s="127"/>
      <c r="J572" s="127"/>
      <c r="K572" s="383"/>
      <c r="L572" s="374"/>
      <c r="M572" s="127"/>
      <c r="N572" s="127"/>
      <c r="O572" s="127"/>
      <c r="P572" s="383"/>
      <c r="Q572" s="164"/>
      <c r="R572" s="127"/>
      <c r="S572" s="127"/>
      <c r="T572" s="127"/>
      <c r="U572" s="131"/>
      <c r="V572" s="374"/>
      <c r="W572" s="127"/>
      <c r="X572" s="127"/>
      <c r="Y572" s="127"/>
      <c r="Z572" s="131"/>
      <c r="AA572" s="374"/>
      <c r="AB572" s="127"/>
      <c r="AC572" s="127"/>
      <c r="AD572" s="127"/>
      <c r="AE572" s="131"/>
      <c r="AF572" s="374"/>
      <c r="AG572" s="127"/>
      <c r="AH572" s="127"/>
      <c r="AI572" s="127"/>
      <c r="AJ572" s="131"/>
      <c r="AK572" s="374"/>
      <c r="AL572" s="127"/>
      <c r="AM572" s="127"/>
      <c r="AN572" s="127"/>
      <c r="AO572" s="359"/>
      <c r="AP572" s="359"/>
      <c r="AQ572" s="359"/>
      <c r="AR572" s="359"/>
      <c r="AS572" s="359"/>
    </row>
    <row r="573">
      <c r="A573" s="131"/>
      <c r="B573" s="374"/>
      <c r="C573" s="127"/>
      <c r="D573" s="127"/>
      <c r="E573" s="127"/>
      <c r="F573" s="131"/>
      <c r="G573" s="374"/>
      <c r="H573" s="127"/>
      <c r="I573" s="127"/>
      <c r="J573" s="127"/>
      <c r="K573" s="383"/>
      <c r="L573" s="374"/>
      <c r="M573" s="127"/>
      <c r="N573" s="127"/>
      <c r="O573" s="127"/>
      <c r="P573" s="383"/>
      <c r="Q573" s="164"/>
      <c r="R573" s="127"/>
      <c r="S573" s="127"/>
      <c r="T573" s="127"/>
      <c r="U573" s="131"/>
      <c r="V573" s="374"/>
      <c r="W573" s="127"/>
      <c r="X573" s="127"/>
      <c r="Y573" s="127"/>
      <c r="Z573" s="131"/>
      <c r="AA573" s="374"/>
      <c r="AB573" s="127"/>
      <c r="AC573" s="127"/>
      <c r="AD573" s="127"/>
      <c r="AE573" s="131"/>
      <c r="AF573" s="374"/>
      <c r="AG573" s="127"/>
      <c r="AH573" s="127"/>
      <c r="AI573" s="127"/>
      <c r="AJ573" s="131"/>
      <c r="AK573" s="374"/>
      <c r="AL573" s="127"/>
      <c r="AM573" s="127"/>
      <c r="AN573" s="127"/>
      <c r="AO573" s="359"/>
      <c r="AP573" s="359"/>
      <c r="AQ573" s="359"/>
      <c r="AR573" s="359"/>
      <c r="AS573" s="359"/>
    </row>
    <row r="574">
      <c r="A574" s="131"/>
      <c r="B574" s="374"/>
      <c r="C574" s="127"/>
      <c r="D574" s="127"/>
      <c r="E574" s="127"/>
      <c r="F574" s="131"/>
      <c r="G574" s="374"/>
      <c r="H574" s="127"/>
      <c r="I574" s="127"/>
      <c r="J574" s="127"/>
      <c r="K574" s="383"/>
      <c r="L574" s="374"/>
      <c r="M574" s="127"/>
      <c r="N574" s="127"/>
      <c r="O574" s="127"/>
      <c r="P574" s="383"/>
      <c r="Q574" s="164"/>
      <c r="R574" s="127"/>
      <c r="S574" s="127"/>
      <c r="T574" s="127"/>
      <c r="U574" s="131"/>
      <c r="V574" s="374"/>
      <c r="W574" s="127"/>
      <c r="X574" s="127"/>
      <c r="Y574" s="127"/>
      <c r="Z574" s="131"/>
      <c r="AA574" s="374"/>
      <c r="AB574" s="127"/>
      <c r="AC574" s="127"/>
      <c r="AD574" s="127"/>
      <c r="AE574" s="131"/>
      <c r="AF574" s="374"/>
      <c r="AG574" s="127"/>
      <c r="AH574" s="127"/>
      <c r="AI574" s="127"/>
      <c r="AJ574" s="131"/>
      <c r="AK574" s="374"/>
      <c r="AL574" s="127"/>
      <c r="AM574" s="127"/>
      <c r="AN574" s="127"/>
      <c r="AO574" s="359"/>
      <c r="AP574" s="359"/>
      <c r="AQ574" s="359"/>
      <c r="AR574" s="359"/>
      <c r="AS574" s="359"/>
    </row>
    <row r="575">
      <c r="A575" s="131"/>
      <c r="B575" s="374"/>
      <c r="C575" s="127"/>
      <c r="D575" s="127"/>
      <c r="E575" s="127"/>
      <c r="F575" s="131"/>
      <c r="G575" s="374"/>
      <c r="H575" s="127"/>
      <c r="I575" s="127"/>
      <c r="J575" s="127"/>
      <c r="K575" s="383"/>
      <c r="L575" s="374"/>
      <c r="M575" s="127"/>
      <c r="N575" s="127"/>
      <c r="O575" s="127"/>
      <c r="P575" s="383"/>
      <c r="Q575" s="164"/>
      <c r="R575" s="127"/>
      <c r="S575" s="127"/>
      <c r="T575" s="127"/>
      <c r="U575" s="131"/>
      <c r="V575" s="374"/>
      <c r="W575" s="127"/>
      <c r="X575" s="127"/>
      <c r="Y575" s="127"/>
      <c r="Z575" s="131"/>
      <c r="AA575" s="374"/>
      <c r="AB575" s="127"/>
      <c r="AC575" s="127"/>
      <c r="AD575" s="127"/>
      <c r="AE575" s="131"/>
      <c r="AF575" s="374"/>
      <c r="AG575" s="127"/>
      <c r="AH575" s="127"/>
      <c r="AI575" s="127"/>
      <c r="AJ575" s="131"/>
      <c r="AK575" s="374"/>
      <c r="AL575" s="127"/>
      <c r="AM575" s="127"/>
      <c r="AN575" s="127"/>
      <c r="AO575" s="359"/>
      <c r="AP575" s="359"/>
      <c r="AQ575" s="359"/>
      <c r="AR575" s="359"/>
      <c r="AS575" s="359"/>
    </row>
    <row r="576">
      <c r="A576" s="131"/>
      <c r="B576" s="374"/>
      <c r="C576" s="127"/>
      <c r="D576" s="127"/>
      <c r="E576" s="127"/>
      <c r="F576" s="131"/>
      <c r="G576" s="374"/>
      <c r="H576" s="127"/>
      <c r="I576" s="127"/>
      <c r="J576" s="127"/>
      <c r="K576" s="383"/>
      <c r="L576" s="374"/>
      <c r="M576" s="127"/>
      <c r="N576" s="127"/>
      <c r="O576" s="127"/>
      <c r="P576" s="383"/>
      <c r="Q576" s="164"/>
      <c r="R576" s="127"/>
      <c r="S576" s="127"/>
      <c r="T576" s="127"/>
      <c r="U576" s="131"/>
      <c r="V576" s="374"/>
      <c r="W576" s="127"/>
      <c r="X576" s="127"/>
      <c r="Y576" s="127"/>
      <c r="Z576" s="131"/>
      <c r="AA576" s="374"/>
      <c r="AB576" s="127"/>
      <c r="AC576" s="127"/>
      <c r="AD576" s="127"/>
      <c r="AE576" s="131"/>
      <c r="AF576" s="374"/>
      <c r="AG576" s="127"/>
      <c r="AH576" s="127"/>
      <c r="AI576" s="127"/>
      <c r="AJ576" s="131"/>
      <c r="AK576" s="374"/>
      <c r="AL576" s="127"/>
      <c r="AM576" s="127"/>
      <c r="AN576" s="127"/>
      <c r="AO576" s="359"/>
      <c r="AP576" s="359"/>
      <c r="AQ576" s="359"/>
      <c r="AR576" s="359"/>
      <c r="AS576" s="359"/>
    </row>
    <row r="577">
      <c r="A577" s="131"/>
      <c r="B577" s="374"/>
      <c r="C577" s="127"/>
      <c r="D577" s="127"/>
      <c r="E577" s="127"/>
      <c r="F577" s="131"/>
      <c r="G577" s="374"/>
      <c r="H577" s="127"/>
      <c r="I577" s="127"/>
      <c r="J577" s="127"/>
      <c r="K577" s="383"/>
      <c r="L577" s="374"/>
      <c r="M577" s="127"/>
      <c r="N577" s="127"/>
      <c r="O577" s="127"/>
      <c r="P577" s="383"/>
      <c r="Q577" s="164"/>
      <c r="R577" s="127"/>
      <c r="S577" s="127"/>
      <c r="T577" s="127"/>
      <c r="U577" s="131"/>
      <c r="V577" s="374"/>
      <c r="W577" s="127"/>
      <c r="X577" s="127"/>
      <c r="Y577" s="127"/>
      <c r="Z577" s="131"/>
      <c r="AA577" s="374"/>
      <c r="AB577" s="127"/>
      <c r="AC577" s="127"/>
      <c r="AD577" s="127"/>
      <c r="AE577" s="131"/>
      <c r="AF577" s="374"/>
      <c r="AG577" s="127"/>
      <c r="AH577" s="127"/>
      <c r="AI577" s="127"/>
      <c r="AJ577" s="131"/>
      <c r="AK577" s="374"/>
      <c r="AL577" s="127"/>
      <c r="AM577" s="127"/>
      <c r="AN577" s="127"/>
      <c r="AO577" s="359"/>
      <c r="AP577" s="359"/>
      <c r="AQ577" s="359"/>
      <c r="AR577" s="359"/>
      <c r="AS577" s="359"/>
    </row>
    <row r="578">
      <c r="A578" s="131"/>
      <c r="B578" s="374"/>
      <c r="C578" s="127"/>
      <c r="D578" s="127"/>
      <c r="E578" s="127"/>
      <c r="F578" s="131"/>
      <c r="G578" s="374"/>
      <c r="H578" s="127"/>
      <c r="I578" s="127"/>
      <c r="J578" s="127"/>
      <c r="K578" s="383"/>
      <c r="L578" s="374"/>
      <c r="M578" s="127"/>
      <c r="N578" s="127"/>
      <c r="O578" s="127"/>
      <c r="P578" s="383"/>
      <c r="Q578" s="164"/>
      <c r="R578" s="127"/>
      <c r="S578" s="127"/>
      <c r="T578" s="127"/>
      <c r="U578" s="131"/>
      <c r="V578" s="374"/>
      <c r="W578" s="127"/>
      <c r="X578" s="127"/>
      <c r="Y578" s="127"/>
      <c r="Z578" s="131"/>
      <c r="AA578" s="374"/>
      <c r="AB578" s="127"/>
      <c r="AC578" s="127"/>
      <c r="AD578" s="127"/>
      <c r="AE578" s="131"/>
      <c r="AF578" s="374"/>
      <c r="AG578" s="127"/>
      <c r="AH578" s="127"/>
      <c r="AI578" s="127"/>
      <c r="AJ578" s="131"/>
      <c r="AK578" s="374"/>
      <c r="AL578" s="127"/>
      <c r="AM578" s="127"/>
      <c r="AN578" s="127"/>
      <c r="AO578" s="359"/>
      <c r="AP578" s="359"/>
      <c r="AQ578" s="359"/>
      <c r="AR578" s="359"/>
      <c r="AS578" s="359"/>
    </row>
    <row r="579">
      <c r="A579" s="131"/>
      <c r="B579" s="374"/>
      <c r="C579" s="127"/>
      <c r="D579" s="127"/>
      <c r="E579" s="127"/>
      <c r="F579" s="131"/>
      <c r="G579" s="374"/>
      <c r="H579" s="127"/>
      <c r="I579" s="127"/>
      <c r="J579" s="127"/>
      <c r="K579" s="383"/>
      <c r="L579" s="374"/>
      <c r="M579" s="127"/>
      <c r="N579" s="127"/>
      <c r="O579" s="127"/>
      <c r="P579" s="383"/>
      <c r="Q579" s="164"/>
      <c r="R579" s="127"/>
      <c r="S579" s="127"/>
      <c r="T579" s="127"/>
      <c r="U579" s="131"/>
      <c r="V579" s="374"/>
      <c r="W579" s="127"/>
      <c r="X579" s="127"/>
      <c r="Y579" s="127"/>
      <c r="Z579" s="131"/>
      <c r="AA579" s="374"/>
      <c r="AB579" s="127"/>
      <c r="AC579" s="127"/>
      <c r="AD579" s="127"/>
      <c r="AE579" s="131"/>
      <c r="AF579" s="374"/>
      <c r="AG579" s="127"/>
      <c r="AH579" s="127"/>
      <c r="AI579" s="127"/>
      <c r="AJ579" s="131"/>
      <c r="AK579" s="374"/>
      <c r="AL579" s="127"/>
      <c r="AM579" s="127"/>
      <c r="AN579" s="127"/>
      <c r="AO579" s="359"/>
      <c r="AP579" s="359"/>
      <c r="AQ579" s="359"/>
      <c r="AR579" s="359"/>
      <c r="AS579" s="359"/>
    </row>
    <row r="580">
      <c r="A580" s="131"/>
      <c r="B580" s="374"/>
      <c r="C580" s="127"/>
      <c r="D580" s="127"/>
      <c r="E580" s="127"/>
      <c r="F580" s="131"/>
      <c r="G580" s="374"/>
      <c r="H580" s="127"/>
      <c r="I580" s="127"/>
      <c r="J580" s="127"/>
      <c r="K580" s="383"/>
      <c r="L580" s="374"/>
      <c r="M580" s="127"/>
      <c r="N580" s="127"/>
      <c r="O580" s="127"/>
      <c r="P580" s="383"/>
      <c r="Q580" s="164"/>
      <c r="R580" s="127"/>
      <c r="S580" s="127"/>
      <c r="T580" s="127"/>
      <c r="U580" s="131"/>
      <c r="V580" s="374"/>
      <c r="W580" s="127"/>
      <c r="X580" s="127"/>
      <c r="Y580" s="127"/>
      <c r="Z580" s="131"/>
      <c r="AA580" s="374"/>
      <c r="AB580" s="127"/>
      <c r="AC580" s="127"/>
      <c r="AD580" s="127"/>
      <c r="AE580" s="131"/>
      <c r="AF580" s="374"/>
      <c r="AG580" s="127"/>
      <c r="AH580" s="127"/>
      <c r="AI580" s="127"/>
      <c r="AJ580" s="131"/>
      <c r="AK580" s="374"/>
      <c r="AL580" s="127"/>
      <c r="AM580" s="127"/>
      <c r="AN580" s="127"/>
      <c r="AO580" s="359"/>
      <c r="AP580" s="359"/>
      <c r="AQ580" s="359"/>
      <c r="AR580" s="359"/>
      <c r="AS580" s="359"/>
    </row>
    <row r="581">
      <c r="A581" s="131"/>
      <c r="B581" s="374"/>
      <c r="C581" s="127"/>
      <c r="D581" s="127"/>
      <c r="E581" s="127"/>
      <c r="F581" s="131"/>
      <c r="G581" s="374"/>
      <c r="H581" s="127"/>
      <c r="I581" s="127"/>
      <c r="J581" s="127"/>
      <c r="K581" s="383"/>
      <c r="L581" s="374"/>
      <c r="M581" s="127"/>
      <c r="N581" s="127"/>
      <c r="O581" s="127"/>
      <c r="P581" s="383"/>
      <c r="Q581" s="164"/>
      <c r="R581" s="127"/>
      <c r="S581" s="127"/>
      <c r="T581" s="127"/>
      <c r="U581" s="131"/>
      <c r="V581" s="374"/>
      <c r="W581" s="127"/>
      <c r="X581" s="127"/>
      <c r="Y581" s="127"/>
      <c r="Z581" s="131"/>
      <c r="AA581" s="374"/>
      <c r="AB581" s="127"/>
      <c r="AC581" s="127"/>
      <c r="AD581" s="127"/>
      <c r="AE581" s="131"/>
      <c r="AF581" s="374"/>
      <c r="AG581" s="127"/>
      <c r="AH581" s="127"/>
      <c r="AI581" s="127"/>
      <c r="AJ581" s="131"/>
      <c r="AK581" s="374"/>
      <c r="AL581" s="127"/>
      <c r="AM581" s="127"/>
      <c r="AN581" s="127"/>
      <c r="AO581" s="359"/>
      <c r="AP581" s="359"/>
      <c r="AQ581" s="359"/>
      <c r="AR581" s="359"/>
      <c r="AS581" s="359"/>
    </row>
    <row r="582">
      <c r="A582" s="131"/>
      <c r="B582" s="374"/>
      <c r="C582" s="127"/>
      <c r="D582" s="127"/>
      <c r="E582" s="127"/>
      <c r="F582" s="131"/>
      <c r="G582" s="374"/>
      <c r="H582" s="127"/>
      <c r="I582" s="127"/>
      <c r="J582" s="127"/>
      <c r="K582" s="383"/>
      <c r="L582" s="374"/>
      <c r="M582" s="127"/>
      <c r="N582" s="127"/>
      <c r="O582" s="127"/>
      <c r="P582" s="383"/>
      <c r="Q582" s="164"/>
      <c r="R582" s="127"/>
      <c r="S582" s="127"/>
      <c r="T582" s="127"/>
      <c r="U582" s="131"/>
      <c r="V582" s="374"/>
      <c r="W582" s="127"/>
      <c r="X582" s="127"/>
      <c r="Y582" s="127"/>
      <c r="Z582" s="131"/>
      <c r="AA582" s="374"/>
      <c r="AB582" s="127"/>
      <c r="AC582" s="127"/>
      <c r="AD582" s="127"/>
      <c r="AE582" s="131"/>
      <c r="AF582" s="374"/>
      <c r="AG582" s="127"/>
      <c r="AH582" s="127"/>
      <c r="AI582" s="127"/>
      <c r="AJ582" s="131"/>
      <c r="AK582" s="374"/>
      <c r="AL582" s="127"/>
      <c r="AM582" s="127"/>
      <c r="AN582" s="127"/>
      <c r="AO582" s="359"/>
      <c r="AP582" s="359"/>
      <c r="AQ582" s="359"/>
      <c r="AR582" s="359"/>
      <c r="AS582" s="359"/>
    </row>
    <row r="583">
      <c r="A583" s="131"/>
      <c r="B583" s="374"/>
      <c r="C583" s="127"/>
      <c r="D583" s="127"/>
      <c r="E583" s="127"/>
      <c r="F583" s="131"/>
      <c r="G583" s="374"/>
      <c r="H583" s="127"/>
      <c r="I583" s="127"/>
      <c r="J583" s="127"/>
      <c r="K583" s="383"/>
      <c r="L583" s="374"/>
      <c r="M583" s="127"/>
      <c r="N583" s="127"/>
      <c r="O583" s="127"/>
      <c r="P583" s="383"/>
      <c r="Q583" s="164"/>
      <c r="R583" s="127"/>
      <c r="S583" s="127"/>
      <c r="T583" s="127"/>
      <c r="U583" s="131"/>
      <c r="V583" s="374"/>
      <c r="W583" s="127"/>
      <c r="X583" s="127"/>
      <c r="Y583" s="127"/>
      <c r="Z583" s="131"/>
      <c r="AA583" s="374"/>
      <c r="AB583" s="127"/>
      <c r="AC583" s="127"/>
      <c r="AD583" s="127"/>
      <c r="AE583" s="131"/>
      <c r="AF583" s="374"/>
      <c r="AG583" s="127"/>
      <c r="AH583" s="127"/>
      <c r="AI583" s="127"/>
      <c r="AJ583" s="131"/>
      <c r="AK583" s="374"/>
      <c r="AL583" s="127"/>
      <c r="AM583" s="127"/>
      <c r="AN583" s="127"/>
      <c r="AO583" s="359"/>
      <c r="AP583" s="359"/>
      <c r="AQ583" s="359"/>
      <c r="AR583" s="359"/>
      <c r="AS583" s="359"/>
    </row>
    <row r="584">
      <c r="A584" s="131"/>
      <c r="B584" s="374"/>
      <c r="C584" s="127"/>
      <c r="D584" s="127"/>
      <c r="E584" s="127"/>
      <c r="F584" s="131"/>
      <c r="G584" s="374"/>
      <c r="H584" s="127"/>
      <c r="I584" s="127"/>
      <c r="J584" s="127"/>
      <c r="K584" s="383"/>
      <c r="L584" s="374"/>
      <c r="M584" s="127"/>
      <c r="N584" s="127"/>
      <c r="O584" s="127"/>
      <c r="P584" s="383"/>
      <c r="Q584" s="164"/>
      <c r="R584" s="127"/>
      <c r="S584" s="127"/>
      <c r="T584" s="127"/>
      <c r="U584" s="131"/>
      <c r="V584" s="374"/>
      <c r="W584" s="127"/>
      <c r="X584" s="127"/>
      <c r="Y584" s="127"/>
      <c r="Z584" s="131"/>
      <c r="AA584" s="374"/>
      <c r="AB584" s="127"/>
      <c r="AC584" s="127"/>
      <c r="AD584" s="127"/>
      <c r="AE584" s="131"/>
      <c r="AF584" s="374"/>
      <c r="AG584" s="127"/>
      <c r="AH584" s="127"/>
      <c r="AI584" s="127"/>
      <c r="AJ584" s="131"/>
      <c r="AK584" s="374"/>
      <c r="AL584" s="127"/>
      <c r="AM584" s="127"/>
      <c r="AN584" s="127"/>
      <c r="AO584" s="359"/>
      <c r="AP584" s="359"/>
      <c r="AQ584" s="359"/>
      <c r="AR584" s="359"/>
      <c r="AS584" s="359"/>
    </row>
    <row r="585">
      <c r="A585" s="131"/>
      <c r="B585" s="374"/>
      <c r="C585" s="127"/>
      <c r="D585" s="127"/>
      <c r="E585" s="127"/>
      <c r="F585" s="131"/>
      <c r="G585" s="374"/>
      <c r="H585" s="127"/>
      <c r="I585" s="127"/>
      <c r="J585" s="127"/>
      <c r="K585" s="383"/>
      <c r="L585" s="374"/>
      <c r="M585" s="127"/>
      <c r="N585" s="127"/>
      <c r="O585" s="127"/>
      <c r="P585" s="383"/>
      <c r="Q585" s="164"/>
      <c r="R585" s="127"/>
      <c r="S585" s="127"/>
      <c r="T585" s="127"/>
      <c r="U585" s="131"/>
      <c r="V585" s="374"/>
      <c r="W585" s="127"/>
      <c r="X585" s="127"/>
      <c r="Y585" s="127"/>
      <c r="Z585" s="131"/>
      <c r="AA585" s="374"/>
      <c r="AB585" s="127"/>
      <c r="AC585" s="127"/>
      <c r="AD585" s="127"/>
      <c r="AE585" s="131"/>
      <c r="AF585" s="374"/>
      <c r="AG585" s="127"/>
      <c r="AH585" s="127"/>
      <c r="AI585" s="127"/>
      <c r="AJ585" s="131"/>
      <c r="AK585" s="374"/>
      <c r="AL585" s="127"/>
      <c r="AM585" s="127"/>
      <c r="AN585" s="127"/>
      <c r="AO585" s="359"/>
      <c r="AP585" s="359"/>
      <c r="AQ585" s="359"/>
      <c r="AR585" s="359"/>
      <c r="AS585" s="359"/>
    </row>
    <row r="586">
      <c r="A586" s="131"/>
      <c r="B586" s="374"/>
      <c r="C586" s="127"/>
      <c r="D586" s="127"/>
      <c r="E586" s="127"/>
      <c r="F586" s="131"/>
      <c r="G586" s="374"/>
      <c r="H586" s="127"/>
      <c r="I586" s="127"/>
      <c r="J586" s="127"/>
      <c r="K586" s="383"/>
      <c r="L586" s="374"/>
      <c r="M586" s="127"/>
      <c r="N586" s="127"/>
      <c r="O586" s="127"/>
      <c r="P586" s="383"/>
      <c r="Q586" s="164"/>
      <c r="R586" s="127"/>
      <c r="S586" s="127"/>
      <c r="T586" s="127"/>
      <c r="U586" s="131"/>
      <c r="V586" s="374"/>
      <c r="W586" s="127"/>
      <c r="X586" s="127"/>
      <c r="Y586" s="127"/>
      <c r="Z586" s="131"/>
      <c r="AA586" s="374"/>
      <c r="AB586" s="127"/>
      <c r="AC586" s="127"/>
      <c r="AD586" s="127"/>
      <c r="AE586" s="131"/>
      <c r="AF586" s="374"/>
      <c r="AG586" s="127"/>
      <c r="AH586" s="127"/>
      <c r="AI586" s="127"/>
      <c r="AJ586" s="131"/>
      <c r="AK586" s="374"/>
      <c r="AL586" s="127"/>
      <c r="AM586" s="127"/>
      <c r="AN586" s="127"/>
      <c r="AO586" s="359"/>
      <c r="AP586" s="359"/>
      <c r="AQ586" s="359"/>
      <c r="AR586" s="359"/>
      <c r="AS586" s="359"/>
    </row>
    <row r="587">
      <c r="A587" s="131"/>
      <c r="B587" s="374"/>
      <c r="C587" s="127"/>
      <c r="D587" s="127"/>
      <c r="E587" s="127"/>
      <c r="F587" s="131"/>
      <c r="G587" s="374"/>
      <c r="H587" s="127"/>
      <c r="I587" s="127"/>
      <c r="J587" s="127"/>
      <c r="K587" s="383"/>
      <c r="L587" s="374"/>
      <c r="M587" s="127"/>
      <c r="N587" s="127"/>
      <c r="O587" s="127"/>
      <c r="P587" s="383"/>
      <c r="Q587" s="164"/>
      <c r="R587" s="127"/>
      <c r="S587" s="127"/>
      <c r="T587" s="127"/>
      <c r="U587" s="131"/>
      <c r="V587" s="374"/>
      <c r="W587" s="127"/>
      <c r="X587" s="127"/>
      <c r="Y587" s="127"/>
      <c r="Z587" s="131"/>
      <c r="AA587" s="374"/>
      <c r="AB587" s="127"/>
      <c r="AC587" s="127"/>
      <c r="AD587" s="127"/>
      <c r="AE587" s="131"/>
      <c r="AF587" s="374"/>
      <c r="AG587" s="127"/>
      <c r="AH587" s="127"/>
      <c r="AI587" s="127"/>
      <c r="AJ587" s="131"/>
      <c r="AK587" s="374"/>
      <c r="AL587" s="127"/>
      <c r="AM587" s="127"/>
      <c r="AN587" s="127"/>
      <c r="AO587" s="359"/>
      <c r="AP587" s="359"/>
      <c r="AQ587" s="359"/>
      <c r="AR587" s="359"/>
      <c r="AS587" s="359"/>
    </row>
    <row r="588">
      <c r="A588" s="131"/>
      <c r="B588" s="374"/>
      <c r="C588" s="127"/>
      <c r="D588" s="127"/>
      <c r="E588" s="127"/>
      <c r="F588" s="131"/>
      <c r="G588" s="374"/>
      <c r="H588" s="127"/>
      <c r="I588" s="127"/>
      <c r="J588" s="127"/>
      <c r="K588" s="383"/>
      <c r="L588" s="374"/>
      <c r="M588" s="127"/>
      <c r="N588" s="127"/>
      <c r="O588" s="127"/>
      <c r="P588" s="383"/>
      <c r="Q588" s="164"/>
      <c r="R588" s="127"/>
      <c r="S588" s="127"/>
      <c r="T588" s="127"/>
      <c r="U588" s="131"/>
      <c r="V588" s="374"/>
      <c r="W588" s="127"/>
      <c r="X588" s="127"/>
      <c r="Y588" s="127"/>
      <c r="Z588" s="131"/>
      <c r="AA588" s="374"/>
      <c r="AB588" s="127"/>
      <c r="AC588" s="127"/>
      <c r="AD588" s="127"/>
      <c r="AE588" s="131"/>
      <c r="AF588" s="374"/>
      <c r="AG588" s="127"/>
      <c r="AH588" s="127"/>
      <c r="AI588" s="127"/>
      <c r="AJ588" s="131"/>
      <c r="AK588" s="374"/>
      <c r="AL588" s="127"/>
      <c r="AM588" s="127"/>
      <c r="AN588" s="127"/>
      <c r="AO588" s="359"/>
      <c r="AP588" s="359"/>
      <c r="AQ588" s="359"/>
      <c r="AR588" s="359"/>
      <c r="AS588" s="359"/>
    </row>
    <row r="589">
      <c r="A589" s="131"/>
      <c r="B589" s="374"/>
      <c r="C589" s="127"/>
      <c r="D589" s="127"/>
      <c r="E589" s="127"/>
      <c r="F589" s="131"/>
      <c r="G589" s="374"/>
      <c r="H589" s="127"/>
      <c r="I589" s="127"/>
      <c r="J589" s="127"/>
      <c r="K589" s="383"/>
      <c r="L589" s="374"/>
      <c r="M589" s="127"/>
      <c r="N589" s="127"/>
      <c r="O589" s="127"/>
      <c r="P589" s="383"/>
      <c r="Q589" s="164"/>
      <c r="R589" s="127"/>
      <c r="S589" s="127"/>
      <c r="T589" s="127"/>
      <c r="U589" s="131"/>
      <c r="V589" s="374"/>
      <c r="W589" s="127"/>
      <c r="X589" s="127"/>
      <c r="Y589" s="127"/>
      <c r="Z589" s="131"/>
      <c r="AA589" s="374"/>
      <c r="AB589" s="127"/>
      <c r="AC589" s="127"/>
      <c r="AD589" s="127"/>
      <c r="AE589" s="131"/>
      <c r="AF589" s="374"/>
      <c r="AG589" s="127"/>
      <c r="AH589" s="127"/>
      <c r="AI589" s="127"/>
      <c r="AJ589" s="131"/>
      <c r="AK589" s="374"/>
      <c r="AL589" s="127"/>
      <c r="AM589" s="127"/>
      <c r="AN589" s="127"/>
      <c r="AO589" s="359"/>
      <c r="AP589" s="359"/>
      <c r="AQ589" s="359"/>
      <c r="AR589" s="359"/>
      <c r="AS589" s="359"/>
    </row>
    <row r="590">
      <c r="A590" s="131"/>
      <c r="B590" s="374"/>
      <c r="C590" s="127"/>
      <c r="D590" s="127"/>
      <c r="E590" s="127"/>
      <c r="F590" s="131"/>
      <c r="G590" s="374"/>
      <c r="H590" s="127"/>
      <c r="I590" s="127"/>
      <c r="J590" s="127"/>
      <c r="K590" s="383"/>
      <c r="L590" s="374"/>
      <c r="M590" s="127"/>
      <c r="N590" s="127"/>
      <c r="O590" s="127"/>
      <c r="P590" s="383"/>
      <c r="Q590" s="164"/>
      <c r="R590" s="127"/>
      <c r="S590" s="127"/>
      <c r="T590" s="127"/>
      <c r="U590" s="131"/>
      <c r="V590" s="374"/>
      <c r="W590" s="127"/>
      <c r="X590" s="127"/>
      <c r="Y590" s="127"/>
      <c r="Z590" s="131"/>
      <c r="AA590" s="374"/>
      <c r="AB590" s="127"/>
      <c r="AC590" s="127"/>
      <c r="AD590" s="127"/>
      <c r="AE590" s="131"/>
      <c r="AF590" s="374"/>
      <c r="AG590" s="127"/>
      <c r="AH590" s="127"/>
      <c r="AI590" s="127"/>
      <c r="AJ590" s="131"/>
      <c r="AK590" s="374"/>
      <c r="AL590" s="127"/>
      <c r="AM590" s="127"/>
      <c r="AN590" s="127"/>
      <c r="AO590" s="359"/>
      <c r="AP590" s="359"/>
      <c r="AQ590" s="359"/>
      <c r="AR590" s="359"/>
      <c r="AS590" s="359"/>
    </row>
    <row r="591">
      <c r="A591" s="131"/>
      <c r="B591" s="374"/>
      <c r="C591" s="127"/>
      <c r="D591" s="127"/>
      <c r="E591" s="127"/>
      <c r="F591" s="131"/>
      <c r="G591" s="374"/>
      <c r="H591" s="127"/>
      <c r="I591" s="127"/>
      <c r="J591" s="127"/>
      <c r="K591" s="383"/>
      <c r="L591" s="374"/>
      <c r="M591" s="127"/>
      <c r="N591" s="127"/>
      <c r="O591" s="127"/>
      <c r="P591" s="383"/>
      <c r="Q591" s="164"/>
      <c r="R591" s="127"/>
      <c r="S591" s="127"/>
      <c r="T591" s="127"/>
      <c r="U591" s="131"/>
      <c r="V591" s="374"/>
      <c r="W591" s="127"/>
      <c r="X591" s="127"/>
      <c r="Y591" s="127"/>
      <c r="Z591" s="131"/>
      <c r="AA591" s="374"/>
      <c r="AB591" s="127"/>
      <c r="AC591" s="127"/>
      <c r="AD591" s="127"/>
      <c r="AE591" s="131"/>
      <c r="AF591" s="374"/>
      <c r="AG591" s="127"/>
      <c r="AH591" s="127"/>
      <c r="AI591" s="127"/>
      <c r="AJ591" s="131"/>
      <c r="AK591" s="374"/>
      <c r="AL591" s="127"/>
      <c r="AM591" s="127"/>
      <c r="AN591" s="127"/>
      <c r="AO591" s="359"/>
      <c r="AP591" s="359"/>
      <c r="AQ591" s="359"/>
      <c r="AR591" s="359"/>
      <c r="AS591" s="359"/>
    </row>
    <row r="592">
      <c r="A592" s="131"/>
      <c r="B592" s="374"/>
      <c r="C592" s="127"/>
      <c r="D592" s="127"/>
      <c r="E592" s="127"/>
      <c r="F592" s="131"/>
      <c r="G592" s="374"/>
      <c r="H592" s="127"/>
      <c r="I592" s="127"/>
      <c r="J592" s="127"/>
      <c r="K592" s="383"/>
      <c r="L592" s="374"/>
      <c r="M592" s="127"/>
      <c r="N592" s="127"/>
      <c r="O592" s="127"/>
      <c r="P592" s="383"/>
      <c r="Q592" s="164"/>
      <c r="R592" s="127"/>
      <c r="S592" s="127"/>
      <c r="T592" s="127"/>
      <c r="U592" s="131"/>
      <c r="V592" s="374"/>
      <c r="W592" s="127"/>
      <c r="X592" s="127"/>
      <c r="Y592" s="127"/>
      <c r="Z592" s="131"/>
      <c r="AA592" s="374"/>
      <c r="AB592" s="127"/>
      <c r="AC592" s="127"/>
      <c r="AD592" s="127"/>
      <c r="AE592" s="131"/>
      <c r="AF592" s="374"/>
      <c r="AG592" s="127"/>
      <c r="AH592" s="127"/>
      <c r="AI592" s="127"/>
      <c r="AJ592" s="131"/>
      <c r="AK592" s="374"/>
      <c r="AL592" s="127"/>
      <c r="AM592" s="127"/>
      <c r="AN592" s="127"/>
      <c r="AO592" s="359"/>
      <c r="AP592" s="359"/>
      <c r="AQ592" s="359"/>
      <c r="AR592" s="359"/>
      <c r="AS592" s="359"/>
    </row>
    <row r="593">
      <c r="A593" s="131"/>
      <c r="B593" s="374"/>
      <c r="C593" s="127"/>
      <c r="D593" s="127"/>
      <c r="E593" s="127"/>
      <c r="F593" s="131"/>
      <c r="G593" s="374"/>
      <c r="H593" s="127"/>
      <c r="I593" s="127"/>
      <c r="J593" s="127"/>
      <c r="K593" s="383"/>
      <c r="L593" s="374"/>
      <c r="M593" s="127"/>
      <c r="N593" s="127"/>
      <c r="O593" s="127"/>
      <c r="P593" s="383"/>
      <c r="Q593" s="164"/>
      <c r="R593" s="127"/>
      <c r="S593" s="127"/>
      <c r="T593" s="127"/>
      <c r="U593" s="131"/>
      <c r="V593" s="374"/>
      <c r="W593" s="127"/>
      <c r="X593" s="127"/>
      <c r="Y593" s="127"/>
      <c r="Z593" s="131"/>
      <c r="AA593" s="374"/>
      <c r="AB593" s="127"/>
      <c r="AC593" s="127"/>
      <c r="AD593" s="127"/>
      <c r="AE593" s="131"/>
      <c r="AF593" s="374"/>
      <c r="AG593" s="127"/>
      <c r="AH593" s="127"/>
      <c r="AI593" s="127"/>
      <c r="AJ593" s="131"/>
      <c r="AK593" s="374"/>
      <c r="AL593" s="127"/>
      <c r="AM593" s="127"/>
      <c r="AN593" s="127"/>
      <c r="AO593" s="359"/>
      <c r="AP593" s="359"/>
      <c r="AQ593" s="359"/>
      <c r="AR593" s="359"/>
      <c r="AS593" s="359"/>
    </row>
    <row r="594">
      <c r="A594" s="131"/>
      <c r="B594" s="374"/>
      <c r="C594" s="127"/>
      <c r="D594" s="127"/>
      <c r="E594" s="127"/>
      <c r="F594" s="131"/>
      <c r="G594" s="374"/>
      <c r="H594" s="127"/>
      <c r="I594" s="127"/>
      <c r="J594" s="127"/>
      <c r="K594" s="383"/>
      <c r="L594" s="374"/>
      <c r="M594" s="127"/>
      <c r="N594" s="127"/>
      <c r="O594" s="127"/>
      <c r="P594" s="383"/>
      <c r="Q594" s="164"/>
      <c r="R594" s="127"/>
      <c r="S594" s="127"/>
      <c r="T594" s="127"/>
      <c r="U594" s="131"/>
      <c r="V594" s="374"/>
      <c r="W594" s="127"/>
      <c r="X594" s="127"/>
      <c r="Y594" s="127"/>
      <c r="Z594" s="131"/>
      <c r="AA594" s="374"/>
      <c r="AB594" s="127"/>
      <c r="AC594" s="127"/>
      <c r="AD594" s="127"/>
      <c r="AE594" s="131"/>
      <c r="AF594" s="374"/>
      <c r="AG594" s="127"/>
      <c r="AH594" s="127"/>
      <c r="AI594" s="127"/>
      <c r="AJ594" s="131"/>
      <c r="AK594" s="374"/>
      <c r="AL594" s="127"/>
      <c r="AM594" s="127"/>
      <c r="AN594" s="127"/>
      <c r="AO594" s="359"/>
      <c r="AP594" s="359"/>
      <c r="AQ594" s="359"/>
      <c r="AR594" s="359"/>
      <c r="AS594" s="359"/>
    </row>
    <row r="595">
      <c r="A595" s="131"/>
      <c r="B595" s="374"/>
      <c r="C595" s="127"/>
      <c r="D595" s="127"/>
      <c r="E595" s="127"/>
      <c r="F595" s="131"/>
      <c r="G595" s="374"/>
      <c r="H595" s="127"/>
      <c r="I595" s="127"/>
      <c r="J595" s="127"/>
      <c r="K595" s="383"/>
      <c r="L595" s="374"/>
      <c r="M595" s="127"/>
      <c r="N595" s="127"/>
      <c r="O595" s="127"/>
      <c r="P595" s="383"/>
      <c r="Q595" s="164"/>
      <c r="R595" s="127"/>
      <c r="S595" s="127"/>
      <c r="T595" s="127"/>
      <c r="U595" s="131"/>
      <c r="V595" s="374"/>
      <c r="W595" s="127"/>
      <c r="X595" s="127"/>
      <c r="Y595" s="127"/>
      <c r="Z595" s="131"/>
      <c r="AA595" s="374"/>
      <c r="AB595" s="127"/>
      <c r="AC595" s="127"/>
      <c r="AD595" s="127"/>
      <c r="AE595" s="131"/>
      <c r="AF595" s="374"/>
      <c r="AG595" s="127"/>
      <c r="AH595" s="127"/>
      <c r="AI595" s="127"/>
      <c r="AJ595" s="131"/>
      <c r="AK595" s="374"/>
      <c r="AL595" s="127"/>
      <c r="AM595" s="127"/>
      <c r="AN595" s="127"/>
      <c r="AO595" s="359"/>
      <c r="AP595" s="359"/>
      <c r="AQ595" s="359"/>
      <c r="AR595" s="359"/>
      <c r="AS595" s="359"/>
    </row>
    <row r="596">
      <c r="A596" s="131"/>
      <c r="B596" s="374"/>
      <c r="C596" s="127"/>
      <c r="D596" s="127"/>
      <c r="E596" s="127"/>
      <c r="F596" s="131"/>
      <c r="G596" s="374"/>
      <c r="H596" s="127"/>
      <c r="I596" s="127"/>
      <c r="J596" s="127"/>
      <c r="K596" s="383"/>
      <c r="L596" s="374"/>
      <c r="M596" s="127"/>
      <c r="N596" s="127"/>
      <c r="O596" s="127"/>
      <c r="P596" s="383"/>
      <c r="Q596" s="164"/>
      <c r="R596" s="127"/>
      <c r="S596" s="127"/>
      <c r="T596" s="127"/>
      <c r="U596" s="131"/>
      <c r="V596" s="374"/>
      <c r="W596" s="127"/>
      <c r="X596" s="127"/>
      <c r="Y596" s="127"/>
      <c r="Z596" s="131"/>
      <c r="AA596" s="374"/>
      <c r="AB596" s="127"/>
      <c r="AC596" s="127"/>
      <c r="AD596" s="127"/>
      <c r="AE596" s="131"/>
      <c r="AF596" s="374"/>
      <c r="AG596" s="127"/>
      <c r="AH596" s="127"/>
      <c r="AI596" s="127"/>
      <c r="AJ596" s="131"/>
      <c r="AK596" s="374"/>
      <c r="AL596" s="127"/>
      <c r="AM596" s="127"/>
      <c r="AN596" s="127"/>
      <c r="AO596" s="359"/>
      <c r="AP596" s="359"/>
      <c r="AQ596" s="359"/>
      <c r="AR596" s="359"/>
      <c r="AS596" s="359"/>
    </row>
    <row r="597">
      <c r="A597" s="131"/>
      <c r="B597" s="374"/>
      <c r="C597" s="127"/>
      <c r="D597" s="127"/>
      <c r="E597" s="127"/>
      <c r="F597" s="131"/>
      <c r="G597" s="374"/>
      <c r="H597" s="127"/>
      <c r="I597" s="127"/>
      <c r="J597" s="127"/>
      <c r="K597" s="383"/>
      <c r="L597" s="374"/>
      <c r="M597" s="127"/>
      <c r="N597" s="127"/>
      <c r="O597" s="127"/>
      <c r="P597" s="383"/>
      <c r="Q597" s="164"/>
      <c r="R597" s="127"/>
      <c r="S597" s="127"/>
      <c r="T597" s="127"/>
      <c r="U597" s="131"/>
      <c r="V597" s="374"/>
      <c r="W597" s="127"/>
      <c r="X597" s="127"/>
      <c r="Y597" s="127"/>
      <c r="Z597" s="131"/>
      <c r="AA597" s="374"/>
      <c r="AB597" s="127"/>
      <c r="AC597" s="127"/>
      <c r="AD597" s="127"/>
      <c r="AE597" s="131"/>
      <c r="AF597" s="374"/>
      <c r="AG597" s="127"/>
      <c r="AH597" s="127"/>
      <c r="AI597" s="127"/>
      <c r="AJ597" s="131"/>
      <c r="AK597" s="374"/>
      <c r="AL597" s="127"/>
      <c r="AM597" s="127"/>
      <c r="AN597" s="127"/>
      <c r="AO597" s="359"/>
      <c r="AP597" s="359"/>
      <c r="AQ597" s="359"/>
      <c r="AR597" s="359"/>
      <c r="AS597" s="359"/>
    </row>
    <row r="598">
      <c r="A598" s="131"/>
      <c r="B598" s="374"/>
      <c r="C598" s="127"/>
      <c r="D598" s="127"/>
      <c r="E598" s="127"/>
      <c r="F598" s="131"/>
      <c r="G598" s="374"/>
      <c r="H598" s="127"/>
      <c r="I598" s="127"/>
      <c r="J598" s="127"/>
      <c r="K598" s="383"/>
      <c r="L598" s="374"/>
      <c r="M598" s="127"/>
      <c r="N598" s="127"/>
      <c r="O598" s="127"/>
      <c r="P598" s="383"/>
      <c r="Q598" s="164"/>
      <c r="R598" s="127"/>
      <c r="S598" s="127"/>
      <c r="T598" s="127"/>
      <c r="U598" s="131"/>
      <c r="V598" s="374"/>
      <c r="W598" s="127"/>
      <c r="X598" s="127"/>
      <c r="Y598" s="127"/>
      <c r="Z598" s="131"/>
      <c r="AA598" s="374"/>
      <c r="AB598" s="127"/>
      <c r="AC598" s="127"/>
      <c r="AD598" s="127"/>
      <c r="AE598" s="131"/>
      <c r="AF598" s="374"/>
      <c r="AG598" s="127"/>
      <c r="AH598" s="127"/>
      <c r="AI598" s="127"/>
      <c r="AJ598" s="131"/>
      <c r="AK598" s="374"/>
      <c r="AL598" s="127"/>
      <c r="AM598" s="127"/>
      <c r="AN598" s="127"/>
      <c r="AO598" s="359"/>
      <c r="AP598" s="359"/>
      <c r="AQ598" s="359"/>
      <c r="AR598" s="359"/>
      <c r="AS598" s="359"/>
    </row>
    <row r="599">
      <c r="A599" s="131"/>
      <c r="B599" s="374"/>
      <c r="C599" s="127"/>
      <c r="D599" s="127"/>
      <c r="E599" s="127"/>
      <c r="F599" s="131"/>
      <c r="G599" s="374"/>
      <c r="H599" s="127"/>
      <c r="I599" s="127"/>
      <c r="J599" s="127"/>
      <c r="K599" s="383"/>
      <c r="L599" s="374"/>
      <c r="M599" s="127"/>
      <c r="N599" s="127"/>
      <c r="O599" s="127"/>
      <c r="P599" s="383"/>
      <c r="Q599" s="164"/>
      <c r="R599" s="127"/>
      <c r="S599" s="127"/>
      <c r="T599" s="127"/>
      <c r="U599" s="131"/>
      <c r="V599" s="374"/>
      <c r="W599" s="127"/>
      <c r="X599" s="127"/>
      <c r="Y599" s="127"/>
      <c r="Z599" s="131"/>
      <c r="AA599" s="374"/>
      <c r="AB599" s="127"/>
      <c r="AC599" s="127"/>
      <c r="AD599" s="127"/>
      <c r="AE599" s="131"/>
      <c r="AF599" s="374"/>
      <c r="AG599" s="127"/>
      <c r="AH599" s="127"/>
      <c r="AI599" s="127"/>
      <c r="AJ599" s="131"/>
      <c r="AK599" s="374"/>
      <c r="AL599" s="127"/>
      <c r="AM599" s="127"/>
      <c r="AN599" s="127"/>
      <c r="AO599" s="359"/>
      <c r="AP599" s="359"/>
      <c r="AQ599" s="359"/>
      <c r="AR599" s="359"/>
      <c r="AS599" s="359"/>
    </row>
    <row r="600">
      <c r="A600" s="131"/>
      <c r="B600" s="374"/>
      <c r="C600" s="127"/>
      <c r="D600" s="127"/>
      <c r="E600" s="127"/>
      <c r="F600" s="131"/>
      <c r="G600" s="374"/>
      <c r="H600" s="127"/>
      <c r="I600" s="127"/>
      <c r="J600" s="127"/>
      <c r="K600" s="383"/>
      <c r="L600" s="374"/>
      <c r="M600" s="127"/>
      <c r="N600" s="127"/>
      <c r="O600" s="127"/>
      <c r="P600" s="383"/>
      <c r="Q600" s="164"/>
      <c r="R600" s="127"/>
      <c r="S600" s="127"/>
      <c r="T600" s="127"/>
      <c r="U600" s="131"/>
      <c r="V600" s="374"/>
      <c r="W600" s="127"/>
      <c r="X600" s="127"/>
      <c r="Y600" s="127"/>
      <c r="Z600" s="131"/>
      <c r="AA600" s="374"/>
      <c r="AB600" s="127"/>
      <c r="AC600" s="127"/>
      <c r="AD600" s="127"/>
      <c r="AE600" s="131"/>
      <c r="AF600" s="374"/>
      <c r="AG600" s="127"/>
      <c r="AH600" s="127"/>
      <c r="AI600" s="127"/>
      <c r="AJ600" s="131"/>
      <c r="AK600" s="374"/>
      <c r="AL600" s="127"/>
      <c r="AM600" s="127"/>
      <c r="AN600" s="127"/>
      <c r="AO600" s="359"/>
      <c r="AP600" s="359"/>
      <c r="AQ600" s="359"/>
      <c r="AR600" s="359"/>
      <c r="AS600" s="359"/>
    </row>
    <row r="601">
      <c r="A601" s="131"/>
      <c r="B601" s="374"/>
      <c r="C601" s="127"/>
      <c r="D601" s="127"/>
      <c r="E601" s="127"/>
      <c r="F601" s="131"/>
      <c r="G601" s="374"/>
      <c r="H601" s="127"/>
      <c r="I601" s="127"/>
      <c r="J601" s="127"/>
      <c r="K601" s="383"/>
      <c r="L601" s="374"/>
      <c r="M601" s="127"/>
      <c r="N601" s="127"/>
      <c r="O601" s="127"/>
      <c r="P601" s="383"/>
      <c r="Q601" s="164"/>
      <c r="R601" s="127"/>
      <c r="S601" s="127"/>
      <c r="T601" s="127"/>
      <c r="U601" s="131"/>
      <c r="V601" s="374"/>
      <c r="W601" s="127"/>
      <c r="X601" s="127"/>
      <c r="Y601" s="127"/>
      <c r="Z601" s="131"/>
      <c r="AA601" s="374"/>
      <c r="AB601" s="127"/>
      <c r="AC601" s="127"/>
      <c r="AD601" s="127"/>
      <c r="AE601" s="131"/>
      <c r="AF601" s="374"/>
      <c r="AG601" s="127"/>
      <c r="AH601" s="127"/>
      <c r="AI601" s="127"/>
      <c r="AJ601" s="131"/>
      <c r="AK601" s="374"/>
      <c r="AL601" s="127"/>
      <c r="AM601" s="127"/>
      <c r="AN601" s="127"/>
      <c r="AO601" s="359"/>
      <c r="AP601" s="359"/>
      <c r="AQ601" s="359"/>
      <c r="AR601" s="359"/>
      <c r="AS601" s="359"/>
    </row>
    <row r="602">
      <c r="A602" s="131"/>
      <c r="B602" s="374"/>
      <c r="C602" s="127"/>
      <c r="D602" s="127"/>
      <c r="E602" s="127"/>
      <c r="F602" s="131"/>
      <c r="G602" s="374"/>
      <c r="H602" s="127"/>
      <c r="I602" s="127"/>
      <c r="J602" s="127"/>
      <c r="K602" s="383"/>
      <c r="L602" s="374"/>
      <c r="M602" s="127"/>
      <c r="N602" s="127"/>
      <c r="O602" s="127"/>
      <c r="P602" s="383"/>
      <c r="Q602" s="164"/>
      <c r="R602" s="127"/>
      <c r="S602" s="127"/>
      <c r="T602" s="127"/>
      <c r="U602" s="131"/>
      <c r="V602" s="374"/>
      <c r="W602" s="127"/>
      <c r="X602" s="127"/>
      <c r="Y602" s="127"/>
      <c r="Z602" s="131"/>
      <c r="AA602" s="374"/>
      <c r="AB602" s="127"/>
      <c r="AC602" s="127"/>
      <c r="AD602" s="127"/>
      <c r="AE602" s="131"/>
      <c r="AF602" s="374"/>
      <c r="AG602" s="127"/>
      <c r="AH602" s="127"/>
      <c r="AI602" s="127"/>
      <c r="AJ602" s="131"/>
      <c r="AK602" s="374"/>
      <c r="AL602" s="127"/>
      <c r="AM602" s="127"/>
      <c r="AN602" s="127"/>
      <c r="AO602" s="359"/>
      <c r="AP602" s="359"/>
      <c r="AQ602" s="359"/>
      <c r="AR602" s="359"/>
      <c r="AS602" s="359"/>
    </row>
    <row r="603">
      <c r="A603" s="131"/>
      <c r="B603" s="374"/>
      <c r="C603" s="127"/>
      <c r="D603" s="127"/>
      <c r="E603" s="127"/>
      <c r="F603" s="131"/>
      <c r="G603" s="374"/>
      <c r="H603" s="127"/>
      <c r="I603" s="127"/>
      <c r="J603" s="127"/>
      <c r="K603" s="383"/>
      <c r="L603" s="374"/>
      <c r="M603" s="127"/>
      <c r="N603" s="127"/>
      <c r="O603" s="127"/>
      <c r="P603" s="383"/>
      <c r="Q603" s="164"/>
      <c r="R603" s="127"/>
      <c r="S603" s="127"/>
      <c r="T603" s="127"/>
      <c r="U603" s="131"/>
      <c r="V603" s="374"/>
      <c r="W603" s="127"/>
      <c r="X603" s="127"/>
      <c r="Y603" s="127"/>
      <c r="Z603" s="131"/>
      <c r="AA603" s="374"/>
      <c r="AB603" s="127"/>
      <c r="AC603" s="127"/>
      <c r="AD603" s="127"/>
      <c r="AE603" s="131"/>
      <c r="AF603" s="374"/>
      <c r="AG603" s="127"/>
      <c r="AH603" s="127"/>
      <c r="AI603" s="127"/>
      <c r="AJ603" s="131"/>
      <c r="AK603" s="374"/>
      <c r="AL603" s="127"/>
      <c r="AM603" s="127"/>
      <c r="AN603" s="127"/>
      <c r="AO603" s="359"/>
      <c r="AP603" s="359"/>
      <c r="AQ603" s="359"/>
      <c r="AR603" s="359"/>
      <c r="AS603" s="359"/>
    </row>
    <row r="604">
      <c r="A604" s="131"/>
      <c r="B604" s="374"/>
      <c r="C604" s="127"/>
      <c r="D604" s="127"/>
      <c r="E604" s="127"/>
      <c r="F604" s="131"/>
      <c r="G604" s="374"/>
      <c r="H604" s="127"/>
      <c r="I604" s="127"/>
      <c r="J604" s="127"/>
      <c r="K604" s="383"/>
      <c r="L604" s="374"/>
      <c r="M604" s="127"/>
      <c r="N604" s="127"/>
      <c r="O604" s="127"/>
      <c r="P604" s="383"/>
      <c r="Q604" s="164"/>
      <c r="R604" s="127"/>
      <c r="S604" s="127"/>
      <c r="T604" s="127"/>
      <c r="U604" s="131"/>
      <c r="V604" s="374"/>
      <c r="W604" s="127"/>
      <c r="X604" s="127"/>
      <c r="Y604" s="127"/>
      <c r="Z604" s="131"/>
      <c r="AA604" s="374"/>
      <c r="AB604" s="127"/>
      <c r="AC604" s="127"/>
      <c r="AD604" s="127"/>
      <c r="AE604" s="131"/>
      <c r="AF604" s="374"/>
      <c r="AG604" s="127"/>
      <c r="AH604" s="127"/>
      <c r="AI604" s="127"/>
      <c r="AJ604" s="131"/>
      <c r="AK604" s="374"/>
      <c r="AL604" s="127"/>
      <c r="AM604" s="127"/>
      <c r="AN604" s="127"/>
      <c r="AO604" s="359"/>
      <c r="AP604" s="359"/>
      <c r="AQ604" s="359"/>
      <c r="AR604" s="359"/>
      <c r="AS604" s="359"/>
    </row>
    <row r="605">
      <c r="A605" s="131"/>
      <c r="B605" s="374"/>
      <c r="C605" s="127"/>
      <c r="D605" s="127"/>
      <c r="E605" s="127"/>
      <c r="F605" s="131"/>
      <c r="G605" s="374"/>
      <c r="H605" s="127"/>
      <c r="I605" s="127"/>
      <c r="J605" s="127"/>
      <c r="K605" s="383"/>
      <c r="L605" s="374"/>
      <c r="M605" s="127"/>
      <c r="N605" s="127"/>
      <c r="O605" s="127"/>
      <c r="P605" s="383"/>
      <c r="Q605" s="164"/>
      <c r="R605" s="127"/>
      <c r="S605" s="127"/>
      <c r="T605" s="127"/>
      <c r="U605" s="131"/>
      <c r="V605" s="374"/>
      <c r="W605" s="127"/>
      <c r="X605" s="127"/>
      <c r="Y605" s="127"/>
      <c r="Z605" s="131"/>
      <c r="AA605" s="374"/>
      <c r="AB605" s="127"/>
      <c r="AC605" s="127"/>
      <c r="AD605" s="127"/>
      <c r="AE605" s="131"/>
      <c r="AF605" s="374"/>
      <c r="AG605" s="127"/>
      <c r="AH605" s="127"/>
      <c r="AI605" s="127"/>
      <c r="AJ605" s="131"/>
      <c r="AK605" s="374"/>
      <c r="AL605" s="127"/>
      <c r="AM605" s="127"/>
      <c r="AN605" s="127"/>
      <c r="AO605" s="359"/>
      <c r="AP605" s="359"/>
      <c r="AQ605" s="359"/>
      <c r="AR605" s="359"/>
      <c r="AS605" s="359"/>
    </row>
    <row r="606">
      <c r="A606" s="131"/>
      <c r="B606" s="374"/>
      <c r="C606" s="127"/>
      <c r="D606" s="127"/>
      <c r="E606" s="127"/>
      <c r="F606" s="131"/>
      <c r="G606" s="374"/>
      <c r="H606" s="127"/>
      <c r="I606" s="127"/>
      <c r="J606" s="127"/>
      <c r="K606" s="383"/>
      <c r="L606" s="374"/>
      <c r="M606" s="127"/>
      <c r="N606" s="127"/>
      <c r="O606" s="127"/>
      <c r="P606" s="383"/>
      <c r="Q606" s="164"/>
      <c r="R606" s="127"/>
      <c r="S606" s="127"/>
      <c r="T606" s="127"/>
      <c r="U606" s="131"/>
      <c r="V606" s="374"/>
      <c r="W606" s="127"/>
      <c r="X606" s="127"/>
      <c r="Y606" s="127"/>
      <c r="Z606" s="131"/>
      <c r="AA606" s="374"/>
      <c r="AB606" s="127"/>
      <c r="AC606" s="127"/>
      <c r="AD606" s="127"/>
      <c r="AE606" s="131"/>
      <c r="AF606" s="374"/>
      <c r="AG606" s="127"/>
      <c r="AH606" s="127"/>
      <c r="AI606" s="127"/>
      <c r="AJ606" s="131"/>
      <c r="AK606" s="374"/>
      <c r="AL606" s="127"/>
      <c r="AM606" s="127"/>
      <c r="AN606" s="127"/>
      <c r="AO606" s="359"/>
      <c r="AP606" s="359"/>
      <c r="AQ606" s="359"/>
      <c r="AR606" s="359"/>
      <c r="AS606" s="359"/>
    </row>
    <row r="607">
      <c r="A607" s="131"/>
      <c r="B607" s="374"/>
      <c r="C607" s="127"/>
      <c r="D607" s="127"/>
      <c r="E607" s="127"/>
      <c r="F607" s="131"/>
      <c r="G607" s="374"/>
      <c r="H607" s="127"/>
      <c r="I607" s="127"/>
      <c r="J607" s="127"/>
      <c r="K607" s="383"/>
      <c r="L607" s="374"/>
      <c r="M607" s="127"/>
      <c r="N607" s="127"/>
      <c r="O607" s="127"/>
      <c r="P607" s="383"/>
      <c r="Q607" s="164"/>
      <c r="R607" s="127"/>
      <c r="S607" s="127"/>
      <c r="T607" s="127"/>
      <c r="U607" s="131"/>
      <c r="V607" s="374"/>
      <c r="W607" s="127"/>
      <c r="X607" s="127"/>
      <c r="Y607" s="127"/>
      <c r="Z607" s="131"/>
      <c r="AA607" s="374"/>
      <c r="AB607" s="127"/>
      <c r="AC607" s="127"/>
      <c r="AD607" s="127"/>
      <c r="AE607" s="131"/>
      <c r="AF607" s="374"/>
      <c r="AG607" s="127"/>
      <c r="AH607" s="127"/>
      <c r="AI607" s="127"/>
      <c r="AJ607" s="131"/>
      <c r="AK607" s="374"/>
      <c r="AL607" s="127"/>
      <c r="AM607" s="127"/>
      <c r="AN607" s="127"/>
      <c r="AO607" s="359"/>
      <c r="AP607" s="359"/>
      <c r="AQ607" s="359"/>
      <c r="AR607" s="359"/>
      <c r="AS607" s="359"/>
    </row>
    <row r="608">
      <c r="A608" s="131"/>
      <c r="B608" s="374"/>
      <c r="C608" s="127"/>
      <c r="D608" s="127"/>
      <c r="E608" s="127"/>
      <c r="F608" s="131"/>
      <c r="G608" s="374"/>
      <c r="H608" s="127"/>
      <c r="I608" s="127"/>
      <c r="J608" s="127"/>
      <c r="K608" s="383"/>
      <c r="L608" s="374"/>
      <c r="M608" s="127"/>
      <c r="N608" s="127"/>
      <c r="O608" s="127"/>
      <c r="P608" s="383"/>
      <c r="Q608" s="164"/>
      <c r="R608" s="127"/>
      <c r="S608" s="127"/>
      <c r="T608" s="127"/>
      <c r="U608" s="131"/>
      <c r="V608" s="374"/>
      <c r="W608" s="127"/>
      <c r="X608" s="127"/>
      <c r="Y608" s="127"/>
      <c r="Z608" s="131"/>
      <c r="AA608" s="374"/>
      <c r="AB608" s="127"/>
      <c r="AC608" s="127"/>
      <c r="AD608" s="127"/>
      <c r="AE608" s="131"/>
      <c r="AF608" s="374"/>
      <c r="AG608" s="127"/>
      <c r="AH608" s="127"/>
      <c r="AI608" s="127"/>
      <c r="AJ608" s="131"/>
      <c r="AK608" s="374"/>
      <c r="AL608" s="127"/>
      <c r="AM608" s="127"/>
      <c r="AN608" s="127"/>
      <c r="AO608" s="359"/>
      <c r="AP608" s="359"/>
      <c r="AQ608" s="359"/>
      <c r="AR608" s="359"/>
      <c r="AS608" s="359"/>
    </row>
    <row r="609">
      <c r="A609" s="131"/>
      <c r="B609" s="374"/>
      <c r="C609" s="127"/>
      <c r="D609" s="127"/>
      <c r="E609" s="127"/>
      <c r="F609" s="131"/>
      <c r="G609" s="374"/>
      <c r="H609" s="127"/>
      <c r="I609" s="127"/>
      <c r="J609" s="127"/>
      <c r="K609" s="383"/>
      <c r="L609" s="374"/>
      <c r="M609" s="127"/>
      <c r="N609" s="127"/>
      <c r="O609" s="127"/>
      <c r="P609" s="383"/>
      <c r="Q609" s="164"/>
      <c r="R609" s="127"/>
      <c r="S609" s="127"/>
      <c r="T609" s="127"/>
      <c r="U609" s="131"/>
      <c r="V609" s="374"/>
      <c r="W609" s="127"/>
      <c r="X609" s="127"/>
      <c r="Y609" s="127"/>
      <c r="Z609" s="131"/>
      <c r="AA609" s="374"/>
      <c r="AB609" s="127"/>
      <c r="AC609" s="127"/>
      <c r="AD609" s="127"/>
      <c r="AE609" s="131"/>
      <c r="AF609" s="374"/>
      <c r="AG609" s="127"/>
      <c r="AH609" s="127"/>
      <c r="AI609" s="127"/>
      <c r="AJ609" s="131"/>
      <c r="AK609" s="374"/>
      <c r="AL609" s="127"/>
      <c r="AM609" s="127"/>
      <c r="AN609" s="127"/>
      <c r="AO609" s="359"/>
      <c r="AP609" s="359"/>
      <c r="AQ609" s="359"/>
      <c r="AR609" s="359"/>
      <c r="AS609" s="359"/>
    </row>
    <row r="610">
      <c r="A610" s="131"/>
      <c r="B610" s="374"/>
      <c r="C610" s="127"/>
      <c r="D610" s="127"/>
      <c r="E610" s="127"/>
      <c r="F610" s="131"/>
      <c r="G610" s="374"/>
      <c r="H610" s="127"/>
      <c r="I610" s="127"/>
      <c r="J610" s="127"/>
      <c r="K610" s="383"/>
      <c r="L610" s="374"/>
      <c r="M610" s="127"/>
      <c r="N610" s="127"/>
      <c r="O610" s="127"/>
      <c r="P610" s="383"/>
      <c r="Q610" s="164"/>
      <c r="R610" s="127"/>
      <c r="S610" s="127"/>
      <c r="T610" s="127"/>
      <c r="U610" s="131"/>
      <c r="V610" s="374"/>
      <c r="W610" s="127"/>
      <c r="X610" s="127"/>
      <c r="Y610" s="127"/>
      <c r="Z610" s="131"/>
      <c r="AA610" s="374"/>
      <c r="AB610" s="127"/>
      <c r="AC610" s="127"/>
      <c r="AD610" s="127"/>
      <c r="AE610" s="131"/>
      <c r="AF610" s="374"/>
      <c r="AG610" s="127"/>
      <c r="AH610" s="127"/>
      <c r="AI610" s="127"/>
      <c r="AJ610" s="131"/>
      <c r="AK610" s="374"/>
      <c r="AL610" s="127"/>
      <c r="AM610" s="127"/>
      <c r="AN610" s="127"/>
      <c r="AO610" s="359"/>
      <c r="AP610" s="359"/>
      <c r="AQ610" s="359"/>
      <c r="AR610" s="359"/>
      <c r="AS610" s="359"/>
    </row>
    <row r="611">
      <c r="A611" s="131"/>
      <c r="B611" s="374"/>
      <c r="C611" s="127"/>
      <c r="D611" s="127"/>
      <c r="E611" s="127"/>
      <c r="F611" s="131"/>
      <c r="G611" s="374"/>
      <c r="H611" s="127"/>
      <c r="I611" s="127"/>
      <c r="J611" s="127"/>
      <c r="K611" s="383"/>
      <c r="L611" s="374"/>
      <c r="M611" s="127"/>
      <c r="N611" s="127"/>
      <c r="O611" s="127"/>
      <c r="P611" s="383"/>
      <c r="Q611" s="164"/>
      <c r="R611" s="127"/>
      <c r="S611" s="127"/>
      <c r="T611" s="127"/>
      <c r="U611" s="131"/>
      <c r="V611" s="374"/>
      <c r="W611" s="127"/>
      <c r="X611" s="127"/>
      <c r="Y611" s="127"/>
      <c r="Z611" s="131"/>
      <c r="AA611" s="374"/>
      <c r="AB611" s="127"/>
      <c r="AC611" s="127"/>
      <c r="AD611" s="127"/>
      <c r="AE611" s="131"/>
      <c r="AF611" s="374"/>
      <c r="AG611" s="127"/>
      <c r="AH611" s="127"/>
      <c r="AI611" s="127"/>
      <c r="AJ611" s="131"/>
      <c r="AK611" s="374"/>
      <c r="AL611" s="127"/>
      <c r="AM611" s="127"/>
      <c r="AN611" s="127"/>
      <c r="AO611" s="359"/>
      <c r="AP611" s="359"/>
      <c r="AQ611" s="359"/>
      <c r="AR611" s="359"/>
      <c r="AS611" s="359"/>
    </row>
    <row r="612">
      <c r="A612" s="131"/>
      <c r="B612" s="374"/>
      <c r="C612" s="127"/>
      <c r="D612" s="127"/>
      <c r="E612" s="127"/>
      <c r="F612" s="131"/>
      <c r="G612" s="374"/>
      <c r="H612" s="127"/>
      <c r="I612" s="127"/>
      <c r="J612" s="127"/>
      <c r="K612" s="383"/>
      <c r="L612" s="374"/>
      <c r="M612" s="127"/>
      <c r="N612" s="127"/>
      <c r="O612" s="127"/>
      <c r="P612" s="383"/>
      <c r="Q612" s="164"/>
      <c r="R612" s="127"/>
      <c r="S612" s="127"/>
      <c r="T612" s="127"/>
      <c r="U612" s="131"/>
      <c r="V612" s="374"/>
      <c r="W612" s="127"/>
      <c r="X612" s="127"/>
      <c r="Y612" s="127"/>
      <c r="Z612" s="131"/>
      <c r="AA612" s="374"/>
      <c r="AB612" s="127"/>
      <c r="AC612" s="127"/>
      <c r="AD612" s="127"/>
      <c r="AE612" s="131"/>
      <c r="AF612" s="374"/>
      <c r="AG612" s="127"/>
      <c r="AH612" s="127"/>
      <c r="AI612" s="127"/>
      <c r="AJ612" s="131"/>
      <c r="AK612" s="374"/>
      <c r="AL612" s="127"/>
      <c r="AM612" s="127"/>
      <c r="AN612" s="127"/>
      <c r="AO612" s="359"/>
      <c r="AP612" s="359"/>
      <c r="AQ612" s="359"/>
      <c r="AR612" s="359"/>
      <c r="AS612" s="359"/>
    </row>
    <row r="613">
      <c r="A613" s="131"/>
      <c r="B613" s="374"/>
      <c r="C613" s="127"/>
      <c r="D613" s="127"/>
      <c r="E613" s="127"/>
      <c r="F613" s="131"/>
      <c r="G613" s="374"/>
      <c r="H613" s="127"/>
      <c r="I613" s="127"/>
      <c r="J613" s="127"/>
      <c r="K613" s="383"/>
      <c r="L613" s="374"/>
      <c r="M613" s="127"/>
      <c r="N613" s="127"/>
      <c r="O613" s="127"/>
      <c r="P613" s="383"/>
      <c r="Q613" s="164"/>
      <c r="R613" s="127"/>
      <c r="S613" s="127"/>
      <c r="T613" s="127"/>
      <c r="U613" s="131"/>
      <c r="V613" s="374"/>
      <c r="W613" s="127"/>
      <c r="X613" s="127"/>
      <c r="Y613" s="127"/>
      <c r="Z613" s="131"/>
      <c r="AA613" s="374"/>
      <c r="AB613" s="127"/>
      <c r="AC613" s="127"/>
      <c r="AD613" s="127"/>
      <c r="AE613" s="131"/>
      <c r="AF613" s="374"/>
      <c r="AG613" s="127"/>
      <c r="AH613" s="127"/>
      <c r="AI613" s="127"/>
      <c r="AJ613" s="131"/>
      <c r="AK613" s="374"/>
      <c r="AL613" s="127"/>
      <c r="AM613" s="127"/>
      <c r="AN613" s="127"/>
      <c r="AO613" s="359"/>
      <c r="AP613" s="359"/>
      <c r="AQ613" s="359"/>
      <c r="AR613" s="359"/>
      <c r="AS613" s="359"/>
    </row>
    <row r="614">
      <c r="A614" s="131"/>
      <c r="B614" s="374"/>
      <c r="C614" s="127"/>
      <c r="D614" s="127"/>
      <c r="E614" s="127"/>
      <c r="F614" s="131"/>
      <c r="G614" s="374"/>
      <c r="H614" s="127"/>
      <c r="I614" s="127"/>
      <c r="J614" s="127"/>
      <c r="K614" s="383"/>
      <c r="L614" s="374"/>
      <c r="M614" s="127"/>
      <c r="N614" s="127"/>
      <c r="O614" s="127"/>
      <c r="P614" s="383"/>
      <c r="Q614" s="164"/>
      <c r="R614" s="127"/>
      <c r="S614" s="127"/>
      <c r="T614" s="127"/>
      <c r="U614" s="131"/>
      <c r="V614" s="374"/>
      <c r="W614" s="127"/>
      <c r="X614" s="127"/>
      <c r="Y614" s="127"/>
      <c r="Z614" s="131"/>
      <c r="AA614" s="374"/>
      <c r="AB614" s="127"/>
      <c r="AC614" s="127"/>
      <c r="AD614" s="127"/>
      <c r="AE614" s="131"/>
      <c r="AF614" s="374"/>
      <c r="AG614" s="127"/>
      <c r="AH614" s="127"/>
      <c r="AI614" s="127"/>
      <c r="AJ614" s="131"/>
      <c r="AK614" s="374"/>
      <c r="AL614" s="127"/>
      <c r="AM614" s="127"/>
      <c r="AN614" s="127"/>
      <c r="AO614" s="359"/>
      <c r="AP614" s="359"/>
      <c r="AQ614" s="359"/>
      <c r="AR614" s="359"/>
      <c r="AS614" s="359"/>
    </row>
    <row r="615">
      <c r="A615" s="131"/>
      <c r="B615" s="374"/>
      <c r="C615" s="127"/>
      <c r="D615" s="127"/>
      <c r="E615" s="127"/>
      <c r="F615" s="131"/>
      <c r="G615" s="374"/>
      <c r="H615" s="127"/>
      <c r="I615" s="127"/>
      <c r="J615" s="127"/>
      <c r="K615" s="383"/>
      <c r="L615" s="374"/>
      <c r="M615" s="127"/>
      <c r="N615" s="127"/>
      <c r="O615" s="127"/>
      <c r="P615" s="383"/>
      <c r="Q615" s="164"/>
      <c r="R615" s="127"/>
      <c r="S615" s="127"/>
      <c r="T615" s="127"/>
      <c r="U615" s="131"/>
      <c r="V615" s="374"/>
      <c r="W615" s="127"/>
      <c r="X615" s="127"/>
      <c r="Y615" s="127"/>
      <c r="Z615" s="131"/>
      <c r="AA615" s="374"/>
      <c r="AB615" s="127"/>
      <c r="AC615" s="127"/>
      <c r="AD615" s="127"/>
      <c r="AE615" s="131"/>
      <c r="AF615" s="374"/>
      <c r="AG615" s="127"/>
      <c r="AH615" s="127"/>
      <c r="AI615" s="127"/>
      <c r="AJ615" s="131"/>
      <c r="AK615" s="374"/>
      <c r="AL615" s="127"/>
      <c r="AM615" s="127"/>
      <c r="AN615" s="127"/>
      <c r="AO615" s="359"/>
      <c r="AP615" s="359"/>
      <c r="AQ615" s="359"/>
      <c r="AR615" s="359"/>
      <c r="AS615" s="359"/>
    </row>
    <row r="616">
      <c r="A616" s="131"/>
      <c r="B616" s="374"/>
      <c r="C616" s="127"/>
      <c r="D616" s="127"/>
      <c r="E616" s="127"/>
      <c r="F616" s="131"/>
      <c r="G616" s="374"/>
      <c r="H616" s="127"/>
      <c r="I616" s="127"/>
      <c r="J616" s="127"/>
      <c r="K616" s="383"/>
      <c r="L616" s="374"/>
      <c r="M616" s="127"/>
      <c r="N616" s="127"/>
      <c r="O616" s="127"/>
      <c r="P616" s="383"/>
      <c r="Q616" s="164"/>
      <c r="R616" s="127"/>
      <c r="S616" s="127"/>
      <c r="T616" s="127"/>
      <c r="U616" s="131"/>
      <c r="V616" s="374"/>
      <c r="W616" s="127"/>
      <c r="X616" s="127"/>
      <c r="Y616" s="127"/>
      <c r="Z616" s="131"/>
      <c r="AA616" s="374"/>
      <c r="AB616" s="127"/>
      <c r="AC616" s="127"/>
      <c r="AD616" s="127"/>
      <c r="AE616" s="131"/>
      <c r="AF616" s="374"/>
      <c r="AG616" s="127"/>
      <c r="AH616" s="127"/>
      <c r="AI616" s="127"/>
      <c r="AJ616" s="131"/>
      <c r="AK616" s="374"/>
      <c r="AL616" s="127"/>
      <c r="AM616" s="127"/>
      <c r="AN616" s="127"/>
      <c r="AO616" s="359"/>
      <c r="AP616" s="359"/>
      <c r="AQ616" s="359"/>
      <c r="AR616" s="359"/>
      <c r="AS616" s="359"/>
    </row>
    <row r="617">
      <c r="A617" s="131"/>
      <c r="B617" s="374"/>
      <c r="C617" s="127"/>
      <c r="D617" s="127"/>
      <c r="E617" s="127"/>
      <c r="F617" s="131"/>
      <c r="G617" s="374"/>
      <c r="H617" s="127"/>
      <c r="I617" s="127"/>
      <c r="J617" s="127"/>
      <c r="K617" s="383"/>
      <c r="L617" s="374"/>
      <c r="M617" s="127"/>
      <c r="N617" s="127"/>
      <c r="O617" s="127"/>
      <c r="P617" s="383"/>
      <c r="Q617" s="164"/>
      <c r="R617" s="127"/>
      <c r="S617" s="127"/>
      <c r="T617" s="127"/>
      <c r="U617" s="131"/>
      <c r="V617" s="374"/>
      <c r="W617" s="127"/>
      <c r="X617" s="127"/>
      <c r="Y617" s="127"/>
      <c r="Z617" s="131"/>
      <c r="AA617" s="374"/>
      <c r="AB617" s="127"/>
      <c r="AC617" s="127"/>
      <c r="AD617" s="127"/>
      <c r="AE617" s="131"/>
      <c r="AF617" s="374"/>
      <c r="AG617" s="127"/>
      <c r="AH617" s="127"/>
      <c r="AI617" s="127"/>
      <c r="AJ617" s="131"/>
      <c r="AK617" s="374"/>
      <c r="AL617" s="127"/>
      <c r="AM617" s="127"/>
      <c r="AN617" s="127"/>
      <c r="AO617" s="359"/>
      <c r="AP617" s="359"/>
      <c r="AQ617" s="359"/>
      <c r="AR617" s="359"/>
      <c r="AS617" s="359"/>
    </row>
    <row r="618">
      <c r="A618" s="131"/>
      <c r="B618" s="374"/>
      <c r="C618" s="127"/>
      <c r="D618" s="127"/>
      <c r="E618" s="127"/>
      <c r="F618" s="131"/>
      <c r="G618" s="374"/>
      <c r="H618" s="127"/>
      <c r="I618" s="127"/>
      <c r="J618" s="127"/>
      <c r="K618" s="383"/>
      <c r="L618" s="374"/>
      <c r="M618" s="127"/>
      <c r="N618" s="127"/>
      <c r="O618" s="127"/>
      <c r="P618" s="383"/>
      <c r="Q618" s="164"/>
      <c r="R618" s="127"/>
      <c r="S618" s="127"/>
      <c r="T618" s="127"/>
      <c r="U618" s="131"/>
      <c r="V618" s="374"/>
      <c r="W618" s="127"/>
      <c r="X618" s="127"/>
      <c r="Y618" s="127"/>
      <c r="Z618" s="131"/>
      <c r="AA618" s="374"/>
      <c r="AB618" s="127"/>
      <c r="AC618" s="127"/>
      <c r="AD618" s="127"/>
      <c r="AE618" s="131"/>
      <c r="AF618" s="374"/>
      <c r="AG618" s="127"/>
      <c r="AH618" s="127"/>
      <c r="AI618" s="127"/>
      <c r="AJ618" s="131"/>
      <c r="AK618" s="374"/>
      <c r="AL618" s="127"/>
      <c r="AM618" s="127"/>
      <c r="AN618" s="127"/>
      <c r="AO618" s="359"/>
      <c r="AP618" s="359"/>
      <c r="AQ618" s="359"/>
      <c r="AR618" s="359"/>
      <c r="AS618" s="359"/>
    </row>
    <row r="619">
      <c r="A619" s="131"/>
      <c r="B619" s="374"/>
      <c r="C619" s="127"/>
      <c r="D619" s="127"/>
      <c r="E619" s="127"/>
      <c r="F619" s="131"/>
      <c r="G619" s="374"/>
      <c r="H619" s="127"/>
      <c r="I619" s="127"/>
      <c r="J619" s="127"/>
      <c r="K619" s="383"/>
      <c r="L619" s="374"/>
      <c r="M619" s="127"/>
      <c r="N619" s="127"/>
      <c r="O619" s="127"/>
      <c r="P619" s="383"/>
      <c r="Q619" s="164"/>
      <c r="R619" s="127"/>
      <c r="S619" s="127"/>
      <c r="T619" s="127"/>
      <c r="U619" s="131"/>
      <c r="V619" s="374"/>
      <c r="W619" s="127"/>
      <c r="X619" s="127"/>
      <c r="Y619" s="127"/>
      <c r="Z619" s="131"/>
      <c r="AA619" s="374"/>
      <c r="AB619" s="127"/>
      <c r="AC619" s="127"/>
      <c r="AD619" s="127"/>
      <c r="AE619" s="131"/>
      <c r="AF619" s="374"/>
      <c r="AG619" s="127"/>
      <c r="AH619" s="127"/>
      <c r="AI619" s="127"/>
      <c r="AJ619" s="131"/>
      <c r="AK619" s="374"/>
      <c r="AL619" s="127"/>
      <c r="AM619" s="127"/>
      <c r="AN619" s="127"/>
      <c r="AO619" s="359"/>
      <c r="AP619" s="359"/>
      <c r="AQ619" s="359"/>
      <c r="AR619" s="359"/>
      <c r="AS619" s="359"/>
    </row>
    <row r="620">
      <c r="A620" s="131"/>
      <c r="B620" s="374"/>
      <c r="C620" s="127"/>
      <c r="D620" s="127"/>
      <c r="E620" s="127"/>
      <c r="F620" s="131"/>
      <c r="G620" s="374"/>
      <c r="H620" s="127"/>
      <c r="I620" s="127"/>
      <c r="J620" s="127"/>
      <c r="K620" s="383"/>
      <c r="L620" s="374"/>
      <c r="M620" s="127"/>
      <c r="N620" s="127"/>
      <c r="O620" s="127"/>
      <c r="P620" s="383"/>
      <c r="Q620" s="164"/>
      <c r="R620" s="127"/>
      <c r="S620" s="127"/>
      <c r="T620" s="127"/>
      <c r="U620" s="131"/>
      <c r="V620" s="374"/>
      <c r="W620" s="127"/>
      <c r="X620" s="127"/>
      <c r="Y620" s="127"/>
      <c r="Z620" s="131"/>
      <c r="AA620" s="374"/>
      <c r="AB620" s="127"/>
      <c r="AC620" s="127"/>
      <c r="AD620" s="127"/>
      <c r="AE620" s="131"/>
      <c r="AF620" s="374"/>
      <c r="AG620" s="127"/>
      <c r="AH620" s="127"/>
      <c r="AI620" s="127"/>
      <c r="AJ620" s="131"/>
      <c r="AK620" s="374"/>
      <c r="AL620" s="127"/>
      <c r="AM620" s="127"/>
      <c r="AN620" s="127"/>
      <c r="AO620" s="359"/>
      <c r="AP620" s="359"/>
      <c r="AQ620" s="359"/>
      <c r="AR620" s="359"/>
      <c r="AS620" s="359"/>
    </row>
    <row r="621">
      <c r="A621" s="131"/>
      <c r="B621" s="374"/>
      <c r="C621" s="127"/>
      <c r="D621" s="127"/>
      <c r="E621" s="127"/>
      <c r="F621" s="131"/>
      <c r="G621" s="374"/>
      <c r="H621" s="127"/>
      <c r="I621" s="127"/>
      <c r="J621" s="127"/>
      <c r="K621" s="383"/>
      <c r="L621" s="374"/>
      <c r="M621" s="127"/>
      <c r="N621" s="127"/>
      <c r="O621" s="127"/>
      <c r="P621" s="383"/>
      <c r="Q621" s="164"/>
      <c r="R621" s="127"/>
      <c r="S621" s="127"/>
      <c r="T621" s="127"/>
      <c r="U621" s="131"/>
      <c r="V621" s="374"/>
      <c r="W621" s="127"/>
      <c r="X621" s="127"/>
      <c r="Y621" s="127"/>
      <c r="Z621" s="131"/>
      <c r="AA621" s="374"/>
      <c r="AB621" s="127"/>
      <c r="AC621" s="127"/>
      <c r="AD621" s="127"/>
      <c r="AE621" s="131"/>
      <c r="AF621" s="374"/>
      <c r="AG621" s="127"/>
      <c r="AH621" s="127"/>
      <c r="AI621" s="127"/>
      <c r="AJ621" s="131"/>
      <c r="AK621" s="374"/>
      <c r="AL621" s="127"/>
      <c r="AM621" s="127"/>
      <c r="AN621" s="127"/>
      <c r="AO621" s="359"/>
      <c r="AP621" s="359"/>
      <c r="AQ621" s="359"/>
      <c r="AR621" s="359"/>
      <c r="AS621" s="359"/>
    </row>
    <row r="622">
      <c r="A622" s="131"/>
      <c r="B622" s="374"/>
      <c r="C622" s="127"/>
      <c r="D622" s="127"/>
      <c r="E622" s="127"/>
      <c r="F622" s="131"/>
      <c r="G622" s="374"/>
      <c r="H622" s="127"/>
      <c r="I622" s="127"/>
      <c r="J622" s="127"/>
      <c r="K622" s="383"/>
      <c r="L622" s="374"/>
      <c r="M622" s="127"/>
      <c r="N622" s="127"/>
      <c r="O622" s="127"/>
      <c r="P622" s="383"/>
      <c r="Q622" s="164"/>
      <c r="R622" s="127"/>
      <c r="S622" s="127"/>
      <c r="T622" s="127"/>
      <c r="U622" s="131"/>
      <c r="V622" s="374"/>
      <c r="W622" s="127"/>
      <c r="X622" s="127"/>
      <c r="Y622" s="127"/>
      <c r="Z622" s="131"/>
      <c r="AA622" s="374"/>
      <c r="AB622" s="127"/>
      <c r="AC622" s="127"/>
      <c r="AD622" s="127"/>
      <c r="AE622" s="131"/>
      <c r="AF622" s="374"/>
      <c r="AG622" s="127"/>
      <c r="AH622" s="127"/>
      <c r="AI622" s="127"/>
      <c r="AJ622" s="131"/>
      <c r="AK622" s="374"/>
      <c r="AL622" s="127"/>
      <c r="AM622" s="127"/>
      <c r="AN622" s="127"/>
      <c r="AO622" s="359"/>
      <c r="AP622" s="359"/>
      <c r="AQ622" s="359"/>
      <c r="AR622" s="359"/>
      <c r="AS622" s="359"/>
    </row>
    <row r="623">
      <c r="A623" s="131"/>
      <c r="B623" s="374"/>
      <c r="C623" s="127"/>
      <c r="D623" s="127"/>
      <c r="E623" s="127"/>
      <c r="F623" s="131"/>
      <c r="G623" s="374"/>
      <c r="H623" s="127"/>
      <c r="I623" s="127"/>
      <c r="J623" s="127"/>
      <c r="K623" s="383"/>
      <c r="L623" s="374"/>
      <c r="M623" s="127"/>
      <c r="N623" s="127"/>
      <c r="O623" s="127"/>
      <c r="P623" s="383"/>
      <c r="Q623" s="164"/>
      <c r="R623" s="127"/>
      <c r="S623" s="127"/>
      <c r="T623" s="127"/>
      <c r="U623" s="131"/>
      <c r="V623" s="374"/>
      <c r="W623" s="127"/>
      <c r="X623" s="127"/>
      <c r="Y623" s="127"/>
      <c r="Z623" s="131"/>
      <c r="AA623" s="374"/>
      <c r="AB623" s="127"/>
      <c r="AC623" s="127"/>
      <c r="AD623" s="127"/>
      <c r="AE623" s="131"/>
      <c r="AF623" s="374"/>
      <c r="AG623" s="127"/>
      <c r="AH623" s="127"/>
      <c r="AI623" s="127"/>
      <c r="AJ623" s="131"/>
      <c r="AK623" s="374"/>
      <c r="AL623" s="127"/>
      <c r="AM623" s="127"/>
      <c r="AN623" s="127"/>
      <c r="AO623" s="359"/>
      <c r="AP623" s="359"/>
      <c r="AQ623" s="359"/>
      <c r="AR623" s="359"/>
      <c r="AS623" s="359"/>
    </row>
    <row r="624">
      <c r="A624" s="131"/>
      <c r="B624" s="374"/>
      <c r="C624" s="127"/>
      <c r="D624" s="127"/>
      <c r="E624" s="127"/>
      <c r="F624" s="131"/>
      <c r="G624" s="374"/>
      <c r="H624" s="127"/>
      <c r="I624" s="127"/>
      <c r="J624" s="127"/>
      <c r="K624" s="383"/>
      <c r="L624" s="374"/>
      <c r="M624" s="127"/>
      <c r="N624" s="127"/>
      <c r="O624" s="127"/>
      <c r="P624" s="383"/>
      <c r="Q624" s="164"/>
      <c r="R624" s="127"/>
      <c r="S624" s="127"/>
      <c r="T624" s="127"/>
      <c r="U624" s="131"/>
      <c r="V624" s="374"/>
      <c r="W624" s="127"/>
      <c r="X624" s="127"/>
      <c r="Y624" s="127"/>
      <c r="Z624" s="131"/>
      <c r="AA624" s="374"/>
      <c r="AB624" s="127"/>
      <c r="AC624" s="127"/>
      <c r="AD624" s="127"/>
      <c r="AE624" s="131"/>
      <c r="AF624" s="374"/>
      <c r="AG624" s="127"/>
      <c r="AH624" s="127"/>
      <c r="AI624" s="127"/>
      <c r="AJ624" s="131"/>
      <c r="AK624" s="374"/>
      <c r="AL624" s="127"/>
      <c r="AM624" s="127"/>
      <c r="AN624" s="127"/>
      <c r="AO624" s="359"/>
      <c r="AP624" s="359"/>
      <c r="AQ624" s="359"/>
      <c r="AR624" s="359"/>
      <c r="AS624" s="359"/>
    </row>
    <row r="625">
      <c r="A625" s="131"/>
      <c r="B625" s="374"/>
      <c r="C625" s="127"/>
      <c r="D625" s="127"/>
      <c r="E625" s="127"/>
      <c r="F625" s="131"/>
      <c r="G625" s="374"/>
      <c r="H625" s="127"/>
      <c r="I625" s="127"/>
      <c r="J625" s="127"/>
      <c r="K625" s="383"/>
      <c r="L625" s="374"/>
      <c r="M625" s="127"/>
      <c r="N625" s="127"/>
      <c r="O625" s="127"/>
      <c r="P625" s="383"/>
      <c r="Q625" s="164"/>
      <c r="R625" s="127"/>
      <c r="S625" s="127"/>
      <c r="T625" s="127"/>
      <c r="U625" s="131"/>
      <c r="V625" s="374"/>
      <c r="W625" s="127"/>
      <c r="X625" s="127"/>
      <c r="Y625" s="127"/>
      <c r="Z625" s="131"/>
      <c r="AA625" s="374"/>
      <c r="AB625" s="127"/>
      <c r="AC625" s="127"/>
      <c r="AD625" s="127"/>
      <c r="AE625" s="131"/>
      <c r="AF625" s="374"/>
      <c r="AG625" s="127"/>
      <c r="AH625" s="127"/>
      <c r="AI625" s="127"/>
      <c r="AJ625" s="131"/>
      <c r="AK625" s="374"/>
      <c r="AL625" s="127"/>
      <c r="AM625" s="127"/>
      <c r="AN625" s="127"/>
      <c r="AO625" s="359"/>
      <c r="AP625" s="359"/>
      <c r="AQ625" s="359"/>
      <c r="AR625" s="359"/>
      <c r="AS625" s="359"/>
    </row>
    <row r="626">
      <c r="A626" s="131"/>
      <c r="B626" s="374"/>
      <c r="C626" s="127"/>
      <c r="D626" s="127"/>
      <c r="E626" s="127"/>
      <c r="F626" s="131"/>
      <c r="G626" s="374"/>
      <c r="H626" s="127"/>
      <c r="I626" s="127"/>
      <c r="J626" s="127"/>
      <c r="K626" s="383"/>
      <c r="L626" s="374"/>
      <c r="M626" s="127"/>
      <c r="N626" s="127"/>
      <c r="O626" s="127"/>
      <c r="P626" s="383"/>
      <c r="Q626" s="164"/>
      <c r="R626" s="127"/>
      <c r="S626" s="127"/>
      <c r="T626" s="127"/>
      <c r="U626" s="131"/>
      <c r="V626" s="374"/>
      <c r="W626" s="127"/>
      <c r="X626" s="127"/>
      <c r="Y626" s="127"/>
      <c r="Z626" s="131"/>
      <c r="AA626" s="374"/>
      <c r="AB626" s="127"/>
      <c r="AC626" s="127"/>
      <c r="AD626" s="127"/>
      <c r="AE626" s="131"/>
      <c r="AF626" s="374"/>
      <c r="AG626" s="127"/>
      <c r="AH626" s="127"/>
      <c r="AI626" s="127"/>
      <c r="AJ626" s="131"/>
      <c r="AK626" s="374"/>
      <c r="AL626" s="127"/>
      <c r="AM626" s="127"/>
      <c r="AN626" s="127"/>
      <c r="AO626" s="359"/>
      <c r="AP626" s="359"/>
      <c r="AQ626" s="359"/>
      <c r="AR626" s="359"/>
      <c r="AS626" s="359"/>
    </row>
    <row r="627">
      <c r="A627" s="131"/>
      <c r="B627" s="374"/>
      <c r="C627" s="127"/>
      <c r="D627" s="127"/>
      <c r="E627" s="127"/>
      <c r="F627" s="131"/>
      <c r="G627" s="374"/>
      <c r="H627" s="127"/>
      <c r="I627" s="127"/>
      <c r="J627" s="127"/>
      <c r="K627" s="383"/>
      <c r="L627" s="374"/>
      <c r="M627" s="127"/>
      <c r="N627" s="127"/>
      <c r="O627" s="127"/>
      <c r="P627" s="383"/>
      <c r="Q627" s="164"/>
      <c r="R627" s="127"/>
      <c r="S627" s="127"/>
      <c r="T627" s="127"/>
      <c r="U627" s="131"/>
      <c r="V627" s="374"/>
      <c r="W627" s="127"/>
      <c r="X627" s="127"/>
      <c r="Y627" s="127"/>
      <c r="Z627" s="131"/>
      <c r="AA627" s="374"/>
      <c r="AB627" s="127"/>
      <c r="AC627" s="127"/>
      <c r="AD627" s="127"/>
      <c r="AE627" s="131"/>
      <c r="AF627" s="374"/>
      <c r="AG627" s="127"/>
      <c r="AH627" s="127"/>
      <c r="AI627" s="127"/>
      <c r="AJ627" s="131"/>
      <c r="AK627" s="374"/>
      <c r="AL627" s="127"/>
      <c r="AM627" s="127"/>
      <c r="AN627" s="127"/>
      <c r="AO627" s="359"/>
      <c r="AP627" s="359"/>
      <c r="AQ627" s="359"/>
      <c r="AR627" s="359"/>
      <c r="AS627" s="359"/>
    </row>
    <row r="628">
      <c r="A628" s="131"/>
      <c r="B628" s="374"/>
      <c r="C628" s="127"/>
      <c r="D628" s="127"/>
      <c r="E628" s="127"/>
      <c r="F628" s="131"/>
      <c r="G628" s="374"/>
      <c r="H628" s="127"/>
      <c r="I628" s="127"/>
      <c r="J628" s="127"/>
      <c r="K628" s="383"/>
      <c r="L628" s="374"/>
      <c r="M628" s="127"/>
      <c r="N628" s="127"/>
      <c r="O628" s="127"/>
      <c r="P628" s="383"/>
      <c r="Q628" s="164"/>
      <c r="R628" s="127"/>
      <c r="S628" s="127"/>
      <c r="T628" s="127"/>
      <c r="U628" s="131"/>
      <c r="V628" s="374"/>
      <c r="W628" s="127"/>
      <c r="X628" s="127"/>
      <c r="Y628" s="127"/>
      <c r="Z628" s="131"/>
      <c r="AA628" s="374"/>
      <c r="AB628" s="127"/>
      <c r="AC628" s="127"/>
      <c r="AD628" s="127"/>
      <c r="AE628" s="131"/>
      <c r="AF628" s="374"/>
      <c r="AG628" s="127"/>
      <c r="AH628" s="127"/>
      <c r="AI628" s="127"/>
      <c r="AJ628" s="131"/>
      <c r="AK628" s="374"/>
      <c r="AL628" s="127"/>
      <c r="AM628" s="127"/>
      <c r="AN628" s="127"/>
      <c r="AO628" s="359"/>
      <c r="AP628" s="359"/>
      <c r="AQ628" s="359"/>
      <c r="AR628" s="359"/>
      <c r="AS628" s="359"/>
    </row>
    <row r="629">
      <c r="A629" s="131"/>
      <c r="B629" s="374"/>
      <c r="C629" s="127"/>
      <c r="D629" s="127"/>
      <c r="E629" s="127"/>
      <c r="F629" s="131"/>
      <c r="G629" s="374"/>
      <c r="H629" s="127"/>
      <c r="I629" s="127"/>
      <c r="J629" s="127"/>
      <c r="K629" s="383"/>
      <c r="L629" s="374"/>
      <c r="M629" s="127"/>
      <c r="N629" s="127"/>
      <c r="O629" s="127"/>
      <c r="P629" s="383"/>
      <c r="Q629" s="164"/>
      <c r="R629" s="127"/>
      <c r="S629" s="127"/>
      <c r="T629" s="127"/>
      <c r="U629" s="131"/>
      <c r="V629" s="374"/>
      <c r="W629" s="127"/>
      <c r="X629" s="127"/>
      <c r="Y629" s="127"/>
      <c r="Z629" s="131"/>
      <c r="AA629" s="374"/>
      <c r="AB629" s="127"/>
      <c r="AC629" s="127"/>
      <c r="AD629" s="127"/>
      <c r="AE629" s="131"/>
      <c r="AF629" s="374"/>
      <c r="AG629" s="127"/>
      <c r="AH629" s="127"/>
      <c r="AI629" s="127"/>
      <c r="AJ629" s="131"/>
      <c r="AK629" s="374"/>
      <c r="AL629" s="127"/>
      <c r="AM629" s="127"/>
      <c r="AN629" s="127"/>
      <c r="AO629" s="359"/>
      <c r="AP629" s="359"/>
      <c r="AQ629" s="359"/>
      <c r="AR629" s="359"/>
      <c r="AS629" s="359"/>
    </row>
    <row r="630">
      <c r="A630" s="131"/>
      <c r="B630" s="374"/>
      <c r="C630" s="127"/>
      <c r="D630" s="127"/>
      <c r="E630" s="127"/>
      <c r="F630" s="131"/>
      <c r="G630" s="374"/>
      <c r="H630" s="127"/>
      <c r="I630" s="127"/>
      <c r="J630" s="127"/>
      <c r="K630" s="383"/>
      <c r="L630" s="374"/>
      <c r="M630" s="127"/>
      <c r="N630" s="127"/>
      <c r="O630" s="127"/>
      <c r="P630" s="383"/>
      <c r="Q630" s="164"/>
      <c r="R630" s="127"/>
      <c r="S630" s="127"/>
      <c r="T630" s="127"/>
      <c r="U630" s="131"/>
      <c r="V630" s="374"/>
      <c r="W630" s="127"/>
      <c r="X630" s="127"/>
      <c r="Y630" s="127"/>
      <c r="Z630" s="131"/>
      <c r="AA630" s="374"/>
      <c r="AB630" s="127"/>
      <c r="AC630" s="127"/>
      <c r="AD630" s="127"/>
      <c r="AE630" s="131"/>
      <c r="AF630" s="374"/>
      <c r="AG630" s="127"/>
      <c r="AH630" s="127"/>
      <c r="AI630" s="127"/>
      <c r="AJ630" s="131"/>
      <c r="AK630" s="374"/>
      <c r="AL630" s="127"/>
      <c r="AM630" s="127"/>
      <c r="AN630" s="127"/>
      <c r="AO630" s="359"/>
      <c r="AP630" s="359"/>
      <c r="AQ630" s="359"/>
      <c r="AR630" s="359"/>
      <c r="AS630" s="359"/>
    </row>
    <row r="631">
      <c r="A631" s="131"/>
      <c r="B631" s="374"/>
      <c r="C631" s="127"/>
      <c r="D631" s="127"/>
      <c r="E631" s="127"/>
      <c r="F631" s="131"/>
      <c r="G631" s="374"/>
      <c r="H631" s="127"/>
      <c r="I631" s="127"/>
      <c r="J631" s="127"/>
      <c r="K631" s="383"/>
      <c r="L631" s="374"/>
      <c r="M631" s="127"/>
      <c r="N631" s="127"/>
      <c r="O631" s="127"/>
      <c r="P631" s="383"/>
      <c r="Q631" s="164"/>
      <c r="R631" s="127"/>
      <c r="S631" s="127"/>
      <c r="T631" s="127"/>
      <c r="U631" s="131"/>
      <c r="V631" s="374"/>
      <c r="W631" s="127"/>
      <c r="X631" s="127"/>
      <c r="Y631" s="127"/>
      <c r="Z631" s="131"/>
      <c r="AA631" s="374"/>
      <c r="AB631" s="127"/>
      <c r="AC631" s="127"/>
      <c r="AD631" s="127"/>
      <c r="AE631" s="131"/>
      <c r="AF631" s="374"/>
      <c r="AG631" s="127"/>
      <c r="AH631" s="127"/>
      <c r="AI631" s="127"/>
      <c r="AJ631" s="131"/>
      <c r="AK631" s="374"/>
      <c r="AL631" s="127"/>
      <c r="AM631" s="127"/>
      <c r="AN631" s="127"/>
      <c r="AO631" s="359"/>
      <c r="AP631" s="359"/>
      <c r="AQ631" s="359"/>
      <c r="AR631" s="359"/>
      <c r="AS631" s="359"/>
    </row>
    <row r="632">
      <c r="A632" s="131"/>
      <c r="B632" s="374"/>
      <c r="C632" s="127"/>
      <c r="D632" s="127"/>
      <c r="E632" s="127"/>
      <c r="F632" s="131"/>
      <c r="G632" s="374"/>
      <c r="H632" s="127"/>
      <c r="I632" s="127"/>
      <c r="J632" s="127"/>
      <c r="K632" s="383"/>
      <c r="L632" s="374"/>
      <c r="M632" s="127"/>
      <c r="N632" s="127"/>
      <c r="O632" s="127"/>
      <c r="P632" s="383"/>
      <c r="Q632" s="164"/>
      <c r="R632" s="127"/>
      <c r="S632" s="127"/>
      <c r="T632" s="127"/>
      <c r="U632" s="131"/>
      <c r="V632" s="374"/>
      <c r="W632" s="127"/>
      <c r="X632" s="127"/>
      <c r="Y632" s="127"/>
      <c r="Z632" s="131"/>
      <c r="AA632" s="374"/>
      <c r="AB632" s="127"/>
      <c r="AC632" s="127"/>
      <c r="AD632" s="127"/>
      <c r="AE632" s="131"/>
      <c r="AF632" s="374"/>
      <c r="AG632" s="127"/>
      <c r="AH632" s="127"/>
      <c r="AI632" s="127"/>
      <c r="AJ632" s="131"/>
      <c r="AK632" s="374"/>
      <c r="AL632" s="127"/>
      <c r="AM632" s="127"/>
      <c r="AN632" s="127"/>
      <c r="AO632" s="359"/>
      <c r="AP632" s="359"/>
      <c r="AQ632" s="359"/>
      <c r="AR632" s="359"/>
      <c r="AS632" s="359"/>
    </row>
    <row r="633">
      <c r="A633" s="131"/>
      <c r="B633" s="374"/>
      <c r="C633" s="127"/>
      <c r="D633" s="127"/>
      <c r="E633" s="127"/>
      <c r="F633" s="131"/>
      <c r="G633" s="374"/>
      <c r="H633" s="127"/>
      <c r="I633" s="127"/>
      <c r="J633" s="127"/>
      <c r="K633" s="383"/>
      <c r="L633" s="374"/>
      <c r="M633" s="127"/>
      <c r="N633" s="127"/>
      <c r="O633" s="127"/>
      <c r="P633" s="383"/>
      <c r="Q633" s="164"/>
      <c r="R633" s="127"/>
      <c r="S633" s="127"/>
      <c r="T633" s="127"/>
      <c r="U633" s="131"/>
      <c r="V633" s="374"/>
      <c r="W633" s="127"/>
      <c r="X633" s="127"/>
      <c r="Y633" s="127"/>
      <c r="Z633" s="131"/>
      <c r="AA633" s="374"/>
      <c r="AB633" s="127"/>
      <c r="AC633" s="127"/>
      <c r="AD633" s="127"/>
      <c r="AE633" s="131"/>
      <c r="AF633" s="374"/>
      <c r="AG633" s="127"/>
      <c r="AH633" s="127"/>
      <c r="AI633" s="127"/>
      <c r="AJ633" s="131"/>
      <c r="AK633" s="374"/>
      <c r="AL633" s="127"/>
      <c r="AM633" s="127"/>
      <c r="AN633" s="127"/>
      <c r="AO633" s="359"/>
      <c r="AP633" s="359"/>
      <c r="AQ633" s="359"/>
      <c r="AR633" s="359"/>
      <c r="AS633" s="359"/>
    </row>
    <row r="634">
      <c r="A634" s="131"/>
      <c r="B634" s="374"/>
      <c r="C634" s="127"/>
      <c r="D634" s="127"/>
      <c r="E634" s="127"/>
      <c r="F634" s="131"/>
      <c r="G634" s="374"/>
      <c r="H634" s="127"/>
      <c r="I634" s="127"/>
      <c r="J634" s="127"/>
      <c r="K634" s="383"/>
      <c r="L634" s="374"/>
      <c r="M634" s="127"/>
      <c r="N634" s="127"/>
      <c r="O634" s="127"/>
      <c r="P634" s="383"/>
      <c r="Q634" s="164"/>
      <c r="R634" s="127"/>
      <c r="S634" s="127"/>
      <c r="T634" s="127"/>
      <c r="U634" s="131"/>
      <c r="V634" s="374"/>
      <c r="W634" s="127"/>
      <c r="X634" s="127"/>
      <c r="Y634" s="127"/>
      <c r="Z634" s="131"/>
      <c r="AA634" s="374"/>
      <c r="AB634" s="127"/>
      <c r="AC634" s="127"/>
      <c r="AD634" s="127"/>
      <c r="AE634" s="131"/>
      <c r="AF634" s="374"/>
      <c r="AG634" s="127"/>
      <c r="AH634" s="127"/>
      <c r="AI634" s="127"/>
      <c r="AJ634" s="131"/>
      <c r="AK634" s="374"/>
      <c r="AL634" s="127"/>
      <c r="AM634" s="127"/>
      <c r="AN634" s="127"/>
      <c r="AO634" s="359"/>
      <c r="AP634" s="359"/>
      <c r="AQ634" s="359"/>
      <c r="AR634" s="359"/>
      <c r="AS634" s="359"/>
    </row>
    <row r="635">
      <c r="A635" s="131"/>
      <c r="B635" s="374"/>
      <c r="C635" s="127"/>
      <c r="D635" s="127"/>
      <c r="E635" s="127"/>
      <c r="F635" s="131"/>
      <c r="G635" s="374"/>
      <c r="H635" s="127"/>
      <c r="I635" s="127"/>
      <c r="J635" s="127"/>
      <c r="K635" s="383"/>
      <c r="L635" s="374"/>
      <c r="M635" s="127"/>
      <c r="N635" s="127"/>
      <c r="O635" s="127"/>
      <c r="P635" s="383"/>
      <c r="Q635" s="164"/>
      <c r="R635" s="127"/>
      <c r="S635" s="127"/>
      <c r="T635" s="127"/>
      <c r="U635" s="131"/>
      <c r="V635" s="374"/>
      <c r="W635" s="127"/>
      <c r="X635" s="127"/>
      <c r="Y635" s="127"/>
      <c r="Z635" s="131"/>
      <c r="AA635" s="374"/>
      <c r="AB635" s="127"/>
      <c r="AC635" s="127"/>
      <c r="AD635" s="127"/>
      <c r="AE635" s="131"/>
      <c r="AF635" s="374"/>
      <c r="AG635" s="127"/>
      <c r="AH635" s="127"/>
      <c r="AI635" s="127"/>
      <c r="AJ635" s="131"/>
      <c r="AK635" s="374"/>
      <c r="AL635" s="127"/>
      <c r="AM635" s="127"/>
      <c r="AN635" s="127"/>
      <c r="AO635" s="359"/>
      <c r="AP635" s="359"/>
      <c r="AQ635" s="359"/>
      <c r="AR635" s="359"/>
      <c r="AS635" s="359"/>
    </row>
    <row r="636">
      <c r="A636" s="131"/>
      <c r="B636" s="374"/>
      <c r="C636" s="127"/>
      <c r="D636" s="127"/>
      <c r="E636" s="127"/>
      <c r="F636" s="131"/>
      <c r="G636" s="374"/>
      <c r="H636" s="127"/>
      <c r="I636" s="127"/>
      <c r="J636" s="127"/>
      <c r="K636" s="383"/>
      <c r="L636" s="374"/>
      <c r="M636" s="127"/>
      <c r="N636" s="127"/>
      <c r="O636" s="127"/>
      <c r="P636" s="383"/>
      <c r="Q636" s="164"/>
      <c r="R636" s="127"/>
      <c r="S636" s="127"/>
      <c r="T636" s="127"/>
      <c r="U636" s="131"/>
      <c r="V636" s="374"/>
      <c r="W636" s="127"/>
      <c r="X636" s="127"/>
      <c r="Y636" s="127"/>
      <c r="Z636" s="131"/>
      <c r="AA636" s="374"/>
      <c r="AB636" s="127"/>
      <c r="AC636" s="127"/>
      <c r="AD636" s="127"/>
      <c r="AE636" s="131"/>
      <c r="AF636" s="374"/>
      <c r="AG636" s="127"/>
      <c r="AH636" s="127"/>
      <c r="AI636" s="127"/>
      <c r="AJ636" s="131"/>
      <c r="AK636" s="374"/>
      <c r="AL636" s="127"/>
      <c r="AM636" s="127"/>
      <c r="AN636" s="127"/>
      <c r="AO636" s="359"/>
      <c r="AP636" s="359"/>
      <c r="AQ636" s="359"/>
      <c r="AR636" s="359"/>
      <c r="AS636" s="359"/>
    </row>
    <row r="637">
      <c r="A637" s="131"/>
      <c r="B637" s="374"/>
      <c r="C637" s="127"/>
      <c r="D637" s="127"/>
      <c r="E637" s="127"/>
      <c r="F637" s="131"/>
      <c r="G637" s="374"/>
      <c r="H637" s="127"/>
      <c r="I637" s="127"/>
      <c r="J637" s="127"/>
      <c r="K637" s="383"/>
      <c r="L637" s="374"/>
      <c r="M637" s="127"/>
      <c r="N637" s="127"/>
      <c r="O637" s="127"/>
      <c r="P637" s="383"/>
      <c r="Q637" s="164"/>
      <c r="R637" s="127"/>
      <c r="S637" s="127"/>
      <c r="T637" s="127"/>
      <c r="U637" s="131"/>
      <c r="V637" s="374"/>
      <c r="W637" s="127"/>
      <c r="X637" s="127"/>
      <c r="Y637" s="127"/>
      <c r="Z637" s="131"/>
      <c r="AA637" s="374"/>
      <c r="AB637" s="127"/>
      <c r="AC637" s="127"/>
      <c r="AD637" s="127"/>
      <c r="AE637" s="131"/>
      <c r="AF637" s="374"/>
      <c r="AG637" s="127"/>
      <c r="AH637" s="127"/>
      <c r="AI637" s="127"/>
      <c r="AJ637" s="131"/>
      <c r="AK637" s="374"/>
      <c r="AL637" s="127"/>
      <c r="AM637" s="127"/>
      <c r="AN637" s="127"/>
      <c r="AO637" s="359"/>
      <c r="AP637" s="359"/>
      <c r="AQ637" s="359"/>
      <c r="AR637" s="359"/>
      <c r="AS637" s="359"/>
    </row>
    <row r="638">
      <c r="A638" s="131"/>
      <c r="B638" s="374"/>
      <c r="C638" s="127"/>
      <c r="D638" s="127"/>
      <c r="E638" s="127"/>
      <c r="F638" s="131"/>
      <c r="G638" s="374"/>
      <c r="H638" s="127"/>
      <c r="I638" s="127"/>
      <c r="J638" s="127"/>
      <c r="K638" s="383"/>
      <c r="L638" s="374"/>
      <c r="M638" s="127"/>
      <c r="N638" s="127"/>
      <c r="O638" s="127"/>
      <c r="P638" s="383"/>
      <c r="Q638" s="164"/>
      <c r="R638" s="127"/>
      <c r="S638" s="127"/>
      <c r="T638" s="127"/>
      <c r="U638" s="131"/>
      <c r="V638" s="374"/>
      <c r="W638" s="127"/>
      <c r="X638" s="127"/>
      <c r="Y638" s="127"/>
      <c r="Z638" s="131"/>
      <c r="AA638" s="374"/>
      <c r="AB638" s="127"/>
      <c r="AC638" s="127"/>
      <c r="AD638" s="127"/>
      <c r="AE638" s="131"/>
      <c r="AF638" s="374"/>
      <c r="AG638" s="127"/>
      <c r="AH638" s="127"/>
      <c r="AI638" s="127"/>
      <c r="AJ638" s="131"/>
      <c r="AK638" s="374"/>
      <c r="AL638" s="127"/>
      <c r="AM638" s="127"/>
      <c r="AN638" s="127"/>
      <c r="AO638" s="359"/>
      <c r="AP638" s="359"/>
      <c r="AQ638" s="359"/>
      <c r="AR638" s="359"/>
      <c r="AS638" s="359"/>
    </row>
    <row r="639">
      <c r="A639" s="131"/>
      <c r="B639" s="374"/>
      <c r="C639" s="127"/>
      <c r="D639" s="127"/>
      <c r="E639" s="127"/>
      <c r="F639" s="131"/>
      <c r="G639" s="374"/>
      <c r="H639" s="127"/>
      <c r="I639" s="127"/>
      <c r="J639" s="127"/>
      <c r="K639" s="383"/>
      <c r="L639" s="374"/>
      <c r="M639" s="127"/>
      <c r="N639" s="127"/>
      <c r="O639" s="127"/>
      <c r="P639" s="383"/>
      <c r="Q639" s="164"/>
      <c r="R639" s="127"/>
      <c r="S639" s="127"/>
      <c r="T639" s="127"/>
      <c r="U639" s="131"/>
      <c r="V639" s="374"/>
      <c r="W639" s="127"/>
      <c r="X639" s="127"/>
      <c r="Y639" s="127"/>
      <c r="Z639" s="131"/>
      <c r="AA639" s="374"/>
      <c r="AB639" s="127"/>
      <c r="AC639" s="127"/>
      <c r="AD639" s="127"/>
      <c r="AE639" s="131"/>
      <c r="AF639" s="374"/>
      <c r="AG639" s="127"/>
      <c r="AH639" s="127"/>
      <c r="AI639" s="127"/>
      <c r="AJ639" s="131"/>
      <c r="AK639" s="374"/>
      <c r="AL639" s="127"/>
      <c r="AM639" s="127"/>
      <c r="AN639" s="127"/>
      <c r="AO639" s="359"/>
      <c r="AP639" s="359"/>
      <c r="AQ639" s="359"/>
      <c r="AR639" s="359"/>
      <c r="AS639" s="359"/>
    </row>
    <row r="640">
      <c r="A640" s="131"/>
      <c r="B640" s="374"/>
      <c r="C640" s="127"/>
      <c r="D640" s="127"/>
      <c r="E640" s="127"/>
      <c r="F640" s="131"/>
      <c r="G640" s="374"/>
      <c r="H640" s="127"/>
      <c r="I640" s="127"/>
      <c r="J640" s="127"/>
      <c r="K640" s="383"/>
      <c r="L640" s="374"/>
      <c r="M640" s="127"/>
      <c r="N640" s="127"/>
      <c r="O640" s="127"/>
      <c r="P640" s="383"/>
      <c r="Q640" s="164"/>
      <c r="R640" s="127"/>
      <c r="S640" s="127"/>
      <c r="T640" s="127"/>
      <c r="U640" s="131"/>
      <c r="V640" s="374"/>
      <c r="W640" s="127"/>
      <c r="X640" s="127"/>
      <c r="Y640" s="127"/>
      <c r="Z640" s="131"/>
      <c r="AA640" s="374"/>
      <c r="AB640" s="127"/>
      <c r="AC640" s="127"/>
      <c r="AD640" s="127"/>
      <c r="AE640" s="131"/>
      <c r="AF640" s="374"/>
      <c r="AG640" s="127"/>
      <c r="AH640" s="127"/>
      <c r="AI640" s="127"/>
      <c r="AJ640" s="131"/>
      <c r="AK640" s="374"/>
      <c r="AL640" s="127"/>
      <c r="AM640" s="127"/>
      <c r="AN640" s="127"/>
      <c r="AO640" s="359"/>
      <c r="AP640" s="359"/>
      <c r="AQ640" s="359"/>
      <c r="AR640" s="359"/>
      <c r="AS640" s="359"/>
    </row>
    <row r="641">
      <c r="A641" s="131"/>
      <c r="B641" s="374"/>
      <c r="C641" s="127"/>
      <c r="D641" s="127"/>
      <c r="E641" s="127"/>
      <c r="F641" s="131"/>
      <c r="G641" s="374"/>
      <c r="H641" s="127"/>
      <c r="I641" s="127"/>
      <c r="J641" s="127"/>
      <c r="K641" s="383"/>
      <c r="L641" s="374"/>
      <c r="M641" s="127"/>
      <c r="N641" s="127"/>
      <c r="O641" s="127"/>
      <c r="P641" s="383"/>
      <c r="Q641" s="164"/>
      <c r="R641" s="127"/>
      <c r="S641" s="127"/>
      <c r="T641" s="127"/>
      <c r="U641" s="131"/>
      <c r="V641" s="374"/>
      <c r="W641" s="127"/>
      <c r="X641" s="127"/>
      <c r="Y641" s="127"/>
      <c r="Z641" s="131"/>
      <c r="AA641" s="374"/>
      <c r="AB641" s="127"/>
      <c r="AC641" s="127"/>
      <c r="AD641" s="127"/>
      <c r="AE641" s="131"/>
      <c r="AF641" s="374"/>
      <c r="AG641" s="127"/>
      <c r="AH641" s="127"/>
      <c r="AI641" s="127"/>
      <c r="AJ641" s="131"/>
      <c r="AK641" s="374"/>
      <c r="AL641" s="127"/>
      <c r="AM641" s="127"/>
      <c r="AN641" s="127"/>
      <c r="AO641" s="359"/>
      <c r="AP641" s="359"/>
      <c r="AQ641" s="359"/>
      <c r="AR641" s="359"/>
      <c r="AS641" s="359"/>
    </row>
    <row r="642">
      <c r="A642" s="131"/>
      <c r="B642" s="374"/>
      <c r="C642" s="127"/>
      <c r="D642" s="127"/>
      <c r="E642" s="127"/>
      <c r="F642" s="131"/>
      <c r="G642" s="374"/>
      <c r="H642" s="127"/>
      <c r="I642" s="127"/>
      <c r="J642" s="127"/>
      <c r="K642" s="383"/>
      <c r="L642" s="374"/>
      <c r="M642" s="127"/>
      <c r="N642" s="127"/>
      <c r="O642" s="127"/>
      <c r="P642" s="383"/>
      <c r="Q642" s="164"/>
      <c r="R642" s="127"/>
      <c r="S642" s="127"/>
      <c r="T642" s="127"/>
      <c r="U642" s="131"/>
      <c r="V642" s="374"/>
      <c r="W642" s="127"/>
      <c r="X642" s="127"/>
      <c r="Y642" s="127"/>
      <c r="Z642" s="131"/>
      <c r="AA642" s="374"/>
      <c r="AB642" s="127"/>
      <c r="AC642" s="127"/>
      <c r="AD642" s="127"/>
      <c r="AE642" s="131"/>
      <c r="AF642" s="374"/>
      <c r="AG642" s="127"/>
      <c r="AH642" s="127"/>
      <c r="AI642" s="127"/>
      <c r="AJ642" s="131"/>
      <c r="AK642" s="374"/>
      <c r="AL642" s="127"/>
      <c r="AM642" s="127"/>
      <c r="AN642" s="127"/>
      <c r="AO642" s="359"/>
      <c r="AP642" s="359"/>
      <c r="AQ642" s="359"/>
      <c r="AR642" s="359"/>
      <c r="AS642" s="359"/>
    </row>
    <row r="643">
      <c r="A643" s="131"/>
      <c r="B643" s="374"/>
      <c r="C643" s="127"/>
      <c r="D643" s="127"/>
      <c r="E643" s="127"/>
      <c r="F643" s="131"/>
      <c r="G643" s="374"/>
      <c r="H643" s="127"/>
      <c r="I643" s="127"/>
      <c r="J643" s="127"/>
      <c r="K643" s="383"/>
      <c r="L643" s="374"/>
      <c r="M643" s="127"/>
      <c r="N643" s="127"/>
      <c r="O643" s="127"/>
      <c r="P643" s="383"/>
      <c r="Q643" s="164"/>
      <c r="R643" s="127"/>
      <c r="S643" s="127"/>
      <c r="T643" s="127"/>
      <c r="U643" s="131"/>
      <c r="V643" s="374"/>
      <c r="W643" s="127"/>
      <c r="X643" s="127"/>
      <c r="Y643" s="127"/>
      <c r="Z643" s="131"/>
      <c r="AA643" s="374"/>
      <c r="AB643" s="127"/>
      <c r="AC643" s="127"/>
      <c r="AD643" s="127"/>
      <c r="AE643" s="131"/>
      <c r="AF643" s="374"/>
      <c r="AG643" s="127"/>
      <c r="AH643" s="127"/>
      <c r="AI643" s="127"/>
      <c r="AJ643" s="131"/>
      <c r="AK643" s="374"/>
      <c r="AL643" s="127"/>
      <c r="AM643" s="127"/>
      <c r="AN643" s="127"/>
      <c r="AO643" s="359"/>
      <c r="AP643" s="359"/>
      <c r="AQ643" s="359"/>
      <c r="AR643" s="359"/>
      <c r="AS643" s="359"/>
    </row>
    <row r="644">
      <c r="A644" s="131"/>
      <c r="B644" s="374"/>
      <c r="C644" s="127"/>
      <c r="D644" s="127"/>
      <c r="E644" s="127"/>
      <c r="F644" s="131"/>
      <c r="G644" s="374"/>
      <c r="H644" s="127"/>
      <c r="I644" s="127"/>
      <c r="J644" s="127"/>
      <c r="K644" s="383"/>
      <c r="L644" s="374"/>
      <c r="M644" s="127"/>
      <c r="N644" s="127"/>
      <c r="O644" s="127"/>
      <c r="P644" s="383"/>
      <c r="Q644" s="164"/>
      <c r="R644" s="127"/>
      <c r="S644" s="127"/>
      <c r="T644" s="127"/>
      <c r="U644" s="131"/>
      <c r="V644" s="374"/>
      <c r="W644" s="127"/>
      <c r="X644" s="127"/>
      <c r="Y644" s="127"/>
      <c r="Z644" s="131"/>
      <c r="AA644" s="374"/>
      <c r="AB644" s="127"/>
      <c r="AC644" s="127"/>
      <c r="AD644" s="127"/>
      <c r="AE644" s="131"/>
      <c r="AF644" s="374"/>
      <c r="AG644" s="127"/>
      <c r="AH644" s="127"/>
      <c r="AI644" s="127"/>
      <c r="AJ644" s="131"/>
      <c r="AK644" s="374"/>
      <c r="AL644" s="127"/>
      <c r="AM644" s="127"/>
      <c r="AN644" s="127"/>
      <c r="AO644" s="359"/>
      <c r="AP644" s="359"/>
      <c r="AQ644" s="359"/>
      <c r="AR644" s="359"/>
      <c r="AS644" s="359"/>
    </row>
    <row r="645">
      <c r="A645" s="131"/>
      <c r="B645" s="374"/>
      <c r="C645" s="127"/>
      <c r="D645" s="127"/>
      <c r="E645" s="127"/>
      <c r="F645" s="131"/>
      <c r="G645" s="374"/>
      <c r="H645" s="127"/>
      <c r="I645" s="127"/>
      <c r="J645" s="127"/>
      <c r="K645" s="383"/>
      <c r="L645" s="374"/>
      <c r="M645" s="127"/>
      <c r="N645" s="127"/>
      <c r="O645" s="127"/>
      <c r="P645" s="383"/>
      <c r="Q645" s="164"/>
      <c r="R645" s="127"/>
      <c r="S645" s="127"/>
      <c r="T645" s="127"/>
      <c r="U645" s="131"/>
      <c r="V645" s="374"/>
      <c r="W645" s="127"/>
      <c r="X645" s="127"/>
      <c r="Y645" s="127"/>
      <c r="Z645" s="131"/>
      <c r="AA645" s="374"/>
      <c r="AB645" s="127"/>
      <c r="AC645" s="127"/>
      <c r="AD645" s="127"/>
      <c r="AE645" s="131"/>
      <c r="AF645" s="374"/>
      <c r="AG645" s="127"/>
      <c r="AH645" s="127"/>
      <c r="AI645" s="127"/>
      <c r="AJ645" s="131"/>
      <c r="AK645" s="374"/>
      <c r="AL645" s="127"/>
      <c r="AM645" s="127"/>
      <c r="AN645" s="127"/>
      <c r="AO645" s="359"/>
      <c r="AP645" s="359"/>
      <c r="AQ645" s="359"/>
      <c r="AR645" s="359"/>
      <c r="AS645" s="359"/>
    </row>
    <row r="646">
      <c r="A646" s="131"/>
      <c r="B646" s="374"/>
      <c r="C646" s="127"/>
      <c r="D646" s="127"/>
      <c r="E646" s="127"/>
      <c r="F646" s="131"/>
      <c r="G646" s="374"/>
      <c r="H646" s="127"/>
      <c r="I646" s="127"/>
      <c r="J646" s="127"/>
      <c r="K646" s="383"/>
      <c r="L646" s="374"/>
      <c r="M646" s="127"/>
      <c r="N646" s="127"/>
      <c r="O646" s="127"/>
      <c r="P646" s="383"/>
      <c r="Q646" s="164"/>
      <c r="R646" s="127"/>
      <c r="S646" s="127"/>
      <c r="T646" s="127"/>
      <c r="U646" s="131"/>
      <c r="V646" s="374"/>
      <c r="W646" s="127"/>
      <c r="X646" s="127"/>
      <c r="Y646" s="127"/>
      <c r="Z646" s="131"/>
      <c r="AA646" s="374"/>
      <c r="AB646" s="127"/>
      <c r="AC646" s="127"/>
      <c r="AD646" s="127"/>
      <c r="AE646" s="131"/>
      <c r="AF646" s="374"/>
      <c r="AG646" s="127"/>
      <c r="AH646" s="127"/>
      <c r="AI646" s="127"/>
      <c r="AJ646" s="131"/>
      <c r="AK646" s="374"/>
      <c r="AL646" s="127"/>
      <c r="AM646" s="127"/>
      <c r="AN646" s="127"/>
      <c r="AO646" s="359"/>
      <c r="AP646" s="359"/>
      <c r="AQ646" s="359"/>
      <c r="AR646" s="359"/>
      <c r="AS646" s="359"/>
    </row>
    <row r="647">
      <c r="A647" s="131"/>
      <c r="B647" s="374"/>
      <c r="C647" s="127"/>
      <c r="D647" s="127"/>
      <c r="E647" s="127"/>
      <c r="F647" s="131"/>
      <c r="G647" s="374"/>
      <c r="H647" s="127"/>
      <c r="I647" s="127"/>
      <c r="J647" s="127"/>
      <c r="K647" s="383"/>
      <c r="L647" s="374"/>
      <c r="M647" s="127"/>
      <c r="N647" s="127"/>
      <c r="O647" s="127"/>
      <c r="P647" s="383"/>
      <c r="Q647" s="164"/>
      <c r="R647" s="127"/>
      <c r="S647" s="127"/>
      <c r="T647" s="127"/>
      <c r="U647" s="131"/>
      <c r="V647" s="374"/>
      <c r="W647" s="127"/>
      <c r="X647" s="127"/>
      <c r="Y647" s="127"/>
      <c r="Z647" s="131"/>
      <c r="AA647" s="374"/>
      <c r="AB647" s="127"/>
      <c r="AC647" s="127"/>
      <c r="AD647" s="127"/>
      <c r="AE647" s="131"/>
      <c r="AF647" s="374"/>
      <c r="AG647" s="127"/>
      <c r="AH647" s="127"/>
      <c r="AI647" s="127"/>
      <c r="AJ647" s="131"/>
      <c r="AK647" s="374"/>
      <c r="AL647" s="127"/>
      <c r="AM647" s="127"/>
      <c r="AN647" s="127"/>
      <c r="AO647" s="359"/>
      <c r="AP647" s="359"/>
      <c r="AQ647" s="359"/>
      <c r="AR647" s="359"/>
      <c r="AS647" s="359"/>
    </row>
    <row r="648">
      <c r="A648" s="131"/>
      <c r="B648" s="374"/>
      <c r="C648" s="127"/>
      <c r="D648" s="127"/>
      <c r="E648" s="127"/>
      <c r="F648" s="131"/>
      <c r="G648" s="374"/>
      <c r="H648" s="127"/>
      <c r="I648" s="127"/>
      <c r="J648" s="127"/>
      <c r="K648" s="383"/>
      <c r="L648" s="374"/>
      <c r="M648" s="127"/>
      <c r="N648" s="127"/>
      <c r="O648" s="127"/>
      <c r="P648" s="383"/>
      <c r="Q648" s="164"/>
      <c r="R648" s="127"/>
      <c r="S648" s="127"/>
      <c r="T648" s="127"/>
      <c r="U648" s="131"/>
      <c r="V648" s="374"/>
      <c r="W648" s="127"/>
      <c r="X648" s="127"/>
      <c r="Y648" s="127"/>
      <c r="Z648" s="131"/>
      <c r="AA648" s="374"/>
      <c r="AB648" s="127"/>
      <c r="AC648" s="127"/>
      <c r="AD648" s="127"/>
      <c r="AE648" s="131"/>
      <c r="AF648" s="374"/>
      <c r="AG648" s="127"/>
      <c r="AH648" s="127"/>
      <c r="AI648" s="127"/>
      <c r="AJ648" s="131"/>
      <c r="AK648" s="374"/>
      <c r="AL648" s="127"/>
      <c r="AM648" s="127"/>
      <c r="AN648" s="127"/>
      <c r="AO648" s="359"/>
      <c r="AP648" s="359"/>
      <c r="AQ648" s="359"/>
      <c r="AR648" s="359"/>
      <c r="AS648" s="359"/>
    </row>
    <row r="649">
      <c r="A649" s="131"/>
      <c r="B649" s="374"/>
      <c r="C649" s="127"/>
      <c r="D649" s="127"/>
      <c r="E649" s="127"/>
      <c r="F649" s="131"/>
      <c r="G649" s="374"/>
      <c r="H649" s="127"/>
      <c r="I649" s="127"/>
      <c r="J649" s="127"/>
      <c r="K649" s="383"/>
      <c r="L649" s="374"/>
      <c r="M649" s="127"/>
      <c r="N649" s="127"/>
      <c r="O649" s="127"/>
      <c r="P649" s="383"/>
      <c r="Q649" s="164"/>
      <c r="R649" s="127"/>
      <c r="S649" s="127"/>
      <c r="T649" s="127"/>
      <c r="U649" s="131"/>
      <c r="V649" s="374"/>
      <c r="W649" s="127"/>
      <c r="X649" s="127"/>
      <c r="Y649" s="127"/>
      <c r="Z649" s="131"/>
      <c r="AA649" s="374"/>
      <c r="AB649" s="127"/>
      <c r="AC649" s="127"/>
      <c r="AD649" s="127"/>
      <c r="AE649" s="131"/>
      <c r="AF649" s="374"/>
      <c r="AG649" s="127"/>
      <c r="AH649" s="127"/>
      <c r="AI649" s="127"/>
      <c r="AJ649" s="131"/>
      <c r="AK649" s="374"/>
      <c r="AL649" s="127"/>
      <c r="AM649" s="127"/>
      <c r="AN649" s="127"/>
      <c r="AO649" s="359"/>
      <c r="AP649" s="359"/>
      <c r="AQ649" s="359"/>
      <c r="AR649" s="359"/>
      <c r="AS649" s="359"/>
    </row>
    <row r="650">
      <c r="A650" s="131"/>
      <c r="B650" s="374"/>
      <c r="C650" s="127"/>
      <c r="D650" s="127"/>
      <c r="E650" s="127"/>
      <c r="F650" s="131"/>
      <c r="G650" s="374"/>
      <c r="H650" s="127"/>
      <c r="I650" s="127"/>
      <c r="J650" s="127"/>
      <c r="K650" s="383"/>
      <c r="L650" s="374"/>
      <c r="M650" s="127"/>
      <c r="N650" s="127"/>
      <c r="O650" s="127"/>
      <c r="P650" s="383"/>
      <c r="Q650" s="164"/>
      <c r="R650" s="127"/>
      <c r="S650" s="127"/>
      <c r="T650" s="127"/>
      <c r="U650" s="131"/>
      <c r="V650" s="374"/>
      <c r="W650" s="127"/>
      <c r="X650" s="127"/>
      <c r="Y650" s="127"/>
      <c r="Z650" s="131"/>
      <c r="AA650" s="374"/>
      <c r="AB650" s="127"/>
      <c r="AC650" s="127"/>
      <c r="AD650" s="127"/>
      <c r="AE650" s="131"/>
      <c r="AF650" s="374"/>
      <c r="AG650" s="127"/>
      <c r="AH650" s="127"/>
      <c r="AI650" s="127"/>
      <c r="AJ650" s="131"/>
      <c r="AK650" s="374"/>
      <c r="AL650" s="127"/>
      <c r="AM650" s="127"/>
      <c r="AN650" s="127"/>
      <c r="AO650" s="359"/>
      <c r="AP650" s="359"/>
      <c r="AQ650" s="359"/>
      <c r="AR650" s="359"/>
      <c r="AS650" s="359"/>
    </row>
    <row r="651">
      <c r="A651" s="131"/>
      <c r="B651" s="374"/>
      <c r="C651" s="127"/>
      <c r="D651" s="127"/>
      <c r="E651" s="127"/>
      <c r="F651" s="131"/>
      <c r="G651" s="374"/>
      <c r="H651" s="127"/>
      <c r="I651" s="127"/>
      <c r="J651" s="127"/>
      <c r="K651" s="383"/>
      <c r="L651" s="374"/>
      <c r="M651" s="127"/>
      <c r="N651" s="127"/>
      <c r="O651" s="127"/>
      <c r="P651" s="383"/>
      <c r="Q651" s="164"/>
      <c r="R651" s="127"/>
      <c r="S651" s="127"/>
      <c r="T651" s="127"/>
      <c r="U651" s="131"/>
      <c r="V651" s="374"/>
      <c r="W651" s="127"/>
      <c r="X651" s="127"/>
      <c r="Y651" s="127"/>
      <c r="Z651" s="131"/>
      <c r="AA651" s="374"/>
      <c r="AB651" s="127"/>
      <c r="AC651" s="127"/>
      <c r="AD651" s="127"/>
      <c r="AE651" s="131"/>
      <c r="AF651" s="374"/>
      <c r="AG651" s="127"/>
      <c r="AH651" s="127"/>
      <c r="AI651" s="127"/>
      <c r="AJ651" s="131"/>
      <c r="AK651" s="374"/>
      <c r="AL651" s="127"/>
      <c r="AM651" s="127"/>
      <c r="AN651" s="127"/>
      <c r="AO651" s="359"/>
      <c r="AP651" s="359"/>
      <c r="AQ651" s="359"/>
      <c r="AR651" s="359"/>
      <c r="AS651" s="359"/>
    </row>
    <row r="652">
      <c r="A652" s="131"/>
      <c r="B652" s="374"/>
      <c r="C652" s="127"/>
      <c r="D652" s="127"/>
      <c r="E652" s="127"/>
      <c r="F652" s="131"/>
      <c r="G652" s="374"/>
      <c r="H652" s="127"/>
      <c r="I652" s="127"/>
      <c r="J652" s="127"/>
      <c r="K652" s="383"/>
      <c r="L652" s="374"/>
      <c r="M652" s="127"/>
      <c r="N652" s="127"/>
      <c r="O652" s="127"/>
      <c r="P652" s="383"/>
      <c r="Q652" s="164"/>
      <c r="R652" s="127"/>
      <c r="S652" s="127"/>
      <c r="T652" s="127"/>
      <c r="U652" s="131"/>
      <c r="V652" s="374"/>
      <c r="W652" s="127"/>
      <c r="X652" s="127"/>
      <c r="Y652" s="127"/>
      <c r="Z652" s="131"/>
      <c r="AA652" s="374"/>
      <c r="AB652" s="127"/>
      <c r="AC652" s="127"/>
      <c r="AD652" s="127"/>
      <c r="AE652" s="131"/>
      <c r="AF652" s="374"/>
      <c r="AG652" s="127"/>
      <c r="AH652" s="127"/>
      <c r="AI652" s="127"/>
      <c r="AJ652" s="131"/>
      <c r="AK652" s="374"/>
      <c r="AL652" s="127"/>
      <c r="AM652" s="127"/>
      <c r="AN652" s="127"/>
      <c r="AO652" s="359"/>
      <c r="AP652" s="359"/>
      <c r="AQ652" s="359"/>
      <c r="AR652" s="359"/>
      <c r="AS652" s="359"/>
    </row>
    <row r="653">
      <c r="A653" s="131"/>
      <c r="B653" s="374"/>
      <c r="C653" s="127"/>
      <c r="D653" s="127"/>
      <c r="E653" s="127"/>
      <c r="F653" s="131"/>
      <c r="G653" s="374"/>
      <c r="H653" s="127"/>
      <c r="I653" s="127"/>
      <c r="J653" s="127"/>
      <c r="K653" s="383"/>
      <c r="L653" s="374"/>
      <c r="M653" s="127"/>
      <c r="N653" s="127"/>
      <c r="O653" s="127"/>
      <c r="P653" s="383"/>
      <c r="Q653" s="164"/>
      <c r="R653" s="127"/>
      <c r="S653" s="127"/>
      <c r="T653" s="127"/>
      <c r="U653" s="131"/>
      <c r="V653" s="374"/>
      <c r="W653" s="127"/>
      <c r="X653" s="127"/>
      <c r="Y653" s="127"/>
      <c r="Z653" s="131"/>
      <c r="AA653" s="374"/>
      <c r="AB653" s="127"/>
      <c r="AC653" s="127"/>
      <c r="AD653" s="127"/>
      <c r="AE653" s="131"/>
      <c r="AF653" s="374"/>
      <c r="AG653" s="127"/>
      <c r="AH653" s="127"/>
      <c r="AI653" s="127"/>
      <c r="AJ653" s="131"/>
      <c r="AK653" s="374"/>
      <c r="AL653" s="127"/>
      <c r="AM653" s="127"/>
      <c r="AN653" s="127"/>
      <c r="AO653" s="359"/>
      <c r="AP653" s="359"/>
      <c r="AQ653" s="359"/>
      <c r="AR653" s="359"/>
      <c r="AS653" s="359"/>
    </row>
    <row r="654">
      <c r="A654" s="131"/>
      <c r="B654" s="374"/>
      <c r="C654" s="127"/>
      <c r="D654" s="127"/>
      <c r="E654" s="127"/>
      <c r="F654" s="131"/>
      <c r="G654" s="374"/>
      <c r="H654" s="127"/>
      <c r="I654" s="127"/>
      <c r="J654" s="127"/>
      <c r="K654" s="383"/>
      <c r="L654" s="374"/>
      <c r="M654" s="127"/>
      <c r="N654" s="127"/>
      <c r="O654" s="127"/>
      <c r="P654" s="383"/>
      <c r="Q654" s="164"/>
      <c r="R654" s="127"/>
      <c r="S654" s="127"/>
      <c r="T654" s="127"/>
      <c r="U654" s="131"/>
      <c r="V654" s="374"/>
      <c r="W654" s="127"/>
      <c r="X654" s="127"/>
      <c r="Y654" s="127"/>
      <c r="Z654" s="131"/>
      <c r="AA654" s="374"/>
      <c r="AB654" s="127"/>
      <c r="AC654" s="127"/>
      <c r="AD654" s="127"/>
      <c r="AE654" s="131"/>
      <c r="AF654" s="374"/>
      <c r="AG654" s="127"/>
      <c r="AH654" s="127"/>
      <c r="AI654" s="127"/>
      <c r="AJ654" s="131"/>
      <c r="AK654" s="374"/>
      <c r="AL654" s="127"/>
      <c r="AM654" s="127"/>
      <c r="AN654" s="127"/>
      <c r="AO654" s="359"/>
      <c r="AP654" s="359"/>
      <c r="AQ654" s="359"/>
      <c r="AR654" s="359"/>
      <c r="AS654" s="359"/>
    </row>
    <row r="655">
      <c r="A655" s="131"/>
      <c r="B655" s="374"/>
      <c r="C655" s="127"/>
      <c r="D655" s="127"/>
      <c r="E655" s="127"/>
      <c r="F655" s="131"/>
      <c r="G655" s="374"/>
      <c r="H655" s="127"/>
      <c r="I655" s="127"/>
      <c r="J655" s="127"/>
      <c r="K655" s="383"/>
      <c r="L655" s="374"/>
      <c r="M655" s="127"/>
      <c r="N655" s="127"/>
      <c r="O655" s="127"/>
      <c r="P655" s="383"/>
      <c r="Q655" s="164"/>
      <c r="R655" s="127"/>
      <c r="S655" s="127"/>
      <c r="T655" s="127"/>
      <c r="U655" s="131"/>
      <c r="V655" s="374"/>
      <c r="W655" s="127"/>
      <c r="X655" s="127"/>
      <c r="Y655" s="127"/>
      <c r="Z655" s="131"/>
      <c r="AA655" s="374"/>
      <c r="AB655" s="127"/>
      <c r="AC655" s="127"/>
      <c r="AD655" s="127"/>
      <c r="AE655" s="131"/>
      <c r="AF655" s="374"/>
      <c r="AG655" s="127"/>
      <c r="AH655" s="127"/>
      <c r="AI655" s="127"/>
      <c r="AJ655" s="131"/>
      <c r="AK655" s="374"/>
      <c r="AL655" s="127"/>
      <c r="AM655" s="127"/>
      <c r="AN655" s="127"/>
      <c r="AO655" s="359"/>
      <c r="AP655" s="359"/>
      <c r="AQ655" s="359"/>
      <c r="AR655" s="359"/>
      <c r="AS655" s="359"/>
    </row>
    <row r="656">
      <c r="A656" s="131"/>
      <c r="B656" s="374"/>
      <c r="C656" s="127"/>
      <c r="D656" s="127"/>
      <c r="E656" s="127"/>
      <c r="F656" s="131"/>
      <c r="G656" s="374"/>
      <c r="H656" s="127"/>
      <c r="I656" s="127"/>
      <c r="J656" s="127"/>
      <c r="K656" s="383"/>
      <c r="L656" s="374"/>
      <c r="M656" s="127"/>
      <c r="N656" s="127"/>
      <c r="O656" s="127"/>
      <c r="P656" s="383"/>
      <c r="Q656" s="164"/>
      <c r="R656" s="127"/>
      <c r="S656" s="127"/>
      <c r="T656" s="127"/>
      <c r="U656" s="131"/>
      <c r="V656" s="374"/>
      <c r="W656" s="127"/>
      <c r="X656" s="127"/>
      <c r="Y656" s="127"/>
      <c r="Z656" s="131"/>
      <c r="AA656" s="374"/>
      <c r="AB656" s="127"/>
      <c r="AC656" s="127"/>
      <c r="AD656" s="127"/>
      <c r="AE656" s="131"/>
      <c r="AF656" s="374"/>
      <c r="AG656" s="127"/>
      <c r="AH656" s="127"/>
      <c r="AI656" s="127"/>
      <c r="AJ656" s="131"/>
      <c r="AK656" s="374"/>
      <c r="AL656" s="127"/>
      <c r="AM656" s="127"/>
      <c r="AN656" s="127"/>
      <c r="AO656" s="359"/>
      <c r="AP656" s="359"/>
      <c r="AQ656" s="359"/>
      <c r="AR656" s="359"/>
      <c r="AS656" s="359"/>
    </row>
    <row r="657">
      <c r="A657" s="131"/>
      <c r="B657" s="374"/>
      <c r="C657" s="127"/>
      <c r="D657" s="127"/>
      <c r="E657" s="127"/>
      <c r="F657" s="131"/>
      <c r="G657" s="374"/>
      <c r="H657" s="127"/>
      <c r="I657" s="127"/>
      <c r="J657" s="127"/>
      <c r="K657" s="383"/>
      <c r="L657" s="374"/>
      <c r="M657" s="127"/>
      <c r="N657" s="127"/>
      <c r="O657" s="127"/>
      <c r="P657" s="383"/>
      <c r="Q657" s="164"/>
      <c r="R657" s="127"/>
      <c r="S657" s="127"/>
      <c r="T657" s="127"/>
      <c r="U657" s="131"/>
      <c r="V657" s="374"/>
      <c r="W657" s="127"/>
      <c r="X657" s="127"/>
      <c r="Y657" s="127"/>
      <c r="Z657" s="131"/>
      <c r="AA657" s="374"/>
      <c r="AB657" s="127"/>
      <c r="AC657" s="127"/>
      <c r="AD657" s="127"/>
      <c r="AE657" s="131"/>
      <c r="AF657" s="374"/>
      <c r="AG657" s="127"/>
      <c r="AH657" s="127"/>
      <c r="AI657" s="127"/>
      <c r="AJ657" s="131"/>
      <c r="AK657" s="374"/>
      <c r="AL657" s="127"/>
      <c r="AM657" s="127"/>
      <c r="AN657" s="127"/>
      <c r="AO657" s="359"/>
      <c r="AP657" s="359"/>
      <c r="AQ657" s="359"/>
      <c r="AR657" s="359"/>
      <c r="AS657" s="359"/>
    </row>
    <row r="658">
      <c r="A658" s="131"/>
      <c r="B658" s="374"/>
      <c r="C658" s="127"/>
      <c r="D658" s="127"/>
      <c r="E658" s="127"/>
      <c r="F658" s="131"/>
      <c r="G658" s="374"/>
      <c r="H658" s="127"/>
      <c r="I658" s="127"/>
      <c r="J658" s="127"/>
      <c r="K658" s="383"/>
      <c r="L658" s="374"/>
      <c r="M658" s="127"/>
      <c r="N658" s="127"/>
      <c r="O658" s="127"/>
      <c r="P658" s="383"/>
      <c r="Q658" s="164"/>
      <c r="R658" s="127"/>
      <c r="S658" s="127"/>
      <c r="T658" s="127"/>
      <c r="U658" s="131"/>
      <c r="V658" s="374"/>
      <c r="W658" s="127"/>
      <c r="X658" s="127"/>
      <c r="Y658" s="127"/>
      <c r="Z658" s="131"/>
      <c r="AA658" s="374"/>
      <c r="AB658" s="127"/>
      <c r="AC658" s="127"/>
      <c r="AD658" s="127"/>
      <c r="AE658" s="131"/>
      <c r="AF658" s="374"/>
      <c r="AG658" s="127"/>
      <c r="AH658" s="127"/>
      <c r="AI658" s="127"/>
      <c r="AJ658" s="131"/>
      <c r="AK658" s="374"/>
      <c r="AL658" s="127"/>
      <c r="AM658" s="127"/>
      <c r="AN658" s="127"/>
      <c r="AO658" s="359"/>
      <c r="AP658" s="359"/>
      <c r="AQ658" s="359"/>
      <c r="AR658" s="359"/>
      <c r="AS658" s="359"/>
    </row>
    <row r="659">
      <c r="A659" s="131"/>
      <c r="B659" s="374"/>
      <c r="C659" s="127"/>
      <c r="D659" s="127"/>
      <c r="E659" s="127"/>
      <c r="F659" s="131"/>
      <c r="G659" s="374"/>
      <c r="H659" s="127"/>
      <c r="I659" s="127"/>
      <c r="J659" s="127"/>
      <c r="K659" s="383"/>
      <c r="L659" s="374"/>
      <c r="M659" s="127"/>
      <c r="N659" s="127"/>
      <c r="O659" s="127"/>
      <c r="P659" s="383"/>
      <c r="Q659" s="164"/>
      <c r="R659" s="127"/>
      <c r="S659" s="127"/>
      <c r="T659" s="127"/>
      <c r="U659" s="131"/>
      <c r="V659" s="374"/>
      <c r="W659" s="127"/>
      <c r="X659" s="127"/>
      <c r="Y659" s="127"/>
      <c r="Z659" s="131"/>
      <c r="AA659" s="374"/>
      <c r="AB659" s="127"/>
      <c r="AC659" s="127"/>
      <c r="AD659" s="127"/>
      <c r="AE659" s="131"/>
      <c r="AF659" s="374"/>
      <c r="AG659" s="127"/>
      <c r="AH659" s="127"/>
      <c r="AI659" s="127"/>
      <c r="AJ659" s="131"/>
      <c r="AK659" s="374"/>
      <c r="AL659" s="127"/>
      <c r="AM659" s="127"/>
      <c r="AN659" s="127"/>
      <c r="AO659" s="359"/>
      <c r="AP659" s="359"/>
      <c r="AQ659" s="359"/>
      <c r="AR659" s="359"/>
      <c r="AS659" s="359"/>
    </row>
    <row r="660">
      <c r="A660" s="131"/>
      <c r="B660" s="374"/>
      <c r="C660" s="127"/>
      <c r="D660" s="127"/>
      <c r="E660" s="127"/>
      <c r="F660" s="131"/>
      <c r="G660" s="374"/>
      <c r="H660" s="127"/>
      <c r="I660" s="127"/>
      <c r="J660" s="127"/>
      <c r="K660" s="383"/>
      <c r="L660" s="374"/>
      <c r="M660" s="127"/>
      <c r="N660" s="127"/>
      <c r="O660" s="127"/>
      <c r="P660" s="383"/>
      <c r="Q660" s="164"/>
      <c r="R660" s="127"/>
      <c r="S660" s="127"/>
      <c r="T660" s="127"/>
      <c r="U660" s="131"/>
      <c r="V660" s="374"/>
      <c r="W660" s="127"/>
      <c r="X660" s="127"/>
      <c r="Y660" s="127"/>
      <c r="Z660" s="131"/>
      <c r="AA660" s="374"/>
      <c r="AB660" s="127"/>
      <c r="AC660" s="127"/>
      <c r="AD660" s="127"/>
      <c r="AE660" s="131"/>
      <c r="AF660" s="374"/>
      <c r="AG660" s="127"/>
      <c r="AH660" s="127"/>
      <c r="AI660" s="127"/>
      <c r="AJ660" s="131"/>
      <c r="AK660" s="374"/>
      <c r="AL660" s="127"/>
      <c r="AM660" s="127"/>
      <c r="AN660" s="127"/>
      <c r="AO660" s="359"/>
      <c r="AP660" s="359"/>
      <c r="AQ660" s="359"/>
      <c r="AR660" s="359"/>
      <c r="AS660" s="359"/>
    </row>
    <row r="661">
      <c r="A661" s="131"/>
      <c r="B661" s="374"/>
      <c r="C661" s="127"/>
      <c r="D661" s="127"/>
      <c r="E661" s="127"/>
      <c r="F661" s="131"/>
      <c r="G661" s="374"/>
      <c r="H661" s="127"/>
      <c r="I661" s="127"/>
      <c r="J661" s="127"/>
      <c r="K661" s="383"/>
      <c r="L661" s="374"/>
      <c r="M661" s="127"/>
      <c r="N661" s="127"/>
      <c r="O661" s="127"/>
      <c r="P661" s="383"/>
      <c r="Q661" s="164"/>
      <c r="R661" s="127"/>
      <c r="S661" s="127"/>
      <c r="T661" s="127"/>
      <c r="U661" s="131"/>
      <c r="V661" s="374"/>
      <c r="W661" s="127"/>
      <c r="X661" s="127"/>
      <c r="Y661" s="127"/>
      <c r="Z661" s="131"/>
      <c r="AA661" s="374"/>
      <c r="AB661" s="127"/>
      <c r="AC661" s="127"/>
      <c r="AD661" s="127"/>
      <c r="AE661" s="131"/>
      <c r="AF661" s="374"/>
      <c r="AG661" s="127"/>
      <c r="AH661" s="127"/>
      <c r="AI661" s="127"/>
      <c r="AJ661" s="131"/>
      <c r="AK661" s="374"/>
      <c r="AL661" s="127"/>
      <c r="AM661" s="127"/>
      <c r="AN661" s="127"/>
      <c r="AO661" s="359"/>
      <c r="AP661" s="359"/>
      <c r="AQ661" s="359"/>
      <c r="AR661" s="359"/>
      <c r="AS661" s="359"/>
    </row>
    <row r="662">
      <c r="A662" s="131"/>
      <c r="B662" s="374"/>
      <c r="C662" s="127"/>
      <c r="D662" s="127"/>
      <c r="E662" s="127"/>
      <c r="F662" s="131"/>
      <c r="G662" s="374"/>
      <c r="H662" s="127"/>
      <c r="I662" s="127"/>
      <c r="J662" s="127"/>
      <c r="K662" s="383"/>
      <c r="L662" s="374"/>
      <c r="M662" s="127"/>
      <c r="N662" s="127"/>
      <c r="O662" s="127"/>
      <c r="P662" s="383"/>
      <c r="Q662" s="164"/>
      <c r="R662" s="127"/>
      <c r="S662" s="127"/>
      <c r="T662" s="127"/>
      <c r="U662" s="131"/>
      <c r="V662" s="374"/>
      <c r="W662" s="127"/>
      <c r="X662" s="127"/>
      <c r="Y662" s="127"/>
      <c r="Z662" s="131"/>
      <c r="AA662" s="374"/>
      <c r="AB662" s="127"/>
      <c r="AC662" s="127"/>
      <c r="AD662" s="127"/>
      <c r="AE662" s="131"/>
      <c r="AF662" s="374"/>
      <c r="AG662" s="127"/>
      <c r="AH662" s="127"/>
      <c r="AI662" s="127"/>
      <c r="AJ662" s="131"/>
      <c r="AK662" s="374"/>
      <c r="AL662" s="127"/>
      <c r="AM662" s="127"/>
      <c r="AN662" s="127"/>
      <c r="AO662" s="359"/>
      <c r="AP662" s="359"/>
      <c r="AQ662" s="359"/>
      <c r="AR662" s="359"/>
      <c r="AS662" s="359"/>
    </row>
    <row r="663">
      <c r="A663" s="131"/>
      <c r="B663" s="374"/>
      <c r="C663" s="127"/>
      <c r="D663" s="127"/>
      <c r="E663" s="127"/>
      <c r="F663" s="131"/>
      <c r="G663" s="374"/>
      <c r="H663" s="127"/>
      <c r="I663" s="127"/>
      <c r="J663" s="127"/>
      <c r="K663" s="383"/>
      <c r="L663" s="374"/>
      <c r="M663" s="127"/>
      <c r="N663" s="127"/>
      <c r="O663" s="127"/>
      <c r="P663" s="383"/>
      <c r="Q663" s="164"/>
      <c r="R663" s="127"/>
      <c r="S663" s="127"/>
      <c r="T663" s="127"/>
      <c r="U663" s="131"/>
      <c r="V663" s="374"/>
      <c r="W663" s="127"/>
      <c r="X663" s="127"/>
      <c r="Y663" s="127"/>
      <c r="Z663" s="131"/>
      <c r="AA663" s="374"/>
      <c r="AB663" s="127"/>
      <c r="AC663" s="127"/>
      <c r="AD663" s="127"/>
      <c r="AE663" s="131"/>
      <c r="AF663" s="374"/>
      <c r="AG663" s="127"/>
      <c r="AH663" s="127"/>
      <c r="AI663" s="127"/>
      <c r="AJ663" s="131"/>
      <c r="AK663" s="374"/>
      <c r="AL663" s="127"/>
      <c r="AM663" s="127"/>
      <c r="AN663" s="127"/>
      <c r="AO663" s="359"/>
      <c r="AP663" s="359"/>
      <c r="AQ663" s="359"/>
      <c r="AR663" s="359"/>
      <c r="AS663" s="359"/>
    </row>
    <row r="664">
      <c r="A664" s="131"/>
      <c r="B664" s="374"/>
      <c r="C664" s="127"/>
      <c r="D664" s="127"/>
      <c r="E664" s="127"/>
      <c r="F664" s="131"/>
      <c r="G664" s="374"/>
      <c r="H664" s="127"/>
      <c r="I664" s="127"/>
      <c r="J664" s="127"/>
      <c r="K664" s="383"/>
      <c r="L664" s="374"/>
      <c r="M664" s="127"/>
      <c r="N664" s="127"/>
      <c r="O664" s="127"/>
      <c r="P664" s="383"/>
      <c r="Q664" s="164"/>
      <c r="R664" s="127"/>
      <c r="S664" s="127"/>
      <c r="T664" s="127"/>
      <c r="U664" s="131"/>
      <c r="V664" s="374"/>
      <c r="W664" s="127"/>
      <c r="X664" s="127"/>
      <c r="Y664" s="127"/>
      <c r="Z664" s="131"/>
      <c r="AA664" s="374"/>
      <c r="AB664" s="127"/>
      <c r="AC664" s="127"/>
      <c r="AD664" s="127"/>
      <c r="AE664" s="131"/>
      <c r="AF664" s="374"/>
      <c r="AG664" s="127"/>
      <c r="AH664" s="127"/>
      <c r="AI664" s="127"/>
      <c r="AJ664" s="131"/>
      <c r="AK664" s="374"/>
      <c r="AL664" s="127"/>
      <c r="AM664" s="127"/>
      <c r="AN664" s="127"/>
      <c r="AO664" s="359"/>
      <c r="AP664" s="359"/>
      <c r="AQ664" s="359"/>
      <c r="AR664" s="359"/>
      <c r="AS664" s="359"/>
    </row>
    <row r="665">
      <c r="A665" s="131"/>
      <c r="B665" s="374"/>
      <c r="C665" s="127"/>
      <c r="D665" s="127"/>
      <c r="E665" s="127"/>
      <c r="F665" s="131"/>
      <c r="G665" s="374"/>
      <c r="H665" s="127"/>
      <c r="I665" s="127"/>
      <c r="J665" s="127"/>
      <c r="K665" s="383"/>
      <c r="L665" s="374"/>
      <c r="M665" s="127"/>
      <c r="N665" s="127"/>
      <c r="O665" s="127"/>
      <c r="P665" s="383"/>
      <c r="Q665" s="164"/>
      <c r="R665" s="127"/>
      <c r="S665" s="127"/>
      <c r="T665" s="127"/>
      <c r="U665" s="131"/>
      <c r="V665" s="374"/>
      <c r="W665" s="127"/>
      <c r="X665" s="127"/>
      <c r="Y665" s="127"/>
      <c r="Z665" s="131"/>
      <c r="AA665" s="374"/>
      <c r="AB665" s="127"/>
      <c r="AC665" s="127"/>
      <c r="AD665" s="127"/>
      <c r="AE665" s="131"/>
      <c r="AF665" s="374"/>
      <c r="AG665" s="127"/>
      <c r="AH665" s="127"/>
      <c r="AI665" s="127"/>
      <c r="AJ665" s="131"/>
      <c r="AK665" s="374"/>
      <c r="AL665" s="127"/>
      <c r="AM665" s="127"/>
      <c r="AN665" s="127"/>
      <c r="AO665" s="359"/>
      <c r="AP665" s="359"/>
      <c r="AQ665" s="359"/>
      <c r="AR665" s="359"/>
      <c r="AS665" s="359"/>
    </row>
    <row r="666">
      <c r="A666" s="131"/>
      <c r="B666" s="374"/>
      <c r="C666" s="127"/>
      <c r="D666" s="127"/>
      <c r="E666" s="127"/>
      <c r="F666" s="131"/>
      <c r="G666" s="374"/>
      <c r="H666" s="127"/>
      <c r="I666" s="127"/>
      <c r="J666" s="127"/>
      <c r="K666" s="383"/>
      <c r="L666" s="374"/>
      <c r="M666" s="127"/>
      <c r="N666" s="127"/>
      <c r="O666" s="127"/>
      <c r="P666" s="383"/>
      <c r="Q666" s="164"/>
      <c r="R666" s="127"/>
      <c r="S666" s="127"/>
      <c r="T666" s="127"/>
      <c r="U666" s="131"/>
      <c r="V666" s="374"/>
      <c r="W666" s="127"/>
      <c r="X666" s="127"/>
      <c r="Y666" s="127"/>
      <c r="Z666" s="131"/>
      <c r="AA666" s="374"/>
      <c r="AB666" s="127"/>
      <c r="AC666" s="127"/>
      <c r="AD666" s="127"/>
      <c r="AE666" s="131"/>
      <c r="AF666" s="374"/>
      <c r="AG666" s="127"/>
      <c r="AH666" s="127"/>
      <c r="AI666" s="127"/>
      <c r="AJ666" s="131"/>
      <c r="AK666" s="374"/>
      <c r="AL666" s="127"/>
      <c r="AM666" s="127"/>
      <c r="AN666" s="127"/>
      <c r="AO666" s="359"/>
      <c r="AP666" s="359"/>
      <c r="AQ666" s="359"/>
      <c r="AR666" s="359"/>
      <c r="AS666" s="359"/>
    </row>
    <row r="667">
      <c r="A667" s="131"/>
      <c r="B667" s="374"/>
      <c r="C667" s="127"/>
      <c r="D667" s="127"/>
      <c r="E667" s="127"/>
      <c r="F667" s="131"/>
      <c r="G667" s="374"/>
      <c r="H667" s="127"/>
      <c r="I667" s="127"/>
      <c r="J667" s="127"/>
      <c r="K667" s="383"/>
      <c r="L667" s="374"/>
      <c r="M667" s="127"/>
      <c r="N667" s="127"/>
      <c r="O667" s="127"/>
      <c r="P667" s="383"/>
      <c r="Q667" s="164"/>
      <c r="R667" s="127"/>
      <c r="S667" s="127"/>
      <c r="T667" s="127"/>
      <c r="U667" s="131"/>
      <c r="V667" s="374"/>
      <c r="W667" s="127"/>
      <c r="X667" s="127"/>
      <c r="Y667" s="127"/>
      <c r="Z667" s="131"/>
      <c r="AA667" s="374"/>
      <c r="AB667" s="127"/>
      <c r="AC667" s="127"/>
      <c r="AD667" s="127"/>
      <c r="AE667" s="131"/>
      <c r="AF667" s="374"/>
      <c r="AG667" s="127"/>
      <c r="AH667" s="127"/>
      <c r="AI667" s="127"/>
      <c r="AJ667" s="131"/>
      <c r="AK667" s="374"/>
      <c r="AL667" s="127"/>
      <c r="AM667" s="127"/>
      <c r="AN667" s="127"/>
      <c r="AO667" s="359"/>
      <c r="AP667" s="359"/>
      <c r="AQ667" s="359"/>
      <c r="AR667" s="359"/>
      <c r="AS667" s="359"/>
    </row>
    <row r="668">
      <c r="A668" s="131"/>
      <c r="B668" s="374"/>
      <c r="C668" s="127"/>
      <c r="D668" s="127"/>
      <c r="E668" s="127"/>
      <c r="F668" s="131"/>
      <c r="G668" s="374"/>
      <c r="H668" s="127"/>
      <c r="I668" s="127"/>
      <c r="J668" s="127"/>
      <c r="K668" s="383"/>
      <c r="L668" s="374"/>
      <c r="M668" s="127"/>
      <c r="N668" s="127"/>
      <c r="O668" s="127"/>
      <c r="P668" s="383"/>
      <c r="Q668" s="164"/>
      <c r="R668" s="127"/>
      <c r="S668" s="127"/>
      <c r="T668" s="127"/>
      <c r="U668" s="131"/>
      <c r="V668" s="374"/>
      <c r="W668" s="127"/>
      <c r="X668" s="127"/>
      <c r="Y668" s="127"/>
      <c r="Z668" s="131"/>
      <c r="AA668" s="374"/>
      <c r="AB668" s="127"/>
      <c r="AC668" s="127"/>
      <c r="AD668" s="127"/>
      <c r="AE668" s="131"/>
      <c r="AF668" s="374"/>
      <c r="AG668" s="127"/>
      <c r="AH668" s="127"/>
      <c r="AI668" s="127"/>
      <c r="AJ668" s="131"/>
      <c r="AK668" s="374"/>
      <c r="AL668" s="127"/>
      <c r="AM668" s="127"/>
      <c r="AN668" s="127"/>
      <c r="AO668" s="359"/>
      <c r="AP668" s="359"/>
      <c r="AQ668" s="359"/>
      <c r="AR668" s="359"/>
      <c r="AS668" s="359"/>
    </row>
    <row r="669">
      <c r="A669" s="131"/>
      <c r="B669" s="374"/>
      <c r="C669" s="127"/>
      <c r="D669" s="127"/>
      <c r="E669" s="127"/>
      <c r="F669" s="131"/>
      <c r="G669" s="374"/>
      <c r="H669" s="127"/>
      <c r="I669" s="127"/>
      <c r="J669" s="127"/>
      <c r="K669" s="383"/>
      <c r="L669" s="374"/>
      <c r="M669" s="127"/>
      <c r="N669" s="127"/>
      <c r="O669" s="127"/>
      <c r="P669" s="383"/>
      <c r="Q669" s="164"/>
      <c r="R669" s="127"/>
      <c r="S669" s="127"/>
      <c r="T669" s="127"/>
      <c r="U669" s="131"/>
      <c r="V669" s="374"/>
      <c r="W669" s="127"/>
      <c r="X669" s="127"/>
      <c r="Y669" s="127"/>
      <c r="Z669" s="131"/>
      <c r="AA669" s="374"/>
      <c r="AB669" s="127"/>
      <c r="AC669" s="127"/>
      <c r="AD669" s="127"/>
      <c r="AE669" s="131"/>
      <c r="AF669" s="374"/>
      <c r="AG669" s="127"/>
      <c r="AH669" s="127"/>
      <c r="AI669" s="127"/>
      <c r="AJ669" s="131"/>
      <c r="AK669" s="374"/>
      <c r="AL669" s="127"/>
      <c r="AM669" s="127"/>
      <c r="AN669" s="127"/>
      <c r="AO669" s="359"/>
      <c r="AP669" s="359"/>
      <c r="AQ669" s="359"/>
      <c r="AR669" s="359"/>
      <c r="AS669" s="359"/>
    </row>
    <row r="670">
      <c r="A670" s="131"/>
      <c r="B670" s="374"/>
      <c r="C670" s="127"/>
      <c r="D670" s="127"/>
      <c r="E670" s="127"/>
      <c r="F670" s="131"/>
      <c r="G670" s="374"/>
      <c r="H670" s="127"/>
      <c r="I670" s="127"/>
      <c r="J670" s="127"/>
      <c r="K670" s="383"/>
      <c r="L670" s="374"/>
      <c r="M670" s="127"/>
      <c r="N670" s="127"/>
      <c r="O670" s="127"/>
      <c r="P670" s="383"/>
      <c r="Q670" s="164"/>
      <c r="R670" s="127"/>
      <c r="S670" s="127"/>
      <c r="T670" s="127"/>
      <c r="U670" s="131"/>
      <c r="V670" s="374"/>
      <c r="W670" s="127"/>
      <c r="X670" s="127"/>
      <c r="Y670" s="127"/>
      <c r="Z670" s="131"/>
      <c r="AA670" s="374"/>
      <c r="AB670" s="127"/>
      <c r="AC670" s="127"/>
      <c r="AD670" s="127"/>
      <c r="AE670" s="131"/>
      <c r="AF670" s="374"/>
      <c r="AG670" s="127"/>
      <c r="AH670" s="127"/>
      <c r="AI670" s="127"/>
      <c r="AJ670" s="131"/>
      <c r="AK670" s="374"/>
      <c r="AL670" s="127"/>
      <c r="AM670" s="127"/>
      <c r="AN670" s="127"/>
      <c r="AO670" s="359"/>
      <c r="AP670" s="359"/>
      <c r="AQ670" s="359"/>
      <c r="AR670" s="359"/>
      <c r="AS670" s="359"/>
    </row>
    <row r="671">
      <c r="A671" s="131"/>
      <c r="B671" s="374"/>
      <c r="C671" s="127"/>
      <c r="D671" s="127"/>
      <c r="E671" s="127"/>
      <c r="F671" s="131"/>
      <c r="G671" s="374"/>
      <c r="H671" s="127"/>
      <c r="I671" s="127"/>
      <c r="J671" s="127"/>
      <c r="K671" s="383"/>
      <c r="L671" s="374"/>
      <c r="M671" s="127"/>
      <c r="N671" s="127"/>
      <c r="O671" s="127"/>
      <c r="P671" s="383"/>
      <c r="Q671" s="164"/>
      <c r="R671" s="127"/>
      <c r="S671" s="127"/>
      <c r="T671" s="127"/>
      <c r="U671" s="131"/>
      <c r="V671" s="374"/>
      <c r="W671" s="127"/>
      <c r="X671" s="127"/>
      <c r="Y671" s="127"/>
      <c r="Z671" s="131"/>
      <c r="AA671" s="374"/>
      <c r="AB671" s="127"/>
      <c r="AC671" s="127"/>
      <c r="AD671" s="127"/>
      <c r="AE671" s="131"/>
      <c r="AF671" s="374"/>
      <c r="AG671" s="127"/>
      <c r="AH671" s="127"/>
      <c r="AI671" s="127"/>
      <c r="AJ671" s="131"/>
      <c r="AK671" s="374"/>
      <c r="AL671" s="127"/>
      <c r="AM671" s="127"/>
      <c r="AN671" s="127"/>
      <c r="AO671" s="359"/>
      <c r="AP671" s="359"/>
      <c r="AQ671" s="359"/>
      <c r="AR671" s="359"/>
      <c r="AS671" s="359"/>
    </row>
    <row r="672">
      <c r="A672" s="131"/>
      <c r="B672" s="374"/>
      <c r="C672" s="127"/>
      <c r="D672" s="127"/>
      <c r="E672" s="127"/>
      <c r="F672" s="131"/>
      <c r="G672" s="374"/>
      <c r="H672" s="127"/>
      <c r="I672" s="127"/>
      <c r="J672" s="127"/>
      <c r="K672" s="383"/>
      <c r="L672" s="374"/>
      <c r="M672" s="127"/>
      <c r="N672" s="127"/>
      <c r="O672" s="127"/>
      <c r="P672" s="383"/>
      <c r="Q672" s="164"/>
      <c r="R672" s="127"/>
      <c r="S672" s="127"/>
      <c r="T672" s="127"/>
      <c r="U672" s="131"/>
      <c r="V672" s="374"/>
      <c r="W672" s="127"/>
      <c r="X672" s="127"/>
      <c r="Y672" s="127"/>
      <c r="Z672" s="131"/>
      <c r="AA672" s="374"/>
      <c r="AB672" s="127"/>
      <c r="AC672" s="127"/>
      <c r="AD672" s="127"/>
      <c r="AE672" s="131"/>
      <c r="AF672" s="374"/>
      <c r="AG672" s="127"/>
      <c r="AH672" s="127"/>
      <c r="AI672" s="127"/>
      <c r="AJ672" s="131"/>
      <c r="AK672" s="374"/>
      <c r="AL672" s="127"/>
      <c r="AM672" s="127"/>
      <c r="AN672" s="127"/>
      <c r="AO672" s="359"/>
      <c r="AP672" s="359"/>
      <c r="AQ672" s="359"/>
      <c r="AR672" s="359"/>
      <c r="AS672" s="359"/>
    </row>
    <row r="673">
      <c r="A673" s="131"/>
      <c r="B673" s="374"/>
      <c r="C673" s="127"/>
      <c r="D673" s="127"/>
      <c r="E673" s="127"/>
      <c r="F673" s="131"/>
      <c r="G673" s="374"/>
      <c r="H673" s="127"/>
      <c r="I673" s="127"/>
      <c r="J673" s="127"/>
      <c r="K673" s="383"/>
      <c r="L673" s="374"/>
      <c r="M673" s="127"/>
      <c r="N673" s="127"/>
      <c r="O673" s="127"/>
      <c r="P673" s="383"/>
      <c r="Q673" s="164"/>
      <c r="R673" s="127"/>
      <c r="S673" s="127"/>
      <c r="T673" s="127"/>
      <c r="U673" s="131"/>
      <c r="V673" s="374"/>
      <c r="W673" s="127"/>
      <c r="X673" s="127"/>
      <c r="Y673" s="127"/>
      <c r="Z673" s="131"/>
      <c r="AA673" s="374"/>
      <c r="AB673" s="127"/>
      <c r="AC673" s="127"/>
      <c r="AD673" s="127"/>
      <c r="AE673" s="131"/>
      <c r="AF673" s="374"/>
      <c r="AG673" s="127"/>
      <c r="AH673" s="127"/>
      <c r="AI673" s="127"/>
      <c r="AJ673" s="131"/>
      <c r="AK673" s="374"/>
      <c r="AL673" s="127"/>
      <c r="AM673" s="127"/>
      <c r="AN673" s="127"/>
      <c r="AO673" s="359"/>
      <c r="AP673" s="359"/>
      <c r="AQ673" s="359"/>
      <c r="AR673" s="359"/>
      <c r="AS673" s="359"/>
    </row>
    <row r="674">
      <c r="A674" s="131"/>
      <c r="B674" s="374"/>
      <c r="C674" s="127"/>
      <c r="D674" s="127"/>
      <c r="E674" s="127"/>
      <c r="F674" s="131"/>
      <c r="G674" s="374"/>
      <c r="H674" s="127"/>
      <c r="I674" s="127"/>
      <c r="J674" s="127"/>
      <c r="K674" s="383"/>
      <c r="L674" s="374"/>
      <c r="M674" s="127"/>
      <c r="N674" s="127"/>
      <c r="O674" s="127"/>
      <c r="P674" s="383"/>
      <c r="Q674" s="164"/>
      <c r="R674" s="127"/>
      <c r="S674" s="127"/>
      <c r="T674" s="127"/>
      <c r="U674" s="131"/>
      <c r="V674" s="374"/>
      <c r="W674" s="127"/>
      <c r="X674" s="127"/>
      <c r="Y674" s="127"/>
      <c r="Z674" s="131"/>
      <c r="AA674" s="374"/>
      <c r="AB674" s="127"/>
      <c r="AC674" s="127"/>
      <c r="AD674" s="127"/>
      <c r="AE674" s="131"/>
      <c r="AF674" s="374"/>
      <c r="AG674" s="127"/>
      <c r="AH674" s="127"/>
      <c r="AI674" s="127"/>
      <c r="AJ674" s="131"/>
      <c r="AK674" s="374"/>
      <c r="AL674" s="127"/>
      <c r="AM674" s="127"/>
      <c r="AN674" s="127"/>
      <c r="AO674" s="359"/>
      <c r="AP674" s="359"/>
      <c r="AQ674" s="359"/>
      <c r="AR674" s="359"/>
      <c r="AS674" s="359"/>
    </row>
    <row r="675">
      <c r="A675" s="131"/>
      <c r="B675" s="374"/>
      <c r="C675" s="127"/>
      <c r="D675" s="127"/>
      <c r="E675" s="127"/>
      <c r="F675" s="131"/>
      <c r="G675" s="374"/>
      <c r="H675" s="127"/>
      <c r="I675" s="127"/>
      <c r="J675" s="127"/>
      <c r="K675" s="383"/>
      <c r="L675" s="374"/>
      <c r="M675" s="127"/>
      <c r="N675" s="127"/>
      <c r="O675" s="127"/>
      <c r="P675" s="383"/>
      <c r="Q675" s="164"/>
      <c r="R675" s="127"/>
      <c r="S675" s="127"/>
      <c r="T675" s="127"/>
      <c r="U675" s="131"/>
      <c r="V675" s="374"/>
      <c r="W675" s="127"/>
      <c r="X675" s="127"/>
      <c r="Y675" s="127"/>
      <c r="Z675" s="131"/>
      <c r="AA675" s="374"/>
      <c r="AB675" s="127"/>
      <c r="AC675" s="127"/>
      <c r="AD675" s="127"/>
      <c r="AE675" s="131"/>
      <c r="AF675" s="374"/>
      <c r="AG675" s="127"/>
      <c r="AH675" s="127"/>
      <c r="AI675" s="127"/>
      <c r="AJ675" s="131"/>
      <c r="AK675" s="374"/>
      <c r="AL675" s="127"/>
      <c r="AM675" s="127"/>
      <c r="AN675" s="127"/>
      <c r="AO675" s="359"/>
      <c r="AP675" s="359"/>
      <c r="AQ675" s="359"/>
      <c r="AR675" s="359"/>
      <c r="AS675" s="359"/>
    </row>
    <row r="676">
      <c r="A676" s="131"/>
      <c r="B676" s="374"/>
      <c r="C676" s="127"/>
      <c r="D676" s="127"/>
      <c r="E676" s="127"/>
      <c r="F676" s="131"/>
      <c r="G676" s="374"/>
      <c r="H676" s="127"/>
      <c r="I676" s="127"/>
      <c r="J676" s="127"/>
      <c r="K676" s="383"/>
      <c r="L676" s="374"/>
      <c r="M676" s="127"/>
      <c r="N676" s="127"/>
      <c r="O676" s="127"/>
      <c r="P676" s="383"/>
      <c r="Q676" s="164"/>
      <c r="R676" s="127"/>
      <c r="S676" s="127"/>
      <c r="T676" s="127"/>
      <c r="U676" s="131"/>
      <c r="V676" s="374"/>
      <c r="W676" s="127"/>
      <c r="X676" s="127"/>
      <c r="Y676" s="127"/>
      <c r="Z676" s="131"/>
      <c r="AA676" s="374"/>
      <c r="AB676" s="127"/>
      <c r="AC676" s="127"/>
      <c r="AD676" s="127"/>
      <c r="AE676" s="131"/>
      <c r="AF676" s="374"/>
      <c r="AG676" s="127"/>
      <c r="AH676" s="127"/>
      <c r="AI676" s="127"/>
      <c r="AJ676" s="131"/>
      <c r="AK676" s="374"/>
      <c r="AL676" s="127"/>
      <c r="AM676" s="127"/>
      <c r="AN676" s="127"/>
      <c r="AO676" s="359"/>
      <c r="AP676" s="359"/>
      <c r="AQ676" s="359"/>
      <c r="AR676" s="359"/>
      <c r="AS676" s="359"/>
    </row>
    <row r="677">
      <c r="A677" s="131"/>
      <c r="B677" s="374"/>
      <c r="C677" s="127"/>
      <c r="D677" s="127"/>
      <c r="E677" s="127"/>
      <c r="F677" s="131"/>
      <c r="G677" s="374"/>
      <c r="H677" s="127"/>
      <c r="I677" s="127"/>
      <c r="J677" s="127"/>
      <c r="K677" s="383"/>
      <c r="L677" s="374"/>
      <c r="M677" s="127"/>
      <c r="N677" s="127"/>
      <c r="O677" s="127"/>
      <c r="P677" s="383"/>
      <c r="Q677" s="164"/>
      <c r="R677" s="127"/>
      <c r="S677" s="127"/>
      <c r="T677" s="127"/>
      <c r="U677" s="131"/>
      <c r="V677" s="374"/>
      <c r="W677" s="127"/>
      <c r="X677" s="127"/>
      <c r="Y677" s="127"/>
      <c r="Z677" s="131"/>
      <c r="AA677" s="374"/>
      <c r="AB677" s="127"/>
      <c r="AC677" s="127"/>
      <c r="AD677" s="127"/>
      <c r="AE677" s="131"/>
      <c r="AF677" s="374"/>
      <c r="AG677" s="127"/>
      <c r="AH677" s="127"/>
      <c r="AI677" s="127"/>
      <c r="AJ677" s="131"/>
      <c r="AK677" s="374"/>
      <c r="AL677" s="127"/>
      <c r="AM677" s="127"/>
      <c r="AN677" s="127"/>
      <c r="AO677" s="359"/>
      <c r="AP677" s="359"/>
      <c r="AQ677" s="359"/>
      <c r="AR677" s="359"/>
      <c r="AS677" s="359"/>
    </row>
    <row r="678">
      <c r="A678" s="131"/>
      <c r="B678" s="374"/>
      <c r="C678" s="127"/>
      <c r="D678" s="127"/>
      <c r="E678" s="127"/>
      <c r="F678" s="131"/>
      <c r="G678" s="374"/>
      <c r="H678" s="127"/>
      <c r="I678" s="127"/>
      <c r="J678" s="127"/>
      <c r="K678" s="383"/>
      <c r="L678" s="374"/>
      <c r="M678" s="127"/>
      <c r="N678" s="127"/>
      <c r="O678" s="127"/>
      <c r="P678" s="383"/>
      <c r="Q678" s="164"/>
      <c r="R678" s="127"/>
      <c r="S678" s="127"/>
      <c r="T678" s="127"/>
      <c r="U678" s="131"/>
      <c r="V678" s="374"/>
      <c r="W678" s="127"/>
      <c r="X678" s="127"/>
      <c r="Y678" s="127"/>
      <c r="Z678" s="131"/>
      <c r="AA678" s="374"/>
      <c r="AB678" s="127"/>
      <c r="AC678" s="127"/>
      <c r="AD678" s="127"/>
      <c r="AE678" s="131"/>
      <c r="AF678" s="374"/>
      <c r="AG678" s="127"/>
      <c r="AH678" s="127"/>
      <c r="AI678" s="127"/>
      <c r="AJ678" s="131"/>
      <c r="AK678" s="374"/>
      <c r="AL678" s="127"/>
      <c r="AM678" s="127"/>
      <c r="AN678" s="127"/>
      <c r="AO678" s="359"/>
      <c r="AP678" s="359"/>
      <c r="AQ678" s="359"/>
      <c r="AR678" s="359"/>
      <c r="AS678" s="359"/>
    </row>
    <row r="679">
      <c r="A679" s="131"/>
      <c r="B679" s="374"/>
      <c r="C679" s="127"/>
      <c r="D679" s="127"/>
      <c r="E679" s="127"/>
      <c r="F679" s="131"/>
      <c r="G679" s="374"/>
      <c r="H679" s="127"/>
      <c r="I679" s="127"/>
      <c r="J679" s="127"/>
      <c r="K679" s="383"/>
      <c r="L679" s="374"/>
      <c r="M679" s="127"/>
      <c r="N679" s="127"/>
      <c r="O679" s="127"/>
      <c r="P679" s="383"/>
      <c r="Q679" s="164"/>
      <c r="R679" s="127"/>
      <c r="S679" s="127"/>
      <c r="T679" s="127"/>
      <c r="U679" s="131"/>
      <c r="V679" s="374"/>
      <c r="W679" s="127"/>
      <c r="X679" s="127"/>
      <c r="Y679" s="127"/>
      <c r="Z679" s="131"/>
      <c r="AA679" s="374"/>
      <c r="AB679" s="127"/>
      <c r="AC679" s="127"/>
      <c r="AD679" s="127"/>
      <c r="AE679" s="131"/>
      <c r="AF679" s="374"/>
      <c r="AG679" s="127"/>
      <c r="AH679" s="127"/>
      <c r="AI679" s="127"/>
      <c r="AJ679" s="131"/>
      <c r="AK679" s="374"/>
      <c r="AL679" s="127"/>
      <c r="AM679" s="127"/>
      <c r="AN679" s="127"/>
      <c r="AO679" s="359"/>
      <c r="AP679" s="359"/>
      <c r="AQ679" s="359"/>
      <c r="AR679" s="359"/>
      <c r="AS679" s="359"/>
    </row>
    <row r="680">
      <c r="A680" s="131"/>
      <c r="B680" s="374"/>
      <c r="C680" s="127"/>
      <c r="D680" s="127"/>
      <c r="E680" s="127"/>
      <c r="F680" s="131"/>
      <c r="G680" s="374"/>
      <c r="H680" s="127"/>
      <c r="I680" s="127"/>
      <c r="J680" s="127"/>
      <c r="K680" s="383"/>
      <c r="L680" s="374"/>
      <c r="M680" s="127"/>
      <c r="N680" s="127"/>
      <c r="O680" s="127"/>
      <c r="P680" s="383"/>
      <c r="Q680" s="164"/>
      <c r="R680" s="127"/>
      <c r="S680" s="127"/>
      <c r="T680" s="127"/>
      <c r="U680" s="131"/>
      <c r="V680" s="374"/>
      <c r="W680" s="127"/>
      <c r="X680" s="127"/>
      <c r="Y680" s="127"/>
      <c r="Z680" s="131"/>
      <c r="AA680" s="374"/>
      <c r="AB680" s="127"/>
      <c r="AC680" s="127"/>
      <c r="AD680" s="127"/>
      <c r="AE680" s="131"/>
      <c r="AF680" s="374"/>
      <c r="AG680" s="127"/>
      <c r="AH680" s="127"/>
      <c r="AI680" s="127"/>
      <c r="AJ680" s="131"/>
      <c r="AK680" s="374"/>
      <c r="AL680" s="127"/>
      <c r="AM680" s="127"/>
      <c r="AN680" s="127"/>
      <c r="AO680" s="359"/>
      <c r="AP680" s="359"/>
      <c r="AQ680" s="359"/>
      <c r="AR680" s="359"/>
      <c r="AS680" s="359"/>
    </row>
    <row r="681">
      <c r="A681" s="131"/>
      <c r="B681" s="374"/>
      <c r="C681" s="127"/>
      <c r="D681" s="127"/>
      <c r="E681" s="127"/>
      <c r="F681" s="131"/>
      <c r="G681" s="374"/>
      <c r="H681" s="127"/>
      <c r="I681" s="127"/>
      <c r="J681" s="127"/>
      <c r="K681" s="383"/>
      <c r="L681" s="374"/>
      <c r="M681" s="127"/>
      <c r="N681" s="127"/>
      <c r="O681" s="127"/>
      <c r="P681" s="383"/>
      <c r="Q681" s="164"/>
      <c r="R681" s="127"/>
      <c r="S681" s="127"/>
      <c r="T681" s="127"/>
      <c r="U681" s="131"/>
      <c r="V681" s="374"/>
      <c r="W681" s="127"/>
      <c r="X681" s="127"/>
      <c r="Y681" s="127"/>
      <c r="Z681" s="131"/>
      <c r="AA681" s="374"/>
      <c r="AB681" s="127"/>
      <c r="AC681" s="127"/>
      <c r="AD681" s="127"/>
      <c r="AE681" s="131"/>
      <c r="AF681" s="374"/>
      <c r="AG681" s="127"/>
      <c r="AH681" s="127"/>
      <c r="AI681" s="127"/>
      <c r="AJ681" s="131"/>
      <c r="AK681" s="374"/>
      <c r="AL681" s="127"/>
      <c r="AM681" s="127"/>
      <c r="AN681" s="127"/>
      <c r="AO681" s="359"/>
      <c r="AP681" s="359"/>
      <c r="AQ681" s="359"/>
      <c r="AR681" s="359"/>
      <c r="AS681" s="359"/>
    </row>
    <row r="682">
      <c r="A682" s="131"/>
      <c r="B682" s="374"/>
      <c r="C682" s="127"/>
      <c r="D682" s="127"/>
      <c r="E682" s="127"/>
      <c r="F682" s="131"/>
      <c r="G682" s="374"/>
      <c r="H682" s="127"/>
      <c r="I682" s="127"/>
      <c r="J682" s="127"/>
      <c r="K682" s="383"/>
      <c r="L682" s="374"/>
      <c r="M682" s="127"/>
      <c r="N682" s="127"/>
      <c r="O682" s="127"/>
      <c r="P682" s="383"/>
      <c r="Q682" s="164"/>
      <c r="R682" s="127"/>
      <c r="S682" s="127"/>
      <c r="T682" s="127"/>
      <c r="U682" s="131"/>
      <c r="V682" s="374"/>
      <c r="W682" s="127"/>
      <c r="X682" s="127"/>
      <c r="Y682" s="127"/>
      <c r="Z682" s="131"/>
      <c r="AA682" s="374"/>
      <c r="AB682" s="127"/>
      <c r="AC682" s="127"/>
      <c r="AD682" s="127"/>
      <c r="AE682" s="131"/>
      <c r="AF682" s="374"/>
      <c r="AG682" s="127"/>
      <c r="AH682" s="127"/>
      <c r="AI682" s="127"/>
      <c r="AJ682" s="131"/>
      <c r="AK682" s="374"/>
      <c r="AL682" s="127"/>
      <c r="AM682" s="127"/>
      <c r="AN682" s="127"/>
      <c r="AO682" s="359"/>
      <c r="AP682" s="359"/>
      <c r="AQ682" s="359"/>
      <c r="AR682" s="359"/>
      <c r="AS682" s="359"/>
    </row>
    <row r="683">
      <c r="A683" s="131"/>
      <c r="B683" s="374"/>
      <c r="C683" s="127"/>
      <c r="D683" s="127"/>
      <c r="E683" s="127"/>
      <c r="F683" s="131"/>
      <c r="G683" s="374"/>
      <c r="H683" s="127"/>
      <c r="I683" s="127"/>
      <c r="J683" s="127"/>
      <c r="K683" s="383"/>
      <c r="L683" s="374"/>
      <c r="M683" s="127"/>
      <c r="N683" s="127"/>
      <c r="O683" s="127"/>
      <c r="P683" s="383"/>
      <c r="Q683" s="164"/>
      <c r="R683" s="127"/>
      <c r="S683" s="127"/>
      <c r="T683" s="127"/>
      <c r="U683" s="131"/>
      <c r="V683" s="374"/>
      <c r="W683" s="127"/>
      <c r="X683" s="127"/>
      <c r="Y683" s="127"/>
      <c r="Z683" s="131"/>
      <c r="AA683" s="374"/>
      <c r="AB683" s="127"/>
      <c r="AC683" s="127"/>
      <c r="AD683" s="127"/>
      <c r="AE683" s="131"/>
      <c r="AF683" s="374"/>
      <c r="AG683" s="127"/>
      <c r="AH683" s="127"/>
      <c r="AI683" s="127"/>
      <c r="AJ683" s="131"/>
      <c r="AK683" s="374"/>
      <c r="AL683" s="127"/>
      <c r="AM683" s="127"/>
      <c r="AN683" s="127"/>
      <c r="AO683" s="359"/>
      <c r="AP683" s="359"/>
      <c r="AQ683" s="359"/>
      <c r="AR683" s="359"/>
      <c r="AS683" s="359"/>
    </row>
    <row r="684">
      <c r="A684" s="131"/>
      <c r="B684" s="374"/>
      <c r="C684" s="127"/>
      <c r="D684" s="127"/>
      <c r="E684" s="127"/>
      <c r="F684" s="131"/>
      <c r="G684" s="374"/>
      <c r="H684" s="127"/>
      <c r="I684" s="127"/>
      <c r="J684" s="127"/>
      <c r="K684" s="383"/>
      <c r="L684" s="374"/>
      <c r="M684" s="127"/>
      <c r="N684" s="127"/>
      <c r="O684" s="127"/>
      <c r="P684" s="383"/>
      <c r="Q684" s="164"/>
      <c r="R684" s="127"/>
      <c r="S684" s="127"/>
      <c r="T684" s="127"/>
      <c r="U684" s="131"/>
      <c r="V684" s="374"/>
      <c r="W684" s="127"/>
      <c r="X684" s="127"/>
      <c r="Y684" s="127"/>
      <c r="Z684" s="131"/>
      <c r="AA684" s="374"/>
      <c r="AB684" s="127"/>
      <c r="AC684" s="127"/>
      <c r="AD684" s="127"/>
      <c r="AE684" s="131"/>
      <c r="AF684" s="374"/>
      <c r="AG684" s="127"/>
      <c r="AH684" s="127"/>
      <c r="AI684" s="127"/>
      <c r="AJ684" s="131"/>
      <c r="AK684" s="374"/>
      <c r="AL684" s="127"/>
      <c r="AM684" s="127"/>
      <c r="AN684" s="127"/>
      <c r="AO684" s="359"/>
      <c r="AP684" s="359"/>
      <c r="AQ684" s="359"/>
      <c r="AR684" s="359"/>
      <c r="AS684" s="359"/>
    </row>
    <row r="685">
      <c r="A685" s="131"/>
      <c r="B685" s="374"/>
      <c r="C685" s="127"/>
      <c r="D685" s="127"/>
      <c r="E685" s="127"/>
      <c r="F685" s="131"/>
      <c r="G685" s="374"/>
      <c r="H685" s="127"/>
      <c r="I685" s="127"/>
      <c r="J685" s="127"/>
      <c r="K685" s="383"/>
      <c r="L685" s="374"/>
      <c r="M685" s="127"/>
      <c r="N685" s="127"/>
      <c r="O685" s="127"/>
      <c r="P685" s="383"/>
      <c r="Q685" s="164"/>
      <c r="R685" s="127"/>
      <c r="S685" s="127"/>
      <c r="T685" s="127"/>
      <c r="U685" s="131"/>
      <c r="V685" s="374"/>
      <c r="W685" s="127"/>
      <c r="X685" s="127"/>
      <c r="Y685" s="127"/>
      <c r="Z685" s="131"/>
      <c r="AA685" s="374"/>
      <c r="AB685" s="127"/>
      <c r="AC685" s="127"/>
      <c r="AD685" s="127"/>
      <c r="AE685" s="131"/>
      <c r="AF685" s="374"/>
      <c r="AG685" s="127"/>
      <c r="AH685" s="127"/>
      <c r="AI685" s="127"/>
      <c r="AJ685" s="131"/>
      <c r="AK685" s="374"/>
      <c r="AL685" s="127"/>
      <c r="AM685" s="127"/>
      <c r="AN685" s="127"/>
      <c r="AO685" s="359"/>
      <c r="AP685" s="359"/>
      <c r="AQ685" s="359"/>
      <c r="AR685" s="359"/>
      <c r="AS685" s="359"/>
    </row>
    <row r="686">
      <c r="A686" s="131"/>
      <c r="B686" s="374"/>
      <c r="C686" s="127"/>
      <c r="D686" s="127"/>
      <c r="E686" s="127"/>
      <c r="F686" s="131"/>
      <c r="G686" s="374"/>
      <c r="H686" s="127"/>
      <c r="I686" s="127"/>
      <c r="J686" s="127"/>
      <c r="K686" s="383"/>
      <c r="L686" s="374"/>
      <c r="M686" s="127"/>
      <c r="N686" s="127"/>
      <c r="O686" s="127"/>
      <c r="P686" s="383"/>
      <c r="Q686" s="164"/>
      <c r="R686" s="127"/>
      <c r="S686" s="127"/>
      <c r="T686" s="127"/>
      <c r="U686" s="131"/>
      <c r="V686" s="374"/>
      <c r="W686" s="127"/>
      <c r="X686" s="127"/>
      <c r="Y686" s="127"/>
      <c r="Z686" s="131"/>
      <c r="AA686" s="374"/>
      <c r="AB686" s="127"/>
      <c r="AC686" s="127"/>
      <c r="AD686" s="127"/>
      <c r="AE686" s="131"/>
      <c r="AF686" s="374"/>
      <c r="AG686" s="127"/>
      <c r="AH686" s="127"/>
      <c r="AI686" s="127"/>
      <c r="AJ686" s="131"/>
      <c r="AK686" s="374"/>
      <c r="AL686" s="127"/>
      <c r="AM686" s="127"/>
      <c r="AN686" s="127"/>
      <c r="AO686" s="359"/>
      <c r="AP686" s="359"/>
      <c r="AQ686" s="359"/>
      <c r="AR686" s="359"/>
      <c r="AS686" s="359"/>
    </row>
    <row r="687">
      <c r="A687" s="131"/>
      <c r="B687" s="374"/>
      <c r="C687" s="127"/>
      <c r="D687" s="127"/>
      <c r="E687" s="127"/>
      <c r="F687" s="131"/>
      <c r="G687" s="374"/>
      <c r="H687" s="127"/>
      <c r="I687" s="127"/>
      <c r="J687" s="127"/>
      <c r="K687" s="383"/>
      <c r="L687" s="374"/>
      <c r="M687" s="127"/>
      <c r="N687" s="127"/>
      <c r="O687" s="127"/>
      <c r="P687" s="383"/>
      <c r="Q687" s="164"/>
      <c r="R687" s="127"/>
      <c r="S687" s="127"/>
      <c r="T687" s="127"/>
      <c r="U687" s="131"/>
      <c r="V687" s="374"/>
      <c r="W687" s="127"/>
      <c r="X687" s="127"/>
      <c r="Y687" s="127"/>
      <c r="Z687" s="131"/>
      <c r="AA687" s="374"/>
      <c r="AB687" s="127"/>
      <c r="AC687" s="127"/>
      <c r="AD687" s="127"/>
      <c r="AE687" s="131"/>
      <c r="AF687" s="374"/>
      <c r="AG687" s="127"/>
      <c r="AH687" s="127"/>
      <c r="AI687" s="127"/>
      <c r="AJ687" s="131"/>
      <c r="AK687" s="374"/>
      <c r="AL687" s="127"/>
      <c r="AM687" s="127"/>
      <c r="AN687" s="127"/>
      <c r="AO687" s="359"/>
      <c r="AP687" s="359"/>
      <c r="AQ687" s="359"/>
      <c r="AR687" s="359"/>
      <c r="AS687" s="359"/>
    </row>
    <row r="688">
      <c r="A688" s="131"/>
      <c r="B688" s="374"/>
      <c r="C688" s="127"/>
      <c r="D688" s="127"/>
      <c r="E688" s="127"/>
      <c r="F688" s="131"/>
      <c r="G688" s="374"/>
      <c r="H688" s="127"/>
      <c r="I688" s="127"/>
      <c r="J688" s="127"/>
      <c r="K688" s="383"/>
      <c r="L688" s="374"/>
      <c r="M688" s="127"/>
      <c r="N688" s="127"/>
      <c r="O688" s="127"/>
      <c r="P688" s="383"/>
      <c r="Q688" s="164"/>
      <c r="R688" s="127"/>
      <c r="S688" s="127"/>
      <c r="T688" s="127"/>
      <c r="U688" s="131"/>
      <c r="V688" s="374"/>
      <c r="W688" s="127"/>
      <c r="X688" s="127"/>
      <c r="Y688" s="127"/>
      <c r="Z688" s="131"/>
      <c r="AA688" s="374"/>
      <c r="AB688" s="127"/>
      <c r="AC688" s="127"/>
      <c r="AD688" s="127"/>
      <c r="AE688" s="131"/>
      <c r="AF688" s="374"/>
      <c r="AG688" s="127"/>
      <c r="AH688" s="127"/>
      <c r="AI688" s="127"/>
      <c r="AJ688" s="131"/>
      <c r="AK688" s="374"/>
      <c r="AL688" s="127"/>
      <c r="AM688" s="127"/>
      <c r="AN688" s="127"/>
      <c r="AO688" s="359"/>
      <c r="AP688" s="359"/>
      <c r="AQ688" s="359"/>
      <c r="AR688" s="359"/>
      <c r="AS688" s="359"/>
    </row>
    <row r="689">
      <c r="A689" s="131"/>
      <c r="B689" s="374"/>
      <c r="C689" s="127"/>
      <c r="D689" s="127"/>
      <c r="E689" s="127"/>
      <c r="F689" s="131"/>
      <c r="G689" s="374"/>
      <c r="H689" s="127"/>
      <c r="I689" s="127"/>
      <c r="J689" s="127"/>
      <c r="K689" s="383"/>
      <c r="L689" s="374"/>
      <c r="M689" s="127"/>
      <c r="N689" s="127"/>
      <c r="O689" s="127"/>
      <c r="P689" s="383"/>
      <c r="Q689" s="164"/>
      <c r="R689" s="127"/>
      <c r="S689" s="127"/>
      <c r="T689" s="127"/>
      <c r="U689" s="131"/>
      <c r="V689" s="374"/>
      <c r="W689" s="127"/>
      <c r="X689" s="127"/>
      <c r="Y689" s="127"/>
      <c r="Z689" s="131"/>
      <c r="AA689" s="374"/>
      <c r="AB689" s="127"/>
      <c r="AC689" s="127"/>
      <c r="AD689" s="127"/>
      <c r="AE689" s="131"/>
      <c r="AF689" s="374"/>
      <c r="AG689" s="127"/>
      <c r="AH689" s="127"/>
      <c r="AI689" s="127"/>
      <c r="AJ689" s="131"/>
      <c r="AK689" s="374"/>
      <c r="AL689" s="127"/>
      <c r="AM689" s="127"/>
      <c r="AN689" s="127"/>
      <c r="AO689" s="359"/>
      <c r="AP689" s="359"/>
      <c r="AQ689" s="359"/>
      <c r="AR689" s="359"/>
      <c r="AS689" s="359"/>
    </row>
    <row r="690">
      <c r="A690" s="131"/>
      <c r="B690" s="374"/>
      <c r="C690" s="127"/>
      <c r="D690" s="127"/>
      <c r="E690" s="127"/>
      <c r="F690" s="131"/>
      <c r="G690" s="374"/>
      <c r="H690" s="127"/>
      <c r="I690" s="127"/>
      <c r="J690" s="127"/>
      <c r="K690" s="383"/>
      <c r="L690" s="374"/>
      <c r="M690" s="127"/>
      <c r="N690" s="127"/>
      <c r="O690" s="127"/>
      <c r="P690" s="383"/>
      <c r="Q690" s="164"/>
      <c r="R690" s="127"/>
      <c r="S690" s="127"/>
      <c r="T690" s="127"/>
      <c r="U690" s="131"/>
      <c r="V690" s="374"/>
      <c r="W690" s="127"/>
      <c r="X690" s="127"/>
      <c r="Y690" s="127"/>
      <c r="Z690" s="131"/>
      <c r="AA690" s="374"/>
      <c r="AB690" s="127"/>
      <c r="AC690" s="127"/>
      <c r="AD690" s="127"/>
      <c r="AE690" s="131"/>
      <c r="AF690" s="374"/>
      <c r="AG690" s="127"/>
      <c r="AH690" s="127"/>
      <c r="AI690" s="127"/>
      <c r="AJ690" s="131"/>
      <c r="AK690" s="374"/>
      <c r="AL690" s="127"/>
      <c r="AM690" s="127"/>
      <c r="AN690" s="127"/>
      <c r="AO690" s="359"/>
      <c r="AP690" s="359"/>
      <c r="AQ690" s="359"/>
      <c r="AR690" s="359"/>
      <c r="AS690" s="359"/>
    </row>
    <row r="691">
      <c r="A691" s="131"/>
      <c r="B691" s="374"/>
      <c r="C691" s="127"/>
      <c r="D691" s="127"/>
      <c r="E691" s="127"/>
      <c r="F691" s="131"/>
      <c r="G691" s="374"/>
      <c r="H691" s="127"/>
      <c r="I691" s="127"/>
      <c r="J691" s="127"/>
      <c r="K691" s="383"/>
      <c r="L691" s="374"/>
      <c r="M691" s="127"/>
      <c r="N691" s="127"/>
      <c r="O691" s="127"/>
      <c r="P691" s="383"/>
      <c r="Q691" s="164"/>
      <c r="R691" s="127"/>
      <c r="S691" s="127"/>
      <c r="T691" s="127"/>
      <c r="U691" s="131"/>
      <c r="V691" s="374"/>
      <c r="W691" s="127"/>
      <c r="X691" s="127"/>
      <c r="Y691" s="127"/>
      <c r="Z691" s="131"/>
      <c r="AA691" s="374"/>
      <c r="AB691" s="127"/>
      <c r="AC691" s="127"/>
      <c r="AD691" s="127"/>
      <c r="AE691" s="131"/>
      <c r="AF691" s="374"/>
      <c r="AG691" s="127"/>
      <c r="AH691" s="127"/>
      <c r="AI691" s="127"/>
      <c r="AJ691" s="131"/>
      <c r="AK691" s="374"/>
      <c r="AL691" s="127"/>
      <c r="AM691" s="127"/>
      <c r="AN691" s="127"/>
      <c r="AO691" s="359"/>
      <c r="AP691" s="359"/>
      <c r="AQ691" s="359"/>
      <c r="AR691" s="359"/>
      <c r="AS691" s="359"/>
    </row>
    <row r="692">
      <c r="A692" s="131"/>
      <c r="B692" s="374"/>
      <c r="C692" s="127"/>
      <c r="D692" s="127"/>
      <c r="E692" s="127"/>
      <c r="F692" s="131"/>
      <c r="G692" s="374"/>
      <c r="H692" s="127"/>
      <c r="I692" s="127"/>
      <c r="J692" s="127"/>
      <c r="K692" s="383"/>
      <c r="L692" s="374"/>
      <c r="M692" s="127"/>
      <c r="N692" s="127"/>
      <c r="O692" s="127"/>
      <c r="P692" s="383"/>
      <c r="Q692" s="164"/>
      <c r="R692" s="127"/>
      <c r="S692" s="127"/>
      <c r="T692" s="127"/>
      <c r="U692" s="131"/>
      <c r="V692" s="374"/>
      <c r="W692" s="127"/>
      <c r="X692" s="127"/>
      <c r="Y692" s="127"/>
      <c r="Z692" s="131"/>
      <c r="AA692" s="374"/>
      <c r="AB692" s="127"/>
      <c r="AC692" s="127"/>
      <c r="AD692" s="127"/>
      <c r="AE692" s="131"/>
      <c r="AF692" s="374"/>
      <c r="AG692" s="127"/>
      <c r="AH692" s="127"/>
      <c r="AI692" s="127"/>
      <c r="AJ692" s="131"/>
      <c r="AK692" s="374"/>
      <c r="AL692" s="127"/>
      <c r="AM692" s="127"/>
      <c r="AN692" s="127"/>
      <c r="AO692" s="359"/>
      <c r="AP692" s="359"/>
      <c r="AQ692" s="359"/>
      <c r="AR692" s="359"/>
      <c r="AS692" s="359"/>
    </row>
    <row r="693">
      <c r="A693" s="131"/>
      <c r="B693" s="374"/>
      <c r="C693" s="127"/>
      <c r="D693" s="127"/>
      <c r="E693" s="127"/>
      <c r="F693" s="131"/>
      <c r="G693" s="374"/>
      <c r="H693" s="127"/>
      <c r="I693" s="127"/>
      <c r="J693" s="127"/>
      <c r="K693" s="383"/>
      <c r="L693" s="374"/>
      <c r="M693" s="127"/>
      <c r="N693" s="127"/>
      <c r="O693" s="127"/>
      <c r="P693" s="383"/>
      <c r="Q693" s="164"/>
      <c r="R693" s="127"/>
      <c r="S693" s="127"/>
      <c r="T693" s="127"/>
      <c r="U693" s="131"/>
      <c r="V693" s="374"/>
      <c r="W693" s="127"/>
      <c r="X693" s="127"/>
      <c r="Y693" s="127"/>
      <c r="Z693" s="131"/>
      <c r="AA693" s="374"/>
      <c r="AB693" s="127"/>
      <c r="AC693" s="127"/>
      <c r="AD693" s="127"/>
      <c r="AE693" s="131"/>
      <c r="AF693" s="374"/>
      <c r="AG693" s="127"/>
      <c r="AH693" s="127"/>
      <c r="AI693" s="127"/>
      <c r="AJ693" s="131"/>
      <c r="AK693" s="374"/>
      <c r="AL693" s="127"/>
      <c r="AM693" s="127"/>
      <c r="AN693" s="127"/>
      <c r="AO693" s="359"/>
      <c r="AP693" s="359"/>
      <c r="AQ693" s="359"/>
      <c r="AR693" s="359"/>
      <c r="AS693" s="359"/>
    </row>
    <row r="694">
      <c r="A694" s="131"/>
      <c r="B694" s="374"/>
      <c r="C694" s="127"/>
      <c r="D694" s="127"/>
      <c r="E694" s="127"/>
      <c r="F694" s="131"/>
      <c r="G694" s="374"/>
      <c r="H694" s="127"/>
      <c r="I694" s="127"/>
      <c r="J694" s="127"/>
      <c r="K694" s="383"/>
      <c r="L694" s="374"/>
      <c r="M694" s="127"/>
      <c r="N694" s="127"/>
      <c r="O694" s="127"/>
      <c r="P694" s="383"/>
      <c r="Q694" s="164"/>
      <c r="R694" s="127"/>
      <c r="S694" s="127"/>
      <c r="T694" s="127"/>
      <c r="U694" s="131"/>
      <c r="V694" s="374"/>
      <c r="W694" s="127"/>
      <c r="X694" s="127"/>
      <c r="Y694" s="127"/>
      <c r="Z694" s="131"/>
      <c r="AA694" s="374"/>
      <c r="AB694" s="127"/>
      <c r="AC694" s="127"/>
      <c r="AD694" s="127"/>
      <c r="AE694" s="131"/>
      <c r="AF694" s="374"/>
      <c r="AG694" s="127"/>
      <c r="AH694" s="127"/>
      <c r="AI694" s="127"/>
      <c r="AJ694" s="131"/>
      <c r="AK694" s="374"/>
      <c r="AL694" s="127"/>
      <c r="AM694" s="127"/>
      <c r="AN694" s="127"/>
      <c r="AO694" s="359"/>
      <c r="AP694" s="359"/>
      <c r="AQ694" s="359"/>
      <c r="AR694" s="359"/>
      <c r="AS694" s="359"/>
    </row>
    <row r="695">
      <c r="A695" s="131"/>
      <c r="B695" s="374"/>
      <c r="C695" s="127"/>
      <c r="D695" s="127"/>
      <c r="E695" s="127"/>
      <c r="F695" s="131"/>
      <c r="G695" s="374"/>
      <c r="H695" s="127"/>
      <c r="I695" s="127"/>
      <c r="J695" s="127"/>
      <c r="K695" s="383"/>
      <c r="L695" s="374"/>
      <c r="M695" s="127"/>
      <c r="N695" s="127"/>
      <c r="O695" s="127"/>
      <c r="P695" s="383"/>
      <c r="Q695" s="164"/>
      <c r="R695" s="127"/>
      <c r="S695" s="127"/>
      <c r="T695" s="127"/>
      <c r="U695" s="131"/>
      <c r="V695" s="374"/>
      <c r="W695" s="127"/>
      <c r="X695" s="127"/>
      <c r="Y695" s="127"/>
      <c r="Z695" s="131"/>
      <c r="AA695" s="374"/>
      <c r="AB695" s="127"/>
      <c r="AC695" s="127"/>
      <c r="AD695" s="127"/>
      <c r="AE695" s="131"/>
      <c r="AF695" s="374"/>
      <c r="AG695" s="127"/>
      <c r="AH695" s="127"/>
      <c r="AI695" s="127"/>
      <c r="AJ695" s="131"/>
      <c r="AK695" s="374"/>
      <c r="AL695" s="127"/>
      <c r="AM695" s="127"/>
      <c r="AN695" s="127"/>
      <c r="AO695" s="359"/>
      <c r="AP695" s="359"/>
      <c r="AQ695" s="359"/>
      <c r="AR695" s="359"/>
      <c r="AS695" s="359"/>
    </row>
    <row r="696">
      <c r="A696" s="131"/>
      <c r="B696" s="374"/>
      <c r="C696" s="127"/>
      <c r="D696" s="127"/>
      <c r="E696" s="127"/>
      <c r="F696" s="131"/>
      <c r="G696" s="374"/>
      <c r="H696" s="127"/>
      <c r="I696" s="127"/>
      <c r="J696" s="127"/>
      <c r="K696" s="383"/>
      <c r="L696" s="374"/>
      <c r="M696" s="127"/>
      <c r="N696" s="127"/>
      <c r="O696" s="127"/>
      <c r="P696" s="383"/>
      <c r="Q696" s="164"/>
      <c r="R696" s="127"/>
      <c r="S696" s="127"/>
      <c r="T696" s="127"/>
      <c r="U696" s="131"/>
      <c r="V696" s="374"/>
      <c r="W696" s="127"/>
      <c r="X696" s="127"/>
      <c r="Y696" s="127"/>
      <c r="Z696" s="131"/>
      <c r="AA696" s="374"/>
      <c r="AB696" s="127"/>
      <c r="AC696" s="127"/>
      <c r="AD696" s="127"/>
      <c r="AE696" s="131"/>
      <c r="AF696" s="374"/>
      <c r="AG696" s="127"/>
      <c r="AH696" s="127"/>
      <c r="AI696" s="127"/>
      <c r="AJ696" s="131"/>
      <c r="AK696" s="374"/>
      <c r="AL696" s="127"/>
      <c r="AM696" s="127"/>
      <c r="AN696" s="127"/>
      <c r="AO696" s="359"/>
      <c r="AP696" s="359"/>
      <c r="AQ696" s="359"/>
      <c r="AR696" s="359"/>
      <c r="AS696" s="359"/>
    </row>
    <row r="697">
      <c r="A697" s="131"/>
      <c r="B697" s="374"/>
      <c r="C697" s="127"/>
      <c r="D697" s="127"/>
      <c r="E697" s="127"/>
      <c r="F697" s="131"/>
      <c r="G697" s="374"/>
      <c r="H697" s="127"/>
      <c r="I697" s="127"/>
      <c r="J697" s="127"/>
      <c r="K697" s="383"/>
      <c r="L697" s="374"/>
      <c r="M697" s="127"/>
      <c r="N697" s="127"/>
      <c r="O697" s="127"/>
      <c r="P697" s="383"/>
      <c r="Q697" s="164"/>
      <c r="R697" s="127"/>
      <c r="S697" s="127"/>
      <c r="T697" s="127"/>
      <c r="U697" s="131"/>
      <c r="V697" s="374"/>
      <c r="W697" s="127"/>
      <c r="X697" s="127"/>
      <c r="Y697" s="127"/>
      <c r="Z697" s="131"/>
      <c r="AA697" s="374"/>
      <c r="AB697" s="127"/>
      <c r="AC697" s="127"/>
      <c r="AD697" s="127"/>
      <c r="AE697" s="131"/>
      <c r="AF697" s="374"/>
      <c r="AG697" s="127"/>
      <c r="AH697" s="127"/>
      <c r="AI697" s="127"/>
      <c r="AJ697" s="131"/>
      <c r="AK697" s="374"/>
      <c r="AL697" s="127"/>
      <c r="AM697" s="127"/>
      <c r="AN697" s="127"/>
      <c r="AO697" s="359"/>
      <c r="AP697" s="359"/>
      <c r="AQ697" s="359"/>
      <c r="AR697" s="359"/>
      <c r="AS697" s="359"/>
    </row>
    <row r="698">
      <c r="A698" s="131"/>
      <c r="B698" s="374"/>
      <c r="C698" s="127"/>
      <c r="D698" s="127"/>
      <c r="E698" s="127"/>
      <c r="F698" s="131"/>
      <c r="G698" s="374"/>
      <c r="H698" s="127"/>
      <c r="I698" s="127"/>
      <c r="J698" s="127"/>
      <c r="K698" s="383"/>
      <c r="L698" s="374"/>
      <c r="M698" s="127"/>
      <c r="N698" s="127"/>
      <c r="O698" s="127"/>
      <c r="P698" s="383"/>
      <c r="Q698" s="164"/>
      <c r="R698" s="127"/>
      <c r="S698" s="127"/>
      <c r="T698" s="127"/>
      <c r="U698" s="131"/>
      <c r="V698" s="374"/>
      <c r="W698" s="127"/>
      <c r="X698" s="127"/>
      <c r="Y698" s="127"/>
      <c r="Z698" s="131"/>
      <c r="AA698" s="374"/>
      <c r="AB698" s="127"/>
      <c r="AC698" s="127"/>
      <c r="AD698" s="127"/>
      <c r="AE698" s="131"/>
      <c r="AF698" s="374"/>
      <c r="AG698" s="127"/>
      <c r="AH698" s="127"/>
      <c r="AI698" s="127"/>
      <c r="AJ698" s="131"/>
      <c r="AK698" s="374"/>
      <c r="AL698" s="127"/>
      <c r="AM698" s="127"/>
      <c r="AN698" s="127"/>
      <c r="AO698" s="359"/>
      <c r="AP698" s="359"/>
      <c r="AQ698" s="359"/>
      <c r="AR698" s="359"/>
      <c r="AS698" s="359"/>
    </row>
    <row r="699">
      <c r="A699" s="131"/>
      <c r="B699" s="374"/>
      <c r="C699" s="127"/>
      <c r="D699" s="127"/>
      <c r="E699" s="127"/>
      <c r="F699" s="131"/>
      <c r="G699" s="374"/>
      <c r="H699" s="127"/>
      <c r="I699" s="127"/>
      <c r="J699" s="127"/>
      <c r="K699" s="383"/>
      <c r="L699" s="374"/>
      <c r="M699" s="127"/>
      <c r="N699" s="127"/>
      <c r="O699" s="127"/>
      <c r="P699" s="383"/>
      <c r="Q699" s="164"/>
      <c r="R699" s="127"/>
      <c r="S699" s="127"/>
      <c r="T699" s="127"/>
      <c r="U699" s="131"/>
      <c r="V699" s="374"/>
      <c r="W699" s="127"/>
      <c r="X699" s="127"/>
      <c r="Y699" s="127"/>
      <c r="Z699" s="131"/>
      <c r="AA699" s="374"/>
      <c r="AB699" s="127"/>
      <c r="AC699" s="127"/>
      <c r="AD699" s="127"/>
      <c r="AE699" s="131"/>
      <c r="AF699" s="374"/>
      <c r="AG699" s="127"/>
      <c r="AH699" s="127"/>
      <c r="AI699" s="127"/>
      <c r="AJ699" s="131"/>
      <c r="AK699" s="374"/>
      <c r="AL699" s="127"/>
      <c r="AM699" s="127"/>
      <c r="AN699" s="127"/>
      <c r="AO699" s="359"/>
      <c r="AP699" s="359"/>
      <c r="AQ699" s="359"/>
      <c r="AR699" s="359"/>
      <c r="AS699" s="359"/>
    </row>
    <row r="700">
      <c r="A700" s="131"/>
      <c r="B700" s="374"/>
      <c r="C700" s="127"/>
      <c r="D700" s="127"/>
      <c r="E700" s="127"/>
      <c r="F700" s="131"/>
      <c r="G700" s="374"/>
      <c r="H700" s="127"/>
      <c r="I700" s="127"/>
      <c r="J700" s="127"/>
      <c r="K700" s="383"/>
      <c r="L700" s="374"/>
      <c r="M700" s="127"/>
      <c r="N700" s="127"/>
      <c r="O700" s="127"/>
      <c r="P700" s="383"/>
      <c r="Q700" s="164"/>
      <c r="R700" s="127"/>
      <c r="S700" s="127"/>
      <c r="T700" s="127"/>
      <c r="U700" s="131"/>
      <c r="V700" s="374"/>
      <c r="W700" s="127"/>
      <c r="X700" s="127"/>
      <c r="Y700" s="127"/>
      <c r="Z700" s="131"/>
      <c r="AA700" s="374"/>
      <c r="AB700" s="127"/>
      <c r="AC700" s="127"/>
      <c r="AD700" s="127"/>
      <c r="AE700" s="131"/>
      <c r="AF700" s="374"/>
      <c r="AG700" s="127"/>
      <c r="AH700" s="127"/>
      <c r="AI700" s="127"/>
      <c r="AJ700" s="131"/>
      <c r="AK700" s="374"/>
      <c r="AL700" s="127"/>
      <c r="AM700" s="127"/>
      <c r="AN700" s="127"/>
      <c r="AO700" s="359"/>
      <c r="AP700" s="359"/>
      <c r="AQ700" s="359"/>
      <c r="AR700" s="359"/>
      <c r="AS700" s="359"/>
    </row>
    <row r="701">
      <c r="A701" s="131"/>
      <c r="B701" s="374"/>
      <c r="C701" s="127"/>
      <c r="D701" s="127"/>
      <c r="E701" s="127"/>
      <c r="F701" s="131"/>
      <c r="G701" s="374"/>
      <c r="H701" s="127"/>
      <c r="I701" s="127"/>
      <c r="J701" s="127"/>
      <c r="K701" s="383"/>
      <c r="L701" s="374"/>
      <c r="M701" s="127"/>
      <c r="N701" s="127"/>
      <c r="O701" s="127"/>
      <c r="P701" s="383"/>
      <c r="Q701" s="164"/>
      <c r="R701" s="127"/>
      <c r="S701" s="127"/>
      <c r="T701" s="127"/>
      <c r="U701" s="131"/>
      <c r="V701" s="374"/>
      <c r="W701" s="127"/>
      <c r="X701" s="127"/>
      <c r="Y701" s="127"/>
      <c r="Z701" s="131"/>
      <c r="AA701" s="374"/>
      <c r="AB701" s="127"/>
      <c r="AC701" s="127"/>
      <c r="AD701" s="127"/>
      <c r="AE701" s="131"/>
      <c r="AF701" s="374"/>
      <c r="AG701" s="127"/>
      <c r="AH701" s="127"/>
      <c r="AI701" s="127"/>
      <c r="AJ701" s="131"/>
      <c r="AK701" s="374"/>
      <c r="AL701" s="127"/>
      <c r="AM701" s="127"/>
      <c r="AN701" s="127"/>
      <c r="AO701" s="359"/>
      <c r="AP701" s="359"/>
      <c r="AQ701" s="359"/>
      <c r="AR701" s="359"/>
      <c r="AS701" s="359"/>
    </row>
    <row r="702">
      <c r="A702" s="131"/>
      <c r="B702" s="374"/>
      <c r="C702" s="127"/>
      <c r="D702" s="127"/>
      <c r="E702" s="127"/>
      <c r="F702" s="131"/>
      <c r="G702" s="374"/>
      <c r="H702" s="127"/>
      <c r="I702" s="127"/>
      <c r="J702" s="127"/>
      <c r="K702" s="383"/>
      <c r="L702" s="374"/>
      <c r="M702" s="127"/>
      <c r="N702" s="127"/>
      <c r="O702" s="127"/>
      <c r="P702" s="383"/>
      <c r="Q702" s="164"/>
      <c r="R702" s="127"/>
      <c r="S702" s="127"/>
      <c r="T702" s="127"/>
      <c r="U702" s="131"/>
      <c r="V702" s="374"/>
      <c r="W702" s="127"/>
      <c r="X702" s="127"/>
      <c r="Y702" s="127"/>
      <c r="Z702" s="131"/>
      <c r="AA702" s="374"/>
      <c r="AB702" s="127"/>
      <c r="AC702" s="127"/>
      <c r="AD702" s="127"/>
      <c r="AE702" s="131"/>
      <c r="AF702" s="374"/>
      <c r="AG702" s="127"/>
      <c r="AH702" s="127"/>
      <c r="AI702" s="127"/>
      <c r="AJ702" s="131"/>
      <c r="AK702" s="374"/>
      <c r="AL702" s="127"/>
      <c r="AM702" s="127"/>
      <c r="AN702" s="127"/>
      <c r="AO702" s="359"/>
      <c r="AP702" s="359"/>
      <c r="AQ702" s="359"/>
      <c r="AR702" s="359"/>
      <c r="AS702" s="359"/>
    </row>
    <row r="703">
      <c r="A703" s="131"/>
      <c r="B703" s="374"/>
      <c r="C703" s="127"/>
      <c r="D703" s="127"/>
      <c r="E703" s="127"/>
      <c r="F703" s="131"/>
      <c r="G703" s="374"/>
      <c r="H703" s="127"/>
      <c r="I703" s="127"/>
      <c r="J703" s="127"/>
      <c r="K703" s="383"/>
      <c r="L703" s="374"/>
      <c r="M703" s="127"/>
      <c r="N703" s="127"/>
      <c r="O703" s="127"/>
      <c r="P703" s="383"/>
      <c r="Q703" s="164"/>
      <c r="R703" s="127"/>
      <c r="S703" s="127"/>
      <c r="T703" s="127"/>
      <c r="U703" s="131"/>
      <c r="V703" s="374"/>
      <c r="W703" s="127"/>
      <c r="X703" s="127"/>
      <c r="Y703" s="127"/>
      <c r="Z703" s="131"/>
      <c r="AA703" s="374"/>
      <c r="AB703" s="127"/>
      <c r="AC703" s="127"/>
      <c r="AD703" s="127"/>
      <c r="AE703" s="131"/>
      <c r="AF703" s="374"/>
      <c r="AG703" s="127"/>
      <c r="AH703" s="127"/>
      <c r="AI703" s="127"/>
      <c r="AJ703" s="131"/>
      <c r="AK703" s="374"/>
      <c r="AL703" s="127"/>
      <c r="AM703" s="127"/>
      <c r="AN703" s="127"/>
      <c r="AO703" s="359"/>
      <c r="AP703" s="359"/>
      <c r="AQ703" s="359"/>
      <c r="AR703" s="359"/>
      <c r="AS703" s="359"/>
    </row>
    <row r="704">
      <c r="A704" s="131"/>
      <c r="B704" s="374"/>
      <c r="C704" s="127"/>
      <c r="D704" s="127"/>
      <c r="E704" s="127"/>
      <c r="F704" s="131"/>
      <c r="G704" s="374"/>
      <c r="H704" s="127"/>
      <c r="I704" s="127"/>
      <c r="J704" s="127"/>
      <c r="K704" s="383"/>
      <c r="L704" s="374"/>
      <c r="M704" s="127"/>
      <c r="N704" s="127"/>
      <c r="O704" s="127"/>
      <c r="P704" s="383"/>
      <c r="Q704" s="164"/>
      <c r="R704" s="127"/>
      <c r="S704" s="127"/>
      <c r="T704" s="127"/>
      <c r="U704" s="131"/>
      <c r="V704" s="374"/>
      <c r="W704" s="127"/>
      <c r="X704" s="127"/>
      <c r="Y704" s="127"/>
      <c r="Z704" s="131"/>
      <c r="AA704" s="374"/>
      <c r="AB704" s="127"/>
      <c r="AC704" s="127"/>
      <c r="AD704" s="127"/>
      <c r="AE704" s="131"/>
      <c r="AF704" s="374"/>
      <c r="AG704" s="127"/>
      <c r="AH704" s="127"/>
      <c r="AI704" s="127"/>
      <c r="AJ704" s="131"/>
      <c r="AK704" s="374"/>
      <c r="AL704" s="127"/>
      <c r="AM704" s="127"/>
      <c r="AN704" s="127"/>
      <c r="AO704" s="359"/>
      <c r="AP704" s="359"/>
      <c r="AQ704" s="359"/>
      <c r="AR704" s="359"/>
      <c r="AS704" s="359"/>
    </row>
    <row r="705">
      <c r="A705" s="131"/>
      <c r="B705" s="374"/>
      <c r="C705" s="127"/>
      <c r="D705" s="127"/>
      <c r="E705" s="127"/>
      <c r="F705" s="131"/>
      <c r="G705" s="374"/>
      <c r="H705" s="127"/>
      <c r="I705" s="127"/>
      <c r="J705" s="127"/>
      <c r="K705" s="383"/>
      <c r="L705" s="374"/>
      <c r="M705" s="127"/>
      <c r="N705" s="127"/>
      <c r="O705" s="127"/>
      <c r="P705" s="383"/>
      <c r="Q705" s="164"/>
      <c r="R705" s="127"/>
      <c r="S705" s="127"/>
      <c r="T705" s="127"/>
      <c r="U705" s="131"/>
      <c r="V705" s="374"/>
      <c r="W705" s="127"/>
      <c r="X705" s="127"/>
      <c r="Y705" s="127"/>
      <c r="Z705" s="131"/>
      <c r="AA705" s="374"/>
      <c r="AB705" s="127"/>
      <c r="AC705" s="127"/>
      <c r="AD705" s="127"/>
      <c r="AE705" s="131"/>
      <c r="AF705" s="374"/>
      <c r="AG705" s="127"/>
      <c r="AH705" s="127"/>
      <c r="AI705" s="127"/>
      <c r="AJ705" s="131"/>
      <c r="AK705" s="374"/>
      <c r="AL705" s="127"/>
      <c r="AM705" s="127"/>
      <c r="AN705" s="127"/>
      <c r="AO705" s="359"/>
      <c r="AP705" s="359"/>
      <c r="AQ705" s="359"/>
      <c r="AR705" s="359"/>
      <c r="AS705" s="359"/>
    </row>
    <row r="706">
      <c r="A706" s="131"/>
      <c r="B706" s="374"/>
      <c r="C706" s="127"/>
      <c r="D706" s="127"/>
      <c r="E706" s="127"/>
      <c r="F706" s="131"/>
      <c r="G706" s="374"/>
      <c r="H706" s="127"/>
      <c r="I706" s="127"/>
      <c r="J706" s="127"/>
      <c r="K706" s="383"/>
      <c r="L706" s="374"/>
      <c r="M706" s="127"/>
      <c r="N706" s="127"/>
      <c r="O706" s="127"/>
      <c r="P706" s="383"/>
      <c r="Q706" s="164"/>
      <c r="R706" s="127"/>
      <c r="S706" s="127"/>
      <c r="T706" s="127"/>
      <c r="U706" s="131"/>
      <c r="V706" s="374"/>
      <c r="W706" s="127"/>
      <c r="X706" s="127"/>
      <c r="Y706" s="127"/>
      <c r="Z706" s="131"/>
      <c r="AA706" s="374"/>
      <c r="AB706" s="127"/>
      <c r="AC706" s="127"/>
      <c r="AD706" s="127"/>
      <c r="AE706" s="131"/>
      <c r="AF706" s="374"/>
      <c r="AG706" s="127"/>
      <c r="AH706" s="127"/>
      <c r="AI706" s="127"/>
      <c r="AJ706" s="131"/>
      <c r="AK706" s="374"/>
      <c r="AL706" s="127"/>
      <c r="AM706" s="127"/>
      <c r="AN706" s="127"/>
      <c r="AO706" s="359"/>
      <c r="AP706" s="359"/>
      <c r="AQ706" s="359"/>
      <c r="AR706" s="359"/>
      <c r="AS706" s="359"/>
    </row>
    <row r="707">
      <c r="A707" s="131"/>
      <c r="B707" s="374"/>
      <c r="C707" s="127"/>
      <c r="D707" s="127"/>
      <c r="E707" s="127"/>
      <c r="F707" s="131"/>
      <c r="G707" s="374"/>
      <c r="H707" s="127"/>
      <c r="I707" s="127"/>
      <c r="J707" s="127"/>
      <c r="K707" s="383"/>
      <c r="L707" s="374"/>
      <c r="M707" s="127"/>
      <c r="N707" s="127"/>
      <c r="O707" s="127"/>
      <c r="P707" s="383"/>
      <c r="Q707" s="164"/>
      <c r="R707" s="127"/>
      <c r="S707" s="127"/>
      <c r="T707" s="127"/>
      <c r="U707" s="131"/>
      <c r="V707" s="374"/>
      <c r="W707" s="127"/>
      <c r="X707" s="127"/>
      <c r="Y707" s="127"/>
      <c r="Z707" s="131"/>
      <c r="AA707" s="374"/>
      <c r="AB707" s="127"/>
      <c r="AC707" s="127"/>
      <c r="AD707" s="127"/>
      <c r="AE707" s="131"/>
      <c r="AF707" s="374"/>
      <c r="AG707" s="127"/>
      <c r="AH707" s="127"/>
      <c r="AI707" s="127"/>
      <c r="AJ707" s="131"/>
      <c r="AK707" s="374"/>
      <c r="AL707" s="127"/>
      <c r="AM707" s="127"/>
      <c r="AN707" s="127"/>
      <c r="AO707" s="359"/>
      <c r="AP707" s="359"/>
      <c r="AQ707" s="359"/>
      <c r="AR707" s="359"/>
      <c r="AS707" s="359"/>
    </row>
    <row r="708">
      <c r="A708" s="131"/>
      <c r="B708" s="374"/>
      <c r="C708" s="127"/>
      <c r="D708" s="127"/>
      <c r="E708" s="127"/>
      <c r="F708" s="131"/>
      <c r="G708" s="374"/>
      <c r="H708" s="127"/>
      <c r="I708" s="127"/>
      <c r="J708" s="127"/>
      <c r="K708" s="383"/>
      <c r="L708" s="374"/>
      <c r="M708" s="127"/>
      <c r="N708" s="127"/>
      <c r="O708" s="127"/>
      <c r="P708" s="383"/>
      <c r="Q708" s="164"/>
      <c r="R708" s="127"/>
      <c r="S708" s="127"/>
      <c r="T708" s="127"/>
      <c r="U708" s="131"/>
      <c r="V708" s="374"/>
      <c r="W708" s="127"/>
      <c r="X708" s="127"/>
      <c r="Y708" s="127"/>
      <c r="Z708" s="131"/>
      <c r="AA708" s="374"/>
      <c r="AB708" s="127"/>
      <c r="AC708" s="127"/>
      <c r="AD708" s="127"/>
      <c r="AE708" s="131"/>
      <c r="AF708" s="374"/>
      <c r="AG708" s="127"/>
      <c r="AH708" s="127"/>
      <c r="AI708" s="127"/>
      <c r="AJ708" s="131"/>
      <c r="AK708" s="374"/>
      <c r="AL708" s="127"/>
      <c r="AM708" s="127"/>
      <c r="AN708" s="127"/>
      <c r="AO708" s="359"/>
      <c r="AP708" s="359"/>
      <c r="AQ708" s="359"/>
      <c r="AR708" s="359"/>
      <c r="AS708" s="359"/>
    </row>
    <row r="709">
      <c r="A709" s="131"/>
      <c r="B709" s="374"/>
      <c r="C709" s="127"/>
      <c r="D709" s="127"/>
      <c r="E709" s="127"/>
      <c r="F709" s="131"/>
      <c r="G709" s="374"/>
      <c r="H709" s="127"/>
      <c r="I709" s="127"/>
      <c r="J709" s="127"/>
      <c r="K709" s="383"/>
      <c r="L709" s="374"/>
      <c r="M709" s="127"/>
      <c r="N709" s="127"/>
      <c r="O709" s="127"/>
      <c r="P709" s="383"/>
      <c r="Q709" s="164"/>
      <c r="R709" s="127"/>
      <c r="S709" s="127"/>
      <c r="T709" s="127"/>
      <c r="U709" s="131"/>
      <c r="V709" s="374"/>
      <c r="W709" s="127"/>
      <c r="X709" s="127"/>
      <c r="Y709" s="127"/>
      <c r="Z709" s="131"/>
      <c r="AA709" s="374"/>
      <c r="AB709" s="127"/>
      <c r="AC709" s="127"/>
      <c r="AD709" s="127"/>
      <c r="AE709" s="131"/>
      <c r="AF709" s="374"/>
      <c r="AG709" s="127"/>
      <c r="AH709" s="127"/>
      <c r="AI709" s="127"/>
      <c r="AJ709" s="131"/>
      <c r="AK709" s="374"/>
      <c r="AL709" s="127"/>
      <c r="AM709" s="127"/>
      <c r="AN709" s="127"/>
      <c r="AO709" s="359"/>
      <c r="AP709" s="359"/>
      <c r="AQ709" s="359"/>
      <c r="AR709" s="359"/>
      <c r="AS709" s="359"/>
    </row>
    <row r="710">
      <c r="A710" s="131"/>
      <c r="B710" s="374"/>
      <c r="C710" s="127"/>
      <c r="D710" s="127"/>
      <c r="E710" s="127"/>
      <c r="F710" s="131"/>
      <c r="G710" s="374"/>
      <c r="H710" s="127"/>
      <c r="I710" s="127"/>
      <c r="J710" s="127"/>
      <c r="K710" s="383"/>
      <c r="L710" s="374"/>
      <c r="M710" s="127"/>
      <c r="N710" s="127"/>
      <c r="O710" s="127"/>
      <c r="P710" s="383"/>
      <c r="Q710" s="164"/>
      <c r="R710" s="127"/>
      <c r="S710" s="127"/>
      <c r="T710" s="127"/>
      <c r="U710" s="131"/>
      <c r="V710" s="374"/>
      <c r="W710" s="127"/>
      <c r="X710" s="127"/>
      <c r="Y710" s="127"/>
      <c r="Z710" s="131"/>
      <c r="AA710" s="374"/>
      <c r="AB710" s="127"/>
      <c r="AC710" s="127"/>
      <c r="AD710" s="127"/>
      <c r="AE710" s="131"/>
      <c r="AF710" s="374"/>
      <c r="AG710" s="127"/>
      <c r="AH710" s="127"/>
      <c r="AI710" s="127"/>
      <c r="AJ710" s="131"/>
      <c r="AK710" s="374"/>
      <c r="AL710" s="127"/>
      <c r="AM710" s="127"/>
      <c r="AN710" s="127"/>
      <c r="AO710" s="359"/>
      <c r="AP710" s="359"/>
      <c r="AQ710" s="359"/>
      <c r="AR710" s="359"/>
      <c r="AS710" s="359"/>
    </row>
    <row r="711">
      <c r="A711" s="131"/>
      <c r="B711" s="374"/>
      <c r="C711" s="127"/>
      <c r="D711" s="127"/>
      <c r="E711" s="127"/>
      <c r="F711" s="131"/>
      <c r="G711" s="374"/>
      <c r="H711" s="127"/>
      <c r="I711" s="127"/>
      <c r="J711" s="127"/>
      <c r="K711" s="383"/>
      <c r="L711" s="374"/>
      <c r="M711" s="127"/>
      <c r="N711" s="127"/>
      <c r="O711" s="127"/>
      <c r="P711" s="383"/>
      <c r="Q711" s="164"/>
      <c r="R711" s="127"/>
      <c r="S711" s="127"/>
      <c r="T711" s="127"/>
      <c r="U711" s="131"/>
      <c r="V711" s="374"/>
      <c r="W711" s="127"/>
      <c r="X711" s="127"/>
      <c r="Y711" s="127"/>
      <c r="Z711" s="131"/>
      <c r="AA711" s="374"/>
      <c r="AB711" s="127"/>
      <c r="AC711" s="127"/>
      <c r="AD711" s="127"/>
      <c r="AE711" s="131"/>
      <c r="AF711" s="374"/>
      <c r="AG711" s="127"/>
      <c r="AH711" s="127"/>
      <c r="AI711" s="127"/>
      <c r="AJ711" s="131"/>
      <c r="AK711" s="374"/>
      <c r="AL711" s="127"/>
      <c r="AM711" s="127"/>
      <c r="AN711" s="127"/>
      <c r="AO711" s="359"/>
      <c r="AP711" s="359"/>
      <c r="AQ711" s="359"/>
      <c r="AR711" s="359"/>
      <c r="AS711" s="359"/>
    </row>
    <row r="712">
      <c r="A712" s="131"/>
      <c r="B712" s="374"/>
      <c r="C712" s="127"/>
      <c r="D712" s="127"/>
      <c r="E712" s="127"/>
      <c r="F712" s="131"/>
      <c r="G712" s="374"/>
      <c r="H712" s="127"/>
      <c r="I712" s="127"/>
      <c r="J712" s="127"/>
      <c r="K712" s="383"/>
      <c r="L712" s="374"/>
      <c r="M712" s="127"/>
      <c r="N712" s="127"/>
      <c r="O712" s="127"/>
      <c r="P712" s="383"/>
      <c r="Q712" s="164"/>
      <c r="R712" s="127"/>
      <c r="S712" s="127"/>
      <c r="T712" s="127"/>
      <c r="U712" s="131"/>
      <c r="V712" s="374"/>
      <c r="W712" s="127"/>
      <c r="X712" s="127"/>
      <c r="Y712" s="127"/>
      <c r="Z712" s="131"/>
      <c r="AA712" s="374"/>
      <c r="AB712" s="127"/>
      <c r="AC712" s="127"/>
      <c r="AD712" s="127"/>
      <c r="AE712" s="131"/>
      <c r="AF712" s="374"/>
      <c r="AG712" s="127"/>
      <c r="AH712" s="127"/>
      <c r="AI712" s="127"/>
      <c r="AJ712" s="131"/>
      <c r="AK712" s="374"/>
      <c r="AL712" s="127"/>
      <c r="AM712" s="127"/>
      <c r="AN712" s="127"/>
      <c r="AO712" s="359"/>
      <c r="AP712" s="359"/>
      <c r="AQ712" s="359"/>
      <c r="AR712" s="359"/>
      <c r="AS712" s="359"/>
    </row>
    <row r="713">
      <c r="A713" s="131"/>
      <c r="B713" s="374"/>
      <c r="C713" s="127"/>
      <c r="D713" s="127"/>
      <c r="E713" s="127"/>
      <c r="F713" s="131"/>
      <c r="G713" s="374"/>
      <c r="H713" s="127"/>
      <c r="I713" s="127"/>
      <c r="J713" s="127"/>
      <c r="K713" s="383"/>
      <c r="L713" s="374"/>
      <c r="M713" s="127"/>
      <c r="N713" s="127"/>
      <c r="O713" s="127"/>
      <c r="P713" s="383"/>
      <c r="Q713" s="164"/>
      <c r="R713" s="127"/>
      <c r="S713" s="127"/>
      <c r="T713" s="127"/>
      <c r="U713" s="131"/>
      <c r="V713" s="374"/>
      <c r="W713" s="127"/>
      <c r="X713" s="127"/>
      <c r="Y713" s="127"/>
      <c r="Z713" s="131"/>
      <c r="AA713" s="374"/>
      <c r="AB713" s="127"/>
      <c r="AC713" s="127"/>
      <c r="AD713" s="127"/>
      <c r="AE713" s="131"/>
      <c r="AF713" s="374"/>
      <c r="AG713" s="127"/>
      <c r="AH713" s="127"/>
      <c r="AI713" s="127"/>
      <c r="AJ713" s="131"/>
      <c r="AK713" s="374"/>
      <c r="AL713" s="127"/>
      <c r="AM713" s="127"/>
      <c r="AN713" s="127"/>
      <c r="AO713" s="359"/>
      <c r="AP713" s="359"/>
      <c r="AQ713" s="359"/>
      <c r="AR713" s="359"/>
      <c r="AS713" s="359"/>
    </row>
    <row r="714">
      <c r="A714" s="131"/>
      <c r="B714" s="374"/>
      <c r="C714" s="127"/>
      <c r="D714" s="127"/>
      <c r="E714" s="127"/>
      <c r="F714" s="131"/>
      <c r="G714" s="374"/>
      <c r="H714" s="127"/>
      <c r="I714" s="127"/>
      <c r="J714" s="127"/>
      <c r="K714" s="383"/>
      <c r="L714" s="374"/>
      <c r="M714" s="127"/>
      <c r="N714" s="127"/>
      <c r="O714" s="127"/>
      <c r="P714" s="383"/>
      <c r="Q714" s="164"/>
      <c r="R714" s="127"/>
      <c r="S714" s="127"/>
      <c r="T714" s="127"/>
      <c r="U714" s="131"/>
      <c r="V714" s="374"/>
      <c r="W714" s="127"/>
      <c r="X714" s="127"/>
      <c r="Y714" s="127"/>
      <c r="Z714" s="131"/>
      <c r="AA714" s="374"/>
      <c r="AB714" s="127"/>
      <c r="AC714" s="127"/>
      <c r="AD714" s="127"/>
      <c r="AE714" s="131"/>
      <c r="AF714" s="374"/>
      <c r="AG714" s="127"/>
      <c r="AH714" s="127"/>
      <c r="AI714" s="127"/>
      <c r="AJ714" s="131"/>
      <c r="AK714" s="374"/>
      <c r="AL714" s="127"/>
      <c r="AM714" s="127"/>
      <c r="AN714" s="127"/>
      <c r="AO714" s="359"/>
      <c r="AP714" s="359"/>
      <c r="AQ714" s="359"/>
      <c r="AR714" s="359"/>
      <c r="AS714" s="359"/>
    </row>
    <row r="715">
      <c r="A715" s="131"/>
      <c r="B715" s="374"/>
      <c r="C715" s="127"/>
      <c r="D715" s="127"/>
      <c r="E715" s="127"/>
      <c r="F715" s="131"/>
      <c r="G715" s="374"/>
      <c r="H715" s="127"/>
      <c r="I715" s="127"/>
      <c r="J715" s="127"/>
      <c r="K715" s="383"/>
      <c r="L715" s="374"/>
      <c r="M715" s="127"/>
      <c r="N715" s="127"/>
      <c r="O715" s="127"/>
      <c r="P715" s="383"/>
      <c r="Q715" s="164"/>
      <c r="R715" s="127"/>
      <c r="S715" s="127"/>
      <c r="T715" s="127"/>
      <c r="U715" s="131"/>
      <c r="V715" s="374"/>
      <c r="W715" s="127"/>
      <c r="X715" s="127"/>
      <c r="Y715" s="127"/>
      <c r="Z715" s="131"/>
      <c r="AA715" s="374"/>
      <c r="AB715" s="127"/>
      <c r="AC715" s="127"/>
      <c r="AD715" s="127"/>
      <c r="AE715" s="131"/>
      <c r="AF715" s="374"/>
      <c r="AG715" s="127"/>
      <c r="AH715" s="127"/>
      <c r="AI715" s="127"/>
      <c r="AJ715" s="131"/>
      <c r="AK715" s="374"/>
      <c r="AL715" s="127"/>
      <c r="AM715" s="127"/>
      <c r="AN715" s="127"/>
      <c r="AO715" s="359"/>
      <c r="AP715" s="359"/>
      <c r="AQ715" s="359"/>
      <c r="AR715" s="359"/>
      <c r="AS715" s="359"/>
    </row>
    <row r="716">
      <c r="A716" s="131"/>
      <c r="B716" s="374"/>
      <c r="C716" s="127"/>
      <c r="D716" s="127"/>
      <c r="E716" s="127"/>
      <c r="F716" s="131"/>
      <c r="G716" s="374"/>
      <c r="H716" s="127"/>
      <c r="I716" s="127"/>
      <c r="J716" s="127"/>
      <c r="K716" s="383"/>
      <c r="L716" s="374"/>
      <c r="M716" s="127"/>
      <c r="N716" s="127"/>
      <c r="O716" s="127"/>
      <c r="P716" s="383"/>
      <c r="Q716" s="164"/>
      <c r="R716" s="127"/>
      <c r="S716" s="127"/>
      <c r="T716" s="127"/>
      <c r="U716" s="131"/>
      <c r="V716" s="374"/>
      <c r="W716" s="127"/>
      <c r="X716" s="127"/>
      <c r="Y716" s="127"/>
      <c r="Z716" s="131"/>
      <c r="AA716" s="374"/>
      <c r="AB716" s="127"/>
      <c r="AC716" s="127"/>
      <c r="AD716" s="127"/>
      <c r="AE716" s="131"/>
      <c r="AF716" s="374"/>
      <c r="AG716" s="127"/>
      <c r="AH716" s="127"/>
      <c r="AI716" s="127"/>
      <c r="AJ716" s="131"/>
      <c r="AK716" s="374"/>
      <c r="AL716" s="127"/>
      <c r="AM716" s="127"/>
      <c r="AN716" s="127"/>
      <c r="AO716" s="359"/>
      <c r="AP716" s="359"/>
      <c r="AQ716" s="359"/>
      <c r="AR716" s="359"/>
      <c r="AS716" s="359"/>
    </row>
    <row r="717">
      <c r="A717" s="131"/>
      <c r="B717" s="374"/>
      <c r="C717" s="127"/>
      <c r="D717" s="127"/>
      <c r="E717" s="127"/>
      <c r="F717" s="131"/>
      <c r="G717" s="374"/>
      <c r="H717" s="127"/>
      <c r="I717" s="127"/>
      <c r="J717" s="127"/>
      <c r="K717" s="383"/>
      <c r="L717" s="374"/>
      <c r="M717" s="127"/>
      <c r="N717" s="127"/>
      <c r="O717" s="127"/>
      <c r="P717" s="383"/>
      <c r="Q717" s="164"/>
      <c r="R717" s="127"/>
      <c r="S717" s="127"/>
      <c r="T717" s="127"/>
      <c r="U717" s="131"/>
      <c r="V717" s="374"/>
      <c r="W717" s="127"/>
      <c r="X717" s="127"/>
      <c r="Y717" s="127"/>
      <c r="Z717" s="131"/>
      <c r="AA717" s="374"/>
      <c r="AB717" s="127"/>
      <c r="AC717" s="127"/>
      <c r="AD717" s="127"/>
      <c r="AE717" s="131"/>
      <c r="AF717" s="374"/>
      <c r="AG717" s="127"/>
      <c r="AH717" s="127"/>
      <c r="AI717" s="127"/>
      <c r="AJ717" s="131"/>
      <c r="AK717" s="374"/>
      <c r="AL717" s="127"/>
      <c r="AM717" s="127"/>
      <c r="AN717" s="127"/>
      <c r="AO717" s="359"/>
      <c r="AP717" s="359"/>
      <c r="AQ717" s="359"/>
      <c r="AR717" s="359"/>
      <c r="AS717" s="359"/>
    </row>
    <row r="718">
      <c r="A718" s="131"/>
      <c r="B718" s="374"/>
      <c r="C718" s="127"/>
      <c r="D718" s="127"/>
      <c r="E718" s="127"/>
      <c r="F718" s="131"/>
      <c r="G718" s="374"/>
      <c r="H718" s="127"/>
      <c r="I718" s="127"/>
      <c r="J718" s="127"/>
      <c r="K718" s="383"/>
      <c r="L718" s="374"/>
      <c r="M718" s="127"/>
      <c r="N718" s="127"/>
      <c r="O718" s="127"/>
      <c r="P718" s="383"/>
      <c r="Q718" s="164"/>
      <c r="R718" s="127"/>
      <c r="S718" s="127"/>
      <c r="T718" s="127"/>
      <c r="U718" s="131"/>
      <c r="V718" s="374"/>
      <c r="W718" s="127"/>
      <c r="X718" s="127"/>
      <c r="Y718" s="127"/>
      <c r="Z718" s="131"/>
      <c r="AA718" s="374"/>
      <c r="AB718" s="127"/>
      <c r="AC718" s="127"/>
      <c r="AD718" s="127"/>
      <c r="AE718" s="131"/>
      <c r="AF718" s="374"/>
      <c r="AG718" s="127"/>
      <c r="AH718" s="127"/>
      <c r="AI718" s="127"/>
      <c r="AJ718" s="131"/>
      <c r="AK718" s="374"/>
      <c r="AL718" s="127"/>
      <c r="AM718" s="127"/>
      <c r="AN718" s="127"/>
      <c r="AO718" s="359"/>
      <c r="AP718" s="359"/>
      <c r="AQ718" s="359"/>
      <c r="AR718" s="359"/>
      <c r="AS718" s="359"/>
    </row>
    <row r="719">
      <c r="A719" s="131"/>
      <c r="B719" s="374"/>
      <c r="C719" s="127"/>
      <c r="D719" s="127"/>
      <c r="E719" s="127"/>
      <c r="F719" s="131"/>
      <c r="G719" s="374"/>
      <c r="H719" s="127"/>
      <c r="I719" s="127"/>
      <c r="J719" s="127"/>
      <c r="K719" s="383"/>
      <c r="L719" s="374"/>
      <c r="M719" s="127"/>
      <c r="N719" s="127"/>
      <c r="O719" s="127"/>
      <c r="P719" s="383"/>
      <c r="Q719" s="164"/>
      <c r="R719" s="127"/>
      <c r="S719" s="127"/>
      <c r="T719" s="127"/>
      <c r="U719" s="131"/>
      <c r="V719" s="374"/>
      <c r="W719" s="127"/>
      <c r="X719" s="127"/>
      <c r="Y719" s="127"/>
      <c r="Z719" s="131"/>
      <c r="AA719" s="374"/>
      <c r="AB719" s="127"/>
      <c r="AC719" s="127"/>
      <c r="AD719" s="127"/>
      <c r="AE719" s="131"/>
      <c r="AF719" s="374"/>
      <c r="AG719" s="127"/>
      <c r="AH719" s="127"/>
      <c r="AI719" s="127"/>
      <c r="AJ719" s="131"/>
      <c r="AK719" s="374"/>
      <c r="AL719" s="127"/>
      <c r="AM719" s="127"/>
      <c r="AN719" s="127"/>
      <c r="AO719" s="359"/>
      <c r="AP719" s="359"/>
      <c r="AQ719" s="359"/>
      <c r="AR719" s="359"/>
      <c r="AS719" s="359"/>
    </row>
    <row r="720">
      <c r="A720" s="131"/>
      <c r="B720" s="374"/>
      <c r="C720" s="127"/>
      <c r="D720" s="127"/>
      <c r="E720" s="127"/>
      <c r="F720" s="131"/>
      <c r="G720" s="374"/>
      <c r="H720" s="127"/>
      <c r="I720" s="127"/>
      <c r="J720" s="127"/>
      <c r="K720" s="383"/>
      <c r="L720" s="374"/>
      <c r="M720" s="127"/>
      <c r="N720" s="127"/>
      <c r="O720" s="127"/>
      <c r="P720" s="383"/>
      <c r="Q720" s="164"/>
      <c r="R720" s="127"/>
      <c r="S720" s="127"/>
      <c r="T720" s="127"/>
      <c r="U720" s="131"/>
      <c r="V720" s="374"/>
      <c r="W720" s="127"/>
      <c r="X720" s="127"/>
      <c r="Y720" s="127"/>
      <c r="Z720" s="131"/>
      <c r="AA720" s="374"/>
      <c r="AB720" s="127"/>
      <c r="AC720" s="127"/>
      <c r="AD720" s="127"/>
      <c r="AE720" s="131"/>
      <c r="AF720" s="374"/>
      <c r="AG720" s="127"/>
      <c r="AH720" s="127"/>
      <c r="AI720" s="127"/>
      <c r="AJ720" s="131"/>
      <c r="AK720" s="374"/>
      <c r="AL720" s="127"/>
      <c r="AM720" s="127"/>
      <c r="AN720" s="127"/>
      <c r="AO720" s="359"/>
      <c r="AP720" s="359"/>
      <c r="AQ720" s="359"/>
      <c r="AR720" s="359"/>
      <c r="AS720" s="359"/>
    </row>
    <row r="721">
      <c r="A721" s="131"/>
      <c r="B721" s="374"/>
      <c r="C721" s="127"/>
      <c r="D721" s="127"/>
      <c r="E721" s="127"/>
      <c r="F721" s="131"/>
      <c r="G721" s="374"/>
      <c r="H721" s="127"/>
      <c r="I721" s="127"/>
      <c r="J721" s="127"/>
      <c r="K721" s="383"/>
      <c r="L721" s="374"/>
      <c r="M721" s="127"/>
      <c r="N721" s="127"/>
      <c r="O721" s="127"/>
      <c r="P721" s="383"/>
      <c r="Q721" s="164"/>
      <c r="R721" s="127"/>
      <c r="S721" s="127"/>
      <c r="T721" s="127"/>
      <c r="U721" s="131"/>
      <c r="V721" s="374"/>
      <c r="W721" s="127"/>
      <c r="X721" s="127"/>
      <c r="Y721" s="127"/>
      <c r="Z721" s="131"/>
      <c r="AA721" s="374"/>
      <c r="AB721" s="127"/>
      <c r="AC721" s="127"/>
      <c r="AD721" s="127"/>
      <c r="AE721" s="131"/>
      <c r="AF721" s="374"/>
      <c r="AG721" s="127"/>
      <c r="AH721" s="127"/>
      <c r="AI721" s="127"/>
      <c r="AJ721" s="131"/>
      <c r="AK721" s="374"/>
      <c r="AL721" s="127"/>
      <c r="AM721" s="127"/>
      <c r="AN721" s="127"/>
      <c r="AO721" s="359"/>
      <c r="AP721" s="359"/>
      <c r="AQ721" s="359"/>
      <c r="AR721" s="359"/>
      <c r="AS721" s="359"/>
    </row>
    <row r="722">
      <c r="A722" s="131"/>
      <c r="B722" s="374"/>
      <c r="C722" s="127"/>
      <c r="D722" s="127"/>
      <c r="E722" s="127"/>
      <c r="F722" s="131"/>
      <c r="G722" s="374"/>
      <c r="H722" s="127"/>
      <c r="I722" s="127"/>
      <c r="J722" s="127"/>
      <c r="K722" s="383"/>
      <c r="L722" s="374"/>
      <c r="M722" s="127"/>
      <c r="N722" s="127"/>
      <c r="O722" s="127"/>
      <c r="P722" s="383"/>
      <c r="Q722" s="164"/>
      <c r="R722" s="127"/>
      <c r="S722" s="127"/>
      <c r="T722" s="127"/>
      <c r="U722" s="131"/>
      <c r="V722" s="374"/>
      <c r="W722" s="127"/>
      <c r="X722" s="127"/>
      <c r="Y722" s="127"/>
      <c r="Z722" s="131"/>
      <c r="AA722" s="374"/>
      <c r="AB722" s="127"/>
      <c r="AC722" s="127"/>
      <c r="AD722" s="127"/>
      <c r="AE722" s="131"/>
      <c r="AF722" s="374"/>
      <c r="AG722" s="127"/>
      <c r="AH722" s="127"/>
      <c r="AI722" s="127"/>
      <c r="AJ722" s="131"/>
      <c r="AK722" s="374"/>
      <c r="AL722" s="127"/>
      <c r="AM722" s="127"/>
      <c r="AN722" s="127"/>
      <c r="AO722" s="359"/>
      <c r="AP722" s="359"/>
      <c r="AQ722" s="359"/>
      <c r="AR722" s="359"/>
      <c r="AS722" s="359"/>
    </row>
    <row r="723">
      <c r="A723" s="131"/>
      <c r="B723" s="374"/>
      <c r="C723" s="127"/>
      <c r="D723" s="127"/>
      <c r="E723" s="127"/>
      <c r="F723" s="131"/>
      <c r="G723" s="374"/>
      <c r="H723" s="127"/>
      <c r="I723" s="127"/>
      <c r="J723" s="127"/>
      <c r="K723" s="383"/>
      <c r="L723" s="374"/>
      <c r="M723" s="127"/>
      <c r="N723" s="127"/>
      <c r="O723" s="127"/>
      <c r="P723" s="383"/>
      <c r="Q723" s="164"/>
      <c r="R723" s="127"/>
      <c r="S723" s="127"/>
      <c r="T723" s="127"/>
      <c r="U723" s="131"/>
      <c r="V723" s="374"/>
      <c r="W723" s="127"/>
      <c r="X723" s="127"/>
      <c r="Y723" s="127"/>
      <c r="Z723" s="131"/>
      <c r="AA723" s="374"/>
      <c r="AB723" s="127"/>
      <c r="AC723" s="127"/>
      <c r="AD723" s="127"/>
      <c r="AE723" s="131"/>
      <c r="AF723" s="374"/>
      <c r="AG723" s="127"/>
      <c r="AH723" s="127"/>
      <c r="AI723" s="127"/>
      <c r="AJ723" s="131"/>
      <c r="AK723" s="374"/>
      <c r="AL723" s="127"/>
      <c r="AM723" s="127"/>
      <c r="AN723" s="127"/>
      <c r="AO723" s="359"/>
      <c r="AP723" s="359"/>
      <c r="AQ723" s="359"/>
      <c r="AR723" s="359"/>
      <c r="AS723" s="359"/>
    </row>
    <row r="724">
      <c r="A724" s="131"/>
      <c r="B724" s="374"/>
      <c r="C724" s="127"/>
      <c r="D724" s="127"/>
      <c r="E724" s="127"/>
      <c r="F724" s="131"/>
      <c r="G724" s="374"/>
      <c r="H724" s="127"/>
      <c r="I724" s="127"/>
      <c r="J724" s="127"/>
      <c r="K724" s="383"/>
      <c r="L724" s="374"/>
      <c r="M724" s="127"/>
      <c r="N724" s="127"/>
      <c r="O724" s="127"/>
      <c r="P724" s="383"/>
      <c r="Q724" s="164"/>
      <c r="R724" s="127"/>
      <c r="S724" s="127"/>
      <c r="T724" s="127"/>
      <c r="U724" s="131"/>
      <c r="V724" s="374"/>
      <c r="W724" s="127"/>
      <c r="X724" s="127"/>
      <c r="Y724" s="127"/>
      <c r="Z724" s="131"/>
      <c r="AA724" s="374"/>
      <c r="AB724" s="127"/>
      <c r="AC724" s="127"/>
      <c r="AD724" s="127"/>
      <c r="AE724" s="131"/>
      <c r="AF724" s="374"/>
      <c r="AG724" s="127"/>
      <c r="AH724" s="127"/>
      <c r="AI724" s="127"/>
      <c r="AJ724" s="131"/>
      <c r="AK724" s="374"/>
      <c r="AL724" s="127"/>
      <c r="AM724" s="127"/>
      <c r="AN724" s="127"/>
      <c r="AO724" s="359"/>
      <c r="AP724" s="359"/>
      <c r="AQ724" s="359"/>
      <c r="AR724" s="359"/>
      <c r="AS724" s="359"/>
    </row>
    <row r="725">
      <c r="A725" s="131"/>
      <c r="B725" s="374"/>
      <c r="C725" s="127"/>
      <c r="D725" s="127"/>
      <c r="E725" s="127"/>
      <c r="F725" s="131"/>
      <c r="G725" s="374"/>
      <c r="H725" s="127"/>
      <c r="I725" s="127"/>
      <c r="J725" s="127"/>
      <c r="K725" s="383"/>
      <c r="L725" s="374"/>
      <c r="M725" s="127"/>
      <c r="N725" s="127"/>
      <c r="O725" s="127"/>
      <c r="P725" s="383"/>
      <c r="Q725" s="164"/>
      <c r="R725" s="127"/>
      <c r="S725" s="127"/>
      <c r="T725" s="127"/>
      <c r="U725" s="131"/>
      <c r="V725" s="374"/>
      <c r="W725" s="127"/>
      <c r="X725" s="127"/>
      <c r="Y725" s="127"/>
      <c r="Z725" s="131"/>
      <c r="AA725" s="374"/>
      <c r="AB725" s="127"/>
      <c r="AC725" s="127"/>
      <c r="AD725" s="127"/>
      <c r="AE725" s="131"/>
      <c r="AF725" s="374"/>
      <c r="AG725" s="127"/>
      <c r="AH725" s="127"/>
      <c r="AI725" s="127"/>
      <c r="AJ725" s="131"/>
      <c r="AK725" s="374"/>
      <c r="AL725" s="127"/>
      <c r="AM725" s="127"/>
      <c r="AN725" s="127"/>
      <c r="AO725" s="359"/>
      <c r="AP725" s="359"/>
      <c r="AQ725" s="359"/>
      <c r="AR725" s="359"/>
      <c r="AS725" s="359"/>
    </row>
    <row r="726">
      <c r="A726" s="131"/>
      <c r="B726" s="374"/>
      <c r="C726" s="127"/>
      <c r="D726" s="127"/>
      <c r="E726" s="127"/>
      <c r="F726" s="131"/>
      <c r="G726" s="374"/>
      <c r="H726" s="127"/>
      <c r="I726" s="127"/>
      <c r="J726" s="127"/>
      <c r="K726" s="383"/>
      <c r="L726" s="374"/>
      <c r="M726" s="127"/>
      <c r="N726" s="127"/>
      <c r="O726" s="127"/>
      <c r="P726" s="383"/>
      <c r="Q726" s="164"/>
      <c r="R726" s="127"/>
      <c r="S726" s="127"/>
      <c r="T726" s="127"/>
      <c r="U726" s="131"/>
      <c r="V726" s="374"/>
      <c r="W726" s="127"/>
      <c r="X726" s="127"/>
      <c r="Y726" s="127"/>
      <c r="Z726" s="131"/>
      <c r="AA726" s="374"/>
      <c r="AB726" s="127"/>
      <c r="AC726" s="127"/>
      <c r="AD726" s="127"/>
      <c r="AE726" s="131"/>
      <c r="AF726" s="374"/>
      <c r="AG726" s="127"/>
      <c r="AH726" s="127"/>
      <c r="AI726" s="127"/>
      <c r="AJ726" s="131"/>
      <c r="AK726" s="374"/>
      <c r="AL726" s="127"/>
      <c r="AM726" s="127"/>
      <c r="AN726" s="127"/>
      <c r="AO726" s="359"/>
      <c r="AP726" s="359"/>
      <c r="AQ726" s="359"/>
      <c r="AR726" s="359"/>
      <c r="AS726" s="359"/>
    </row>
    <row r="727">
      <c r="A727" s="131"/>
      <c r="B727" s="374"/>
      <c r="C727" s="127"/>
      <c r="D727" s="127"/>
      <c r="E727" s="127"/>
      <c r="F727" s="131"/>
      <c r="G727" s="374"/>
      <c r="H727" s="127"/>
      <c r="I727" s="127"/>
      <c r="J727" s="127"/>
      <c r="K727" s="383"/>
      <c r="L727" s="374"/>
      <c r="M727" s="127"/>
      <c r="N727" s="127"/>
      <c r="O727" s="127"/>
      <c r="P727" s="383"/>
      <c r="Q727" s="164"/>
      <c r="R727" s="127"/>
      <c r="S727" s="127"/>
      <c r="T727" s="127"/>
      <c r="U727" s="131"/>
      <c r="V727" s="374"/>
      <c r="W727" s="127"/>
      <c r="X727" s="127"/>
      <c r="Y727" s="127"/>
      <c r="Z727" s="131"/>
      <c r="AA727" s="374"/>
      <c r="AB727" s="127"/>
      <c r="AC727" s="127"/>
      <c r="AD727" s="127"/>
      <c r="AE727" s="131"/>
      <c r="AF727" s="374"/>
      <c r="AG727" s="127"/>
      <c r="AH727" s="127"/>
      <c r="AI727" s="127"/>
      <c r="AJ727" s="131"/>
      <c r="AK727" s="374"/>
      <c r="AL727" s="127"/>
      <c r="AM727" s="127"/>
      <c r="AN727" s="127"/>
      <c r="AO727" s="359"/>
      <c r="AP727" s="359"/>
      <c r="AQ727" s="359"/>
      <c r="AR727" s="359"/>
      <c r="AS727" s="359"/>
    </row>
    <row r="728">
      <c r="A728" s="131"/>
      <c r="B728" s="374"/>
      <c r="C728" s="127"/>
      <c r="D728" s="127"/>
      <c r="E728" s="127"/>
      <c r="F728" s="131"/>
      <c r="G728" s="374"/>
      <c r="H728" s="127"/>
      <c r="I728" s="127"/>
      <c r="J728" s="127"/>
      <c r="K728" s="383"/>
      <c r="L728" s="374"/>
      <c r="M728" s="127"/>
      <c r="N728" s="127"/>
      <c r="O728" s="127"/>
      <c r="P728" s="383"/>
      <c r="Q728" s="164"/>
      <c r="R728" s="127"/>
      <c r="S728" s="127"/>
      <c r="T728" s="127"/>
      <c r="U728" s="131"/>
      <c r="V728" s="374"/>
      <c r="W728" s="127"/>
      <c r="X728" s="127"/>
      <c r="Y728" s="127"/>
      <c r="Z728" s="131"/>
      <c r="AA728" s="374"/>
      <c r="AB728" s="127"/>
      <c r="AC728" s="127"/>
      <c r="AD728" s="127"/>
      <c r="AE728" s="131"/>
      <c r="AF728" s="374"/>
      <c r="AG728" s="127"/>
      <c r="AH728" s="127"/>
      <c r="AI728" s="127"/>
      <c r="AJ728" s="131"/>
      <c r="AK728" s="374"/>
      <c r="AL728" s="127"/>
      <c r="AM728" s="127"/>
      <c r="AN728" s="127"/>
      <c r="AO728" s="359"/>
      <c r="AP728" s="359"/>
      <c r="AQ728" s="359"/>
      <c r="AR728" s="359"/>
      <c r="AS728" s="359"/>
    </row>
    <row r="729">
      <c r="A729" s="131"/>
      <c r="B729" s="374"/>
      <c r="C729" s="127"/>
      <c r="D729" s="127"/>
      <c r="E729" s="127"/>
      <c r="F729" s="131"/>
      <c r="G729" s="374"/>
      <c r="H729" s="127"/>
      <c r="I729" s="127"/>
      <c r="J729" s="127"/>
      <c r="K729" s="383"/>
      <c r="L729" s="374"/>
      <c r="M729" s="127"/>
      <c r="N729" s="127"/>
      <c r="O729" s="127"/>
      <c r="P729" s="383"/>
      <c r="Q729" s="164"/>
      <c r="R729" s="127"/>
      <c r="S729" s="127"/>
      <c r="T729" s="127"/>
      <c r="U729" s="131"/>
      <c r="V729" s="374"/>
      <c r="W729" s="127"/>
      <c r="X729" s="127"/>
      <c r="Y729" s="127"/>
      <c r="Z729" s="131"/>
      <c r="AA729" s="374"/>
      <c r="AB729" s="127"/>
      <c r="AC729" s="127"/>
      <c r="AD729" s="127"/>
      <c r="AE729" s="131"/>
      <c r="AF729" s="374"/>
      <c r="AG729" s="127"/>
      <c r="AH729" s="127"/>
      <c r="AI729" s="127"/>
      <c r="AJ729" s="131"/>
      <c r="AK729" s="374"/>
      <c r="AL729" s="127"/>
      <c r="AM729" s="127"/>
      <c r="AN729" s="127"/>
      <c r="AO729" s="359"/>
      <c r="AP729" s="359"/>
      <c r="AQ729" s="359"/>
      <c r="AR729" s="359"/>
      <c r="AS729" s="359"/>
    </row>
    <row r="730">
      <c r="A730" s="131"/>
      <c r="B730" s="374"/>
      <c r="C730" s="127"/>
      <c r="D730" s="127"/>
      <c r="E730" s="127"/>
      <c r="F730" s="131"/>
      <c r="G730" s="374"/>
      <c r="H730" s="127"/>
      <c r="I730" s="127"/>
      <c r="J730" s="127"/>
      <c r="K730" s="383"/>
      <c r="L730" s="374"/>
      <c r="M730" s="127"/>
      <c r="N730" s="127"/>
      <c r="O730" s="127"/>
      <c r="P730" s="383"/>
      <c r="Q730" s="164"/>
      <c r="R730" s="127"/>
      <c r="S730" s="127"/>
      <c r="T730" s="127"/>
      <c r="U730" s="131"/>
      <c r="V730" s="374"/>
      <c r="W730" s="127"/>
      <c r="X730" s="127"/>
      <c r="Y730" s="127"/>
      <c r="Z730" s="131"/>
      <c r="AA730" s="374"/>
      <c r="AB730" s="127"/>
      <c r="AC730" s="127"/>
      <c r="AD730" s="127"/>
      <c r="AE730" s="131"/>
      <c r="AF730" s="374"/>
      <c r="AG730" s="127"/>
      <c r="AH730" s="127"/>
      <c r="AI730" s="127"/>
      <c r="AJ730" s="131"/>
      <c r="AK730" s="374"/>
      <c r="AL730" s="127"/>
      <c r="AM730" s="127"/>
      <c r="AN730" s="127"/>
      <c r="AO730" s="359"/>
      <c r="AP730" s="359"/>
      <c r="AQ730" s="359"/>
      <c r="AR730" s="359"/>
      <c r="AS730" s="359"/>
    </row>
    <row r="731">
      <c r="A731" s="131"/>
      <c r="B731" s="374"/>
      <c r="C731" s="127"/>
      <c r="D731" s="127"/>
      <c r="E731" s="127"/>
      <c r="F731" s="131"/>
      <c r="G731" s="374"/>
      <c r="H731" s="127"/>
      <c r="I731" s="127"/>
      <c r="J731" s="127"/>
      <c r="K731" s="383"/>
      <c r="L731" s="374"/>
      <c r="M731" s="127"/>
      <c r="N731" s="127"/>
      <c r="O731" s="127"/>
      <c r="P731" s="383"/>
      <c r="Q731" s="164"/>
      <c r="R731" s="127"/>
      <c r="S731" s="127"/>
      <c r="T731" s="127"/>
      <c r="U731" s="131"/>
      <c r="V731" s="374"/>
      <c r="W731" s="127"/>
      <c r="X731" s="127"/>
      <c r="Y731" s="127"/>
      <c r="Z731" s="131"/>
      <c r="AA731" s="374"/>
      <c r="AB731" s="127"/>
      <c r="AC731" s="127"/>
      <c r="AD731" s="127"/>
      <c r="AE731" s="131"/>
      <c r="AF731" s="374"/>
      <c r="AG731" s="127"/>
      <c r="AH731" s="127"/>
      <c r="AI731" s="127"/>
      <c r="AJ731" s="131"/>
      <c r="AK731" s="374"/>
      <c r="AL731" s="127"/>
      <c r="AM731" s="127"/>
      <c r="AN731" s="127"/>
      <c r="AO731" s="359"/>
      <c r="AP731" s="359"/>
      <c r="AQ731" s="359"/>
      <c r="AR731" s="359"/>
      <c r="AS731" s="359"/>
    </row>
    <row r="732">
      <c r="A732" s="131"/>
      <c r="B732" s="374"/>
      <c r="C732" s="127"/>
      <c r="D732" s="127"/>
      <c r="E732" s="127"/>
      <c r="F732" s="131"/>
      <c r="G732" s="374"/>
      <c r="H732" s="127"/>
      <c r="I732" s="127"/>
      <c r="J732" s="127"/>
      <c r="K732" s="383"/>
      <c r="L732" s="374"/>
      <c r="M732" s="127"/>
      <c r="N732" s="127"/>
      <c r="O732" s="127"/>
      <c r="P732" s="383"/>
      <c r="Q732" s="164"/>
      <c r="R732" s="127"/>
      <c r="S732" s="127"/>
      <c r="T732" s="127"/>
      <c r="U732" s="131"/>
      <c r="V732" s="374"/>
      <c r="W732" s="127"/>
      <c r="X732" s="127"/>
      <c r="Y732" s="127"/>
      <c r="Z732" s="131"/>
      <c r="AA732" s="374"/>
      <c r="AB732" s="127"/>
      <c r="AC732" s="127"/>
      <c r="AD732" s="127"/>
      <c r="AE732" s="131"/>
      <c r="AF732" s="374"/>
      <c r="AG732" s="127"/>
      <c r="AH732" s="127"/>
      <c r="AI732" s="127"/>
      <c r="AJ732" s="131"/>
      <c r="AK732" s="374"/>
      <c r="AL732" s="127"/>
      <c r="AM732" s="127"/>
      <c r="AN732" s="127"/>
      <c r="AO732" s="359"/>
      <c r="AP732" s="359"/>
      <c r="AQ732" s="359"/>
      <c r="AR732" s="359"/>
      <c r="AS732" s="359"/>
    </row>
    <row r="733">
      <c r="A733" s="131"/>
      <c r="B733" s="374"/>
      <c r="C733" s="127"/>
      <c r="D733" s="127"/>
      <c r="E733" s="127"/>
      <c r="F733" s="131"/>
      <c r="G733" s="374"/>
      <c r="H733" s="127"/>
      <c r="I733" s="127"/>
      <c r="J733" s="127"/>
      <c r="K733" s="383"/>
      <c r="L733" s="374"/>
      <c r="M733" s="127"/>
      <c r="N733" s="127"/>
      <c r="O733" s="127"/>
      <c r="P733" s="383"/>
      <c r="Q733" s="164"/>
      <c r="R733" s="127"/>
      <c r="S733" s="127"/>
      <c r="T733" s="127"/>
      <c r="U733" s="131"/>
      <c r="V733" s="374"/>
      <c r="W733" s="127"/>
      <c r="X733" s="127"/>
      <c r="Y733" s="127"/>
      <c r="Z733" s="131"/>
      <c r="AA733" s="374"/>
      <c r="AB733" s="127"/>
      <c r="AC733" s="127"/>
      <c r="AD733" s="127"/>
      <c r="AE733" s="131"/>
      <c r="AF733" s="374"/>
      <c r="AG733" s="127"/>
      <c r="AH733" s="127"/>
      <c r="AI733" s="127"/>
      <c r="AJ733" s="131"/>
      <c r="AK733" s="374"/>
      <c r="AL733" s="127"/>
      <c r="AM733" s="127"/>
      <c r="AN733" s="127"/>
      <c r="AO733" s="359"/>
      <c r="AP733" s="359"/>
      <c r="AQ733" s="359"/>
      <c r="AR733" s="359"/>
      <c r="AS733" s="359"/>
    </row>
    <row r="734">
      <c r="A734" s="131"/>
      <c r="B734" s="374"/>
      <c r="C734" s="127"/>
      <c r="D734" s="127"/>
      <c r="E734" s="127"/>
      <c r="F734" s="131"/>
      <c r="G734" s="374"/>
      <c r="H734" s="127"/>
      <c r="I734" s="127"/>
      <c r="J734" s="127"/>
      <c r="K734" s="383"/>
      <c r="L734" s="374"/>
      <c r="M734" s="127"/>
      <c r="N734" s="127"/>
      <c r="O734" s="127"/>
      <c r="P734" s="383"/>
      <c r="Q734" s="164"/>
      <c r="R734" s="127"/>
      <c r="S734" s="127"/>
      <c r="T734" s="127"/>
      <c r="U734" s="131"/>
      <c r="V734" s="374"/>
      <c r="W734" s="127"/>
      <c r="X734" s="127"/>
      <c r="Y734" s="127"/>
      <c r="Z734" s="131"/>
      <c r="AA734" s="374"/>
      <c r="AB734" s="127"/>
      <c r="AC734" s="127"/>
      <c r="AD734" s="127"/>
      <c r="AE734" s="131"/>
      <c r="AF734" s="374"/>
      <c r="AG734" s="127"/>
      <c r="AH734" s="127"/>
      <c r="AI734" s="127"/>
      <c r="AJ734" s="131"/>
      <c r="AK734" s="374"/>
      <c r="AL734" s="127"/>
      <c r="AM734" s="127"/>
      <c r="AN734" s="127"/>
      <c r="AO734" s="359"/>
      <c r="AP734" s="359"/>
      <c r="AQ734" s="359"/>
      <c r="AR734" s="359"/>
      <c r="AS734" s="359"/>
    </row>
    <row r="735">
      <c r="A735" s="131"/>
      <c r="B735" s="374"/>
      <c r="C735" s="127"/>
      <c r="D735" s="127"/>
      <c r="E735" s="127"/>
      <c r="F735" s="131"/>
      <c r="G735" s="374"/>
      <c r="H735" s="127"/>
      <c r="I735" s="127"/>
      <c r="J735" s="127"/>
      <c r="K735" s="383"/>
      <c r="L735" s="374"/>
      <c r="M735" s="127"/>
      <c r="N735" s="127"/>
      <c r="O735" s="127"/>
      <c r="P735" s="383"/>
      <c r="Q735" s="164"/>
      <c r="R735" s="127"/>
      <c r="S735" s="127"/>
      <c r="T735" s="127"/>
      <c r="U735" s="131"/>
      <c r="V735" s="374"/>
      <c r="W735" s="127"/>
      <c r="X735" s="127"/>
      <c r="Y735" s="127"/>
      <c r="Z735" s="131"/>
      <c r="AA735" s="374"/>
      <c r="AB735" s="127"/>
      <c r="AC735" s="127"/>
      <c r="AD735" s="127"/>
      <c r="AE735" s="131"/>
      <c r="AF735" s="374"/>
      <c r="AG735" s="127"/>
      <c r="AH735" s="127"/>
      <c r="AI735" s="127"/>
      <c r="AJ735" s="131"/>
      <c r="AK735" s="374"/>
      <c r="AL735" s="127"/>
      <c r="AM735" s="127"/>
      <c r="AN735" s="127"/>
      <c r="AO735" s="359"/>
      <c r="AP735" s="359"/>
      <c r="AQ735" s="359"/>
      <c r="AR735" s="359"/>
      <c r="AS735" s="359"/>
    </row>
    <row r="736">
      <c r="A736" s="131"/>
      <c r="B736" s="374"/>
      <c r="C736" s="127"/>
      <c r="D736" s="127"/>
      <c r="E736" s="127"/>
      <c r="F736" s="131"/>
      <c r="G736" s="374"/>
      <c r="H736" s="127"/>
      <c r="I736" s="127"/>
      <c r="J736" s="127"/>
      <c r="K736" s="383"/>
      <c r="L736" s="374"/>
      <c r="M736" s="127"/>
      <c r="N736" s="127"/>
      <c r="O736" s="127"/>
      <c r="P736" s="383"/>
      <c r="Q736" s="164"/>
      <c r="R736" s="127"/>
      <c r="S736" s="127"/>
      <c r="T736" s="127"/>
      <c r="U736" s="131"/>
      <c r="V736" s="374"/>
      <c r="W736" s="127"/>
      <c r="X736" s="127"/>
      <c r="Y736" s="127"/>
      <c r="Z736" s="131"/>
      <c r="AA736" s="374"/>
      <c r="AB736" s="127"/>
      <c r="AC736" s="127"/>
      <c r="AD736" s="127"/>
      <c r="AE736" s="131"/>
      <c r="AF736" s="374"/>
      <c r="AG736" s="127"/>
      <c r="AH736" s="127"/>
      <c r="AI736" s="127"/>
      <c r="AJ736" s="131"/>
      <c r="AK736" s="374"/>
      <c r="AL736" s="127"/>
      <c r="AM736" s="127"/>
      <c r="AN736" s="127"/>
      <c r="AO736" s="359"/>
      <c r="AP736" s="359"/>
      <c r="AQ736" s="359"/>
      <c r="AR736" s="359"/>
      <c r="AS736" s="359"/>
    </row>
    <row r="737">
      <c r="A737" s="131"/>
      <c r="B737" s="374"/>
      <c r="C737" s="127"/>
      <c r="D737" s="127"/>
      <c r="E737" s="127"/>
      <c r="F737" s="131"/>
      <c r="G737" s="374"/>
      <c r="H737" s="127"/>
      <c r="I737" s="127"/>
      <c r="J737" s="127"/>
      <c r="K737" s="383"/>
      <c r="L737" s="374"/>
      <c r="M737" s="127"/>
      <c r="N737" s="127"/>
      <c r="O737" s="127"/>
      <c r="P737" s="383"/>
      <c r="Q737" s="164"/>
      <c r="R737" s="127"/>
      <c r="S737" s="127"/>
      <c r="T737" s="127"/>
      <c r="U737" s="131"/>
      <c r="V737" s="374"/>
      <c r="W737" s="127"/>
      <c r="X737" s="127"/>
      <c r="Y737" s="127"/>
      <c r="Z737" s="131"/>
      <c r="AA737" s="374"/>
      <c r="AB737" s="127"/>
      <c r="AC737" s="127"/>
      <c r="AD737" s="127"/>
      <c r="AE737" s="131"/>
      <c r="AF737" s="374"/>
      <c r="AG737" s="127"/>
      <c r="AH737" s="127"/>
      <c r="AI737" s="127"/>
      <c r="AJ737" s="131"/>
      <c r="AK737" s="374"/>
      <c r="AL737" s="127"/>
      <c r="AM737" s="127"/>
      <c r="AN737" s="127"/>
      <c r="AO737" s="359"/>
      <c r="AP737" s="359"/>
      <c r="AQ737" s="359"/>
      <c r="AR737" s="359"/>
      <c r="AS737" s="359"/>
    </row>
    <row r="738">
      <c r="A738" s="131"/>
      <c r="B738" s="374"/>
      <c r="C738" s="127"/>
      <c r="D738" s="127"/>
      <c r="E738" s="127"/>
      <c r="F738" s="131"/>
      <c r="G738" s="374"/>
      <c r="H738" s="127"/>
      <c r="I738" s="127"/>
      <c r="J738" s="127"/>
      <c r="K738" s="383"/>
      <c r="L738" s="374"/>
      <c r="M738" s="127"/>
      <c r="N738" s="127"/>
      <c r="O738" s="127"/>
      <c r="P738" s="383"/>
      <c r="Q738" s="164"/>
      <c r="R738" s="127"/>
      <c r="S738" s="127"/>
      <c r="T738" s="127"/>
      <c r="U738" s="131"/>
      <c r="V738" s="374"/>
      <c r="W738" s="127"/>
      <c r="X738" s="127"/>
      <c r="Y738" s="127"/>
      <c r="Z738" s="131"/>
      <c r="AA738" s="374"/>
      <c r="AB738" s="127"/>
      <c r="AC738" s="127"/>
      <c r="AD738" s="127"/>
      <c r="AE738" s="131"/>
      <c r="AF738" s="374"/>
      <c r="AG738" s="127"/>
      <c r="AH738" s="127"/>
      <c r="AI738" s="127"/>
      <c r="AJ738" s="131"/>
      <c r="AK738" s="374"/>
      <c r="AL738" s="127"/>
      <c r="AM738" s="127"/>
      <c r="AN738" s="127"/>
      <c r="AO738" s="359"/>
      <c r="AP738" s="359"/>
      <c r="AQ738" s="359"/>
      <c r="AR738" s="359"/>
      <c r="AS738" s="359"/>
    </row>
    <row r="739">
      <c r="A739" s="131"/>
      <c r="B739" s="374"/>
      <c r="C739" s="127"/>
      <c r="D739" s="127"/>
      <c r="E739" s="127"/>
      <c r="F739" s="131"/>
      <c r="G739" s="374"/>
      <c r="H739" s="127"/>
      <c r="I739" s="127"/>
      <c r="J739" s="127"/>
      <c r="K739" s="383"/>
      <c r="L739" s="374"/>
      <c r="M739" s="127"/>
      <c r="N739" s="127"/>
      <c r="O739" s="127"/>
      <c r="P739" s="383"/>
      <c r="Q739" s="164"/>
      <c r="R739" s="127"/>
      <c r="S739" s="127"/>
      <c r="T739" s="127"/>
      <c r="U739" s="131"/>
      <c r="V739" s="374"/>
      <c r="W739" s="127"/>
      <c r="X739" s="127"/>
      <c r="Y739" s="127"/>
      <c r="Z739" s="131"/>
      <c r="AA739" s="374"/>
      <c r="AB739" s="127"/>
      <c r="AC739" s="127"/>
      <c r="AD739" s="127"/>
      <c r="AE739" s="131"/>
      <c r="AF739" s="374"/>
      <c r="AG739" s="127"/>
      <c r="AH739" s="127"/>
      <c r="AI739" s="127"/>
      <c r="AJ739" s="131"/>
      <c r="AK739" s="374"/>
      <c r="AL739" s="127"/>
      <c r="AM739" s="127"/>
      <c r="AN739" s="127"/>
      <c r="AO739" s="359"/>
      <c r="AP739" s="359"/>
      <c r="AQ739" s="359"/>
      <c r="AR739" s="359"/>
      <c r="AS739" s="359"/>
    </row>
    <row r="740">
      <c r="A740" s="131"/>
      <c r="B740" s="374"/>
      <c r="C740" s="127"/>
      <c r="D740" s="127"/>
      <c r="E740" s="127"/>
      <c r="F740" s="131"/>
      <c r="G740" s="374"/>
      <c r="H740" s="127"/>
      <c r="I740" s="127"/>
      <c r="J740" s="127"/>
      <c r="K740" s="383"/>
      <c r="L740" s="374"/>
      <c r="M740" s="127"/>
      <c r="N740" s="127"/>
      <c r="O740" s="127"/>
      <c r="P740" s="383"/>
      <c r="Q740" s="164"/>
      <c r="R740" s="127"/>
      <c r="S740" s="127"/>
      <c r="T740" s="127"/>
      <c r="U740" s="131"/>
      <c r="V740" s="374"/>
      <c r="W740" s="127"/>
      <c r="X740" s="127"/>
      <c r="Y740" s="127"/>
      <c r="Z740" s="131"/>
      <c r="AA740" s="374"/>
      <c r="AB740" s="127"/>
      <c r="AC740" s="127"/>
      <c r="AD740" s="127"/>
      <c r="AE740" s="131"/>
      <c r="AF740" s="374"/>
      <c r="AG740" s="127"/>
      <c r="AH740" s="127"/>
      <c r="AI740" s="127"/>
      <c r="AJ740" s="131"/>
      <c r="AK740" s="374"/>
      <c r="AL740" s="127"/>
      <c r="AM740" s="127"/>
      <c r="AN740" s="127"/>
      <c r="AO740" s="359"/>
      <c r="AP740" s="359"/>
      <c r="AQ740" s="359"/>
      <c r="AR740" s="359"/>
      <c r="AS740" s="359"/>
    </row>
    <row r="741">
      <c r="A741" s="131"/>
      <c r="B741" s="374"/>
      <c r="C741" s="127"/>
      <c r="D741" s="127"/>
      <c r="E741" s="127"/>
      <c r="F741" s="131"/>
      <c r="G741" s="374"/>
      <c r="H741" s="127"/>
      <c r="I741" s="127"/>
      <c r="J741" s="127"/>
      <c r="K741" s="383"/>
      <c r="L741" s="374"/>
      <c r="M741" s="127"/>
      <c r="N741" s="127"/>
      <c r="O741" s="127"/>
      <c r="P741" s="383"/>
      <c r="Q741" s="164"/>
      <c r="R741" s="127"/>
      <c r="S741" s="127"/>
      <c r="T741" s="127"/>
      <c r="U741" s="131"/>
      <c r="V741" s="374"/>
      <c r="W741" s="127"/>
      <c r="X741" s="127"/>
      <c r="Y741" s="127"/>
      <c r="Z741" s="131"/>
      <c r="AA741" s="374"/>
      <c r="AB741" s="127"/>
      <c r="AC741" s="127"/>
      <c r="AD741" s="127"/>
      <c r="AE741" s="131"/>
      <c r="AF741" s="374"/>
      <c r="AG741" s="127"/>
      <c r="AH741" s="127"/>
      <c r="AI741" s="127"/>
      <c r="AJ741" s="131"/>
      <c r="AK741" s="374"/>
      <c r="AL741" s="127"/>
      <c r="AM741" s="127"/>
      <c r="AN741" s="127"/>
      <c r="AO741" s="359"/>
      <c r="AP741" s="359"/>
      <c r="AQ741" s="359"/>
      <c r="AR741" s="359"/>
      <c r="AS741" s="359"/>
    </row>
    <row r="742">
      <c r="A742" s="131"/>
      <c r="B742" s="374"/>
      <c r="C742" s="127"/>
      <c r="D742" s="127"/>
      <c r="E742" s="127"/>
      <c r="F742" s="131"/>
      <c r="G742" s="374"/>
      <c r="H742" s="127"/>
      <c r="I742" s="127"/>
      <c r="J742" s="127"/>
      <c r="K742" s="383"/>
      <c r="L742" s="374"/>
      <c r="M742" s="127"/>
      <c r="N742" s="127"/>
      <c r="O742" s="127"/>
      <c r="P742" s="383"/>
      <c r="Q742" s="164"/>
      <c r="R742" s="127"/>
      <c r="S742" s="127"/>
      <c r="T742" s="127"/>
      <c r="U742" s="131"/>
      <c r="V742" s="374"/>
      <c r="W742" s="127"/>
      <c r="X742" s="127"/>
      <c r="Y742" s="127"/>
      <c r="Z742" s="131"/>
      <c r="AA742" s="374"/>
      <c r="AB742" s="127"/>
      <c r="AC742" s="127"/>
      <c r="AD742" s="127"/>
      <c r="AE742" s="131"/>
      <c r="AF742" s="374"/>
      <c r="AG742" s="127"/>
      <c r="AH742" s="127"/>
      <c r="AI742" s="127"/>
      <c r="AJ742" s="131"/>
      <c r="AK742" s="374"/>
      <c r="AL742" s="127"/>
      <c r="AM742" s="127"/>
      <c r="AN742" s="127"/>
      <c r="AO742" s="359"/>
      <c r="AP742" s="359"/>
      <c r="AQ742" s="359"/>
      <c r="AR742" s="359"/>
      <c r="AS742" s="359"/>
    </row>
    <row r="743">
      <c r="A743" s="131"/>
      <c r="B743" s="374"/>
      <c r="C743" s="127"/>
      <c r="D743" s="127"/>
      <c r="E743" s="127"/>
      <c r="F743" s="131"/>
      <c r="G743" s="374"/>
      <c r="H743" s="127"/>
      <c r="I743" s="127"/>
      <c r="J743" s="127"/>
      <c r="K743" s="383"/>
      <c r="L743" s="374"/>
      <c r="M743" s="127"/>
      <c r="N743" s="127"/>
      <c r="O743" s="127"/>
      <c r="P743" s="383"/>
      <c r="Q743" s="164"/>
      <c r="R743" s="127"/>
      <c r="S743" s="127"/>
      <c r="T743" s="127"/>
      <c r="U743" s="131"/>
      <c r="V743" s="374"/>
      <c r="W743" s="127"/>
      <c r="X743" s="127"/>
      <c r="Y743" s="127"/>
      <c r="Z743" s="131"/>
      <c r="AA743" s="374"/>
      <c r="AB743" s="127"/>
      <c r="AC743" s="127"/>
      <c r="AD743" s="127"/>
      <c r="AE743" s="131"/>
      <c r="AF743" s="374"/>
      <c r="AG743" s="127"/>
      <c r="AH743" s="127"/>
      <c r="AI743" s="127"/>
      <c r="AJ743" s="131"/>
      <c r="AK743" s="374"/>
      <c r="AL743" s="127"/>
      <c r="AM743" s="127"/>
      <c r="AN743" s="127"/>
      <c r="AO743" s="359"/>
      <c r="AP743" s="359"/>
      <c r="AQ743" s="359"/>
      <c r="AR743" s="359"/>
      <c r="AS743" s="359"/>
    </row>
    <row r="744">
      <c r="A744" s="131"/>
      <c r="B744" s="374"/>
      <c r="C744" s="127"/>
      <c r="D744" s="127"/>
      <c r="E744" s="127"/>
      <c r="F744" s="131"/>
      <c r="G744" s="374"/>
      <c r="H744" s="127"/>
      <c r="I744" s="127"/>
      <c r="J744" s="127"/>
      <c r="K744" s="383"/>
      <c r="L744" s="374"/>
      <c r="M744" s="127"/>
      <c r="N744" s="127"/>
      <c r="O744" s="127"/>
      <c r="P744" s="383"/>
      <c r="Q744" s="164"/>
      <c r="R744" s="127"/>
      <c r="S744" s="127"/>
      <c r="T744" s="127"/>
      <c r="U744" s="131"/>
      <c r="V744" s="374"/>
      <c r="W744" s="127"/>
      <c r="X744" s="127"/>
      <c r="Y744" s="127"/>
      <c r="Z744" s="131"/>
      <c r="AA744" s="374"/>
      <c r="AB744" s="127"/>
      <c r="AC744" s="127"/>
      <c r="AD744" s="127"/>
      <c r="AE744" s="131"/>
      <c r="AF744" s="374"/>
      <c r="AG744" s="127"/>
      <c r="AH744" s="127"/>
      <c r="AI744" s="127"/>
      <c r="AJ744" s="131"/>
      <c r="AK744" s="374"/>
      <c r="AL744" s="127"/>
      <c r="AM744" s="127"/>
      <c r="AN744" s="127"/>
      <c r="AO744" s="359"/>
      <c r="AP744" s="359"/>
      <c r="AQ744" s="359"/>
      <c r="AR744" s="359"/>
      <c r="AS744" s="359"/>
    </row>
    <row r="745">
      <c r="A745" s="131"/>
      <c r="B745" s="374"/>
      <c r="C745" s="127"/>
      <c r="D745" s="127"/>
      <c r="E745" s="127"/>
      <c r="F745" s="131"/>
      <c r="G745" s="374"/>
      <c r="H745" s="127"/>
      <c r="I745" s="127"/>
      <c r="J745" s="127"/>
      <c r="K745" s="383"/>
      <c r="L745" s="374"/>
      <c r="M745" s="127"/>
      <c r="N745" s="127"/>
      <c r="O745" s="127"/>
      <c r="P745" s="383"/>
      <c r="Q745" s="164"/>
      <c r="R745" s="127"/>
      <c r="S745" s="127"/>
      <c r="T745" s="127"/>
      <c r="U745" s="131"/>
      <c r="V745" s="374"/>
      <c r="W745" s="127"/>
      <c r="X745" s="127"/>
      <c r="Y745" s="127"/>
      <c r="Z745" s="131"/>
      <c r="AA745" s="374"/>
      <c r="AB745" s="127"/>
      <c r="AC745" s="127"/>
      <c r="AD745" s="127"/>
      <c r="AE745" s="131"/>
      <c r="AF745" s="374"/>
      <c r="AG745" s="127"/>
      <c r="AH745" s="127"/>
      <c r="AI745" s="127"/>
      <c r="AJ745" s="131"/>
      <c r="AK745" s="374"/>
      <c r="AL745" s="127"/>
      <c r="AM745" s="127"/>
      <c r="AN745" s="127"/>
      <c r="AO745" s="359"/>
      <c r="AP745" s="359"/>
      <c r="AQ745" s="359"/>
      <c r="AR745" s="359"/>
      <c r="AS745" s="359"/>
    </row>
    <row r="746">
      <c r="A746" s="131"/>
      <c r="B746" s="374"/>
      <c r="C746" s="127"/>
      <c r="D746" s="127"/>
      <c r="E746" s="127"/>
      <c r="F746" s="131"/>
      <c r="G746" s="374"/>
      <c r="H746" s="127"/>
      <c r="I746" s="127"/>
      <c r="J746" s="127"/>
      <c r="K746" s="383"/>
      <c r="L746" s="374"/>
      <c r="M746" s="127"/>
      <c r="N746" s="127"/>
      <c r="O746" s="127"/>
      <c r="P746" s="383"/>
      <c r="Q746" s="164"/>
      <c r="R746" s="127"/>
      <c r="S746" s="127"/>
      <c r="T746" s="127"/>
      <c r="U746" s="131"/>
      <c r="V746" s="374"/>
      <c r="W746" s="127"/>
      <c r="X746" s="127"/>
      <c r="Y746" s="127"/>
      <c r="Z746" s="131"/>
      <c r="AA746" s="374"/>
      <c r="AB746" s="127"/>
      <c r="AC746" s="127"/>
      <c r="AD746" s="127"/>
      <c r="AE746" s="131"/>
      <c r="AF746" s="374"/>
      <c r="AG746" s="127"/>
      <c r="AH746" s="127"/>
      <c r="AI746" s="127"/>
      <c r="AJ746" s="131"/>
      <c r="AK746" s="374"/>
      <c r="AL746" s="127"/>
      <c r="AM746" s="127"/>
      <c r="AN746" s="127"/>
      <c r="AO746" s="359"/>
      <c r="AP746" s="359"/>
      <c r="AQ746" s="359"/>
      <c r="AR746" s="359"/>
      <c r="AS746" s="359"/>
    </row>
    <row r="747">
      <c r="A747" s="131"/>
      <c r="B747" s="374"/>
      <c r="C747" s="127"/>
      <c r="D747" s="127"/>
      <c r="E747" s="127"/>
      <c r="F747" s="131"/>
      <c r="G747" s="374"/>
      <c r="H747" s="127"/>
      <c r="I747" s="127"/>
      <c r="J747" s="127"/>
      <c r="K747" s="383"/>
      <c r="L747" s="374"/>
      <c r="M747" s="127"/>
      <c r="N747" s="127"/>
      <c r="O747" s="127"/>
      <c r="P747" s="383"/>
      <c r="Q747" s="164"/>
      <c r="R747" s="127"/>
      <c r="S747" s="127"/>
      <c r="T747" s="127"/>
      <c r="U747" s="131"/>
      <c r="V747" s="374"/>
      <c r="W747" s="127"/>
      <c r="X747" s="127"/>
      <c r="Y747" s="127"/>
      <c r="Z747" s="131"/>
      <c r="AA747" s="374"/>
      <c r="AB747" s="127"/>
      <c r="AC747" s="127"/>
      <c r="AD747" s="127"/>
      <c r="AE747" s="131"/>
      <c r="AF747" s="374"/>
      <c r="AG747" s="127"/>
      <c r="AH747" s="127"/>
      <c r="AI747" s="127"/>
      <c r="AJ747" s="131"/>
      <c r="AK747" s="374"/>
      <c r="AL747" s="127"/>
      <c r="AM747" s="127"/>
      <c r="AN747" s="127"/>
      <c r="AO747" s="359"/>
      <c r="AP747" s="359"/>
      <c r="AQ747" s="359"/>
      <c r="AR747" s="359"/>
      <c r="AS747" s="359"/>
    </row>
    <row r="748">
      <c r="A748" s="131"/>
      <c r="B748" s="374"/>
      <c r="C748" s="127"/>
      <c r="D748" s="127"/>
      <c r="E748" s="127"/>
      <c r="F748" s="131"/>
      <c r="G748" s="374"/>
      <c r="H748" s="127"/>
      <c r="I748" s="127"/>
      <c r="J748" s="127"/>
      <c r="K748" s="383"/>
      <c r="L748" s="374"/>
      <c r="M748" s="127"/>
      <c r="N748" s="127"/>
      <c r="O748" s="127"/>
      <c r="P748" s="383"/>
      <c r="Q748" s="164"/>
      <c r="R748" s="127"/>
      <c r="S748" s="127"/>
      <c r="T748" s="127"/>
      <c r="U748" s="131"/>
      <c r="V748" s="374"/>
      <c r="W748" s="127"/>
      <c r="X748" s="127"/>
      <c r="Y748" s="127"/>
      <c r="Z748" s="131"/>
      <c r="AA748" s="374"/>
      <c r="AB748" s="127"/>
      <c r="AC748" s="127"/>
      <c r="AD748" s="127"/>
      <c r="AE748" s="131"/>
      <c r="AF748" s="374"/>
      <c r="AG748" s="127"/>
      <c r="AH748" s="127"/>
      <c r="AI748" s="127"/>
      <c r="AJ748" s="131"/>
      <c r="AK748" s="374"/>
      <c r="AL748" s="127"/>
      <c r="AM748" s="127"/>
      <c r="AN748" s="127"/>
      <c r="AO748" s="359"/>
      <c r="AP748" s="359"/>
      <c r="AQ748" s="359"/>
      <c r="AR748" s="359"/>
      <c r="AS748" s="359"/>
    </row>
    <row r="749">
      <c r="A749" s="131"/>
      <c r="B749" s="374"/>
      <c r="C749" s="127"/>
      <c r="D749" s="127"/>
      <c r="E749" s="127"/>
      <c r="F749" s="131"/>
      <c r="G749" s="374"/>
      <c r="H749" s="127"/>
      <c r="I749" s="127"/>
      <c r="J749" s="127"/>
      <c r="K749" s="383"/>
      <c r="L749" s="374"/>
      <c r="M749" s="127"/>
      <c r="N749" s="127"/>
      <c r="O749" s="127"/>
      <c r="P749" s="383"/>
      <c r="Q749" s="164"/>
      <c r="R749" s="127"/>
      <c r="S749" s="127"/>
      <c r="T749" s="127"/>
      <c r="U749" s="131"/>
      <c r="V749" s="374"/>
      <c r="W749" s="127"/>
      <c r="X749" s="127"/>
      <c r="Y749" s="127"/>
      <c r="Z749" s="131"/>
      <c r="AA749" s="374"/>
      <c r="AB749" s="127"/>
      <c r="AC749" s="127"/>
      <c r="AD749" s="127"/>
      <c r="AE749" s="131"/>
      <c r="AF749" s="374"/>
      <c r="AG749" s="127"/>
      <c r="AH749" s="127"/>
      <c r="AI749" s="127"/>
      <c r="AJ749" s="131"/>
      <c r="AK749" s="374"/>
      <c r="AL749" s="127"/>
      <c r="AM749" s="127"/>
      <c r="AN749" s="127"/>
      <c r="AO749" s="359"/>
      <c r="AP749" s="359"/>
      <c r="AQ749" s="359"/>
      <c r="AR749" s="359"/>
      <c r="AS749" s="359"/>
    </row>
    <row r="750">
      <c r="A750" s="131"/>
      <c r="B750" s="374"/>
      <c r="C750" s="127"/>
      <c r="D750" s="127"/>
      <c r="E750" s="127"/>
      <c r="F750" s="131"/>
      <c r="G750" s="374"/>
      <c r="H750" s="127"/>
      <c r="I750" s="127"/>
      <c r="J750" s="127"/>
      <c r="K750" s="383"/>
      <c r="L750" s="374"/>
      <c r="M750" s="127"/>
      <c r="N750" s="127"/>
      <c r="O750" s="127"/>
      <c r="P750" s="383"/>
      <c r="Q750" s="164"/>
      <c r="R750" s="127"/>
      <c r="S750" s="127"/>
      <c r="T750" s="127"/>
      <c r="U750" s="131"/>
      <c r="V750" s="374"/>
      <c r="W750" s="127"/>
      <c r="X750" s="127"/>
      <c r="Y750" s="127"/>
      <c r="Z750" s="131"/>
      <c r="AA750" s="374"/>
      <c r="AB750" s="127"/>
      <c r="AC750" s="127"/>
      <c r="AD750" s="127"/>
      <c r="AE750" s="131"/>
      <c r="AF750" s="374"/>
      <c r="AG750" s="127"/>
      <c r="AH750" s="127"/>
      <c r="AI750" s="127"/>
      <c r="AJ750" s="131"/>
      <c r="AK750" s="374"/>
      <c r="AL750" s="127"/>
      <c r="AM750" s="127"/>
      <c r="AN750" s="127"/>
      <c r="AO750" s="359"/>
      <c r="AP750" s="359"/>
      <c r="AQ750" s="359"/>
      <c r="AR750" s="359"/>
      <c r="AS750" s="359"/>
    </row>
    <row r="751">
      <c r="A751" s="131"/>
      <c r="B751" s="374"/>
      <c r="C751" s="127"/>
      <c r="D751" s="127"/>
      <c r="E751" s="127"/>
      <c r="F751" s="131"/>
      <c r="G751" s="374"/>
      <c r="H751" s="127"/>
      <c r="I751" s="127"/>
      <c r="J751" s="127"/>
      <c r="K751" s="383"/>
      <c r="L751" s="374"/>
      <c r="M751" s="127"/>
      <c r="N751" s="127"/>
      <c r="O751" s="127"/>
      <c r="P751" s="383"/>
      <c r="Q751" s="164"/>
      <c r="R751" s="127"/>
      <c r="S751" s="127"/>
      <c r="T751" s="127"/>
      <c r="U751" s="131"/>
      <c r="V751" s="374"/>
      <c r="W751" s="127"/>
      <c r="X751" s="127"/>
      <c r="Y751" s="127"/>
      <c r="Z751" s="131"/>
      <c r="AA751" s="374"/>
      <c r="AB751" s="127"/>
      <c r="AC751" s="127"/>
      <c r="AD751" s="127"/>
      <c r="AE751" s="131"/>
      <c r="AF751" s="374"/>
      <c r="AG751" s="127"/>
      <c r="AH751" s="127"/>
      <c r="AI751" s="127"/>
      <c r="AJ751" s="131"/>
      <c r="AK751" s="374"/>
      <c r="AL751" s="127"/>
      <c r="AM751" s="127"/>
      <c r="AN751" s="127"/>
      <c r="AO751" s="359"/>
      <c r="AP751" s="359"/>
      <c r="AQ751" s="359"/>
      <c r="AR751" s="359"/>
      <c r="AS751" s="359"/>
    </row>
    <row r="752">
      <c r="A752" s="131"/>
      <c r="B752" s="374"/>
      <c r="C752" s="127"/>
      <c r="D752" s="127"/>
      <c r="E752" s="127"/>
      <c r="F752" s="131"/>
      <c r="G752" s="374"/>
      <c r="H752" s="127"/>
      <c r="I752" s="127"/>
      <c r="J752" s="127"/>
      <c r="K752" s="383"/>
      <c r="L752" s="374"/>
      <c r="M752" s="127"/>
      <c r="N752" s="127"/>
      <c r="O752" s="127"/>
      <c r="P752" s="383"/>
      <c r="Q752" s="164"/>
      <c r="R752" s="127"/>
      <c r="S752" s="127"/>
      <c r="T752" s="127"/>
      <c r="U752" s="131"/>
      <c r="V752" s="374"/>
      <c r="W752" s="127"/>
      <c r="X752" s="127"/>
      <c r="Y752" s="127"/>
      <c r="Z752" s="131"/>
      <c r="AA752" s="374"/>
      <c r="AB752" s="127"/>
      <c r="AC752" s="127"/>
      <c r="AD752" s="127"/>
      <c r="AE752" s="131"/>
      <c r="AF752" s="374"/>
      <c r="AG752" s="127"/>
      <c r="AH752" s="127"/>
      <c r="AI752" s="127"/>
      <c r="AJ752" s="131"/>
      <c r="AK752" s="374"/>
      <c r="AL752" s="127"/>
      <c r="AM752" s="127"/>
      <c r="AN752" s="127"/>
      <c r="AO752" s="359"/>
      <c r="AP752" s="359"/>
      <c r="AQ752" s="359"/>
      <c r="AR752" s="359"/>
      <c r="AS752" s="359"/>
    </row>
    <row r="753">
      <c r="A753" s="131"/>
      <c r="B753" s="374"/>
      <c r="C753" s="127"/>
      <c r="D753" s="127"/>
      <c r="E753" s="127"/>
      <c r="F753" s="131"/>
      <c r="G753" s="374"/>
      <c r="H753" s="127"/>
      <c r="I753" s="127"/>
      <c r="J753" s="127"/>
      <c r="K753" s="383"/>
      <c r="L753" s="374"/>
      <c r="M753" s="127"/>
      <c r="N753" s="127"/>
      <c r="O753" s="127"/>
      <c r="P753" s="383"/>
      <c r="Q753" s="164"/>
      <c r="R753" s="127"/>
      <c r="S753" s="127"/>
      <c r="T753" s="127"/>
      <c r="U753" s="131"/>
      <c r="V753" s="374"/>
      <c r="W753" s="127"/>
      <c r="X753" s="127"/>
      <c r="Y753" s="127"/>
      <c r="Z753" s="131"/>
      <c r="AA753" s="374"/>
      <c r="AB753" s="127"/>
      <c r="AC753" s="127"/>
      <c r="AD753" s="127"/>
      <c r="AE753" s="131"/>
      <c r="AF753" s="374"/>
      <c r="AG753" s="127"/>
      <c r="AH753" s="127"/>
      <c r="AI753" s="127"/>
      <c r="AJ753" s="131"/>
      <c r="AK753" s="374"/>
      <c r="AL753" s="127"/>
      <c r="AM753" s="127"/>
      <c r="AN753" s="127"/>
      <c r="AO753" s="359"/>
      <c r="AP753" s="359"/>
      <c r="AQ753" s="359"/>
      <c r="AR753" s="359"/>
      <c r="AS753" s="359"/>
    </row>
    <row r="754">
      <c r="A754" s="131"/>
      <c r="B754" s="374"/>
      <c r="C754" s="127"/>
      <c r="D754" s="127"/>
      <c r="E754" s="127"/>
      <c r="F754" s="131"/>
      <c r="G754" s="374"/>
      <c r="H754" s="127"/>
      <c r="I754" s="127"/>
      <c r="J754" s="127"/>
      <c r="K754" s="383"/>
      <c r="L754" s="374"/>
      <c r="M754" s="127"/>
      <c r="N754" s="127"/>
      <c r="O754" s="127"/>
      <c r="P754" s="383"/>
      <c r="Q754" s="164"/>
      <c r="R754" s="127"/>
      <c r="S754" s="127"/>
      <c r="T754" s="127"/>
      <c r="U754" s="131"/>
      <c r="V754" s="374"/>
      <c r="W754" s="127"/>
      <c r="X754" s="127"/>
      <c r="Y754" s="127"/>
      <c r="Z754" s="131"/>
      <c r="AA754" s="374"/>
      <c r="AB754" s="127"/>
      <c r="AC754" s="127"/>
      <c r="AD754" s="127"/>
      <c r="AE754" s="131"/>
      <c r="AF754" s="374"/>
      <c r="AG754" s="127"/>
      <c r="AH754" s="127"/>
      <c r="AI754" s="127"/>
      <c r="AJ754" s="131"/>
      <c r="AK754" s="374"/>
      <c r="AL754" s="127"/>
      <c r="AM754" s="127"/>
      <c r="AN754" s="127"/>
      <c r="AO754" s="359"/>
      <c r="AP754" s="359"/>
      <c r="AQ754" s="359"/>
      <c r="AR754" s="359"/>
      <c r="AS754" s="359"/>
    </row>
    <row r="755">
      <c r="A755" s="131"/>
      <c r="B755" s="374"/>
      <c r="C755" s="127"/>
      <c r="D755" s="127"/>
      <c r="E755" s="127"/>
      <c r="F755" s="131"/>
      <c r="G755" s="374"/>
      <c r="H755" s="127"/>
      <c r="I755" s="127"/>
      <c r="J755" s="127"/>
      <c r="K755" s="383"/>
      <c r="L755" s="374"/>
      <c r="M755" s="127"/>
      <c r="N755" s="127"/>
      <c r="O755" s="127"/>
      <c r="P755" s="383"/>
      <c r="Q755" s="164"/>
      <c r="R755" s="127"/>
      <c r="S755" s="127"/>
      <c r="T755" s="127"/>
      <c r="U755" s="131"/>
      <c r="V755" s="374"/>
      <c r="W755" s="127"/>
      <c r="X755" s="127"/>
      <c r="Y755" s="127"/>
      <c r="Z755" s="131"/>
      <c r="AA755" s="374"/>
      <c r="AB755" s="127"/>
      <c r="AC755" s="127"/>
      <c r="AD755" s="127"/>
      <c r="AE755" s="131"/>
      <c r="AF755" s="374"/>
      <c r="AG755" s="127"/>
      <c r="AH755" s="127"/>
      <c r="AI755" s="127"/>
      <c r="AJ755" s="131"/>
      <c r="AK755" s="374"/>
      <c r="AL755" s="127"/>
      <c r="AM755" s="127"/>
      <c r="AN755" s="127"/>
      <c r="AO755" s="359"/>
      <c r="AP755" s="359"/>
      <c r="AQ755" s="359"/>
      <c r="AR755" s="359"/>
      <c r="AS755" s="359"/>
    </row>
    <row r="756">
      <c r="A756" s="131"/>
      <c r="B756" s="374"/>
      <c r="C756" s="127"/>
      <c r="D756" s="127"/>
      <c r="E756" s="127"/>
      <c r="F756" s="131"/>
      <c r="G756" s="374"/>
      <c r="H756" s="127"/>
      <c r="I756" s="127"/>
      <c r="J756" s="127"/>
      <c r="K756" s="383"/>
      <c r="L756" s="374"/>
      <c r="M756" s="127"/>
      <c r="N756" s="127"/>
      <c r="O756" s="127"/>
      <c r="P756" s="383"/>
      <c r="Q756" s="164"/>
      <c r="R756" s="127"/>
      <c r="S756" s="127"/>
      <c r="T756" s="127"/>
      <c r="U756" s="131"/>
      <c r="V756" s="374"/>
      <c r="W756" s="127"/>
      <c r="X756" s="127"/>
      <c r="Y756" s="127"/>
      <c r="Z756" s="131"/>
      <c r="AA756" s="374"/>
      <c r="AB756" s="127"/>
      <c r="AC756" s="127"/>
      <c r="AD756" s="127"/>
      <c r="AE756" s="131"/>
      <c r="AF756" s="374"/>
      <c r="AG756" s="127"/>
      <c r="AH756" s="127"/>
      <c r="AI756" s="127"/>
      <c r="AJ756" s="131"/>
      <c r="AK756" s="374"/>
      <c r="AL756" s="127"/>
      <c r="AM756" s="127"/>
      <c r="AN756" s="127"/>
      <c r="AO756" s="359"/>
      <c r="AP756" s="359"/>
      <c r="AQ756" s="359"/>
      <c r="AR756" s="359"/>
      <c r="AS756" s="359"/>
    </row>
    <row r="757">
      <c r="A757" s="131"/>
      <c r="B757" s="374"/>
      <c r="C757" s="127"/>
      <c r="D757" s="127"/>
      <c r="E757" s="127"/>
      <c r="F757" s="131"/>
      <c r="G757" s="374"/>
      <c r="H757" s="127"/>
      <c r="I757" s="127"/>
      <c r="J757" s="127"/>
      <c r="K757" s="383"/>
      <c r="L757" s="374"/>
      <c r="M757" s="127"/>
      <c r="N757" s="127"/>
      <c r="O757" s="127"/>
      <c r="P757" s="383"/>
      <c r="Q757" s="164"/>
      <c r="R757" s="127"/>
      <c r="S757" s="127"/>
      <c r="T757" s="127"/>
      <c r="U757" s="131"/>
      <c r="V757" s="374"/>
      <c r="W757" s="127"/>
      <c r="X757" s="127"/>
      <c r="Y757" s="127"/>
      <c r="Z757" s="131"/>
      <c r="AA757" s="374"/>
      <c r="AB757" s="127"/>
      <c r="AC757" s="127"/>
      <c r="AD757" s="127"/>
      <c r="AE757" s="131"/>
      <c r="AF757" s="374"/>
      <c r="AG757" s="127"/>
      <c r="AH757" s="127"/>
      <c r="AI757" s="127"/>
      <c r="AJ757" s="131"/>
      <c r="AK757" s="374"/>
      <c r="AL757" s="127"/>
      <c r="AM757" s="127"/>
      <c r="AN757" s="127"/>
      <c r="AO757" s="359"/>
      <c r="AP757" s="359"/>
      <c r="AQ757" s="359"/>
      <c r="AR757" s="359"/>
      <c r="AS757" s="359"/>
    </row>
    <row r="758">
      <c r="A758" s="131"/>
      <c r="B758" s="374"/>
      <c r="C758" s="127"/>
      <c r="D758" s="127"/>
      <c r="E758" s="127"/>
      <c r="F758" s="131"/>
      <c r="G758" s="374"/>
      <c r="H758" s="127"/>
      <c r="I758" s="127"/>
      <c r="J758" s="127"/>
      <c r="K758" s="383"/>
      <c r="L758" s="374"/>
      <c r="M758" s="127"/>
      <c r="N758" s="127"/>
      <c r="O758" s="127"/>
      <c r="P758" s="383"/>
      <c r="Q758" s="164"/>
      <c r="R758" s="127"/>
      <c r="S758" s="127"/>
      <c r="T758" s="127"/>
      <c r="U758" s="131"/>
      <c r="V758" s="374"/>
      <c r="W758" s="127"/>
      <c r="X758" s="127"/>
      <c r="Y758" s="127"/>
      <c r="Z758" s="131"/>
      <c r="AA758" s="374"/>
      <c r="AB758" s="127"/>
      <c r="AC758" s="127"/>
      <c r="AD758" s="127"/>
      <c r="AE758" s="131"/>
      <c r="AF758" s="374"/>
      <c r="AG758" s="127"/>
      <c r="AH758" s="127"/>
      <c r="AI758" s="127"/>
      <c r="AJ758" s="131"/>
      <c r="AK758" s="374"/>
      <c r="AL758" s="127"/>
      <c r="AM758" s="127"/>
      <c r="AN758" s="127"/>
      <c r="AO758" s="359"/>
      <c r="AP758" s="359"/>
      <c r="AQ758" s="359"/>
      <c r="AR758" s="359"/>
      <c r="AS758" s="359"/>
    </row>
    <row r="759">
      <c r="A759" s="131"/>
      <c r="B759" s="374"/>
      <c r="C759" s="127"/>
      <c r="D759" s="127"/>
      <c r="E759" s="127"/>
      <c r="F759" s="131"/>
      <c r="G759" s="374"/>
      <c r="H759" s="127"/>
      <c r="I759" s="127"/>
      <c r="J759" s="127"/>
      <c r="K759" s="383"/>
      <c r="L759" s="374"/>
      <c r="M759" s="127"/>
      <c r="N759" s="127"/>
      <c r="O759" s="127"/>
      <c r="P759" s="383"/>
      <c r="Q759" s="164"/>
      <c r="R759" s="127"/>
      <c r="S759" s="127"/>
      <c r="T759" s="127"/>
      <c r="U759" s="131"/>
      <c r="V759" s="374"/>
      <c r="W759" s="127"/>
      <c r="X759" s="127"/>
      <c r="Y759" s="127"/>
      <c r="Z759" s="131"/>
      <c r="AA759" s="374"/>
      <c r="AB759" s="127"/>
      <c r="AC759" s="127"/>
      <c r="AD759" s="127"/>
      <c r="AE759" s="131"/>
      <c r="AF759" s="374"/>
      <c r="AG759" s="127"/>
      <c r="AH759" s="127"/>
      <c r="AI759" s="127"/>
      <c r="AJ759" s="131"/>
      <c r="AK759" s="374"/>
      <c r="AL759" s="127"/>
      <c r="AM759" s="127"/>
      <c r="AN759" s="127"/>
      <c r="AO759" s="359"/>
      <c r="AP759" s="359"/>
      <c r="AQ759" s="359"/>
      <c r="AR759" s="359"/>
      <c r="AS759" s="359"/>
    </row>
    <row r="760">
      <c r="A760" s="131"/>
      <c r="B760" s="374"/>
      <c r="C760" s="127"/>
      <c r="D760" s="127"/>
      <c r="E760" s="127"/>
      <c r="F760" s="131"/>
      <c r="G760" s="374"/>
      <c r="H760" s="127"/>
      <c r="I760" s="127"/>
      <c r="J760" s="127"/>
      <c r="K760" s="383"/>
      <c r="L760" s="374"/>
      <c r="M760" s="127"/>
      <c r="N760" s="127"/>
      <c r="O760" s="127"/>
      <c r="P760" s="383"/>
      <c r="Q760" s="164"/>
      <c r="R760" s="127"/>
      <c r="S760" s="127"/>
      <c r="T760" s="127"/>
      <c r="U760" s="131"/>
      <c r="V760" s="374"/>
      <c r="W760" s="127"/>
      <c r="X760" s="127"/>
      <c r="Y760" s="127"/>
      <c r="Z760" s="131"/>
      <c r="AA760" s="374"/>
      <c r="AB760" s="127"/>
      <c r="AC760" s="127"/>
      <c r="AD760" s="127"/>
      <c r="AE760" s="131"/>
      <c r="AF760" s="374"/>
      <c r="AG760" s="127"/>
      <c r="AH760" s="127"/>
      <c r="AI760" s="127"/>
      <c r="AJ760" s="131"/>
      <c r="AK760" s="374"/>
      <c r="AL760" s="127"/>
      <c r="AM760" s="127"/>
      <c r="AN760" s="127"/>
      <c r="AO760" s="359"/>
      <c r="AP760" s="359"/>
      <c r="AQ760" s="359"/>
      <c r="AR760" s="359"/>
      <c r="AS760" s="359"/>
    </row>
    <row r="761">
      <c r="A761" s="131"/>
      <c r="B761" s="374"/>
      <c r="C761" s="127"/>
      <c r="D761" s="127"/>
      <c r="E761" s="127"/>
      <c r="F761" s="131"/>
      <c r="G761" s="374"/>
      <c r="H761" s="127"/>
      <c r="I761" s="127"/>
      <c r="J761" s="127"/>
      <c r="K761" s="383"/>
      <c r="L761" s="374"/>
      <c r="M761" s="127"/>
      <c r="N761" s="127"/>
      <c r="O761" s="127"/>
      <c r="P761" s="383"/>
      <c r="Q761" s="164"/>
      <c r="R761" s="127"/>
      <c r="S761" s="127"/>
      <c r="T761" s="127"/>
      <c r="U761" s="131"/>
      <c r="V761" s="374"/>
      <c r="W761" s="127"/>
      <c r="X761" s="127"/>
      <c r="Y761" s="127"/>
      <c r="Z761" s="131"/>
      <c r="AA761" s="374"/>
      <c r="AB761" s="127"/>
      <c r="AC761" s="127"/>
      <c r="AD761" s="127"/>
      <c r="AE761" s="131"/>
      <c r="AF761" s="374"/>
      <c r="AG761" s="127"/>
      <c r="AH761" s="127"/>
      <c r="AI761" s="127"/>
      <c r="AJ761" s="131"/>
      <c r="AK761" s="374"/>
      <c r="AL761" s="127"/>
      <c r="AM761" s="127"/>
      <c r="AN761" s="127"/>
      <c r="AO761" s="359"/>
      <c r="AP761" s="359"/>
      <c r="AQ761" s="359"/>
      <c r="AR761" s="359"/>
      <c r="AS761" s="359"/>
    </row>
    <row r="762">
      <c r="A762" s="131"/>
      <c r="B762" s="374"/>
      <c r="C762" s="127"/>
      <c r="D762" s="127"/>
      <c r="E762" s="127"/>
      <c r="F762" s="131"/>
      <c r="G762" s="374"/>
      <c r="H762" s="127"/>
      <c r="I762" s="127"/>
      <c r="J762" s="127"/>
      <c r="K762" s="383"/>
      <c r="L762" s="374"/>
      <c r="M762" s="127"/>
      <c r="N762" s="127"/>
      <c r="O762" s="127"/>
      <c r="P762" s="383"/>
      <c r="Q762" s="164"/>
      <c r="R762" s="127"/>
      <c r="S762" s="127"/>
      <c r="T762" s="127"/>
      <c r="U762" s="131"/>
      <c r="V762" s="374"/>
      <c r="W762" s="127"/>
      <c r="X762" s="127"/>
      <c r="Y762" s="127"/>
      <c r="Z762" s="131"/>
      <c r="AA762" s="374"/>
      <c r="AB762" s="127"/>
      <c r="AC762" s="127"/>
      <c r="AD762" s="127"/>
      <c r="AE762" s="131"/>
      <c r="AF762" s="374"/>
      <c r="AG762" s="127"/>
      <c r="AH762" s="127"/>
      <c r="AI762" s="127"/>
      <c r="AJ762" s="131"/>
      <c r="AK762" s="374"/>
      <c r="AL762" s="127"/>
      <c r="AM762" s="127"/>
      <c r="AN762" s="127"/>
      <c r="AO762" s="359"/>
      <c r="AP762" s="359"/>
      <c r="AQ762" s="359"/>
      <c r="AR762" s="359"/>
      <c r="AS762" s="359"/>
    </row>
    <row r="763">
      <c r="A763" s="131"/>
      <c r="B763" s="374"/>
      <c r="C763" s="127"/>
      <c r="D763" s="127"/>
      <c r="E763" s="127"/>
      <c r="F763" s="131"/>
      <c r="G763" s="374"/>
      <c r="H763" s="127"/>
      <c r="I763" s="127"/>
      <c r="J763" s="127"/>
      <c r="K763" s="383"/>
      <c r="L763" s="374"/>
      <c r="M763" s="127"/>
      <c r="N763" s="127"/>
      <c r="O763" s="127"/>
      <c r="P763" s="383"/>
      <c r="Q763" s="164"/>
      <c r="R763" s="127"/>
      <c r="S763" s="127"/>
      <c r="T763" s="127"/>
      <c r="U763" s="131"/>
      <c r="V763" s="374"/>
      <c r="W763" s="127"/>
      <c r="X763" s="127"/>
      <c r="Y763" s="127"/>
      <c r="Z763" s="131"/>
      <c r="AA763" s="374"/>
      <c r="AB763" s="127"/>
      <c r="AC763" s="127"/>
      <c r="AD763" s="127"/>
      <c r="AE763" s="131"/>
      <c r="AF763" s="374"/>
      <c r="AG763" s="127"/>
      <c r="AH763" s="127"/>
      <c r="AI763" s="127"/>
      <c r="AJ763" s="131"/>
      <c r="AK763" s="374"/>
      <c r="AL763" s="127"/>
      <c r="AM763" s="127"/>
      <c r="AN763" s="127"/>
      <c r="AO763" s="359"/>
      <c r="AP763" s="359"/>
      <c r="AQ763" s="359"/>
      <c r="AR763" s="359"/>
      <c r="AS763" s="359"/>
    </row>
    <row r="764">
      <c r="A764" s="131"/>
      <c r="B764" s="374"/>
      <c r="C764" s="127"/>
      <c r="D764" s="127"/>
      <c r="E764" s="127"/>
      <c r="F764" s="131"/>
      <c r="G764" s="374"/>
      <c r="H764" s="127"/>
      <c r="I764" s="127"/>
      <c r="J764" s="127"/>
      <c r="K764" s="383"/>
      <c r="L764" s="374"/>
      <c r="M764" s="127"/>
      <c r="N764" s="127"/>
      <c r="O764" s="127"/>
      <c r="P764" s="383"/>
      <c r="Q764" s="164"/>
      <c r="R764" s="127"/>
      <c r="S764" s="127"/>
      <c r="T764" s="127"/>
      <c r="U764" s="131"/>
      <c r="V764" s="374"/>
      <c r="W764" s="127"/>
      <c r="X764" s="127"/>
      <c r="Y764" s="127"/>
      <c r="Z764" s="131"/>
      <c r="AA764" s="374"/>
      <c r="AB764" s="127"/>
      <c r="AC764" s="127"/>
      <c r="AD764" s="127"/>
      <c r="AE764" s="131"/>
      <c r="AF764" s="374"/>
      <c r="AG764" s="127"/>
      <c r="AH764" s="127"/>
      <c r="AI764" s="127"/>
      <c r="AJ764" s="131"/>
      <c r="AK764" s="374"/>
      <c r="AL764" s="127"/>
      <c r="AM764" s="127"/>
      <c r="AN764" s="127"/>
      <c r="AO764" s="359"/>
      <c r="AP764" s="359"/>
      <c r="AQ764" s="359"/>
      <c r="AR764" s="359"/>
      <c r="AS764" s="359"/>
    </row>
    <row r="765">
      <c r="A765" s="131"/>
      <c r="B765" s="374"/>
      <c r="C765" s="127"/>
      <c r="D765" s="127"/>
      <c r="E765" s="127"/>
      <c r="F765" s="131"/>
      <c r="G765" s="374"/>
      <c r="H765" s="127"/>
      <c r="I765" s="127"/>
      <c r="J765" s="127"/>
      <c r="K765" s="383"/>
      <c r="L765" s="374"/>
      <c r="M765" s="127"/>
      <c r="N765" s="127"/>
      <c r="O765" s="127"/>
      <c r="P765" s="383"/>
      <c r="Q765" s="164"/>
      <c r="R765" s="127"/>
      <c r="S765" s="127"/>
      <c r="T765" s="127"/>
      <c r="U765" s="131"/>
      <c r="V765" s="374"/>
      <c r="W765" s="127"/>
      <c r="X765" s="127"/>
      <c r="Y765" s="127"/>
      <c r="Z765" s="131"/>
      <c r="AA765" s="374"/>
      <c r="AB765" s="127"/>
      <c r="AC765" s="127"/>
      <c r="AD765" s="127"/>
      <c r="AE765" s="131"/>
      <c r="AF765" s="374"/>
      <c r="AG765" s="127"/>
      <c r="AH765" s="127"/>
      <c r="AI765" s="127"/>
      <c r="AJ765" s="131"/>
      <c r="AK765" s="374"/>
      <c r="AL765" s="127"/>
      <c r="AM765" s="127"/>
      <c r="AN765" s="127"/>
      <c r="AO765" s="359"/>
      <c r="AP765" s="359"/>
      <c r="AQ765" s="359"/>
      <c r="AR765" s="359"/>
      <c r="AS765" s="359"/>
    </row>
    <row r="766">
      <c r="A766" s="131"/>
      <c r="B766" s="374"/>
      <c r="C766" s="127"/>
      <c r="D766" s="127"/>
      <c r="E766" s="127"/>
      <c r="F766" s="131"/>
      <c r="G766" s="374"/>
      <c r="H766" s="127"/>
      <c r="I766" s="127"/>
      <c r="J766" s="127"/>
      <c r="K766" s="383"/>
      <c r="L766" s="374"/>
      <c r="M766" s="127"/>
      <c r="N766" s="127"/>
      <c r="O766" s="127"/>
      <c r="P766" s="383"/>
      <c r="Q766" s="164"/>
      <c r="R766" s="127"/>
      <c r="S766" s="127"/>
      <c r="T766" s="127"/>
      <c r="U766" s="131"/>
      <c r="V766" s="374"/>
      <c r="W766" s="127"/>
      <c r="X766" s="127"/>
      <c r="Y766" s="127"/>
      <c r="Z766" s="131"/>
      <c r="AA766" s="374"/>
      <c r="AB766" s="127"/>
      <c r="AC766" s="127"/>
      <c r="AD766" s="127"/>
      <c r="AE766" s="131"/>
      <c r="AF766" s="374"/>
      <c r="AG766" s="127"/>
      <c r="AH766" s="127"/>
      <c r="AI766" s="127"/>
      <c r="AJ766" s="131"/>
      <c r="AK766" s="374"/>
      <c r="AL766" s="127"/>
      <c r="AM766" s="127"/>
      <c r="AN766" s="127"/>
      <c r="AO766" s="359"/>
      <c r="AP766" s="359"/>
      <c r="AQ766" s="359"/>
      <c r="AR766" s="359"/>
      <c r="AS766" s="359"/>
    </row>
    <row r="767">
      <c r="A767" s="131"/>
      <c r="B767" s="374"/>
      <c r="C767" s="127"/>
      <c r="D767" s="127"/>
      <c r="E767" s="127"/>
      <c r="F767" s="131"/>
      <c r="G767" s="374"/>
      <c r="H767" s="127"/>
      <c r="I767" s="127"/>
      <c r="J767" s="127"/>
      <c r="K767" s="383"/>
      <c r="L767" s="374"/>
      <c r="M767" s="127"/>
      <c r="N767" s="127"/>
      <c r="O767" s="127"/>
      <c r="P767" s="383"/>
      <c r="Q767" s="164"/>
      <c r="R767" s="127"/>
      <c r="S767" s="127"/>
      <c r="T767" s="127"/>
      <c r="U767" s="131"/>
      <c r="V767" s="374"/>
      <c r="W767" s="127"/>
      <c r="X767" s="127"/>
      <c r="Y767" s="127"/>
      <c r="Z767" s="131"/>
      <c r="AA767" s="374"/>
      <c r="AB767" s="127"/>
      <c r="AC767" s="127"/>
      <c r="AD767" s="127"/>
      <c r="AE767" s="131"/>
      <c r="AF767" s="374"/>
      <c r="AG767" s="127"/>
      <c r="AH767" s="127"/>
      <c r="AI767" s="127"/>
      <c r="AJ767" s="131"/>
      <c r="AK767" s="374"/>
      <c r="AL767" s="127"/>
      <c r="AM767" s="127"/>
      <c r="AN767" s="127"/>
      <c r="AO767" s="359"/>
      <c r="AP767" s="359"/>
      <c r="AQ767" s="359"/>
      <c r="AR767" s="359"/>
      <c r="AS767" s="359"/>
    </row>
    <row r="768">
      <c r="A768" s="131"/>
      <c r="B768" s="374"/>
      <c r="C768" s="127"/>
      <c r="D768" s="127"/>
      <c r="E768" s="127"/>
      <c r="F768" s="131"/>
      <c r="G768" s="374"/>
      <c r="H768" s="127"/>
      <c r="I768" s="127"/>
      <c r="J768" s="127"/>
      <c r="K768" s="383"/>
      <c r="L768" s="374"/>
      <c r="M768" s="127"/>
      <c r="N768" s="127"/>
      <c r="O768" s="127"/>
      <c r="P768" s="383"/>
      <c r="Q768" s="164"/>
      <c r="R768" s="127"/>
      <c r="S768" s="127"/>
      <c r="T768" s="127"/>
      <c r="U768" s="131"/>
      <c r="V768" s="374"/>
      <c r="W768" s="127"/>
      <c r="X768" s="127"/>
      <c r="Y768" s="127"/>
      <c r="Z768" s="131"/>
      <c r="AA768" s="374"/>
      <c r="AB768" s="127"/>
      <c r="AC768" s="127"/>
      <c r="AD768" s="127"/>
      <c r="AE768" s="131"/>
      <c r="AF768" s="374"/>
      <c r="AG768" s="127"/>
      <c r="AH768" s="127"/>
      <c r="AI768" s="127"/>
      <c r="AJ768" s="131"/>
      <c r="AK768" s="374"/>
      <c r="AL768" s="127"/>
      <c r="AM768" s="127"/>
      <c r="AN768" s="127"/>
      <c r="AO768" s="359"/>
      <c r="AP768" s="359"/>
      <c r="AQ768" s="359"/>
      <c r="AR768" s="359"/>
      <c r="AS768" s="359"/>
    </row>
    <row r="769">
      <c r="A769" s="131"/>
      <c r="B769" s="374"/>
      <c r="C769" s="127"/>
      <c r="D769" s="127"/>
      <c r="E769" s="127"/>
      <c r="F769" s="131"/>
      <c r="G769" s="374"/>
      <c r="H769" s="127"/>
      <c r="I769" s="127"/>
      <c r="J769" s="127"/>
      <c r="K769" s="383"/>
      <c r="L769" s="374"/>
      <c r="M769" s="127"/>
      <c r="N769" s="127"/>
      <c r="O769" s="127"/>
      <c r="P769" s="383"/>
      <c r="Q769" s="164"/>
      <c r="R769" s="127"/>
      <c r="S769" s="127"/>
      <c r="T769" s="127"/>
      <c r="U769" s="131"/>
      <c r="V769" s="374"/>
      <c r="W769" s="127"/>
      <c r="X769" s="127"/>
      <c r="Y769" s="127"/>
      <c r="Z769" s="131"/>
      <c r="AA769" s="374"/>
      <c r="AB769" s="127"/>
      <c r="AC769" s="127"/>
      <c r="AD769" s="127"/>
      <c r="AE769" s="131"/>
      <c r="AF769" s="374"/>
      <c r="AG769" s="127"/>
      <c r="AH769" s="127"/>
      <c r="AI769" s="127"/>
      <c r="AJ769" s="131"/>
      <c r="AK769" s="374"/>
      <c r="AL769" s="127"/>
      <c r="AM769" s="127"/>
      <c r="AN769" s="127"/>
      <c r="AO769" s="359"/>
      <c r="AP769" s="359"/>
      <c r="AQ769" s="359"/>
      <c r="AR769" s="359"/>
      <c r="AS769" s="359"/>
    </row>
    <row r="770">
      <c r="A770" s="131"/>
      <c r="B770" s="374"/>
      <c r="C770" s="127"/>
      <c r="D770" s="127"/>
      <c r="E770" s="127"/>
      <c r="F770" s="131"/>
      <c r="G770" s="374"/>
      <c r="H770" s="127"/>
      <c r="I770" s="127"/>
      <c r="J770" s="127"/>
      <c r="K770" s="383"/>
      <c r="L770" s="374"/>
      <c r="M770" s="127"/>
      <c r="N770" s="127"/>
      <c r="O770" s="127"/>
      <c r="P770" s="383"/>
      <c r="Q770" s="164"/>
      <c r="R770" s="127"/>
      <c r="S770" s="127"/>
      <c r="T770" s="127"/>
      <c r="U770" s="131"/>
      <c r="V770" s="374"/>
      <c r="W770" s="127"/>
      <c r="X770" s="127"/>
      <c r="Y770" s="127"/>
      <c r="Z770" s="131"/>
      <c r="AA770" s="374"/>
      <c r="AB770" s="127"/>
      <c r="AC770" s="127"/>
      <c r="AD770" s="127"/>
      <c r="AE770" s="131"/>
      <c r="AF770" s="374"/>
      <c r="AG770" s="127"/>
      <c r="AH770" s="127"/>
      <c r="AI770" s="127"/>
      <c r="AJ770" s="131"/>
      <c r="AK770" s="374"/>
      <c r="AL770" s="127"/>
      <c r="AM770" s="127"/>
      <c r="AN770" s="127"/>
      <c r="AO770" s="359"/>
      <c r="AP770" s="359"/>
      <c r="AQ770" s="359"/>
      <c r="AR770" s="359"/>
      <c r="AS770" s="359"/>
    </row>
    <row r="771">
      <c r="A771" s="131"/>
      <c r="B771" s="374"/>
      <c r="C771" s="127"/>
      <c r="D771" s="127"/>
      <c r="E771" s="127"/>
      <c r="F771" s="131"/>
      <c r="G771" s="374"/>
      <c r="H771" s="127"/>
      <c r="I771" s="127"/>
      <c r="J771" s="127"/>
      <c r="K771" s="383"/>
      <c r="L771" s="374"/>
      <c r="M771" s="127"/>
      <c r="N771" s="127"/>
      <c r="O771" s="127"/>
      <c r="P771" s="383"/>
      <c r="Q771" s="164"/>
      <c r="R771" s="127"/>
      <c r="S771" s="127"/>
      <c r="T771" s="127"/>
      <c r="U771" s="131"/>
      <c r="V771" s="374"/>
      <c r="W771" s="127"/>
      <c r="X771" s="127"/>
      <c r="Y771" s="127"/>
      <c r="Z771" s="131"/>
      <c r="AA771" s="374"/>
      <c r="AB771" s="127"/>
      <c r="AC771" s="127"/>
      <c r="AD771" s="127"/>
      <c r="AE771" s="131"/>
      <c r="AF771" s="374"/>
      <c r="AG771" s="127"/>
      <c r="AH771" s="127"/>
      <c r="AI771" s="127"/>
      <c r="AJ771" s="131"/>
      <c r="AK771" s="374"/>
      <c r="AL771" s="127"/>
      <c r="AM771" s="127"/>
      <c r="AN771" s="127"/>
      <c r="AO771" s="359"/>
      <c r="AP771" s="359"/>
      <c r="AQ771" s="359"/>
      <c r="AR771" s="359"/>
      <c r="AS771" s="359"/>
    </row>
    <row r="772">
      <c r="A772" s="131"/>
      <c r="B772" s="374"/>
      <c r="C772" s="127"/>
      <c r="D772" s="127"/>
      <c r="E772" s="127"/>
      <c r="F772" s="131"/>
      <c r="G772" s="374"/>
      <c r="H772" s="127"/>
      <c r="I772" s="127"/>
      <c r="J772" s="127"/>
      <c r="K772" s="383"/>
      <c r="L772" s="374"/>
      <c r="M772" s="127"/>
      <c r="N772" s="127"/>
      <c r="O772" s="127"/>
      <c r="P772" s="383"/>
      <c r="Q772" s="164"/>
      <c r="R772" s="127"/>
      <c r="S772" s="127"/>
      <c r="T772" s="127"/>
      <c r="U772" s="131"/>
      <c r="V772" s="374"/>
      <c r="W772" s="127"/>
      <c r="X772" s="127"/>
      <c r="Y772" s="127"/>
      <c r="Z772" s="131"/>
      <c r="AA772" s="374"/>
      <c r="AB772" s="127"/>
      <c r="AC772" s="127"/>
      <c r="AD772" s="127"/>
      <c r="AE772" s="131"/>
      <c r="AF772" s="374"/>
      <c r="AG772" s="127"/>
      <c r="AH772" s="127"/>
      <c r="AI772" s="127"/>
      <c r="AJ772" s="131"/>
      <c r="AK772" s="374"/>
      <c r="AL772" s="127"/>
      <c r="AM772" s="127"/>
      <c r="AN772" s="127"/>
      <c r="AO772" s="359"/>
      <c r="AP772" s="359"/>
      <c r="AQ772" s="359"/>
      <c r="AR772" s="359"/>
      <c r="AS772" s="359"/>
    </row>
    <row r="773">
      <c r="A773" s="131"/>
      <c r="B773" s="374"/>
      <c r="C773" s="127"/>
      <c r="D773" s="127"/>
      <c r="E773" s="127"/>
      <c r="F773" s="131"/>
      <c r="G773" s="374"/>
      <c r="H773" s="127"/>
      <c r="I773" s="127"/>
      <c r="J773" s="127"/>
      <c r="K773" s="383"/>
      <c r="L773" s="374"/>
      <c r="M773" s="127"/>
      <c r="N773" s="127"/>
      <c r="O773" s="127"/>
      <c r="P773" s="383"/>
      <c r="Q773" s="164"/>
      <c r="R773" s="127"/>
      <c r="S773" s="127"/>
      <c r="T773" s="127"/>
      <c r="U773" s="131"/>
      <c r="V773" s="374"/>
      <c r="W773" s="127"/>
      <c r="X773" s="127"/>
      <c r="Y773" s="127"/>
      <c r="Z773" s="131"/>
      <c r="AA773" s="374"/>
      <c r="AB773" s="127"/>
      <c r="AC773" s="127"/>
      <c r="AD773" s="127"/>
      <c r="AE773" s="131"/>
      <c r="AF773" s="374"/>
      <c r="AG773" s="127"/>
      <c r="AH773" s="127"/>
      <c r="AI773" s="127"/>
      <c r="AJ773" s="131"/>
      <c r="AK773" s="374"/>
      <c r="AL773" s="127"/>
      <c r="AM773" s="127"/>
      <c r="AN773" s="127"/>
      <c r="AO773" s="359"/>
      <c r="AP773" s="359"/>
      <c r="AQ773" s="359"/>
      <c r="AR773" s="359"/>
      <c r="AS773" s="359"/>
    </row>
    <row r="774">
      <c r="A774" s="131"/>
      <c r="B774" s="374"/>
      <c r="C774" s="127"/>
      <c r="D774" s="127"/>
      <c r="E774" s="127"/>
      <c r="F774" s="131"/>
      <c r="G774" s="374"/>
      <c r="H774" s="127"/>
      <c r="I774" s="127"/>
      <c r="J774" s="127"/>
      <c r="K774" s="383"/>
      <c r="L774" s="374"/>
      <c r="M774" s="127"/>
      <c r="N774" s="127"/>
      <c r="O774" s="127"/>
      <c r="P774" s="383"/>
      <c r="Q774" s="164"/>
      <c r="R774" s="127"/>
      <c r="S774" s="127"/>
      <c r="T774" s="127"/>
      <c r="U774" s="131"/>
      <c r="V774" s="374"/>
      <c r="W774" s="127"/>
      <c r="X774" s="127"/>
      <c r="Y774" s="127"/>
      <c r="Z774" s="131"/>
      <c r="AA774" s="374"/>
      <c r="AB774" s="127"/>
      <c r="AC774" s="127"/>
      <c r="AD774" s="127"/>
      <c r="AE774" s="131"/>
      <c r="AF774" s="374"/>
      <c r="AG774" s="127"/>
      <c r="AH774" s="127"/>
      <c r="AI774" s="127"/>
      <c r="AJ774" s="131"/>
      <c r="AK774" s="374"/>
      <c r="AL774" s="127"/>
      <c r="AM774" s="127"/>
      <c r="AN774" s="127"/>
      <c r="AO774" s="359"/>
      <c r="AP774" s="359"/>
      <c r="AQ774" s="359"/>
      <c r="AR774" s="359"/>
      <c r="AS774" s="359"/>
    </row>
    <row r="775">
      <c r="A775" s="131"/>
      <c r="B775" s="374"/>
      <c r="C775" s="127"/>
      <c r="D775" s="127"/>
      <c r="E775" s="127"/>
      <c r="F775" s="131"/>
      <c r="G775" s="374"/>
      <c r="H775" s="127"/>
      <c r="I775" s="127"/>
      <c r="J775" s="127"/>
      <c r="K775" s="383"/>
      <c r="L775" s="374"/>
      <c r="M775" s="127"/>
      <c r="N775" s="127"/>
      <c r="O775" s="127"/>
      <c r="P775" s="383"/>
      <c r="Q775" s="164"/>
      <c r="R775" s="127"/>
      <c r="S775" s="127"/>
      <c r="T775" s="127"/>
      <c r="U775" s="131"/>
      <c r="V775" s="374"/>
      <c r="W775" s="127"/>
      <c r="X775" s="127"/>
      <c r="Y775" s="127"/>
      <c r="Z775" s="131"/>
      <c r="AA775" s="374"/>
      <c r="AB775" s="127"/>
      <c r="AC775" s="127"/>
      <c r="AD775" s="127"/>
      <c r="AE775" s="131"/>
      <c r="AF775" s="374"/>
      <c r="AG775" s="127"/>
      <c r="AH775" s="127"/>
      <c r="AI775" s="127"/>
      <c r="AJ775" s="131"/>
      <c r="AK775" s="374"/>
      <c r="AL775" s="127"/>
      <c r="AM775" s="127"/>
      <c r="AN775" s="127"/>
      <c r="AO775" s="359"/>
      <c r="AP775" s="359"/>
      <c r="AQ775" s="359"/>
      <c r="AR775" s="359"/>
      <c r="AS775" s="359"/>
    </row>
    <row r="776">
      <c r="A776" s="131"/>
      <c r="B776" s="374"/>
      <c r="C776" s="127"/>
      <c r="D776" s="127"/>
      <c r="E776" s="127"/>
      <c r="F776" s="131"/>
      <c r="G776" s="374"/>
      <c r="H776" s="127"/>
      <c r="I776" s="127"/>
      <c r="J776" s="127"/>
      <c r="K776" s="383"/>
      <c r="L776" s="374"/>
      <c r="M776" s="127"/>
      <c r="N776" s="127"/>
      <c r="O776" s="127"/>
      <c r="P776" s="383"/>
      <c r="Q776" s="164"/>
      <c r="R776" s="127"/>
      <c r="S776" s="127"/>
      <c r="T776" s="127"/>
      <c r="U776" s="131"/>
      <c r="V776" s="374"/>
      <c r="W776" s="127"/>
      <c r="X776" s="127"/>
      <c r="Y776" s="127"/>
      <c r="Z776" s="131"/>
      <c r="AA776" s="374"/>
      <c r="AB776" s="127"/>
      <c r="AC776" s="127"/>
      <c r="AD776" s="127"/>
      <c r="AE776" s="131"/>
      <c r="AF776" s="374"/>
      <c r="AG776" s="127"/>
      <c r="AH776" s="127"/>
      <c r="AI776" s="127"/>
      <c r="AJ776" s="131"/>
      <c r="AK776" s="374"/>
      <c r="AL776" s="127"/>
      <c r="AM776" s="127"/>
      <c r="AN776" s="127"/>
      <c r="AO776" s="359"/>
      <c r="AP776" s="359"/>
      <c r="AQ776" s="359"/>
      <c r="AR776" s="359"/>
      <c r="AS776" s="359"/>
    </row>
    <row r="777">
      <c r="A777" s="131"/>
      <c r="B777" s="374"/>
      <c r="C777" s="127"/>
      <c r="D777" s="127"/>
      <c r="E777" s="127"/>
      <c r="F777" s="131"/>
      <c r="G777" s="374"/>
      <c r="H777" s="127"/>
      <c r="I777" s="127"/>
      <c r="J777" s="127"/>
      <c r="K777" s="383"/>
      <c r="L777" s="374"/>
      <c r="M777" s="127"/>
      <c r="N777" s="127"/>
      <c r="O777" s="127"/>
      <c r="P777" s="383"/>
      <c r="Q777" s="164"/>
      <c r="R777" s="127"/>
      <c r="S777" s="127"/>
      <c r="T777" s="127"/>
      <c r="U777" s="131"/>
      <c r="V777" s="374"/>
      <c r="W777" s="127"/>
      <c r="X777" s="127"/>
      <c r="Y777" s="127"/>
      <c r="Z777" s="131"/>
      <c r="AA777" s="374"/>
      <c r="AB777" s="127"/>
      <c r="AC777" s="127"/>
      <c r="AD777" s="127"/>
      <c r="AE777" s="131"/>
      <c r="AF777" s="374"/>
      <c r="AG777" s="127"/>
      <c r="AH777" s="127"/>
      <c r="AI777" s="127"/>
      <c r="AJ777" s="131"/>
      <c r="AK777" s="374"/>
      <c r="AL777" s="127"/>
      <c r="AM777" s="127"/>
      <c r="AN777" s="127"/>
      <c r="AO777" s="359"/>
      <c r="AP777" s="359"/>
      <c r="AQ777" s="359"/>
      <c r="AR777" s="359"/>
      <c r="AS777" s="359"/>
    </row>
    <row r="778">
      <c r="A778" s="131"/>
      <c r="B778" s="374"/>
      <c r="C778" s="127"/>
      <c r="D778" s="127"/>
      <c r="E778" s="127"/>
      <c r="F778" s="131"/>
      <c r="G778" s="374"/>
      <c r="H778" s="127"/>
      <c r="I778" s="127"/>
      <c r="J778" s="127"/>
      <c r="K778" s="383"/>
      <c r="L778" s="374"/>
      <c r="M778" s="127"/>
      <c r="N778" s="127"/>
      <c r="O778" s="127"/>
      <c r="P778" s="383"/>
      <c r="Q778" s="164"/>
      <c r="R778" s="127"/>
      <c r="S778" s="127"/>
      <c r="T778" s="127"/>
      <c r="U778" s="131"/>
      <c r="V778" s="374"/>
      <c r="W778" s="127"/>
      <c r="X778" s="127"/>
      <c r="Y778" s="127"/>
      <c r="Z778" s="131"/>
      <c r="AA778" s="374"/>
      <c r="AB778" s="127"/>
      <c r="AC778" s="127"/>
      <c r="AD778" s="127"/>
      <c r="AE778" s="131"/>
      <c r="AF778" s="374"/>
      <c r="AG778" s="127"/>
      <c r="AH778" s="127"/>
      <c r="AI778" s="127"/>
      <c r="AJ778" s="131"/>
      <c r="AK778" s="374"/>
      <c r="AL778" s="127"/>
      <c r="AM778" s="127"/>
      <c r="AN778" s="127"/>
      <c r="AO778" s="359"/>
      <c r="AP778" s="359"/>
      <c r="AQ778" s="359"/>
      <c r="AR778" s="359"/>
      <c r="AS778" s="359"/>
    </row>
    <row r="779">
      <c r="A779" s="131"/>
      <c r="B779" s="374"/>
      <c r="C779" s="127"/>
      <c r="D779" s="127"/>
      <c r="E779" s="127"/>
      <c r="F779" s="131"/>
      <c r="G779" s="374"/>
      <c r="H779" s="127"/>
      <c r="I779" s="127"/>
      <c r="J779" s="127"/>
      <c r="K779" s="383"/>
      <c r="L779" s="374"/>
      <c r="M779" s="127"/>
      <c r="N779" s="127"/>
      <c r="O779" s="127"/>
      <c r="P779" s="383"/>
      <c r="Q779" s="164"/>
      <c r="R779" s="127"/>
      <c r="S779" s="127"/>
      <c r="T779" s="127"/>
      <c r="U779" s="131"/>
      <c r="V779" s="374"/>
      <c r="W779" s="127"/>
      <c r="X779" s="127"/>
      <c r="Y779" s="127"/>
      <c r="Z779" s="131"/>
      <c r="AA779" s="374"/>
      <c r="AB779" s="127"/>
      <c r="AC779" s="127"/>
      <c r="AD779" s="127"/>
      <c r="AE779" s="131"/>
      <c r="AF779" s="374"/>
      <c r="AG779" s="127"/>
      <c r="AH779" s="127"/>
      <c r="AI779" s="127"/>
      <c r="AJ779" s="131"/>
      <c r="AK779" s="374"/>
      <c r="AL779" s="127"/>
      <c r="AM779" s="127"/>
      <c r="AN779" s="127"/>
      <c r="AO779" s="359"/>
      <c r="AP779" s="359"/>
      <c r="AQ779" s="359"/>
      <c r="AR779" s="359"/>
      <c r="AS779" s="359"/>
    </row>
    <row r="780">
      <c r="A780" s="131"/>
      <c r="B780" s="374"/>
      <c r="C780" s="127"/>
      <c r="D780" s="127"/>
      <c r="E780" s="127"/>
      <c r="F780" s="131"/>
      <c r="G780" s="374"/>
      <c r="H780" s="127"/>
      <c r="I780" s="127"/>
      <c r="J780" s="127"/>
      <c r="K780" s="383"/>
      <c r="L780" s="374"/>
      <c r="M780" s="127"/>
      <c r="N780" s="127"/>
      <c r="O780" s="127"/>
      <c r="P780" s="383"/>
      <c r="Q780" s="164"/>
      <c r="R780" s="127"/>
      <c r="S780" s="127"/>
      <c r="T780" s="127"/>
      <c r="U780" s="131"/>
      <c r="V780" s="374"/>
      <c r="W780" s="127"/>
      <c r="X780" s="127"/>
      <c r="Y780" s="127"/>
      <c r="Z780" s="131"/>
      <c r="AA780" s="374"/>
      <c r="AB780" s="127"/>
      <c r="AC780" s="127"/>
      <c r="AD780" s="127"/>
      <c r="AE780" s="131"/>
      <c r="AF780" s="374"/>
      <c r="AG780" s="127"/>
      <c r="AH780" s="127"/>
      <c r="AI780" s="127"/>
      <c r="AJ780" s="131"/>
      <c r="AK780" s="374"/>
      <c r="AL780" s="127"/>
      <c r="AM780" s="127"/>
      <c r="AN780" s="127"/>
      <c r="AO780" s="359"/>
      <c r="AP780" s="359"/>
      <c r="AQ780" s="359"/>
      <c r="AR780" s="359"/>
      <c r="AS780" s="359"/>
    </row>
    <row r="781">
      <c r="A781" s="131"/>
      <c r="B781" s="374"/>
      <c r="C781" s="127"/>
      <c r="D781" s="127"/>
      <c r="E781" s="127"/>
      <c r="F781" s="131"/>
      <c r="G781" s="374"/>
      <c r="H781" s="127"/>
      <c r="I781" s="127"/>
      <c r="J781" s="127"/>
      <c r="K781" s="383"/>
      <c r="L781" s="374"/>
      <c r="M781" s="127"/>
      <c r="N781" s="127"/>
      <c r="O781" s="127"/>
      <c r="P781" s="383"/>
      <c r="Q781" s="164"/>
      <c r="R781" s="127"/>
      <c r="S781" s="127"/>
      <c r="T781" s="127"/>
      <c r="U781" s="131"/>
      <c r="V781" s="374"/>
      <c r="W781" s="127"/>
      <c r="X781" s="127"/>
      <c r="Y781" s="127"/>
      <c r="Z781" s="131"/>
      <c r="AA781" s="374"/>
      <c r="AB781" s="127"/>
      <c r="AC781" s="127"/>
      <c r="AD781" s="127"/>
      <c r="AE781" s="131"/>
      <c r="AF781" s="374"/>
      <c r="AG781" s="127"/>
      <c r="AH781" s="127"/>
      <c r="AI781" s="127"/>
      <c r="AJ781" s="131"/>
      <c r="AK781" s="374"/>
      <c r="AL781" s="127"/>
      <c r="AM781" s="127"/>
      <c r="AN781" s="127"/>
      <c r="AO781" s="359"/>
      <c r="AP781" s="359"/>
      <c r="AQ781" s="359"/>
      <c r="AR781" s="359"/>
      <c r="AS781" s="359"/>
    </row>
    <row r="782">
      <c r="A782" s="131"/>
      <c r="B782" s="374"/>
      <c r="C782" s="127"/>
      <c r="D782" s="127"/>
      <c r="E782" s="127"/>
      <c r="F782" s="131"/>
      <c r="G782" s="374"/>
      <c r="H782" s="127"/>
      <c r="I782" s="127"/>
      <c r="J782" s="127"/>
      <c r="K782" s="383"/>
      <c r="L782" s="374"/>
      <c r="M782" s="127"/>
      <c r="N782" s="127"/>
      <c r="O782" s="127"/>
      <c r="P782" s="383"/>
      <c r="Q782" s="164"/>
      <c r="R782" s="127"/>
      <c r="S782" s="127"/>
      <c r="T782" s="127"/>
      <c r="U782" s="131"/>
      <c r="V782" s="374"/>
      <c r="W782" s="127"/>
      <c r="X782" s="127"/>
      <c r="Y782" s="127"/>
      <c r="Z782" s="131"/>
      <c r="AA782" s="374"/>
      <c r="AB782" s="127"/>
      <c r="AC782" s="127"/>
      <c r="AD782" s="127"/>
      <c r="AE782" s="131"/>
      <c r="AF782" s="374"/>
      <c r="AG782" s="127"/>
      <c r="AH782" s="127"/>
      <c r="AI782" s="127"/>
      <c r="AJ782" s="131"/>
      <c r="AK782" s="374"/>
      <c r="AL782" s="127"/>
      <c r="AM782" s="127"/>
      <c r="AN782" s="127"/>
      <c r="AO782" s="359"/>
      <c r="AP782" s="359"/>
      <c r="AQ782" s="359"/>
      <c r="AR782" s="359"/>
      <c r="AS782" s="359"/>
    </row>
    <row r="783">
      <c r="A783" s="131"/>
      <c r="B783" s="374"/>
      <c r="C783" s="127"/>
      <c r="D783" s="127"/>
      <c r="E783" s="127"/>
      <c r="F783" s="131"/>
      <c r="G783" s="374"/>
      <c r="H783" s="127"/>
      <c r="I783" s="127"/>
      <c r="J783" s="127"/>
      <c r="K783" s="383"/>
      <c r="L783" s="374"/>
      <c r="M783" s="127"/>
      <c r="N783" s="127"/>
      <c r="O783" s="127"/>
      <c r="P783" s="383"/>
      <c r="Q783" s="164"/>
      <c r="R783" s="127"/>
      <c r="S783" s="127"/>
      <c r="T783" s="127"/>
      <c r="U783" s="131"/>
      <c r="V783" s="374"/>
      <c r="W783" s="127"/>
      <c r="X783" s="127"/>
      <c r="Y783" s="127"/>
      <c r="Z783" s="131"/>
      <c r="AA783" s="374"/>
      <c r="AB783" s="127"/>
      <c r="AC783" s="127"/>
      <c r="AD783" s="127"/>
      <c r="AE783" s="131"/>
      <c r="AF783" s="374"/>
      <c r="AG783" s="127"/>
      <c r="AH783" s="127"/>
      <c r="AI783" s="127"/>
      <c r="AJ783" s="131"/>
      <c r="AK783" s="374"/>
      <c r="AL783" s="127"/>
      <c r="AM783" s="127"/>
      <c r="AN783" s="127"/>
      <c r="AO783" s="359"/>
      <c r="AP783" s="359"/>
      <c r="AQ783" s="359"/>
      <c r="AR783" s="359"/>
      <c r="AS783" s="359"/>
    </row>
    <row r="784">
      <c r="A784" s="131"/>
      <c r="B784" s="374"/>
      <c r="C784" s="127"/>
      <c r="D784" s="127"/>
      <c r="E784" s="127"/>
      <c r="F784" s="131"/>
      <c r="G784" s="374"/>
      <c r="H784" s="127"/>
      <c r="I784" s="127"/>
      <c r="J784" s="127"/>
      <c r="K784" s="383"/>
      <c r="L784" s="374"/>
      <c r="M784" s="127"/>
      <c r="N784" s="127"/>
      <c r="O784" s="127"/>
      <c r="P784" s="383"/>
      <c r="Q784" s="164"/>
      <c r="R784" s="127"/>
      <c r="S784" s="127"/>
      <c r="T784" s="127"/>
      <c r="U784" s="131"/>
      <c r="V784" s="374"/>
      <c r="W784" s="127"/>
      <c r="X784" s="127"/>
      <c r="Y784" s="127"/>
      <c r="Z784" s="131"/>
      <c r="AA784" s="374"/>
      <c r="AB784" s="127"/>
      <c r="AC784" s="127"/>
      <c r="AD784" s="127"/>
      <c r="AE784" s="131"/>
      <c r="AF784" s="374"/>
      <c r="AG784" s="127"/>
      <c r="AH784" s="127"/>
      <c r="AI784" s="127"/>
      <c r="AJ784" s="131"/>
      <c r="AK784" s="374"/>
      <c r="AL784" s="127"/>
      <c r="AM784" s="127"/>
      <c r="AN784" s="127"/>
      <c r="AO784" s="359"/>
      <c r="AP784" s="359"/>
      <c r="AQ784" s="359"/>
      <c r="AR784" s="359"/>
      <c r="AS784" s="359"/>
    </row>
    <row r="785">
      <c r="A785" s="131"/>
      <c r="B785" s="374"/>
      <c r="C785" s="127"/>
      <c r="D785" s="127"/>
      <c r="E785" s="127"/>
      <c r="F785" s="131"/>
      <c r="G785" s="374"/>
      <c r="H785" s="127"/>
      <c r="I785" s="127"/>
      <c r="J785" s="127"/>
      <c r="K785" s="383"/>
      <c r="L785" s="374"/>
      <c r="M785" s="127"/>
      <c r="N785" s="127"/>
      <c r="O785" s="127"/>
      <c r="P785" s="383"/>
      <c r="Q785" s="164"/>
      <c r="R785" s="127"/>
      <c r="S785" s="127"/>
      <c r="T785" s="127"/>
      <c r="U785" s="131"/>
      <c r="V785" s="374"/>
      <c r="W785" s="127"/>
      <c r="X785" s="127"/>
      <c r="Y785" s="127"/>
      <c r="Z785" s="131"/>
      <c r="AA785" s="374"/>
      <c r="AB785" s="127"/>
      <c r="AC785" s="127"/>
      <c r="AD785" s="127"/>
      <c r="AE785" s="131"/>
      <c r="AF785" s="374"/>
      <c r="AG785" s="127"/>
      <c r="AH785" s="127"/>
      <c r="AI785" s="127"/>
      <c r="AJ785" s="131"/>
      <c r="AK785" s="374"/>
      <c r="AL785" s="127"/>
      <c r="AM785" s="127"/>
      <c r="AN785" s="127"/>
      <c r="AO785" s="359"/>
      <c r="AP785" s="359"/>
      <c r="AQ785" s="359"/>
      <c r="AR785" s="359"/>
      <c r="AS785" s="359"/>
    </row>
    <row r="786">
      <c r="A786" s="131"/>
      <c r="B786" s="374"/>
      <c r="C786" s="127"/>
      <c r="D786" s="127"/>
      <c r="E786" s="127"/>
      <c r="F786" s="131"/>
      <c r="G786" s="374"/>
      <c r="H786" s="127"/>
      <c r="I786" s="127"/>
      <c r="J786" s="127"/>
      <c r="K786" s="383"/>
      <c r="L786" s="374"/>
      <c r="M786" s="127"/>
      <c r="N786" s="127"/>
      <c r="O786" s="127"/>
      <c r="P786" s="383"/>
      <c r="Q786" s="164"/>
      <c r="R786" s="127"/>
      <c r="S786" s="127"/>
      <c r="T786" s="127"/>
      <c r="U786" s="131"/>
      <c r="V786" s="374"/>
      <c r="W786" s="127"/>
      <c r="X786" s="127"/>
      <c r="Y786" s="127"/>
      <c r="Z786" s="131"/>
      <c r="AA786" s="374"/>
      <c r="AB786" s="127"/>
      <c r="AC786" s="127"/>
      <c r="AD786" s="127"/>
      <c r="AE786" s="131"/>
      <c r="AF786" s="374"/>
      <c r="AG786" s="127"/>
      <c r="AH786" s="127"/>
      <c r="AI786" s="127"/>
      <c r="AJ786" s="131"/>
      <c r="AK786" s="374"/>
      <c r="AL786" s="127"/>
      <c r="AM786" s="127"/>
      <c r="AN786" s="127"/>
      <c r="AO786" s="359"/>
      <c r="AP786" s="359"/>
      <c r="AQ786" s="359"/>
      <c r="AR786" s="359"/>
      <c r="AS786" s="359"/>
    </row>
    <row r="787">
      <c r="A787" s="131"/>
      <c r="B787" s="374"/>
      <c r="C787" s="127"/>
      <c r="D787" s="127"/>
      <c r="E787" s="127"/>
      <c r="F787" s="131"/>
      <c r="G787" s="374"/>
      <c r="H787" s="127"/>
      <c r="I787" s="127"/>
      <c r="J787" s="127"/>
      <c r="K787" s="383"/>
      <c r="L787" s="374"/>
      <c r="M787" s="127"/>
      <c r="N787" s="127"/>
      <c r="O787" s="127"/>
      <c r="P787" s="383"/>
      <c r="Q787" s="164"/>
      <c r="R787" s="127"/>
      <c r="S787" s="127"/>
      <c r="T787" s="127"/>
      <c r="U787" s="131"/>
      <c r="V787" s="374"/>
      <c r="W787" s="127"/>
      <c r="X787" s="127"/>
      <c r="Y787" s="127"/>
      <c r="Z787" s="131"/>
      <c r="AA787" s="374"/>
      <c r="AB787" s="127"/>
      <c r="AC787" s="127"/>
      <c r="AD787" s="127"/>
      <c r="AE787" s="131"/>
      <c r="AF787" s="374"/>
      <c r="AG787" s="127"/>
      <c r="AH787" s="127"/>
      <c r="AI787" s="127"/>
      <c r="AJ787" s="131"/>
      <c r="AK787" s="374"/>
      <c r="AL787" s="127"/>
      <c r="AM787" s="127"/>
      <c r="AN787" s="127"/>
      <c r="AO787" s="359"/>
      <c r="AP787" s="359"/>
      <c r="AQ787" s="359"/>
      <c r="AR787" s="359"/>
      <c r="AS787" s="359"/>
    </row>
    <row r="788">
      <c r="A788" s="131"/>
      <c r="B788" s="374"/>
      <c r="C788" s="127"/>
      <c r="D788" s="127"/>
      <c r="E788" s="127"/>
      <c r="F788" s="131"/>
      <c r="G788" s="374"/>
      <c r="H788" s="127"/>
      <c r="I788" s="127"/>
      <c r="J788" s="127"/>
      <c r="K788" s="383"/>
      <c r="L788" s="374"/>
      <c r="M788" s="127"/>
      <c r="N788" s="127"/>
      <c r="O788" s="127"/>
      <c r="P788" s="383"/>
      <c r="Q788" s="164"/>
      <c r="R788" s="127"/>
      <c r="S788" s="127"/>
      <c r="T788" s="127"/>
      <c r="U788" s="131"/>
      <c r="V788" s="374"/>
      <c r="W788" s="127"/>
      <c r="X788" s="127"/>
      <c r="Y788" s="127"/>
      <c r="Z788" s="131"/>
      <c r="AA788" s="374"/>
      <c r="AB788" s="127"/>
      <c r="AC788" s="127"/>
      <c r="AD788" s="127"/>
      <c r="AE788" s="131"/>
      <c r="AF788" s="374"/>
      <c r="AG788" s="127"/>
      <c r="AH788" s="127"/>
      <c r="AI788" s="127"/>
      <c r="AJ788" s="131"/>
      <c r="AK788" s="374"/>
      <c r="AL788" s="127"/>
      <c r="AM788" s="127"/>
      <c r="AN788" s="127"/>
      <c r="AO788" s="359"/>
      <c r="AP788" s="359"/>
      <c r="AQ788" s="359"/>
      <c r="AR788" s="359"/>
      <c r="AS788" s="359"/>
    </row>
    <row r="789">
      <c r="A789" s="131"/>
      <c r="B789" s="374"/>
      <c r="C789" s="127"/>
      <c r="D789" s="127"/>
      <c r="E789" s="127"/>
      <c r="F789" s="131"/>
      <c r="G789" s="374"/>
      <c r="H789" s="127"/>
      <c r="I789" s="127"/>
      <c r="J789" s="127"/>
      <c r="K789" s="383"/>
      <c r="L789" s="374"/>
      <c r="M789" s="127"/>
      <c r="N789" s="127"/>
      <c r="O789" s="127"/>
      <c r="P789" s="383"/>
      <c r="Q789" s="164"/>
      <c r="R789" s="127"/>
      <c r="S789" s="127"/>
      <c r="T789" s="127"/>
      <c r="U789" s="131"/>
      <c r="V789" s="374"/>
      <c r="W789" s="127"/>
      <c r="X789" s="127"/>
      <c r="Y789" s="127"/>
      <c r="Z789" s="131"/>
      <c r="AA789" s="374"/>
      <c r="AB789" s="127"/>
      <c r="AC789" s="127"/>
      <c r="AD789" s="127"/>
      <c r="AE789" s="131"/>
      <c r="AF789" s="374"/>
      <c r="AG789" s="127"/>
      <c r="AH789" s="127"/>
      <c r="AI789" s="127"/>
      <c r="AJ789" s="131"/>
      <c r="AK789" s="374"/>
      <c r="AL789" s="127"/>
      <c r="AM789" s="127"/>
      <c r="AN789" s="127"/>
      <c r="AO789" s="359"/>
      <c r="AP789" s="359"/>
      <c r="AQ789" s="359"/>
      <c r="AR789" s="359"/>
      <c r="AS789" s="359"/>
    </row>
    <row r="790">
      <c r="A790" s="131"/>
      <c r="B790" s="374"/>
      <c r="C790" s="127"/>
      <c r="D790" s="127"/>
      <c r="E790" s="127"/>
      <c r="F790" s="131"/>
      <c r="G790" s="374"/>
      <c r="H790" s="127"/>
      <c r="I790" s="127"/>
      <c r="J790" s="127"/>
      <c r="K790" s="383"/>
      <c r="L790" s="374"/>
      <c r="M790" s="127"/>
      <c r="N790" s="127"/>
      <c r="O790" s="127"/>
      <c r="P790" s="383"/>
      <c r="Q790" s="164"/>
      <c r="R790" s="127"/>
      <c r="S790" s="127"/>
      <c r="T790" s="127"/>
      <c r="U790" s="131"/>
      <c r="V790" s="374"/>
      <c r="W790" s="127"/>
      <c r="X790" s="127"/>
      <c r="Y790" s="127"/>
      <c r="Z790" s="131"/>
      <c r="AA790" s="374"/>
      <c r="AB790" s="127"/>
      <c r="AC790" s="127"/>
      <c r="AD790" s="127"/>
      <c r="AE790" s="131"/>
      <c r="AF790" s="374"/>
      <c r="AG790" s="127"/>
      <c r="AH790" s="127"/>
      <c r="AI790" s="127"/>
      <c r="AJ790" s="131"/>
      <c r="AK790" s="374"/>
      <c r="AL790" s="127"/>
      <c r="AM790" s="127"/>
      <c r="AN790" s="127"/>
      <c r="AO790" s="359"/>
      <c r="AP790" s="359"/>
      <c r="AQ790" s="359"/>
      <c r="AR790" s="359"/>
      <c r="AS790" s="359"/>
    </row>
    <row r="791">
      <c r="A791" s="131"/>
      <c r="B791" s="374"/>
      <c r="C791" s="127"/>
      <c r="D791" s="127"/>
      <c r="E791" s="127"/>
      <c r="F791" s="131"/>
      <c r="G791" s="374"/>
      <c r="H791" s="127"/>
      <c r="I791" s="127"/>
      <c r="J791" s="127"/>
      <c r="K791" s="383"/>
      <c r="L791" s="374"/>
      <c r="M791" s="127"/>
      <c r="N791" s="127"/>
      <c r="O791" s="127"/>
      <c r="P791" s="383"/>
      <c r="Q791" s="164"/>
      <c r="R791" s="127"/>
      <c r="S791" s="127"/>
      <c r="T791" s="127"/>
      <c r="U791" s="131"/>
      <c r="V791" s="374"/>
      <c r="W791" s="127"/>
      <c r="X791" s="127"/>
      <c r="Y791" s="127"/>
      <c r="Z791" s="131"/>
      <c r="AA791" s="374"/>
      <c r="AB791" s="127"/>
      <c r="AC791" s="127"/>
      <c r="AD791" s="127"/>
      <c r="AE791" s="131"/>
      <c r="AF791" s="374"/>
      <c r="AG791" s="127"/>
      <c r="AH791" s="127"/>
      <c r="AI791" s="127"/>
      <c r="AJ791" s="131"/>
      <c r="AK791" s="374"/>
      <c r="AL791" s="127"/>
      <c r="AM791" s="127"/>
      <c r="AN791" s="127"/>
      <c r="AO791" s="359"/>
      <c r="AP791" s="359"/>
      <c r="AQ791" s="359"/>
      <c r="AR791" s="359"/>
      <c r="AS791" s="359"/>
    </row>
    <row r="792">
      <c r="A792" s="131"/>
      <c r="B792" s="374"/>
      <c r="C792" s="127"/>
      <c r="D792" s="127"/>
      <c r="E792" s="127"/>
      <c r="F792" s="131"/>
      <c r="G792" s="374"/>
      <c r="H792" s="127"/>
      <c r="I792" s="127"/>
      <c r="J792" s="127"/>
      <c r="K792" s="383"/>
      <c r="L792" s="374"/>
      <c r="M792" s="127"/>
      <c r="N792" s="127"/>
      <c r="O792" s="127"/>
      <c r="P792" s="383"/>
      <c r="Q792" s="164"/>
      <c r="R792" s="127"/>
      <c r="S792" s="127"/>
      <c r="T792" s="127"/>
      <c r="U792" s="131"/>
      <c r="V792" s="374"/>
      <c r="W792" s="127"/>
      <c r="X792" s="127"/>
      <c r="Y792" s="127"/>
      <c r="Z792" s="131"/>
      <c r="AA792" s="374"/>
      <c r="AB792" s="127"/>
      <c r="AC792" s="127"/>
      <c r="AD792" s="127"/>
      <c r="AE792" s="131"/>
      <c r="AF792" s="374"/>
      <c r="AG792" s="127"/>
      <c r="AH792" s="127"/>
      <c r="AI792" s="127"/>
      <c r="AJ792" s="131"/>
      <c r="AK792" s="374"/>
      <c r="AL792" s="127"/>
      <c r="AM792" s="127"/>
      <c r="AN792" s="127"/>
      <c r="AO792" s="359"/>
      <c r="AP792" s="359"/>
      <c r="AQ792" s="359"/>
      <c r="AR792" s="359"/>
      <c r="AS792" s="359"/>
    </row>
    <row r="793">
      <c r="A793" s="131"/>
      <c r="B793" s="374"/>
      <c r="C793" s="127"/>
      <c r="D793" s="127"/>
      <c r="E793" s="127"/>
      <c r="F793" s="131"/>
      <c r="G793" s="374"/>
      <c r="H793" s="127"/>
      <c r="I793" s="127"/>
      <c r="J793" s="127"/>
      <c r="K793" s="383"/>
      <c r="L793" s="374"/>
      <c r="M793" s="127"/>
      <c r="N793" s="127"/>
      <c r="O793" s="127"/>
      <c r="P793" s="383"/>
      <c r="Q793" s="164"/>
      <c r="R793" s="127"/>
      <c r="S793" s="127"/>
      <c r="T793" s="127"/>
      <c r="U793" s="131"/>
      <c r="V793" s="374"/>
      <c r="W793" s="127"/>
      <c r="X793" s="127"/>
      <c r="Y793" s="127"/>
      <c r="Z793" s="131"/>
      <c r="AA793" s="374"/>
      <c r="AB793" s="127"/>
      <c r="AC793" s="127"/>
      <c r="AD793" s="127"/>
      <c r="AE793" s="131"/>
      <c r="AF793" s="374"/>
      <c r="AG793" s="127"/>
      <c r="AH793" s="127"/>
      <c r="AI793" s="127"/>
      <c r="AJ793" s="131"/>
      <c r="AK793" s="374"/>
      <c r="AL793" s="127"/>
      <c r="AM793" s="127"/>
      <c r="AN793" s="127"/>
      <c r="AO793" s="359"/>
      <c r="AP793" s="359"/>
      <c r="AQ793" s="359"/>
      <c r="AR793" s="359"/>
      <c r="AS793" s="359"/>
    </row>
    <row r="794">
      <c r="A794" s="131"/>
      <c r="B794" s="374"/>
      <c r="C794" s="127"/>
      <c r="D794" s="127"/>
      <c r="E794" s="127"/>
      <c r="F794" s="131"/>
      <c r="G794" s="374"/>
      <c r="H794" s="127"/>
      <c r="I794" s="127"/>
      <c r="J794" s="127"/>
      <c r="K794" s="383"/>
      <c r="L794" s="374"/>
      <c r="M794" s="127"/>
      <c r="N794" s="127"/>
      <c r="O794" s="127"/>
      <c r="P794" s="383"/>
      <c r="Q794" s="164"/>
      <c r="R794" s="127"/>
      <c r="S794" s="127"/>
      <c r="T794" s="127"/>
      <c r="U794" s="131"/>
      <c r="V794" s="374"/>
      <c r="W794" s="127"/>
      <c r="X794" s="127"/>
      <c r="Y794" s="127"/>
      <c r="Z794" s="131"/>
      <c r="AA794" s="374"/>
      <c r="AB794" s="127"/>
      <c r="AC794" s="127"/>
      <c r="AD794" s="127"/>
      <c r="AE794" s="131"/>
      <c r="AF794" s="374"/>
      <c r="AG794" s="127"/>
      <c r="AH794" s="127"/>
      <c r="AI794" s="127"/>
      <c r="AJ794" s="131"/>
      <c r="AK794" s="374"/>
      <c r="AL794" s="127"/>
      <c r="AM794" s="127"/>
      <c r="AN794" s="127"/>
      <c r="AO794" s="359"/>
      <c r="AP794" s="359"/>
      <c r="AQ794" s="359"/>
      <c r="AR794" s="359"/>
      <c r="AS794" s="359"/>
    </row>
    <row r="795">
      <c r="A795" s="131"/>
      <c r="B795" s="374"/>
      <c r="C795" s="127"/>
      <c r="D795" s="127"/>
      <c r="E795" s="127"/>
      <c r="F795" s="131"/>
      <c r="G795" s="374"/>
      <c r="H795" s="127"/>
      <c r="I795" s="127"/>
      <c r="J795" s="127"/>
      <c r="K795" s="383"/>
      <c r="L795" s="374"/>
      <c r="M795" s="127"/>
      <c r="N795" s="127"/>
      <c r="O795" s="127"/>
      <c r="P795" s="383"/>
      <c r="Q795" s="164"/>
      <c r="R795" s="127"/>
      <c r="S795" s="127"/>
      <c r="T795" s="127"/>
      <c r="U795" s="131"/>
      <c r="V795" s="374"/>
      <c r="W795" s="127"/>
      <c r="X795" s="127"/>
      <c r="Y795" s="127"/>
      <c r="Z795" s="131"/>
      <c r="AA795" s="374"/>
      <c r="AB795" s="127"/>
      <c r="AC795" s="127"/>
      <c r="AD795" s="127"/>
      <c r="AE795" s="131"/>
      <c r="AF795" s="374"/>
      <c r="AG795" s="127"/>
      <c r="AH795" s="127"/>
      <c r="AI795" s="127"/>
      <c r="AJ795" s="131"/>
      <c r="AK795" s="374"/>
      <c r="AL795" s="127"/>
      <c r="AM795" s="127"/>
      <c r="AN795" s="127"/>
      <c r="AO795" s="359"/>
      <c r="AP795" s="359"/>
      <c r="AQ795" s="359"/>
      <c r="AR795" s="359"/>
      <c r="AS795" s="359"/>
    </row>
    <row r="796">
      <c r="A796" s="131"/>
      <c r="B796" s="374"/>
      <c r="C796" s="127"/>
      <c r="D796" s="127"/>
      <c r="E796" s="127"/>
      <c r="F796" s="131"/>
      <c r="G796" s="374"/>
      <c r="H796" s="127"/>
      <c r="I796" s="127"/>
      <c r="J796" s="127"/>
      <c r="K796" s="383"/>
      <c r="L796" s="374"/>
      <c r="M796" s="127"/>
      <c r="N796" s="127"/>
      <c r="O796" s="127"/>
      <c r="P796" s="383"/>
      <c r="Q796" s="164"/>
      <c r="R796" s="127"/>
      <c r="S796" s="127"/>
      <c r="T796" s="127"/>
      <c r="U796" s="131"/>
      <c r="V796" s="374"/>
      <c r="W796" s="127"/>
      <c r="X796" s="127"/>
      <c r="Y796" s="127"/>
      <c r="Z796" s="131"/>
      <c r="AA796" s="374"/>
      <c r="AB796" s="127"/>
      <c r="AC796" s="127"/>
      <c r="AD796" s="127"/>
      <c r="AE796" s="131"/>
      <c r="AF796" s="374"/>
      <c r="AG796" s="127"/>
      <c r="AH796" s="127"/>
      <c r="AI796" s="127"/>
      <c r="AJ796" s="131"/>
      <c r="AK796" s="374"/>
      <c r="AL796" s="127"/>
      <c r="AM796" s="127"/>
      <c r="AN796" s="127"/>
      <c r="AO796" s="359"/>
      <c r="AP796" s="359"/>
      <c r="AQ796" s="359"/>
      <c r="AR796" s="359"/>
      <c r="AS796" s="359"/>
    </row>
    <row r="797">
      <c r="A797" s="131"/>
      <c r="B797" s="374"/>
      <c r="C797" s="127"/>
      <c r="D797" s="127"/>
      <c r="E797" s="127"/>
      <c r="F797" s="131"/>
      <c r="G797" s="374"/>
      <c r="H797" s="127"/>
      <c r="I797" s="127"/>
      <c r="J797" s="127"/>
      <c r="K797" s="383"/>
      <c r="L797" s="374"/>
      <c r="M797" s="127"/>
      <c r="N797" s="127"/>
      <c r="O797" s="127"/>
      <c r="P797" s="383"/>
      <c r="Q797" s="164"/>
      <c r="R797" s="127"/>
      <c r="S797" s="127"/>
      <c r="T797" s="127"/>
      <c r="U797" s="131"/>
      <c r="V797" s="374"/>
      <c r="W797" s="127"/>
      <c r="X797" s="127"/>
      <c r="Y797" s="127"/>
      <c r="Z797" s="131"/>
      <c r="AA797" s="374"/>
      <c r="AB797" s="127"/>
      <c r="AC797" s="127"/>
      <c r="AD797" s="127"/>
      <c r="AE797" s="131"/>
      <c r="AF797" s="374"/>
      <c r="AG797" s="127"/>
      <c r="AH797" s="127"/>
      <c r="AI797" s="127"/>
      <c r="AJ797" s="131"/>
      <c r="AK797" s="374"/>
      <c r="AL797" s="127"/>
      <c r="AM797" s="127"/>
      <c r="AN797" s="127"/>
      <c r="AO797" s="359"/>
      <c r="AP797" s="359"/>
      <c r="AQ797" s="359"/>
      <c r="AR797" s="359"/>
      <c r="AS797" s="359"/>
    </row>
    <row r="798">
      <c r="A798" s="131"/>
      <c r="B798" s="374"/>
      <c r="C798" s="127"/>
      <c r="D798" s="127"/>
      <c r="E798" s="127"/>
      <c r="F798" s="131"/>
      <c r="G798" s="374"/>
      <c r="H798" s="127"/>
      <c r="I798" s="127"/>
      <c r="J798" s="127"/>
      <c r="K798" s="383"/>
      <c r="L798" s="374"/>
      <c r="M798" s="127"/>
      <c r="N798" s="127"/>
      <c r="O798" s="127"/>
      <c r="P798" s="383"/>
      <c r="Q798" s="164"/>
      <c r="R798" s="127"/>
      <c r="S798" s="127"/>
      <c r="T798" s="127"/>
      <c r="U798" s="131"/>
      <c r="V798" s="374"/>
      <c r="W798" s="127"/>
      <c r="X798" s="127"/>
      <c r="Y798" s="127"/>
      <c r="Z798" s="131"/>
      <c r="AA798" s="374"/>
      <c r="AB798" s="127"/>
      <c r="AC798" s="127"/>
      <c r="AD798" s="127"/>
      <c r="AE798" s="131"/>
      <c r="AF798" s="374"/>
      <c r="AG798" s="127"/>
      <c r="AH798" s="127"/>
      <c r="AI798" s="127"/>
      <c r="AJ798" s="131"/>
      <c r="AK798" s="374"/>
      <c r="AL798" s="127"/>
      <c r="AM798" s="127"/>
      <c r="AN798" s="127"/>
      <c r="AO798" s="359"/>
      <c r="AP798" s="359"/>
      <c r="AQ798" s="359"/>
      <c r="AR798" s="359"/>
      <c r="AS798" s="359"/>
    </row>
    <row r="799">
      <c r="A799" s="131"/>
      <c r="B799" s="374"/>
      <c r="C799" s="127"/>
      <c r="D799" s="127"/>
      <c r="E799" s="127"/>
      <c r="F799" s="131"/>
      <c r="G799" s="374"/>
      <c r="H799" s="127"/>
      <c r="I799" s="127"/>
      <c r="J799" s="127"/>
      <c r="K799" s="383"/>
      <c r="L799" s="374"/>
      <c r="M799" s="127"/>
      <c r="N799" s="127"/>
      <c r="O799" s="127"/>
      <c r="P799" s="383"/>
      <c r="Q799" s="164"/>
      <c r="R799" s="127"/>
      <c r="S799" s="127"/>
      <c r="T799" s="127"/>
      <c r="U799" s="131"/>
      <c r="V799" s="374"/>
      <c r="W799" s="127"/>
      <c r="X799" s="127"/>
      <c r="Y799" s="127"/>
      <c r="Z799" s="131"/>
      <c r="AA799" s="374"/>
      <c r="AB799" s="127"/>
      <c r="AC799" s="127"/>
      <c r="AD799" s="127"/>
      <c r="AE799" s="131"/>
      <c r="AF799" s="374"/>
      <c r="AG799" s="127"/>
      <c r="AH799" s="127"/>
      <c r="AI799" s="127"/>
      <c r="AJ799" s="131"/>
      <c r="AK799" s="374"/>
      <c r="AL799" s="127"/>
      <c r="AM799" s="127"/>
      <c r="AN799" s="127"/>
      <c r="AO799" s="359"/>
      <c r="AP799" s="359"/>
      <c r="AQ799" s="359"/>
      <c r="AR799" s="359"/>
      <c r="AS799" s="359"/>
    </row>
    <row r="800">
      <c r="A800" s="131"/>
      <c r="B800" s="374"/>
      <c r="C800" s="127"/>
      <c r="D800" s="127"/>
      <c r="E800" s="127"/>
      <c r="F800" s="131"/>
      <c r="G800" s="374"/>
      <c r="H800" s="127"/>
      <c r="I800" s="127"/>
      <c r="J800" s="127"/>
      <c r="K800" s="383"/>
      <c r="L800" s="374"/>
      <c r="M800" s="127"/>
      <c r="N800" s="127"/>
      <c r="O800" s="127"/>
      <c r="P800" s="383"/>
      <c r="Q800" s="164"/>
      <c r="R800" s="127"/>
      <c r="S800" s="127"/>
      <c r="T800" s="127"/>
      <c r="U800" s="131"/>
      <c r="V800" s="374"/>
      <c r="W800" s="127"/>
      <c r="X800" s="127"/>
      <c r="Y800" s="127"/>
      <c r="Z800" s="131"/>
      <c r="AA800" s="374"/>
      <c r="AB800" s="127"/>
      <c r="AC800" s="127"/>
      <c r="AD800" s="127"/>
      <c r="AE800" s="131"/>
      <c r="AF800" s="374"/>
      <c r="AG800" s="127"/>
      <c r="AH800" s="127"/>
      <c r="AI800" s="127"/>
      <c r="AJ800" s="131"/>
      <c r="AK800" s="374"/>
      <c r="AL800" s="127"/>
      <c r="AM800" s="127"/>
      <c r="AN800" s="127"/>
      <c r="AO800" s="359"/>
      <c r="AP800" s="359"/>
      <c r="AQ800" s="359"/>
      <c r="AR800" s="359"/>
      <c r="AS800" s="359"/>
    </row>
    <row r="801">
      <c r="A801" s="131"/>
      <c r="B801" s="374"/>
      <c r="C801" s="127"/>
      <c r="D801" s="127"/>
      <c r="E801" s="127"/>
      <c r="F801" s="131"/>
      <c r="G801" s="374"/>
      <c r="H801" s="127"/>
      <c r="I801" s="127"/>
      <c r="J801" s="127"/>
      <c r="K801" s="383"/>
      <c r="L801" s="374"/>
      <c r="M801" s="127"/>
      <c r="N801" s="127"/>
      <c r="O801" s="127"/>
      <c r="P801" s="383"/>
      <c r="Q801" s="164"/>
      <c r="R801" s="127"/>
      <c r="S801" s="127"/>
      <c r="T801" s="127"/>
      <c r="U801" s="131"/>
      <c r="V801" s="374"/>
      <c r="W801" s="127"/>
      <c r="X801" s="127"/>
      <c r="Y801" s="127"/>
      <c r="Z801" s="131"/>
      <c r="AA801" s="374"/>
      <c r="AB801" s="127"/>
      <c r="AC801" s="127"/>
      <c r="AD801" s="127"/>
      <c r="AE801" s="131"/>
      <c r="AF801" s="374"/>
      <c r="AG801" s="127"/>
      <c r="AH801" s="127"/>
      <c r="AI801" s="127"/>
      <c r="AJ801" s="131"/>
      <c r="AK801" s="374"/>
      <c r="AL801" s="127"/>
      <c r="AM801" s="127"/>
      <c r="AN801" s="127"/>
      <c r="AO801" s="359"/>
      <c r="AP801" s="359"/>
      <c r="AQ801" s="359"/>
      <c r="AR801" s="359"/>
      <c r="AS801" s="359"/>
    </row>
    <row r="802">
      <c r="A802" s="131"/>
      <c r="B802" s="374"/>
      <c r="C802" s="127"/>
      <c r="D802" s="127"/>
      <c r="E802" s="127"/>
      <c r="F802" s="131"/>
      <c r="G802" s="374"/>
      <c r="H802" s="127"/>
      <c r="I802" s="127"/>
      <c r="J802" s="127"/>
      <c r="K802" s="383"/>
      <c r="L802" s="374"/>
      <c r="M802" s="127"/>
      <c r="N802" s="127"/>
      <c r="O802" s="127"/>
      <c r="P802" s="383"/>
      <c r="Q802" s="164"/>
      <c r="R802" s="127"/>
      <c r="S802" s="127"/>
      <c r="T802" s="127"/>
      <c r="U802" s="131"/>
      <c r="V802" s="374"/>
      <c r="W802" s="127"/>
      <c r="X802" s="127"/>
      <c r="Y802" s="127"/>
      <c r="Z802" s="131"/>
      <c r="AA802" s="374"/>
      <c r="AB802" s="127"/>
      <c r="AC802" s="127"/>
      <c r="AD802" s="127"/>
      <c r="AE802" s="131"/>
      <c r="AF802" s="374"/>
      <c r="AG802" s="127"/>
      <c r="AH802" s="127"/>
      <c r="AI802" s="127"/>
      <c r="AJ802" s="131"/>
      <c r="AK802" s="374"/>
      <c r="AL802" s="127"/>
      <c r="AM802" s="127"/>
      <c r="AN802" s="127"/>
      <c r="AO802" s="359"/>
      <c r="AP802" s="359"/>
      <c r="AQ802" s="359"/>
      <c r="AR802" s="359"/>
      <c r="AS802" s="359"/>
    </row>
    <row r="803">
      <c r="A803" s="131"/>
      <c r="B803" s="374"/>
      <c r="C803" s="127"/>
      <c r="D803" s="127"/>
      <c r="E803" s="127"/>
      <c r="F803" s="131"/>
      <c r="G803" s="374"/>
      <c r="H803" s="127"/>
      <c r="I803" s="127"/>
      <c r="J803" s="127"/>
      <c r="K803" s="383"/>
      <c r="L803" s="374"/>
      <c r="M803" s="127"/>
      <c r="N803" s="127"/>
      <c r="O803" s="127"/>
      <c r="P803" s="383"/>
      <c r="Q803" s="164"/>
      <c r="R803" s="127"/>
      <c r="S803" s="127"/>
      <c r="T803" s="127"/>
      <c r="U803" s="131"/>
      <c r="V803" s="374"/>
      <c r="W803" s="127"/>
      <c r="X803" s="127"/>
      <c r="Y803" s="127"/>
      <c r="Z803" s="131"/>
      <c r="AA803" s="374"/>
      <c r="AB803" s="127"/>
      <c r="AC803" s="127"/>
      <c r="AD803" s="127"/>
      <c r="AE803" s="131"/>
      <c r="AF803" s="374"/>
      <c r="AG803" s="127"/>
      <c r="AH803" s="127"/>
      <c r="AI803" s="127"/>
      <c r="AJ803" s="131"/>
      <c r="AK803" s="374"/>
      <c r="AL803" s="127"/>
      <c r="AM803" s="127"/>
      <c r="AN803" s="127"/>
      <c r="AO803" s="359"/>
      <c r="AP803" s="359"/>
      <c r="AQ803" s="359"/>
      <c r="AR803" s="359"/>
      <c r="AS803" s="359"/>
    </row>
    <row r="804">
      <c r="A804" s="131"/>
      <c r="B804" s="374"/>
      <c r="C804" s="127"/>
      <c r="D804" s="127"/>
      <c r="E804" s="127"/>
      <c r="F804" s="131"/>
      <c r="G804" s="374"/>
      <c r="H804" s="127"/>
      <c r="I804" s="127"/>
      <c r="J804" s="127"/>
      <c r="K804" s="383"/>
      <c r="L804" s="374"/>
      <c r="M804" s="127"/>
      <c r="N804" s="127"/>
      <c r="O804" s="127"/>
      <c r="P804" s="383"/>
      <c r="Q804" s="164"/>
      <c r="R804" s="127"/>
      <c r="S804" s="127"/>
      <c r="T804" s="127"/>
      <c r="U804" s="131"/>
      <c r="V804" s="374"/>
      <c r="W804" s="127"/>
      <c r="X804" s="127"/>
      <c r="Y804" s="127"/>
      <c r="Z804" s="131"/>
      <c r="AA804" s="374"/>
      <c r="AB804" s="127"/>
      <c r="AC804" s="127"/>
      <c r="AD804" s="127"/>
      <c r="AE804" s="131"/>
      <c r="AF804" s="374"/>
      <c r="AG804" s="127"/>
      <c r="AH804" s="127"/>
      <c r="AI804" s="127"/>
      <c r="AJ804" s="131"/>
      <c r="AK804" s="374"/>
      <c r="AL804" s="127"/>
      <c r="AM804" s="127"/>
      <c r="AN804" s="127"/>
      <c r="AO804" s="359"/>
      <c r="AP804" s="359"/>
      <c r="AQ804" s="359"/>
      <c r="AR804" s="359"/>
      <c r="AS804" s="359"/>
    </row>
    <row r="805">
      <c r="A805" s="131"/>
      <c r="B805" s="374"/>
      <c r="C805" s="127"/>
      <c r="D805" s="127"/>
      <c r="E805" s="127"/>
      <c r="F805" s="131"/>
      <c r="G805" s="374"/>
      <c r="H805" s="127"/>
      <c r="I805" s="127"/>
      <c r="J805" s="127"/>
      <c r="K805" s="383"/>
      <c r="L805" s="374"/>
      <c r="M805" s="127"/>
      <c r="N805" s="127"/>
      <c r="O805" s="127"/>
      <c r="P805" s="383"/>
      <c r="Q805" s="164"/>
      <c r="R805" s="127"/>
      <c r="S805" s="127"/>
      <c r="T805" s="127"/>
      <c r="U805" s="131"/>
      <c r="V805" s="374"/>
      <c r="W805" s="127"/>
      <c r="X805" s="127"/>
      <c r="Y805" s="127"/>
      <c r="Z805" s="131"/>
      <c r="AA805" s="374"/>
      <c r="AB805" s="127"/>
      <c r="AC805" s="127"/>
      <c r="AD805" s="127"/>
      <c r="AE805" s="131"/>
      <c r="AF805" s="374"/>
      <c r="AG805" s="127"/>
      <c r="AH805" s="127"/>
      <c r="AI805" s="127"/>
      <c r="AJ805" s="131"/>
      <c r="AK805" s="374"/>
      <c r="AL805" s="127"/>
      <c r="AM805" s="127"/>
      <c r="AN805" s="127"/>
      <c r="AO805" s="359"/>
      <c r="AP805" s="359"/>
      <c r="AQ805" s="359"/>
      <c r="AR805" s="359"/>
      <c r="AS805" s="359"/>
    </row>
    <row r="806">
      <c r="A806" s="131"/>
      <c r="B806" s="374"/>
      <c r="C806" s="127"/>
      <c r="D806" s="127"/>
      <c r="E806" s="127"/>
      <c r="F806" s="131"/>
      <c r="G806" s="374"/>
      <c r="H806" s="127"/>
      <c r="I806" s="127"/>
      <c r="J806" s="127"/>
      <c r="K806" s="383"/>
      <c r="L806" s="374"/>
      <c r="M806" s="127"/>
      <c r="N806" s="127"/>
      <c r="O806" s="127"/>
      <c r="P806" s="383"/>
      <c r="Q806" s="164"/>
      <c r="R806" s="127"/>
      <c r="S806" s="127"/>
      <c r="T806" s="127"/>
      <c r="U806" s="131"/>
      <c r="V806" s="374"/>
      <c r="W806" s="127"/>
      <c r="X806" s="127"/>
      <c r="Y806" s="127"/>
      <c r="Z806" s="131"/>
      <c r="AA806" s="374"/>
      <c r="AB806" s="127"/>
      <c r="AC806" s="127"/>
      <c r="AD806" s="127"/>
      <c r="AE806" s="131"/>
      <c r="AF806" s="374"/>
      <c r="AG806" s="127"/>
      <c r="AH806" s="127"/>
      <c r="AI806" s="127"/>
      <c r="AJ806" s="131"/>
      <c r="AK806" s="374"/>
      <c r="AL806" s="127"/>
      <c r="AM806" s="127"/>
      <c r="AN806" s="127"/>
      <c r="AO806" s="359"/>
      <c r="AP806" s="359"/>
      <c r="AQ806" s="359"/>
      <c r="AR806" s="359"/>
      <c r="AS806" s="359"/>
    </row>
    <row r="807">
      <c r="A807" s="131"/>
      <c r="B807" s="374"/>
      <c r="C807" s="127"/>
      <c r="D807" s="127"/>
      <c r="E807" s="127"/>
      <c r="F807" s="131"/>
      <c r="G807" s="374"/>
      <c r="H807" s="127"/>
      <c r="I807" s="127"/>
      <c r="J807" s="127"/>
      <c r="K807" s="383"/>
      <c r="L807" s="374"/>
      <c r="M807" s="127"/>
      <c r="N807" s="127"/>
      <c r="O807" s="127"/>
      <c r="P807" s="383"/>
      <c r="Q807" s="164"/>
      <c r="R807" s="127"/>
      <c r="S807" s="127"/>
      <c r="T807" s="127"/>
      <c r="U807" s="131"/>
      <c r="V807" s="374"/>
      <c r="W807" s="127"/>
      <c r="X807" s="127"/>
      <c r="Y807" s="127"/>
      <c r="Z807" s="131"/>
      <c r="AA807" s="374"/>
      <c r="AB807" s="127"/>
      <c r="AC807" s="127"/>
      <c r="AD807" s="127"/>
      <c r="AE807" s="131"/>
      <c r="AF807" s="374"/>
      <c r="AG807" s="127"/>
      <c r="AH807" s="127"/>
      <c r="AI807" s="127"/>
      <c r="AJ807" s="131"/>
      <c r="AK807" s="374"/>
      <c r="AL807" s="127"/>
      <c r="AM807" s="127"/>
      <c r="AN807" s="127"/>
      <c r="AO807" s="359"/>
      <c r="AP807" s="359"/>
      <c r="AQ807" s="359"/>
      <c r="AR807" s="359"/>
      <c r="AS807" s="359"/>
    </row>
    <row r="808">
      <c r="A808" s="131"/>
      <c r="B808" s="374"/>
      <c r="C808" s="127"/>
      <c r="D808" s="127"/>
      <c r="E808" s="127"/>
      <c r="F808" s="131"/>
      <c r="G808" s="374"/>
      <c r="H808" s="127"/>
      <c r="I808" s="127"/>
      <c r="J808" s="127"/>
      <c r="K808" s="383"/>
      <c r="L808" s="374"/>
      <c r="M808" s="127"/>
      <c r="N808" s="127"/>
      <c r="O808" s="127"/>
      <c r="P808" s="383"/>
      <c r="Q808" s="164"/>
      <c r="R808" s="127"/>
      <c r="S808" s="127"/>
      <c r="T808" s="127"/>
      <c r="U808" s="131"/>
      <c r="V808" s="374"/>
      <c r="W808" s="127"/>
      <c r="X808" s="127"/>
      <c r="Y808" s="127"/>
      <c r="Z808" s="131"/>
      <c r="AA808" s="374"/>
      <c r="AB808" s="127"/>
      <c r="AC808" s="127"/>
      <c r="AD808" s="127"/>
      <c r="AE808" s="131"/>
      <c r="AF808" s="374"/>
      <c r="AG808" s="127"/>
      <c r="AH808" s="127"/>
      <c r="AI808" s="127"/>
      <c r="AJ808" s="131"/>
      <c r="AK808" s="374"/>
      <c r="AL808" s="127"/>
      <c r="AM808" s="127"/>
      <c r="AN808" s="127"/>
      <c r="AO808" s="359"/>
      <c r="AP808" s="359"/>
      <c r="AQ808" s="359"/>
      <c r="AR808" s="359"/>
      <c r="AS808" s="359"/>
    </row>
    <row r="809">
      <c r="A809" s="131"/>
      <c r="B809" s="374"/>
      <c r="C809" s="127"/>
      <c r="D809" s="127"/>
      <c r="E809" s="127"/>
      <c r="F809" s="131"/>
      <c r="G809" s="374"/>
      <c r="H809" s="127"/>
      <c r="I809" s="127"/>
      <c r="J809" s="127"/>
      <c r="K809" s="383"/>
      <c r="L809" s="374"/>
      <c r="M809" s="127"/>
      <c r="N809" s="127"/>
      <c r="O809" s="127"/>
      <c r="P809" s="383"/>
      <c r="Q809" s="164"/>
      <c r="R809" s="127"/>
      <c r="S809" s="127"/>
      <c r="T809" s="127"/>
      <c r="U809" s="131"/>
      <c r="V809" s="374"/>
      <c r="W809" s="127"/>
      <c r="X809" s="127"/>
      <c r="Y809" s="127"/>
      <c r="Z809" s="131"/>
      <c r="AA809" s="374"/>
      <c r="AB809" s="127"/>
      <c r="AC809" s="127"/>
      <c r="AD809" s="127"/>
      <c r="AE809" s="131"/>
      <c r="AF809" s="374"/>
      <c r="AG809" s="127"/>
      <c r="AH809" s="127"/>
      <c r="AI809" s="127"/>
      <c r="AJ809" s="131"/>
      <c r="AK809" s="374"/>
      <c r="AL809" s="127"/>
      <c r="AM809" s="127"/>
      <c r="AN809" s="127"/>
      <c r="AO809" s="359"/>
      <c r="AP809" s="359"/>
      <c r="AQ809" s="359"/>
      <c r="AR809" s="359"/>
      <c r="AS809" s="359"/>
    </row>
    <row r="810">
      <c r="A810" s="131"/>
      <c r="B810" s="374"/>
      <c r="C810" s="127"/>
      <c r="D810" s="127"/>
      <c r="E810" s="127"/>
      <c r="F810" s="131"/>
      <c r="G810" s="374"/>
      <c r="H810" s="127"/>
      <c r="I810" s="127"/>
      <c r="J810" s="127"/>
      <c r="K810" s="383"/>
      <c r="L810" s="374"/>
      <c r="M810" s="127"/>
      <c r="N810" s="127"/>
      <c r="O810" s="127"/>
      <c r="P810" s="383"/>
      <c r="Q810" s="164"/>
      <c r="R810" s="127"/>
      <c r="S810" s="127"/>
      <c r="T810" s="127"/>
      <c r="U810" s="131"/>
      <c r="V810" s="374"/>
      <c r="W810" s="127"/>
      <c r="X810" s="127"/>
      <c r="Y810" s="127"/>
      <c r="Z810" s="131"/>
      <c r="AA810" s="374"/>
      <c r="AB810" s="127"/>
      <c r="AC810" s="127"/>
      <c r="AD810" s="127"/>
      <c r="AE810" s="131"/>
      <c r="AF810" s="374"/>
      <c r="AG810" s="127"/>
      <c r="AH810" s="127"/>
      <c r="AI810" s="127"/>
      <c r="AJ810" s="131"/>
      <c r="AK810" s="374"/>
      <c r="AL810" s="127"/>
      <c r="AM810" s="127"/>
      <c r="AN810" s="127"/>
      <c r="AO810" s="359"/>
      <c r="AP810" s="359"/>
      <c r="AQ810" s="359"/>
      <c r="AR810" s="359"/>
      <c r="AS810" s="359"/>
    </row>
    <row r="811">
      <c r="A811" s="131"/>
      <c r="B811" s="374"/>
      <c r="C811" s="127"/>
      <c r="D811" s="127"/>
      <c r="E811" s="127"/>
      <c r="F811" s="131"/>
      <c r="G811" s="374"/>
      <c r="H811" s="127"/>
      <c r="I811" s="127"/>
      <c r="J811" s="127"/>
      <c r="K811" s="383"/>
      <c r="L811" s="374"/>
      <c r="M811" s="127"/>
      <c r="N811" s="127"/>
      <c r="O811" s="127"/>
      <c r="P811" s="383"/>
      <c r="Q811" s="164"/>
      <c r="R811" s="127"/>
      <c r="S811" s="127"/>
      <c r="T811" s="127"/>
      <c r="U811" s="131"/>
      <c r="V811" s="374"/>
      <c r="W811" s="127"/>
      <c r="X811" s="127"/>
      <c r="Y811" s="127"/>
      <c r="Z811" s="131"/>
      <c r="AA811" s="374"/>
      <c r="AB811" s="127"/>
      <c r="AC811" s="127"/>
      <c r="AD811" s="127"/>
      <c r="AE811" s="131"/>
      <c r="AF811" s="374"/>
      <c r="AG811" s="127"/>
      <c r="AH811" s="127"/>
      <c r="AI811" s="127"/>
      <c r="AJ811" s="131"/>
      <c r="AK811" s="374"/>
      <c r="AL811" s="127"/>
      <c r="AM811" s="127"/>
      <c r="AN811" s="127"/>
      <c r="AO811" s="359"/>
      <c r="AP811" s="359"/>
      <c r="AQ811" s="359"/>
      <c r="AR811" s="359"/>
      <c r="AS811" s="359"/>
    </row>
    <row r="812">
      <c r="A812" s="131"/>
      <c r="B812" s="374"/>
      <c r="C812" s="127"/>
      <c r="D812" s="127"/>
      <c r="E812" s="127"/>
      <c r="F812" s="131"/>
      <c r="G812" s="374"/>
      <c r="H812" s="127"/>
      <c r="I812" s="127"/>
      <c r="J812" s="127"/>
      <c r="K812" s="383"/>
      <c r="L812" s="374"/>
      <c r="M812" s="127"/>
      <c r="N812" s="127"/>
      <c r="O812" s="127"/>
      <c r="P812" s="383"/>
      <c r="Q812" s="164"/>
      <c r="R812" s="127"/>
      <c r="S812" s="127"/>
      <c r="T812" s="127"/>
      <c r="U812" s="131"/>
      <c r="V812" s="374"/>
      <c r="W812" s="127"/>
      <c r="X812" s="127"/>
      <c r="Y812" s="127"/>
      <c r="Z812" s="131"/>
      <c r="AA812" s="374"/>
      <c r="AB812" s="127"/>
      <c r="AC812" s="127"/>
      <c r="AD812" s="127"/>
      <c r="AE812" s="131"/>
      <c r="AF812" s="374"/>
      <c r="AG812" s="127"/>
      <c r="AH812" s="127"/>
      <c r="AI812" s="127"/>
      <c r="AJ812" s="131"/>
      <c r="AK812" s="374"/>
      <c r="AL812" s="127"/>
      <c r="AM812" s="127"/>
      <c r="AN812" s="127"/>
      <c r="AO812" s="359"/>
      <c r="AP812" s="359"/>
      <c r="AQ812" s="359"/>
      <c r="AR812" s="359"/>
      <c r="AS812" s="359"/>
    </row>
    <row r="813">
      <c r="A813" s="131"/>
      <c r="B813" s="374"/>
      <c r="C813" s="127"/>
      <c r="D813" s="127"/>
      <c r="E813" s="127"/>
      <c r="F813" s="131"/>
      <c r="G813" s="374"/>
      <c r="H813" s="127"/>
      <c r="I813" s="127"/>
      <c r="J813" s="127"/>
      <c r="K813" s="383"/>
      <c r="L813" s="374"/>
      <c r="M813" s="127"/>
      <c r="N813" s="127"/>
      <c r="O813" s="127"/>
      <c r="P813" s="383"/>
      <c r="Q813" s="164"/>
      <c r="R813" s="127"/>
      <c r="S813" s="127"/>
      <c r="T813" s="127"/>
      <c r="U813" s="131"/>
      <c r="V813" s="374"/>
      <c r="W813" s="127"/>
      <c r="X813" s="127"/>
      <c r="Y813" s="127"/>
      <c r="Z813" s="131"/>
      <c r="AA813" s="374"/>
      <c r="AB813" s="127"/>
      <c r="AC813" s="127"/>
      <c r="AD813" s="127"/>
      <c r="AE813" s="131"/>
      <c r="AF813" s="374"/>
      <c r="AG813" s="127"/>
      <c r="AH813" s="127"/>
      <c r="AI813" s="127"/>
      <c r="AJ813" s="131"/>
      <c r="AK813" s="374"/>
      <c r="AL813" s="127"/>
      <c r="AM813" s="127"/>
      <c r="AN813" s="127"/>
      <c r="AO813" s="359"/>
      <c r="AP813" s="359"/>
      <c r="AQ813" s="359"/>
      <c r="AR813" s="359"/>
      <c r="AS813" s="359"/>
    </row>
    <row r="814">
      <c r="A814" s="131"/>
      <c r="B814" s="374"/>
      <c r="C814" s="127"/>
      <c r="D814" s="127"/>
      <c r="E814" s="127"/>
      <c r="F814" s="131"/>
      <c r="G814" s="374"/>
      <c r="H814" s="127"/>
      <c r="I814" s="127"/>
      <c r="J814" s="127"/>
      <c r="K814" s="383"/>
      <c r="L814" s="374"/>
      <c r="M814" s="127"/>
      <c r="N814" s="127"/>
      <c r="O814" s="127"/>
      <c r="P814" s="383"/>
      <c r="Q814" s="164"/>
      <c r="R814" s="127"/>
      <c r="S814" s="127"/>
      <c r="T814" s="127"/>
      <c r="U814" s="131"/>
      <c r="V814" s="374"/>
      <c r="W814" s="127"/>
      <c r="X814" s="127"/>
      <c r="Y814" s="127"/>
      <c r="Z814" s="131"/>
      <c r="AA814" s="374"/>
      <c r="AB814" s="127"/>
      <c r="AC814" s="127"/>
      <c r="AD814" s="127"/>
      <c r="AE814" s="131"/>
      <c r="AF814" s="374"/>
      <c r="AG814" s="127"/>
      <c r="AH814" s="127"/>
      <c r="AI814" s="127"/>
      <c r="AJ814" s="131"/>
      <c r="AK814" s="374"/>
      <c r="AL814" s="127"/>
      <c r="AM814" s="127"/>
      <c r="AN814" s="127"/>
      <c r="AO814" s="359"/>
      <c r="AP814" s="359"/>
      <c r="AQ814" s="359"/>
      <c r="AR814" s="359"/>
      <c r="AS814" s="359"/>
    </row>
    <row r="815">
      <c r="A815" s="131"/>
      <c r="B815" s="374"/>
      <c r="C815" s="127"/>
      <c r="D815" s="127"/>
      <c r="E815" s="127"/>
      <c r="F815" s="131"/>
      <c r="G815" s="374"/>
      <c r="H815" s="127"/>
      <c r="I815" s="127"/>
      <c r="J815" s="127"/>
      <c r="K815" s="383"/>
      <c r="L815" s="374"/>
      <c r="M815" s="127"/>
      <c r="N815" s="127"/>
      <c r="O815" s="127"/>
      <c r="P815" s="383"/>
      <c r="Q815" s="164"/>
      <c r="R815" s="127"/>
      <c r="S815" s="127"/>
      <c r="T815" s="127"/>
      <c r="U815" s="131"/>
      <c r="V815" s="374"/>
      <c r="W815" s="127"/>
      <c r="X815" s="127"/>
      <c r="Y815" s="127"/>
      <c r="Z815" s="131"/>
      <c r="AA815" s="374"/>
      <c r="AB815" s="127"/>
      <c r="AC815" s="127"/>
      <c r="AD815" s="127"/>
      <c r="AE815" s="131"/>
      <c r="AF815" s="374"/>
      <c r="AG815" s="127"/>
      <c r="AH815" s="127"/>
      <c r="AI815" s="127"/>
      <c r="AJ815" s="131"/>
      <c r="AK815" s="374"/>
      <c r="AL815" s="127"/>
      <c r="AM815" s="127"/>
      <c r="AN815" s="127"/>
      <c r="AO815" s="359"/>
      <c r="AP815" s="359"/>
      <c r="AQ815" s="359"/>
      <c r="AR815" s="359"/>
      <c r="AS815" s="359"/>
    </row>
    <row r="816">
      <c r="A816" s="131"/>
      <c r="B816" s="374"/>
      <c r="C816" s="127"/>
      <c r="D816" s="127"/>
      <c r="E816" s="127"/>
      <c r="F816" s="131"/>
      <c r="G816" s="374"/>
      <c r="H816" s="127"/>
      <c r="I816" s="127"/>
      <c r="J816" s="127"/>
      <c r="K816" s="383"/>
      <c r="L816" s="374"/>
      <c r="M816" s="127"/>
      <c r="N816" s="127"/>
      <c r="O816" s="127"/>
      <c r="P816" s="383"/>
      <c r="Q816" s="164"/>
      <c r="R816" s="127"/>
      <c r="S816" s="127"/>
      <c r="T816" s="127"/>
      <c r="U816" s="131"/>
      <c r="V816" s="374"/>
      <c r="W816" s="127"/>
      <c r="X816" s="127"/>
      <c r="Y816" s="127"/>
      <c r="Z816" s="131"/>
      <c r="AA816" s="374"/>
      <c r="AB816" s="127"/>
      <c r="AC816" s="127"/>
      <c r="AD816" s="127"/>
      <c r="AE816" s="131"/>
      <c r="AF816" s="374"/>
      <c r="AG816" s="127"/>
      <c r="AH816" s="127"/>
      <c r="AI816" s="127"/>
      <c r="AJ816" s="131"/>
      <c r="AK816" s="374"/>
      <c r="AL816" s="127"/>
      <c r="AM816" s="127"/>
      <c r="AN816" s="127"/>
      <c r="AO816" s="359"/>
      <c r="AP816" s="359"/>
      <c r="AQ816" s="359"/>
      <c r="AR816" s="359"/>
      <c r="AS816" s="359"/>
    </row>
    <row r="817">
      <c r="A817" s="131"/>
      <c r="B817" s="374"/>
      <c r="C817" s="127"/>
      <c r="D817" s="127"/>
      <c r="E817" s="127"/>
      <c r="F817" s="131"/>
      <c r="G817" s="374"/>
      <c r="H817" s="127"/>
      <c r="I817" s="127"/>
      <c r="J817" s="127"/>
      <c r="K817" s="383"/>
      <c r="L817" s="374"/>
      <c r="M817" s="127"/>
      <c r="N817" s="127"/>
      <c r="O817" s="127"/>
      <c r="P817" s="383"/>
      <c r="Q817" s="164"/>
      <c r="R817" s="127"/>
      <c r="S817" s="127"/>
      <c r="T817" s="127"/>
      <c r="U817" s="131"/>
      <c r="V817" s="374"/>
      <c r="W817" s="127"/>
      <c r="X817" s="127"/>
      <c r="Y817" s="127"/>
      <c r="Z817" s="131"/>
      <c r="AA817" s="374"/>
      <c r="AB817" s="127"/>
      <c r="AC817" s="127"/>
      <c r="AD817" s="127"/>
      <c r="AE817" s="131"/>
      <c r="AF817" s="374"/>
      <c r="AG817" s="127"/>
      <c r="AH817" s="127"/>
      <c r="AI817" s="127"/>
      <c r="AJ817" s="131"/>
      <c r="AK817" s="374"/>
      <c r="AL817" s="127"/>
      <c r="AM817" s="127"/>
      <c r="AN817" s="127"/>
      <c r="AO817" s="359"/>
      <c r="AP817" s="359"/>
      <c r="AQ817" s="359"/>
      <c r="AR817" s="359"/>
      <c r="AS817" s="359"/>
    </row>
    <row r="818">
      <c r="A818" s="131"/>
      <c r="B818" s="374"/>
      <c r="C818" s="127"/>
      <c r="D818" s="127"/>
      <c r="E818" s="127"/>
      <c r="F818" s="131"/>
      <c r="G818" s="374"/>
      <c r="H818" s="127"/>
      <c r="I818" s="127"/>
      <c r="J818" s="127"/>
      <c r="K818" s="383"/>
      <c r="L818" s="374"/>
      <c r="M818" s="127"/>
      <c r="N818" s="127"/>
      <c r="O818" s="127"/>
      <c r="P818" s="383"/>
      <c r="Q818" s="164"/>
      <c r="R818" s="127"/>
      <c r="S818" s="127"/>
      <c r="T818" s="127"/>
      <c r="U818" s="131"/>
      <c r="V818" s="374"/>
      <c r="W818" s="127"/>
      <c r="X818" s="127"/>
      <c r="Y818" s="127"/>
      <c r="Z818" s="131"/>
      <c r="AA818" s="374"/>
      <c r="AB818" s="127"/>
      <c r="AC818" s="127"/>
      <c r="AD818" s="127"/>
      <c r="AE818" s="131"/>
      <c r="AF818" s="374"/>
      <c r="AG818" s="127"/>
      <c r="AH818" s="127"/>
      <c r="AI818" s="127"/>
      <c r="AJ818" s="131"/>
      <c r="AK818" s="374"/>
      <c r="AL818" s="127"/>
      <c r="AM818" s="127"/>
      <c r="AN818" s="127"/>
      <c r="AO818" s="359"/>
      <c r="AP818" s="359"/>
      <c r="AQ818" s="359"/>
      <c r="AR818" s="359"/>
      <c r="AS818" s="359"/>
    </row>
    <row r="819">
      <c r="A819" s="131"/>
      <c r="B819" s="374"/>
      <c r="C819" s="127"/>
      <c r="D819" s="127"/>
      <c r="E819" s="127"/>
      <c r="F819" s="131"/>
      <c r="G819" s="374"/>
      <c r="H819" s="127"/>
      <c r="I819" s="127"/>
      <c r="J819" s="127"/>
      <c r="K819" s="383"/>
      <c r="L819" s="374"/>
      <c r="M819" s="127"/>
      <c r="N819" s="127"/>
      <c r="O819" s="127"/>
      <c r="P819" s="383"/>
      <c r="Q819" s="164"/>
      <c r="R819" s="127"/>
      <c r="S819" s="127"/>
      <c r="T819" s="127"/>
      <c r="U819" s="131"/>
      <c r="V819" s="374"/>
      <c r="W819" s="127"/>
      <c r="X819" s="127"/>
      <c r="Y819" s="127"/>
      <c r="Z819" s="131"/>
      <c r="AA819" s="374"/>
      <c r="AB819" s="127"/>
      <c r="AC819" s="127"/>
      <c r="AD819" s="127"/>
      <c r="AE819" s="131"/>
      <c r="AF819" s="374"/>
      <c r="AG819" s="127"/>
      <c r="AH819" s="127"/>
      <c r="AI819" s="127"/>
      <c r="AJ819" s="131"/>
      <c r="AK819" s="374"/>
      <c r="AL819" s="127"/>
      <c r="AM819" s="127"/>
      <c r="AN819" s="127"/>
      <c r="AO819" s="359"/>
      <c r="AP819" s="359"/>
      <c r="AQ819" s="359"/>
      <c r="AR819" s="359"/>
      <c r="AS819" s="359"/>
    </row>
    <row r="820">
      <c r="A820" s="131"/>
      <c r="B820" s="374"/>
      <c r="C820" s="127"/>
      <c r="D820" s="127"/>
      <c r="E820" s="127"/>
      <c r="F820" s="131"/>
      <c r="G820" s="374"/>
      <c r="H820" s="127"/>
      <c r="I820" s="127"/>
      <c r="J820" s="127"/>
      <c r="K820" s="383"/>
      <c r="L820" s="374"/>
      <c r="M820" s="127"/>
      <c r="N820" s="127"/>
      <c r="O820" s="127"/>
      <c r="P820" s="383"/>
      <c r="Q820" s="164"/>
      <c r="R820" s="127"/>
      <c r="S820" s="127"/>
      <c r="T820" s="127"/>
      <c r="U820" s="131"/>
      <c r="V820" s="374"/>
      <c r="W820" s="127"/>
      <c r="X820" s="127"/>
      <c r="Y820" s="127"/>
      <c r="Z820" s="131"/>
      <c r="AA820" s="374"/>
      <c r="AB820" s="127"/>
      <c r="AC820" s="127"/>
      <c r="AD820" s="127"/>
      <c r="AE820" s="131"/>
      <c r="AF820" s="374"/>
      <c r="AG820" s="127"/>
      <c r="AH820" s="127"/>
      <c r="AI820" s="127"/>
      <c r="AJ820" s="131"/>
      <c r="AK820" s="374"/>
      <c r="AL820" s="127"/>
      <c r="AM820" s="127"/>
      <c r="AN820" s="127"/>
      <c r="AO820" s="359"/>
      <c r="AP820" s="359"/>
      <c r="AQ820" s="359"/>
      <c r="AR820" s="359"/>
      <c r="AS820" s="359"/>
    </row>
    <row r="821">
      <c r="A821" s="131"/>
      <c r="B821" s="374"/>
      <c r="C821" s="127"/>
      <c r="D821" s="127"/>
      <c r="E821" s="127"/>
      <c r="F821" s="131"/>
      <c r="G821" s="374"/>
      <c r="H821" s="127"/>
      <c r="I821" s="127"/>
      <c r="J821" s="127"/>
      <c r="K821" s="383"/>
      <c r="L821" s="374"/>
      <c r="M821" s="127"/>
      <c r="N821" s="127"/>
      <c r="O821" s="127"/>
      <c r="P821" s="383"/>
      <c r="Q821" s="164"/>
      <c r="R821" s="127"/>
      <c r="S821" s="127"/>
      <c r="T821" s="127"/>
      <c r="U821" s="131"/>
      <c r="V821" s="374"/>
      <c r="W821" s="127"/>
      <c r="X821" s="127"/>
      <c r="Y821" s="127"/>
      <c r="Z821" s="131"/>
      <c r="AA821" s="374"/>
      <c r="AB821" s="127"/>
      <c r="AC821" s="127"/>
      <c r="AD821" s="127"/>
      <c r="AE821" s="131"/>
      <c r="AF821" s="374"/>
      <c r="AG821" s="127"/>
      <c r="AH821" s="127"/>
      <c r="AI821" s="127"/>
      <c r="AJ821" s="131"/>
      <c r="AK821" s="374"/>
      <c r="AL821" s="127"/>
      <c r="AM821" s="127"/>
      <c r="AN821" s="127"/>
      <c r="AO821" s="359"/>
      <c r="AP821" s="359"/>
      <c r="AQ821" s="359"/>
      <c r="AR821" s="359"/>
      <c r="AS821" s="359"/>
    </row>
    <row r="822">
      <c r="A822" s="131"/>
      <c r="B822" s="374"/>
      <c r="C822" s="127"/>
      <c r="D822" s="127"/>
      <c r="E822" s="127"/>
      <c r="F822" s="131"/>
      <c r="G822" s="374"/>
      <c r="H822" s="127"/>
      <c r="I822" s="127"/>
      <c r="J822" s="127"/>
      <c r="K822" s="383"/>
      <c r="L822" s="374"/>
      <c r="M822" s="127"/>
      <c r="N822" s="127"/>
      <c r="O822" s="127"/>
      <c r="P822" s="383"/>
      <c r="Q822" s="164"/>
      <c r="R822" s="127"/>
      <c r="S822" s="127"/>
      <c r="T822" s="127"/>
      <c r="U822" s="131"/>
      <c r="V822" s="374"/>
      <c r="W822" s="127"/>
      <c r="X822" s="127"/>
      <c r="Y822" s="127"/>
      <c r="Z822" s="131"/>
      <c r="AA822" s="374"/>
      <c r="AB822" s="127"/>
      <c r="AC822" s="127"/>
      <c r="AD822" s="127"/>
      <c r="AE822" s="131"/>
      <c r="AF822" s="374"/>
      <c r="AG822" s="127"/>
      <c r="AH822" s="127"/>
      <c r="AI822" s="127"/>
      <c r="AJ822" s="131"/>
      <c r="AK822" s="374"/>
      <c r="AL822" s="127"/>
      <c r="AM822" s="127"/>
      <c r="AN822" s="127"/>
      <c r="AO822" s="359"/>
      <c r="AP822" s="359"/>
      <c r="AQ822" s="359"/>
      <c r="AR822" s="359"/>
      <c r="AS822" s="359"/>
    </row>
    <row r="823">
      <c r="A823" s="131"/>
      <c r="B823" s="374"/>
      <c r="C823" s="127"/>
      <c r="D823" s="127"/>
      <c r="E823" s="127"/>
      <c r="F823" s="131"/>
      <c r="G823" s="374"/>
      <c r="H823" s="127"/>
      <c r="I823" s="127"/>
      <c r="J823" s="127"/>
      <c r="K823" s="383"/>
      <c r="L823" s="374"/>
      <c r="M823" s="127"/>
      <c r="N823" s="127"/>
      <c r="O823" s="127"/>
      <c r="P823" s="383"/>
      <c r="Q823" s="164"/>
      <c r="R823" s="127"/>
      <c r="S823" s="127"/>
      <c r="T823" s="127"/>
      <c r="U823" s="131"/>
      <c r="V823" s="374"/>
      <c r="W823" s="127"/>
      <c r="X823" s="127"/>
      <c r="Y823" s="127"/>
      <c r="Z823" s="131"/>
      <c r="AA823" s="374"/>
      <c r="AB823" s="127"/>
      <c r="AC823" s="127"/>
      <c r="AD823" s="127"/>
      <c r="AE823" s="131"/>
      <c r="AF823" s="374"/>
      <c r="AG823" s="127"/>
      <c r="AH823" s="127"/>
      <c r="AI823" s="127"/>
      <c r="AJ823" s="131"/>
      <c r="AK823" s="374"/>
      <c r="AL823" s="127"/>
      <c r="AM823" s="127"/>
      <c r="AN823" s="127"/>
      <c r="AO823" s="359"/>
      <c r="AP823" s="359"/>
      <c r="AQ823" s="359"/>
      <c r="AR823" s="359"/>
      <c r="AS823" s="359"/>
    </row>
    <row r="824">
      <c r="A824" s="131"/>
      <c r="B824" s="374"/>
      <c r="C824" s="127"/>
      <c r="D824" s="127"/>
      <c r="E824" s="127"/>
      <c r="F824" s="131"/>
      <c r="G824" s="374"/>
      <c r="H824" s="127"/>
      <c r="I824" s="127"/>
      <c r="J824" s="127"/>
      <c r="K824" s="383"/>
      <c r="L824" s="374"/>
      <c r="M824" s="127"/>
      <c r="N824" s="127"/>
      <c r="O824" s="127"/>
      <c r="P824" s="383"/>
      <c r="Q824" s="164"/>
      <c r="R824" s="127"/>
      <c r="S824" s="127"/>
      <c r="T824" s="127"/>
      <c r="U824" s="131"/>
      <c r="V824" s="374"/>
      <c r="W824" s="127"/>
      <c r="X824" s="127"/>
      <c r="Y824" s="127"/>
      <c r="Z824" s="131"/>
      <c r="AA824" s="374"/>
      <c r="AB824" s="127"/>
      <c r="AC824" s="127"/>
      <c r="AD824" s="127"/>
      <c r="AE824" s="131"/>
      <c r="AF824" s="374"/>
      <c r="AG824" s="127"/>
      <c r="AH824" s="127"/>
      <c r="AI824" s="127"/>
      <c r="AJ824" s="131"/>
      <c r="AK824" s="374"/>
      <c r="AL824" s="127"/>
      <c r="AM824" s="127"/>
      <c r="AN824" s="127"/>
      <c r="AO824" s="359"/>
      <c r="AP824" s="359"/>
      <c r="AQ824" s="359"/>
      <c r="AR824" s="359"/>
      <c r="AS824" s="359"/>
    </row>
    <row r="825">
      <c r="A825" s="131"/>
      <c r="B825" s="374"/>
      <c r="C825" s="127"/>
      <c r="D825" s="127"/>
      <c r="E825" s="127"/>
      <c r="F825" s="131"/>
      <c r="G825" s="374"/>
      <c r="H825" s="127"/>
      <c r="I825" s="127"/>
      <c r="J825" s="127"/>
      <c r="K825" s="383"/>
      <c r="L825" s="374"/>
      <c r="M825" s="127"/>
      <c r="N825" s="127"/>
      <c r="O825" s="127"/>
      <c r="P825" s="383"/>
      <c r="Q825" s="164"/>
      <c r="R825" s="127"/>
      <c r="S825" s="127"/>
      <c r="T825" s="127"/>
      <c r="U825" s="131"/>
      <c r="V825" s="374"/>
      <c r="W825" s="127"/>
      <c r="X825" s="127"/>
      <c r="Y825" s="127"/>
      <c r="Z825" s="131"/>
      <c r="AA825" s="374"/>
      <c r="AB825" s="127"/>
      <c r="AC825" s="127"/>
      <c r="AD825" s="127"/>
      <c r="AE825" s="131"/>
      <c r="AF825" s="374"/>
      <c r="AG825" s="127"/>
      <c r="AH825" s="127"/>
      <c r="AI825" s="127"/>
      <c r="AJ825" s="131"/>
      <c r="AK825" s="374"/>
      <c r="AL825" s="127"/>
      <c r="AM825" s="127"/>
      <c r="AN825" s="127"/>
      <c r="AO825" s="359"/>
      <c r="AP825" s="359"/>
      <c r="AQ825" s="359"/>
      <c r="AR825" s="359"/>
      <c r="AS825" s="359"/>
    </row>
    <row r="826">
      <c r="A826" s="131"/>
      <c r="B826" s="374"/>
      <c r="C826" s="127"/>
      <c r="D826" s="127"/>
      <c r="E826" s="127"/>
      <c r="F826" s="131"/>
      <c r="G826" s="374"/>
      <c r="H826" s="127"/>
      <c r="I826" s="127"/>
      <c r="J826" s="127"/>
      <c r="K826" s="383"/>
      <c r="L826" s="374"/>
      <c r="M826" s="127"/>
      <c r="N826" s="127"/>
      <c r="O826" s="127"/>
      <c r="P826" s="383"/>
      <c r="Q826" s="164"/>
      <c r="R826" s="127"/>
      <c r="S826" s="127"/>
      <c r="T826" s="127"/>
      <c r="U826" s="131"/>
      <c r="V826" s="374"/>
      <c r="W826" s="127"/>
      <c r="X826" s="127"/>
      <c r="Y826" s="127"/>
      <c r="Z826" s="131"/>
      <c r="AA826" s="374"/>
      <c r="AB826" s="127"/>
      <c r="AC826" s="127"/>
      <c r="AD826" s="127"/>
      <c r="AE826" s="131"/>
      <c r="AF826" s="374"/>
      <c r="AG826" s="127"/>
      <c r="AH826" s="127"/>
      <c r="AI826" s="127"/>
      <c r="AJ826" s="131"/>
      <c r="AK826" s="374"/>
      <c r="AL826" s="127"/>
      <c r="AM826" s="127"/>
      <c r="AN826" s="127"/>
      <c r="AO826" s="359"/>
      <c r="AP826" s="359"/>
      <c r="AQ826" s="359"/>
      <c r="AR826" s="359"/>
      <c r="AS826" s="359"/>
    </row>
    <row r="827">
      <c r="A827" s="131"/>
      <c r="B827" s="374"/>
      <c r="C827" s="127"/>
      <c r="D827" s="127"/>
      <c r="E827" s="127"/>
      <c r="F827" s="131"/>
      <c r="G827" s="374"/>
      <c r="H827" s="127"/>
      <c r="I827" s="127"/>
      <c r="J827" s="127"/>
      <c r="K827" s="383"/>
      <c r="L827" s="374"/>
      <c r="M827" s="127"/>
      <c r="N827" s="127"/>
      <c r="O827" s="127"/>
      <c r="P827" s="383"/>
      <c r="Q827" s="164"/>
      <c r="R827" s="127"/>
      <c r="S827" s="127"/>
      <c r="T827" s="127"/>
      <c r="U827" s="131"/>
      <c r="V827" s="374"/>
      <c r="W827" s="127"/>
      <c r="X827" s="127"/>
      <c r="Y827" s="127"/>
      <c r="Z827" s="131"/>
      <c r="AA827" s="374"/>
      <c r="AB827" s="127"/>
      <c r="AC827" s="127"/>
      <c r="AD827" s="127"/>
      <c r="AE827" s="131"/>
      <c r="AF827" s="374"/>
      <c r="AG827" s="127"/>
      <c r="AH827" s="127"/>
      <c r="AI827" s="127"/>
      <c r="AJ827" s="131"/>
      <c r="AK827" s="374"/>
      <c r="AL827" s="127"/>
      <c r="AM827" s="127"/>
      <c r="AN827" s="127"/>
      <c r="AO827" s="359"/>
      <c r="AP827" s="359"/>
      <c r="AQ827" s="359"/>
      <c r="AR827" s="359"/>
      <c r="AS827" s="359"/>
    </row>
    <row r="828">
      <c r="A828" s="131"/>
      <c r="B828" s="374"/>
      <c r="C828" s="127"/>
      <c r="D828" s="127"/>
      <c r="E828" s="127"/>
      <c r="F828" s="131"/>
      <c r="G828" s="374"/>
      <c r="H828" s="127"/>
      <c r="I828" s="127"/>
      <c r="J828" s="127"/>
      <c r="K828" s="383"/>
      <c r="L828" s="374"/>
      <c r="M828" s="127"/>
      <c r="N828" s="127"/>
      <c r="O828" s="127"/>
      <c r="P828" s="383"/>
      <c r="Q828" s="164"/>
      <c r="R828" s="127"/>
      <c r="S828" s="127"/>
      <c r="T828" s="127"/>
      <c r="U828" s="131"/>
      <c r="V828" s="374"/>
      <c r="W828" s="127"/>
      <c r="X828" s="127"/>
      <c r="Y828" s="127"/>
      <c r="Z828" s="131"/>
      <c r="AA828" s="374"/>
      <c r="AB828" s="127"/>
      <c r="AC828" s="127"/>
      <c r="AD828" s="127"/>
      <c r="AE828" s="131"/>
      <c r="AF828" s="374"/>
      <c r="AG828" s="127"/>
      <c r="AH828" s="127"/>
      <c r="AI828" s="127"/>
      <c r="AJ828" s="131"/>
      <c r="AK828" s="374"/>
      <c r="AL828" s="127"/>
      <c r="AM828" s="127"/>
      <c r="AN828" s="127"/>
      <c r="AO828" s="359"/>
      <c r="AP828" s="359"/>
      <c r="AQ828" s="359"/>
      <c r="AR828" s="359"/>
      <c r="AS828" s="359"/>
    </row>
    <row r="829">
      <c r="A829" s="131"/>
      <c r="B829" s="374"/>
      <c r="C829" s="127"/>
      <c r="D829" s="127"/>
      <c r="E829" s="127"/>
      <c r="F829" s="131"/>
      <c r="G829" s="374"/>
      <c r="H829" s="127"/>
      <c r="I829" s="127"/>
      <c r="J829" s="127"/>
      <c r="K829" s="383"/>
      <c r="L829" s="374"/>
      <c r="M829" s="127"/>
      <c r="N829" s="127"/>
      <c r="O829" s="127"/>
      <c r="P829" s="383"/>
      <c r="Q829" s="164"/>
      <c r="R829" s="127"/>
      <c r="S829" s="127"/>
      <c r="T829" s="127"/>
      <c r="U829" s="131"/>
      <c r="V829" s="374"/>
      <c r="W829" s="127"/>
      <c r="X829" s="127"/>
      <c r="Y829" s="127"/>
      <c r="Z829" s="131"/>
      <c r="AA829" s="374"/>
      <c r="AB829" s="127"/>
      <c r="AC829" s="127"/>
      <c r="AD829" s="127"/>
      <c r="AE829" s="131"/>
      <c r="AF829" s="374"/>
      <c r="AG829" s="127"/>
      <c r="AH829" s="127"/>
      <c r="AI829" s="127"/>
      <c r="AJ829" s="131"/>
      <c r="AK829" s="374"/>
      <c r="AL829" s="127"/>
      <c r="AM829" s="127"/>
      <c r="AN829" s="127"/>
      <c r="AO829" s="359"/>
      <c r="AP829" s="359"/>
      <c r="AQ829" s="359"/>
      <c r="AR829" s="359"/>
      <c r="AS829" s="359"/>
    </row>
    <row r="830">
      <c r="A830" s="131"/>
      <c r="B830" s="374"/>
      <c r="C830" s="127"/>
      <c r="D830" s="127"/>
      <c r="E830" s="127"/>
      <c r="F830" s="131"/>
      <c r="G830" s="374"/>
      <c r="H830" s="127"/>
      <c r="I830" s="127"/>
      <c r="J830" s="127"/>
      <c r="K830" s="383"/>
      <c r="L830" s="374"/>
      <c r="M830" s="127"/>
      <c r="N830" s="127"/>
      <c r="O830" s="127"/>
      <c r="P830" s="383"/>
      <c r="Q830" s="164"/>
      <c r="R830" s="127"/>
      <c r="S830" s="127"/>
      <c r="T830" s="127"/>
      <c r="U830" s="131"/>
      <c r="V830" s="374"/>
      <c r="W830" s="127"/>
      <c r="X830" s="127"/>
      <c r="Y830" s="127"/>
      <c r="Z830" s="131"/>
      <c r="AA830" s="374"/>
      <c r="AB830" s="127"/>
      <c r="AC830" s="127"/>
      <c r="AD830" s="127"/>
      <c r="AE830" s="131"/>
      <c r="AF830" s="374"/>
      <c r="AG830" s="127"/>
      <c r="AH830" s="127"/>
      <c r="AI830" s="127"/>
      <c r="AJ830" s="131"/>
      <c r="AK830" s="374"/>
      <c r="AL830" s="127"/>
      <c r="AM830" s="127"/>
      <c r="AN830" s="127"/>
      <c r="AO830" s="359"/>
      <c r="AP830" s="359"/>
      <c r="AQ830" s="359"/>
      <c r="AR830" s="359"/>
      <c r="AS830" s="359"/>
    </row>
    <row r="831">
      <c r="A831" s="131"/>
      <c r="B831" s="374"/>
      <c r="C831" s="127"/>
      <c r="D831" s="127"/>
      <c r="E831" s="127"/>
      <c r="F831" s="131"/>
      <c r="G831" s="374"/>
      <c r="H831" s="127"/>
      <c r="I831" s="127"/>
      <c r="J831" s="127"/>
      <c r="K831" s="383"/>
      <c r="L831" s="374"/>
      <c r="M831" s="127"/>
      <c r="N831" s="127"/>
      <c r="O831" s="127"/>
      <c r="P831" s="383"/>
      <c r="Q831" s="164"/>
      <c r="R831" s="127"/>
      <c r="S831" s="127"/>
      <c r="T831" s="127"/>
      <c r="U831" s="131"/>
      <c r="V831" s="374"/>
      <c r="W831" s="127"/>
      <c r="X831" s="127"/>
      <c r="Y831" s="127"/>
      <c r="Z831" s="131"/>
      <c r="AA831" s="374"/>
      <c r="AB831" s="127"/>
      <c r="AC831" s="127"/>
      <c r="AD831" s="127"/>
      <c r="AE831" s="131"/>
      <c r="AF831" s="374"/>
      <c r="AG831" s="127"/>
      <c r="AH831" s="127"/>
      <c r="AI831" s="127"/>
      <c r="AJ831" s="131"/>
      <c r="AK831" s="374"/>
      <c r="AL831" s="127"/>
      <c r="AM831" s="127"/>
      <c r="AN831" s="127"/>
      <c r="AO831" s="359"/>
      <c r="AP831" s="359"/>
      <c r="AQ831" s="359"/>
      <c r="AR831" s="359"/>
      <c r="AS831" s="359"/>
    </row>
    <row r="832">
      <c r="A832" s="131"/>
      <c r="B832" s="374"/>
      <c r="C832" s="127"/>
      <c r="D832" s="127"/>
      <c r="E832" s="127"/>
      <c r="F832" s="131"/>
      <c r="G832" s="374"/>
      <c r="H832" s="127"/>
      <c r="I832" s="127"/>
      <c r="J832" s="127"/>
      <c r="K832" s="383"/>
      <c r="L832" s="374"/>
      <c r="M832" s="127"/>
      <c r="N832" s="127"/>
      <c r="O832" s="127"/>
      <c r="P832" s="383"/>
      <c r="Q832" s="164"/>
      <c r="R832" s="127"/>
      <c r="S832" s="127"/>
      <c r="T832" s="127"/>
      <c r="U832" s="131"/>
      <c r="V832" s="374"/>
      <c r="W832" s="127"/>
      <c r="X832" s="127"/>
      <c r="Y832" s="127"/>
      <c r="Z832" s="131"/>
      <c r="AA832" s="374"/>
      <c r="AB832" s="127"/>
      <c r="AC832" s="127"/>
      <c r="AD832" s="127"/>
      <c r="AE832" s="131"/>
      <c r="AF832" s="374"/>
      <c r="AG832" s="127"/>
      <c r="AH832" s="127"/>
      <c r="AI832" s="127"/>
      <c r="AJ832" s="131"/>
      <c r="AK832" s="374"/>
      <c r="AL832" s="127"/>
      <c r="AM832" s="127"/>
      <c r="AN832" s="127"/>
      <c r="AO832" s="359"/>
      <c r="AP832" s="359"/>
      <c r="AQ832" s="359"/>
      <c r="AR832" s="359"/>
      <c r="AS832" s="359"/>
    </row>
    <row r="833">
      <c r="A833" s="131"/>
      <c r="B833" s="374"/>
      <c r="C833" s="127"/>
      <c r="D833" s="127"/>
      <c r="E833" s="127"/>
      <c r="F833" s="131"/>
      <c r="G833" s="374"/>
      <c r="H833" s="127"/>
      <c r="I833" s="127"/>
      <c r="J833" s="127"/>
      <c r="K833" s="383"/>
      <c r="L833" s="374"/>
      <c r="M833" s="127"/>
      <c r="N833" s="127"/>
      <c r="O833" s="127"/>
      <c r="P833" s="383"/>
      <c r="Q833" s="164"/>
      <c r="R833" s="127"/>
      <c r="S833" s="127"/>
      <c r="T833" s="127"/>
      <c r="U833" s="131"/>
      <c r="V833" s="374"/>
      <c r="W833" s="127"/>
      <c r="X833" s="127"/>
      <c r="Y833" s="127"/>
      <c r="Z833" s="131"/>
      <c r="AA833" s="374"/>
      <c r="AB833" s="127"/>
      <c r="AC833" s="127"/>
      <c r="AD833" s="127"/>
      <c r="AE833" s="131"/>
      <c r="AF833" s="374"/>
      <c r="AG833" s="127"/>
      <c r="AH833" s="127"/>
      <c r="AI833" s="127"/>
      <c r="AJ833" s="131"/>
      <c r="AK833" s="374"/>
      <c r="AL833" s="127"/>
      <c r="AM833" s="127"/>
      <c r="AN833" s="127"/>
      <c r="AO833" s="359"/>
      <c r="AP833" s="359"/>
      <c r="AQ833" s="359"/>
      <c r="AR833" s="359"/>
      <c r="AS833" s="359"/>
    </row>
    <row r="834">
      <c r="A834" s="131"/>
      <c r="B834" s="374"/>
      <c r="C834" s="127"/>
      <c r="D834" s="127"/>
      <c r="E834" s="127"/>
      <c r="F834" s="131"/>
      <c r="G834" s="374"/>
      <c r="H834" s="127"/>
      <c r="I834" s="127"/>
      <c r="J834" s="127"/>
      <c r="K834" s="383"/>
      <c r="L834" s="374"/>
      <c r="M834" s="127"/>
      <c r="N834" s="127"/>
      <c r="O834" s="127"/>
      <c r="P834" s="383"/>
      <c r="Q834" s="164"/>
      <c r="R834" s="127"/>
      <c r="S834" s="127"/>
      <c r="T834" s="127"/>
      <c r="U834" s="131"/>
      <c r="V834" s="374"/>
      <c r="W834" s="127"/>
      <c r="X834" s="127"/>
      <c r="Y834" s="127"/>
      <c r="Z834" s="131"/>
      <c r="AA834" s="374"/>
      <c r="AB834" s="127"/>
      <c r="AC834" s="127"/>
      <c r="AD834" s="127"/>
      <c r="AE834" s="131"/>
      <c r="AF834" s="374"/>
      <c r="AG834" s="127"/>
      <c r="AH834" s="127"/>
      <c r="AI834" s="127"/>
      <c r="AJ834" s="131"/>
      <c r="AK834" s="374"/>
      <c r="AL834" s="127"/>
      <c r="AM834" s="127"/>
      <c r="AN834" s="127"/>
      <c r="AO834" s="359"/>
      <c r="AP834" s="359"/>
      <c r="AQ834" s="359"/>
      <c r="AR834" s="359"/>
      <c r="AS834" s="359"/>
    </row>
    <row r="835">
      <c r="A835" s="131"/>
      <c r="B835" s="374"/>
      <c r="C835" s="127"/>
      <c r="D835" s="127"/>
      <c r="E835" s="127"/>
      <c r="F835" s="131"/>
      <c r="G835" s="374"/>
      <c r="H835" s="127"/>
      <c r="I835" s="127"/>
      <c r="J835" s="127"/>
      <c r="K835" s="383"/>
      <c r="L835" s="374"/>
      <c r="M835" s="127"/>
      <c r="N835" s="127"/>
      <c r="O835" s="127"/>
      <c r="P835" s="383"/>
      <c r="Q835" s="164"/>
      <c r="R835" s="127"/>
      <c r="S835" s="127"/>
      <c r="T835" s="127"/>
      <c r="U835" s="131"/>
      <c r="V835" s="374"/>
      <c r="W835" s="127"/>
      <c r="X835" s="127"/>
      <c r="Y835" s="127"/>
      <c r="Z835" s="131"/>
      <c r="AA835" s="374"/>
      <c r="AB835" s="127"/>
      <c r="AC835" s="127"/>
      <c r="AD835" s="127"/>
      <c r="AE835" s="131"/>
      <c r="AF835" s="374"/>
      <c r="AG835" s="127"/>
      <c r="AH835" s="127"/>
      <c r="AI835" s="127"/>
      <c r="AJ835" s="131"/>
      <c r="AK835" s="374"/>
      <c r="AL835" s="127"/>
      <c r="AM835" s="127"/>
      <c r="AN835" s="127"/>
      <c r="AO835" s="359"/>
      <c r="AP835" s="359"/>
      <c r="AQ835" s="359"/>
      <c r="AR835" s="359"/>
      <c r="AS835" s="359"/>
    </row>
    <row r="836">
      <c r="A836" s="131"/>
      <c r="B836" s="374"/>
      <c r="C836" s="127"/>
      <c r="D836" s="127"/>
      <c r="E836" s="127"/>
      <c r="F836" s="131"/>
      <c r="G836" s="374"/>
      <c r="H836" s="127"/>
      <c r="I836" s="127"/>
      <c r="J836" s="127"/>
      <c r="K836" s="383"/>
      <c r="L836" s="374"/>
      <c r="M836" s="127"/>
      <c r="N836" s="127"/>
      <c r="O836" s="127"/>
      <c r="P836" s="383"/>
      <c r="Q836" s="164"/>
      <c r="R836" s="127"/>
      <c r="S836" s="127"/>
      <c r="T836" s="127"/>
      <c r="U836" s="131"/>
      <c r="V836" s="374"/>
      <c r="W836" s="127"/>
      <c r="X836" s="127"/>
      <c r="Y836" s="127"/>
      <c r="Z836" s="131"/>
      <c r="AA836" s="374"/>
      <c r="AB836" s="127"/>
      <c r="AC836" s="127"/>
      <c r="AD836" s="127"/>
      <c r="AE836" s="131"/>
      <c r="AF836" s="374"/>
      <c r="AG836" s="127"/>
      <c r="AH836" s="127"/>
      <c r="AI836" s="127"/>
      <c r="AJ836" s="131"/>
      <c r="AK836" s="374"/>
      <c r="AL836" s="127"/>
      <c r="AM836" s="127"/>
      <c r="AN836" s="127"/>
      <c r="AO836" s="359"/>
      <c r="AP836" s="359"/>
      <c r="AQ836" s="359"/>
      <c r="AR836" s="359"/>
      <c r="AS836" s="359"/>
    </row>
    <row r="837">
      <c r="A837" s="131"/>
      <c r="B837" s="374"/>
      <c r="C837" s="127"/>
      <c r="D837" s="127"/>
      <c r="E837" s="127"/>
      <c r="F837" s="131"/>
      <c r="G837" s="374"/>
      <c r="H837" s="127"/>
      <c r="I837" s="127"/>
      <c r="J837" s="127"/>
      <c r="K837" s="383"/>
      <c r="L837" s="374"/>
      <c r="M837" s="127"/>
      <c r="N837" s="127"/>
      <c r="O837" s="127"/>
      <c r="P837" s="383"/>
      <c r="Q837" s="164"/>
      <c r="R837" s="127"/>
      <c r="S837" s="127"/>
      <c r="T837" s="127"/>
      <c r="U837" s="131"/>
      <c r="V837" s="374"/>
      <c r="W837" s="127"/>
      <c r="X837" s="127"/>
      <c r="Y837" s="127"/>
      <c r="Z837" s="131"/>
      <c r="AA837" s="374"/>
      <c r="AB837" s="127"/>
      <c r="AC837" s="127"/>
      <c r="AD837" s="127"/>
      <c r="AE837" s="131"/>
      <c r="AF837" s="374"/>
      <c r="AG837" s="127"/>
      <c r="AH837" s="127"/>
      <c r="AI837" s="127"/>
      <c r="AJ837" s="131"/>
      <c r="AK837" s="374"/>
      <c r="AL837" s="127"/>
      <c r="AM837" s="127"/>
      <c r="AN837" s="127"/>
      <c r="AO837" s="359"/>
      <c r="AP837" s="359"/>
      <c r="AQ837" s="359"/>
      <c r="AR837" s="359"/>
      <c r="AS837" s="359"/>
    </row>
    <row r="838">
      <c r="A838" s="131"/>
      <c r="B838" s="374"/>
      <c r="C838" s="127"/>
      <c r="D838" s="127"/>
      <c r="E838" s="127"/>
      <c r="F838" s="131"/>
      <c r="G838" s="374"/>
      <c r="H838" s="127"/>
      <c r="I838" s="127"/>
      <c r="J838" s="127"/>
      <c r="K838" s="383"/>
      <c r="L838" s="374"/>
      <c r="M838" s="127"/>
      <c r="N838" s="127"/>
      <c r="O838" s="127"/>
      <c r="P838" s="383"/>
      <c r="Q838" s="164"/>
      <c r="R838" s="127"/>
      <c r="S838" s="127"/>
      <c r="T838" s="127"/>
      <c r="U838" s="131"/>
      <c r="V838" s="374"/>
      <c r="W838" s="127"/>
      <c r="X838" s="127"/>
      <c r="Y838" s="127"/>
      <c r="Z838" s="131"/>
      <c r="AA838" s="374"/>
      <c r="AB838" s="127"/>
      <c r="AC838" s="127"/>
      <c r="AD838" s="127"/>
      <c r="AE838" s="131"/>
      <c r="AF838" s="374"/>
      <c r="AG838" s="127"/>
      <c r="AH838" s="127"/>
      <c r="AI838" s="127"/>
      <c r="AJ838" s="131"/>
      <c r="AK838" s="374"/>
      <c r="AL838" s="127"/>
      <c r="AM838" s="127"/>
      <c r="AN838" s="127"/>
      <c r="AO838" s="359"/>
      <c r="AP838" s="359"/>
      <c r="AQ838" s="359"/>
      <c r="AR838" s="359"/>
      <c r="AS838" s="359"/>
    </row>
    <row r="839">
      <c r="A839" s="131"/>
      <c r="B839" s="374"/>
      <c r="C839" s="127"/>
      <c r="D839" s="127"/>
      <c r="E839" s="127"/>
      <c r="F839" s="131"/>
      <c r="G839" s="374"/>
      <c r="H839" s="127"/>
      <c r="I839" s="127"/>
      <c r="J839" s="127"/>
      <c r="K839" s="383"/>
      <c r="L839" s="374"/>
      <c r="M839" s="127"/>
      <c r="N839" s="127"/>
      <c r="O839" s="127"/>
      <c r="P839" s="383"/>
      <c r="Q839" s="164"/>
      <c r="R839" s="127"/>
      <c r="S839" s="127"/>
      <c r="T839" s="127"/>
      <c r="U839" s="131"/>
      <c r="V839" s="374"/>
      <c r="W839" s="127"/>
      <c r="X839" s="127"/>
      <c r="Y839" s="127"/>
      <c r="Z839" s="131"/>
      <c r="AA839" s="374"/>
      <c r="AB839" s="127"/>
      <c r="AC839" s="127"/>
      <c r="AD839" s="127"/>
      <c r="AE839" s="131"/>
      <c r="AF839" s="374"/>
      <c r="AG839" s="127"/>
      <c r="AH839" s="127"/>
      <c r="AI839" s="127"/>
      <c r="AJ839" s="131"/>
      <c r="AK839" s="374"/>
      <c r="AL839" s="127"/>
      <c r="AM839" s="127"/>
      <c r="AN839" s="127"/>
      <c r="AO839" s="359"/>
      <c r="AP839" s="359"/>
      <c r="AQ839" s="359"/>
      <c r="AR839" s="359"/>
      <c r="AS839" s="359"/>
    </row>
    <row r="840">
      <c r="A840" s="131"/>
      <c r="B840" s="374"/>
      <c r="C840" s="127"/>
      <c r="D840" s="127"/>
      <c r="E840" s="127"/>
      <c r="F840" s="131"/>
      <c r="G840" s="374"/>
      <c r="H840" s="127"/>
      <c r="I840" s="127"/>
      <c r="J840" s="127"/>
      <c r="K840" s="383"/>
      <c r="L840" s="374"/>
      <c r="M840" s="127"/>
      <c r="N840" s="127"/>
      <c r="O840" s="127"/>
      <c r="P840" s="383"/>
      <c r="Q840" s="164"/>
      <c r="R840" s="127"/>
      <c r="S840" s="127"/>
      <c r="T840" s="127"/>
      <c r="U840" s="131"/>
      <c r="V840" s="374"/>
      <c r="W840" s="127"/>
      <c r="X840" s="127"/>
      <c r="Y840" s="127"/>
      <c r="Z840" s="131"/>
      <c r="AA840" s="374"/>
      <c r="AB840" s="127"/>
      <c r="AC840" s="127"/>
      <c r="AD840" s="127"/>
      <c r="AE840" s="131"/>
      <c r="AF840" s="374"/>
      <c r="AG840" s="127"/>
      <c r="AH840" s="127"/>
      <c r="AI840" s="127"/>
      <c r="AJ840" s="131"/>
      <c r="AK840" s="374"/>
      <c r="AL840" s="127"/>
      <c r="AM840" s="127"/>
      <c r="AN840" s="127"/>
      <c r="AO840" s="359"/>
      <c r="AP840" s="359"/>
      <c r="AQ840" s="359"/>
      <c r="AR840" s="359"/>
      <c r="AS840" s="359"/>
    </row>
    <row r="841">
      <c r="A841" s="131"/>
      <c r="B841" s="374"/>
      <c r="C841" s="127"/>
      <c r="D841" s="127"/>
      <c r="E841" s="127"/>
      <c r="F841" s="131"/>
      <c r="G841" s="374"/>
      <c r="H841" s="127"/>
      <c r="I841" s="127"/>
      <c r="J841" s="127"/>
      <c r="K841" s="383"/>
      <c r="L841" s="374"/>
      <c r="M841" s="127"/>
      <c r="N841" s="127"/>
      <c r="O841" s="127"/>
      <c r="P841" s="383"/>
      <c r="Q841" s="164"/>
      <c r="R841" s="127"/>
      <c r="S841" s="127"/>
      <c r="T841" s="127"/>
      <c r="U841" s="131"/>
      <c r="V841" s="374"/>
      <c r="W841" s="127"/>
      <c r="X841" s="127"/>
      <c r="Y841" s="127"/>
      <c r="Z841" s="131"/>
      <c r="AA841" s="374"/>
      <c r="AB841" s="127"/>
      <c r="AC841" s="127"/>
      <c r="AD841" s="127"/>
      <c r="AE841" s="131"/>
      <c r="AF841" s="374"/>
      <c r="AG841" s="127"/>
      <c r="AH841" s="127"/>
      <c r="AI841" s="127"/>
      <c r="AJ841" s="131"/>
      <c r="AK841" s="374"/>
      <c r="AL841" s="127"/>
      <c r="AM841" s="127"/>
      <c r="AN841" s="127"/>
      <c r="AO841" s="359"/>
      <c r="AP841" s="359"/>
      <c r="AQ841" s="359"/>
      <c r="AR841" s="359"/>
      <c r="AS841" s="359"/>
    </row>
    <row r="842">
      <c r="A842" s="131"/>
      <c r="B842" s="374"/>
      <c r="C842" s="127"/>
      <c r="D842" s="127"/>
      <c r="E842" s="127"/>
      <c r="F842" s="131"/>
      <c r="G842" s="374"/>
      <c r="H842" s="127"/>
      <c r="I842" s="127"/>
      <c r="J842" s="127"/>
      <c r="K842" s="383"/>
      <c r="L842" s="374"/>
      <c r="M842" s="127"/>
      <c r="N842" s="127"/>
      <c r="O842" s="127"/>
      <c r="P842" s="383"/>
      <c r="Q842" s="164"/>
      <c r="R842" s="127"/>
      <c r="S842" s="127"/>
      <c r="T842" s="127"/>
      <c r="U842" s="131"/>
      <c r="V842" s="374"/>
      <c r="W842" s="127"/>
      <c r="X842" s="127"/>
      <c r="Y842" s="127"/>
      <c r="Z842" s="131"/>
      <c r="AA842" s="374"/>
      <c r="AB842" s="127"/>
      <c r="AC842" s="127"/>
      <c r="AD842" s="127"/>
      <c r="AE842" s="131"/>
      <c r="AF842" s="374"/>
      <c r="AG842" s="127"/>
      <c r="AH842" s="127"/>
      <c r="AI842" s="127"/>
      <c r="AJ842" s="131"/>
      <c r="AK842" s="374"/>
      <c r="AL842" s="127"/>
      <c r="AM842" s="127"/>
      <c r="AN842" s="127"/>
      <c r="AO842" s="359"/>
      <c r="AP842" s="359"/>
      <c r="AQ842" s="359"/>
      <c r="AR842" s="359"/>
      <c r="AS842" s="359"/>
    </row>
    <row r="843">
      <c r="A843" s="131"/>
      <c r="B843" s="374"/>
      <c r="C843" s="127"/>
      <c r="D843" s="127"/>
      <c r="E843" s="127"/>
      <c r="F843" s="131"/>
      <c r="G843" s="374"/>
      <c r="H843" s="127"/>
      <c r="I843" s="127"/>
      <c r="J843" s="127"/>
      <c r="K843" s="383"/>
      <c r="L843" s="374"/>
      <c r="M843" s="127"/>
      <c r="N843" s="127"/>
      <c r="O843" s="127"/>
      <c r="P843" s="383"/>
      <c r="Q843" s="164"/>
      <c r="R843" s="127"/>
      <c r="S843" s="127"/>
      <c r="T843" s="127"/>
      <c r="U843" s="131"/>
      <c r="V843" s="374"/>
      <c r="W843" s="127"/>
      <c r="X843" s="127"/>
      <c r="Y843" s="127"/>
      <c r="Z843" s="131"/>
      <c r="AA843" s="374"/>
      <c r="AB843" s="127"/>
      <c r="AC843" s="127"/>
      <c r="AD843" s="127"/>
      <c r="AE843" s="131"/>
      <c r="AF843" s="374"/>
      <c r="AG843" s="127"/>
      <c r="AH843" s="127"/>
      <c r="AI843" s="127"/>
      <c r="AJ843" s="131"/>
      <c r="AK843" s="374"/>
      <c r="AL843" s="127"/>
      <c r="AM843" s="127"/>
      <c r="AN843" s="127"/>
      <c r="AO843" s="359"/>
      <c r="AP843" s="359"/>
      <c r="AQ843" s="359"/>
      <c r="AR843" s="359"/>
      <c r="AS843" s="359"/>
    </row>
    <row r="844">
      <c r="A844" s="131"/>
      <c r="B844" s="374"/>
      <c r="C844" s="127"/>
      <c r="D844" s="127"/>
      <c r="E844" s="127"/>
      <c r="F844" s="131"/>
      <c r="G844" s="374"/>
      <c r="H844" s="127"/>
      <c r="I844" s="127"/>
      <c r="J844" s="127"/>
      <c r="K844" s="383"/>
      <c r="L844" s="374"/>
      <c r="M844" s="127"/>
      <c r="N844" s="127"/>
      <c r="O844" s="127"/>
      <c r="P844" s="383"/>
      <c r="Q844" s="164"/>
      <c r="R844" s="127"/>
      <c r="S844" s="127"/>
      <c r="T844" s="127"/>
      <c r="U844" s="131"/>
      <c r="V844" s="374"/>
      <c r="W844" s="127"/>
      <c r="X844" s="127"/>
      <c r="Y844" s="127"/>
      <c r="Z844" s="131"/>
      <c r="AA844" s="374"/>
      <c r="AB844" s="127"/>
      <c r="AC844" s="127"/>
      <c r="AD844" s="127"/>
      <c r="AE844" s="131"/>
      <c r="AF844" s="374"/>
      <c r="AG844" s="127"/>
      <c r="AH844" s="127"/>
      <c r="AI844" s="127"/>
      <c r="AJ844" s="131"/>
      <c r="AK844" s="374"/>
      <c r="AL844" s="127"/>
      <c r="AM844" s="127"/>
      <c r="AN844" s="127"/>
      <c r="AO844" s="359"/>
      <c r="AP844" s="359"/>
      <c r="AQ844" s="359"/>
      <c r="AR844" s="359"/>
      <c r="AS844" s="359"/>
    </row>
    <row r="845">
      <c r="A845" s="131"/>
      <c r="B845" s="374"/>
      <c r="C845" s="127"/>
      <c r="D845" s="127"/>
      <c r="E845" s="127"/>
      <c r="F845" s="131"/>
      <c r="G845" s="374"/>
      <c r="H845" s="127"/>
      <c r="I845" s="127"/>
      <c r="J845" s="127"/>
      <c r="K845" s="383"/>
      <c r="L845" s="374"/>
      <c r="M845" s="127"/>
      <c r="N845" s="127"/>
      <c r="O845" s="127"/>
      <c r="P845" s="383"/>
      <c r="Q845" s="164"/>
      <c r="R845" s="127"/>
      <c r="S845" s="127"/>
      <c r="T845" s="127"/>
      <c r="U845" s="131"/>
      <c r="V845" s="374"/>
      <c r="W845" s="127"/>
      <c r="X845" s="127"/>
      <c r="Y845" s="127"/>
      <c r="Z845" s="131"/>
      <c r="AA845" s="374"/>
      <c r="AB845" s="127"/>
      <c r="AC845" s="127"/>
      <c r="AD845" s="127"/>
      <c r="AE845" s="131"/>
      <c r="AF845" s="374"/>
      <c r="AG845" s="127"/>
      <c r="AH845" s="127"/>
      <c r="AI845" s="127"/>
      <c r="AJ845" s="131"/>
      <c r="AK845" s="374"/>
      <c r="AL845" s="127"/>
      <c r="AM845" s="127"/>
      <c r="AN845" s="127"/>
      <c r="AO845" s="359"/>
      <c r="AP845" s="359"/>
      <c r="AQ845" s="359"/>
      <c r="AR845" s="359"/>
      <c r="AS845" s="359"/>
    </row>
    <row r="846">
      <c r="A846" s="131"/>
      <c r="B846" s="374"/>
      <c r="C846" s="127"/>
      <c r="D846" s="127"/>
      <c r="E846" s="127"/>
      <c r="F846" s="131"/>
      <c r="G846" s="374"/>
      <c r="H846" s="127"/>
      <c r="I846" s="127"/>
      <c r="J846" s="127"/>
      <c r="K846" s="383"/>
      <c r="L846" s="374"/>
      <c r="M846" s="127"/>
      <c r="N846" s="127"/>
      <c r="O846" s="127"/>
      <c r="P846" s="383"/>
      <c r="Q846" s="164"/>
      <c r="R846" s="127"/>
      <c r="S846" s="127"/>
      <c r="T846" s="127"/>
      <c r="U846" s="131"/>
      <c r="V846" s="374"/>
      <c r="W846" s="127"/>
      <c r="X846" s="127"/>
      <c r="Y846" s="127"/>
      <c r="Z846" s="131"/>
      <c r="AA846" s="374"/>
      <c r="AB846" s="127"/>
      <c r="AC846" s="127"/>
      <c r="AD846" s="127"/>
      <c r="AE846" s="131"/>
      <c r="AF846" s="374"/>
      <c r="AG846" s="127"/>
      <c r="AH846" s="127"/>
      <c r="AI846" s="127"/>
      <c r="AJ846" s="131"/>
      <c r="AK846" s="374"/>
      <c r="AL846" s="127"/>
      <c r="AM846" s="127"/>
      <c r="AN846" s="127"/>
      <c r="AO846" s="359"/>
      <c r="AP846" s="359"/>
      <c r="AQ846" s="359"/>
      <c r="AR846" s="359"/>
      <c r="AS846" s="359"/>
    </row>
    <row r="847">
      <c r="A847" s="131"/>
      <c r="B847" s="374"/>
      <c r="C847" s="127"/>
      <c r="D847" s="127"/>
      <c r="E847" s="127"/>
      <c r="F847" s="131"/>
      <c r="G847" s="374"/>
      <c r="H847" s="127"/>
      <c r="I847" s="127"/>
      <c r="J847" s="127"/>
      <c r="K847" s="383"/>
      <c r="L847" s="374"/>
      <c r="M847" s="127"/>
      <c r="N847" s="127"/>
      <c r="O847" s="127"/>
      <c r="P847" s="383"/>
      <c r="Q847" s="164"/>
      <c r="R847" s="127"/>
      <c r="S847" s="127"/>
      <c r="T847" s="127"/>
      <c r="U847" s="131"/>
      <c r="V847" s="374"/>
      <c r="W847" s="127"/>
      <c r="X847" s="127"/>
      <c r="Y847" s="127"/>
      <c r="Z847" s="131"/>
      <c r="AA847" s="374"/>
      <c r="AB847" s="127"/>
      <c r="AC847" s="127"/>
      <c r="AD847" s="127"/>
      <c r="AE847" s="131"/>
      <c r="AF847" s="374"/>
      <c r="AG847" s="127"/>
      <c r="AH847" s="127"/>
      <c r="AI847" s="127"/>
      <c r="AJ847" s="131"/>
      <c r="AK847" s="374"/>
      <c r="AL847" s="127"/>
      <c r="AM847" s="127"/>
      <c r="AN847" s="127"/>
      <c r="AO847" s="359"/>
      <c r="AP847" s="359"/>
      <c r="AQ847" s="359"/>
      <c r="AR847" s="359"/>
      <c r="AS847" s="359"/>
    </row>
    <row r="848">
      <c r="A848" s="131"/>
      <c r="B848" s="374"/>
      <c r="C848" s="127"/>
      <c r="D848" s="127"/>
      <c r="E848" s="127"/>
      <c r="F848" s="131"/>
      <c r="G848" s="374"/>
      <c r="H848" s="127"/>
      <c r="I848" s="127"/>
      <c r="J848" s="127"/>
      <c r="K848" s="383"/>
      <c r="L848" s="374"/>
      <c r="M848" s="127"/>
      <c r="N848" s="127"/>
      <c r="O848" s="127"/>
      <c r="P848" s="383"/>
      <c r="Q848" s="164"/>
      <c r="R848" s="127"/>
      <c r="S848" s="127"/>
      <c r="T848" s="127"/>
      <c r="U848" s="131"/>
      <c r="V848" s="374"/>
      <c r="W848" s="127"/>
      <c r="X848" s="127"/>
      <c r="Y848" s="127"/>
      <c r="Z848" s="131"/>
      <c r="AA848" s="374"/>
      <c r="AB848" s="127"/>
      <c r="AC848" s="127"/>
      <c r="AD848" s="127"/>
      <c r="AE848" s="131"/>
      <c r="AF848" s="374"/>
      <c r="AG848" s="127"/>
      <c r="AH848" s="127"/>
      <c r="AI848" s="127"/>
      <c r="AJ848" s="131"/>
      <c r="AK848" s="374"/>
      <c r="AL848" s="127"/>
      <c r="AM848" s="127"/>
      <c r="AN848" s="127"/>
      <c r="AO848" s="359"/>
      <c r="AP848" s="359"/>
      <c r="AQ848" s="359"/>
      <c r="AR848" s="359"/>
      <c r="AS848" s="359"/>
    </row>
    <row r="849">
      <c r="A849" s="131"/>
      <c r="B849" s="374"/>
      <c r="C849" s="127"/>
      <c r="D849" s="127"/>
      <c r="E849" s="127"/>
      <c r="F849" s="131"/>
      <c r="G849" s="374"/>
      <c r="H849" s="127"/>
      <c r="I849" s="127"/>
      <c r="J849" s="127"/>
      <c r="K849" s="383"/>
      <c r="L849" s="374"/>
      <c r="M849" s="127"/>
      <c r="N849" s="127"/>
      <c r="O849" s="127"/>
      <c r="P849" s="383"/>
      <c r="Q849" s="164"/>
      <c r="R849" s="127"/>
      <c r="S849" s="127"/>
      <c r="T849" s="127"/>
      <c r="U849" s="131"/>
      <c r="V849" s="374"/>
      <c r="W849" s="127"/>
      <c r="X849" s="127"/>
      <c r="Y849" s="127"/>
      <c r="Z849" s="131"/>
      <c r="AA849" s="374"/>
      <c r="AB849" s="127"/>
      <c r="AC849" s="127"/>
      <c r="AD849" s="127"/>
      <c r="AE849" s="131"/>
      <c r="AF849" s="374"/>
      <c r="AG849" s="127"/>
      <c r="AH849" s="127"/>
      <c r="AI849" s="127"/>
      <c r="AJ849" s="131"/>
      <c r="AK849" s="374"/>
      <c r="AL849" s="127"/>
      <c r="AM849" s="127"/>
      <c r="AN849" s="127"/>
      <c r="AO849" s="359"/>
      <c r="AP849" s="359"/>
      <c r="AQ849" s="359"/>
      <c r="AR849" s="359"/>
      <c r="AS849" s="359"/>
    </row>
    <row r="850">
      <c r="A850" s="131"/>
      <c r="B850" s="374"/>
      <c r="C850" s="127"/>
      <c r="D850" s="127"/>
      <c r="E850" s="127"/>
      <c r="F850" s="131"/>
      <c r="G850" s="374"/>
      <c r="H850" s="127"/>
      <c r="I850" s="127"/>
      <c r="J850" s="127"/>
      <c r="K850" s="383"/>
      <c r="L850" s="374"/>
      <c r="M850" s="127"/>
      <c r="N850" s="127"/>
      <c r="O850" s="127"/>
      <c r="P850" s="383"/>
      <c r="Q850" s="164"/>
      <c r="R850" s="127"/>
      <c r="S850" s="127"/>
      <c r="T850" s="127"/>
      <c r="U850" s="131"/>
      <c r="V850" s="374"/>
      <c r="W850" s="127"/>
      <c r="X850" s="127"/>
      <c r="Y850" s="127"/>
      <c r="Z850" s="131"/>
      <c r="AA850" s="374"/>
      <c r="AB850" s="127"/>
      <c r="AC850" s="127"/>
      <c r="AD850" s="127"/>
      <c r="AE850" s="131"/>
      <c r="AF850" s="374"/>
      <c r="AG850" s="127"/>
      <c r="AH850" s="127"/>
      <c r="AI850" s="127"/>
      <c r="AJ850" s="131"/>
      <c r="AK850" s="374"/>
      <c r="AL850" s="127"/>
      <c r="AM850" s="127"/>
      <c r="AN850" s="127"/>
      <c r="AO850" s="359"/>
      <c r="AP850" s="359"/>
      <c r="AQ850" s="359"/>
      <c r="AR850" s="359"/>
      <c r="AS850" s="359"/>
    </row>
    <row r="851">
      <c r="A851" s="131"/>
      <c r="B851" s="374"/>
      <c r="C851" s="127"/>
      <c r="D851" s="127"/>
      <c r="E851" s="127"/>
      <c r="F851" s="131"/>
      <c r="G851" s="374"/>
      <c r="H851" s="127"/>
      <c r="I851" s="127"/>
      <c r="J851" s="127"/>
      <c r="K851" s="383"/>
      <c r="L851" s="374"/>
      <c r="M851" s="127"/>
      <c r="N851" s="127"/>
      <c r="O851" s="127"/>
      <c r="P851" s="383"/>
      <c r="Q851" s="164"/>
      <c r="R851" s="127"/>
      <c r="S851" s="127"/>
      <c r="T851" s="127"/>
      <c r="U851" s="131"/>
      <c r="V851" s="374"/>
      <c r="W851" s="127"/>
      <c r="X851" s="127"/>
      <c r="Y851" s="127"/>
      <c r="Z851" s="131"/>
      <c r="AA851" s="374"/>
      <c r="AB851" s="127"/>
      <c r="AC851" s="127"/>
      <c r="AD851" s="127"/>
      <c r="AE851" s="131"/>
      <c r="AF851" s="374"/>
      <c r="AG851" s="127"/>
      <c r="AH851" s="127"/>
      <c r="AI851" s="127"/>
      <c r="AJ851" s="131"/>
      <c r="AK851" s="374"/>
      <c r="AL851" s="127"/>
      <c r="AM851" s="127"/>
      <c r="AN851" s="127"/>
      <c r="AO851" s="359"/>
      <c r="AP851" s="359"/>
      <c r="AQ851" s="359"/>
      <c r="AR851" s="359"/>
      <c r="AS851" s="359"/>
    </row>
    <row r="852">
      <c r="A852" s="131"/>
      <c r="B852" s="374"/>
      <c r="C852" s="127"/>
      <c r="D852" s="127"/>
      <c r="E852" s="127"/>
      <c r="F852" s="131"/>
      <c r="G852" s="374"/>
      <c r="H852" s="127"/>
      <c r="I852" s="127"/>
      <c r="J852" s="127"/>
      <c r="K852" s="383"/>
      <c r="L852" s="374"/>
      <c r="M852" s="127"/>
      <c r="N852" s="127"/>
      <c r="O852" s="127"/>
      <c r="P852" s="383"/>
      <c r="Q852" s="164"/>
      <c r="R852" s="127"/>
      <c r="S852" s="127"/>
      <c r="T852" s="127"/>
      <c r="U852" s="131"/>
      <c r="V852" s="374"/>
      <c r="W852" s="127"/>
      <c r="X852" s="127"/>
      <c r="Y852" s="127"/>
      <c r="Z852" s="131"/>
      <c r="AA852" s="374"/>
      <c r="AB852" s="127"/>
      <c r="AC852" s="127"/>
      <c r="AD852" s="127"/>
      <c r="AE852" s="131"/>
      <c r="AF852" s="374"/>
      <c r="AG852" s="127"/>
      <c r="AH852" s="127"/>
      <c r="AI852" s="127"/>
      <c r="AJ852" s="131"/>
      <c r="AK852" s="374"/>
      <c r="AL852" s="127"/>
      <c r="AM852" s="127"/>
      <c r="AN852" s="127"/>
      <c r="AO852" s="359"/>
      <c r="AP852" s="359"/>
      <c r="AQ852" s="359"/>
      <c r="AR852" s="359"/>
      <c r="AS852" s="359"/>
    </row>
    <row r="853">
      <c r="A853" s="131"/>
      <c r="B853" s="374"/>
      <c r="C853" s="127"/>
      <c r="D853" s="127"/>
      <c r="E853" s="127"/>
      <c r="F853" s="131"/>
      <c r="G853" s="374"/>
      <c r="H853" s="127"/>
      <c r="I853" s="127"/>
      <c r="J853" s="127"/>
      <c r="K853" s="383"/>
      <c r="L853" s="374"/>
      <c r="M853" s="127"/>
      <c r="N853" s="127"/>
      <c r="O853" s="127"/>
      <c r="P853" s="383"/>
      <c r="Q853" s="164"/>
      <c r="R853" s="127"/>
      <c r="S853" s="127"/>
      <c r="T853" s="127"/>
      <c r="U853" s="131"/>
      <c r="V853" s="374"/>
      <c r="W853" s="127"/>
      <c r="X853" s="127"/>
      <c r="Y853" s="127"/>
      <c r="Z853" s="131"/>
      <c r="AA853" s="374"/>
      <c r="AB853" s="127"/>
      <c r="AC853" s="127"/>
      <c r="AD853" s="127"/>
      <c r="AE853" s="131"/>
      <c r="AF853" s="374"/>
      <c r="AG853" s="127"/>
      <c r="AH853" s="127"/>
      <c r="AI853" s="127"/>
      <c r="AJ853" s="131"/>
      <c r="AK853" s="374"/>
      <c r="AL853" s="127"/>
      <c r="AM853" s="127"/>
      <c r="AN853" s="127"/>
      <c r="AO853" s="359"/>
      <c r="AP853" s="359"/>
      <c r="AQ853" s="359"/>
      <c r="AR853" s="359"/>
      <c r="AS853" s="359"/>
    </row>
    <row r="854">
      <c r="A854" s="131"/>
      <c r="B854" s="374"/>
      <c r="C854" s="127"/>
      <c r="D854" s="127"/>
      <c r="E854" s="127"/>
      <c r="F854" s="131"/>
      <c r="G854" s="374"/>
      <c r="H854" s="127"/>
      <c r="I854" s="127"/>
      <c r="J854" s="127"/>
      <c r="K854" s="383"/>
      <c r="L854" s="374"/>
      <c r="M854" s="127"/>
      <c r="N854" s="127"/>
      <c r="O854" s="127"/>
      <c r="P854" s="383"/>
      <c r="Q854" s="164"/>
      <c r="R854" s="127"/>
      <c r="S854" s="127"/>
      <c r="T854" s="127"/>
      <c r="U854" s="131"/>
      <c r="V854" s="374"/>
      <c r="W854" s="127"/>
      <c r="X854" s="127"/>
      <c r="Y854" s="127"/>
      <c r="Z854" s="131"/>
      <c r="AA854" s="374"/>
      <c r="AB854" s="127"/>
      <c r="AC854" s="127"/>
      <c r="AD854" s="127"/>
      <c r="AE854" s="131"/>
      <c r="AF854" s="374"/>
      <c r="AG854" s="127"/>
      <c r="AH854" s="127"/>
      <c r="AI854" s="127"/>
      <c r="AJ854" s="131"/>
      <c r="AK854" s="374"/>
      <c r="AL854" s="127"/>
      <c r="AM854" s="127"/>
      <c r="AN854" s="127"/>
      <c r="AO854" s="359"/>
      <c r="AP854" s="359"/>
      <c r="AQ854" s="359"/>
      <c r="AR854" s="359"/>
      <c r="AS854" s="359"/>
    </row>
    <row r="855">
      <c r="A855" s="131"/>
      <c r="B855" s="374"/>
      <c r="C855" s="127"/>
      <c r="D855" s="127"/>
      <c r="E855" s="127"/>
      <c r="F855" s="131"/>
      <c r="G855" s="374"/>
      <c r="H855" s="127"/>
      <c r="I855" s="127"/>
      <c r="J855" s="127"/>
      <c r="K855" s="383"/>
      <c r="L855" s="374"/>
      <c r="M855" s="127"/>
      <c r="N855" s="127"/>
      <c r="O855" s="127"/>
      <c r="P855" s="383"/>
      <c r="Q855" s="164"/>
      <c r="R855" s="127"/>
      <c r="S855" s="127"/>
      <c r="T855" s="127"/>
      <c r="U855" s="131"/>
      <c r="V855" s="374"/>
      <c r="W855" s="127"/>
      <c r="X855" s="127"/>
      <c r="Y855" s="127"/>
      <c r="Z855" s="131"/>
      <c r="AA855" s="374"/>
      <c r="AB855" s="127"/>
      <c r="AC855" s="127"/>
      <c r="AD855" s="127"/>
      <c r="AE855" s="131"/>
      <c r="AF855" s="374"/>
      <c r="AG855" s="127"/>
      <c r="AH855" s="127"/>
      <c r="AI855" s="127"/>
      <c r="AJ855" s="131"/>
      <c r="AK855" s="374"/>
      <c r="AL855" s="127"/>
      <c r="AM855" s="127"/>
      <c r="AN855" s="127"/>
      <c r="AO855" s="359"/>
      <c r="AP855" s="359"/>
      <c r="AQ855" s="359"/>
      <c r="AR855" s="359"/>
      <c r="AS855" s="359"/>
    </row>
    <row r="856">
      <c r="A856" s="131"/>
      <c r="B856" s="374"/>
      <c r="C856" s="127"/>
      <c r="D856" s="127"/>
      <c r="E856" s="127"/>
      <c r="F856" s="131"/>
      <c r="G856" s="374"/>
      <c r="H856" s="127"/>
      <c r="I856" s="127"/>
      <c r="J856" s="127"/>
      <c r="K856" s="383"/>
      <c r="L856" s="374"/>
      <c r="M856" s="127"/>
      <c r="N856" s="127"/>
      <c r="O856" s="127"/>
      <c r="P856" s="383"/>
      <c r="Q856" s="164"/>
      <c r="R856" s="127"/>
      <c r="S856" s="127"/>
      <c r="T856" s="127"/>
      <c r="U856" s="131"/>
      <c r="V856" s="374"/>
      <c r="W856" s="127"/>
      <c r="X856" s="127"/>
      <c r="Y856" s="127"/>
      <c r="Z856" s="131"/>
      <c r="AA856" s="374"/>
      <c r="AB856" s="127"/>
      <c r="AC856" s="127"/>
      <c r="AD856" s="127"/>
      <c r="AE856" s="131"/>
      <c r="AF856" s="374"/>
      <c r="AG856" s="127"/>
      <c r="AH856" s="127"/>
      <c r="AI856" s="127"/>
      <c r="AJ856" s="131"/>
      <c r="AK856" s="374"/>
      <c r="AL856" s="127"/>
      <c r="AM856" s="127"/>
      <c r="AN856" s="127"/>
      <c r="AO856" s="359"/>
      <c r="AP856" s="359"/>
      <c r="AQ856" s="359"/>
      <c r="AR856" s="359"/>
      <c r="AS856" s="359"/>
    </row>
    <row r="857">
      <c r="A857" s="131"/>
      <c r="B857" s="374"/>
      <c r="C857" s="127"/>
      <c r="D857" s="127"/>
      <c r="E857" s="127"/>
      <c r="F857" s="131"/>
      <c r="G857" s="374"/>
      <c r="H857" s="127"/>
      <c r="I857" s="127"/>
      <c r="J857" s="127"/>
      <c r="K857" s="383"/>
      <c r="L857" s="374"/>
      <c r="M857" s="127"/>
      <c r="N857" s="127"/>
      <c r="O857" s="127"/>
      <c r="P857" s="383"/>
      <c r="Q857" s="164"/>
      <c r="R857" s="127"/>
      <c r="S857" s="127"/>
      <c r="T857" s="127"/>
      <c r="U857" s="131"/>
      <c r="V857" s="374"/>
      <c r="W857" s="127"/>
      <c r="X857" s="127"/>
      <c r="Y857" s="127"/>
      <c r="Z857" s="131"/>
      <c r="AA857" s="374"/>
      <c r="AB857" s="127"/>
      <c r="AC857" s="127"/>
      <c r="AD857" s="127"/>
      <c r="AE857" s="131"/>
      <c r="AF857" s="374"/>
      <c r="AG857" s="127"/>
      <c r="AH857" s="127"/>
      <c r="AI857" s="127"/>
      <c r="AJ857" s="131"/>
      <c r="AK857" s="374"/>
      <c r="AL857" s="127"/>
      <c r="AM857" s="127"/>
      <c r="AN857" s="127"/>
      <c r="AO857" s="359"/>
      <c r="AP857" s="359"/>
      <c r="AQ857" s="359"/>
      <c r="AR857" s="359"/>
      <c r="AS857" s="359"/>
    </row>
    <row r="858">
      <c r="A858" s="131"/>
      <c r="B858" s="374"/>
      <c r="C858" s="127"/>
      <c r="D858" s="127"/>
      <c r="E858" s="127"/>
      <c r="F858" s="131"/>
      <c r="G858" s="374"/>
      <c r="H858" s="127"/>
      <c r="I858" s="127"/>
      <c r="J858" s="127"/>
      <c r="K858" s="383"/>
      <c r="L858" s="374"/>
      <c r="M858" s="127"/>
      <c r="N858" s="127"/>
      <c r="O858" s="127"/>
      <c r="P858" s="383"/>
      <c r="Q858" s="164"/>
      <c r="R858" s="127"/>
      <c r="S858" s="127"/>
      <c r="T858" s="127"/>
      <c r="U858" s="131"/>
      <c r="V858" s="374"/>
      <c r="W858" s="127"/>
      <c r="X858" s="127"/>
      <c r="Y858" s="127"/>
      <c r="Z858" s="131"/>
      <c r="AA858" s="374"/>
      <c r="AB858" s="127"/>
      <c r="AC858" s="127"/>
      <c r="AD858" s="127"/>
      <c r="AE858" s="131"/>
      <c r="AF858" s="374"/>
      <c r="AG858" s="127"/>
      <c r="AH858" s="127"/>
      <c r="AI858" s="127"/>
      <c r="AJ858" s="131"/>
      <c r="AK858" s="374"/>
      <c r="AL858" s="127"/>
      <c r="AM858" s="127"/>
      <c r="AN858" s="127"/>
      <c r="AO858" s="359"/>
      <c r="AP858" s="359"/>
      <c r="AQ858" s="359"/>
      <c r="AR858" s="359"/>
      <c r="AS858" s="359"/>
    </row>
    <row r="859">
      <c r="A859" s="131"/>
      <c r="B859" s="374"/>
      <c r="C859" s="127"/>
      <c r="D859" s="127"/>
      <c r="E859" s="127"/>
      <c r="F859" s="131"/>
      <c r="G859" s="374"/>
      <c r="H859" s="127"/>
      <c r="I859" s="127"/>
      <c r="J859" s="127"/>
      <c r="K859" s="383"/>
      <c r="L859" s="374"/>
      <c r="M859" s="127"/>
      <c r="N859" s="127"/>
      <c r="O859" s="127"/>
      <c r="P859" s="383"/>
      <c r="Q859" s="164"/>
      <c r="R859" s="127"/>
      <c r="S859" s="127"/>
      <c r="T859" s="127"/>
      <c r="U859" s="131"/>
      <c r="V859" s="374"/>
      <c r="W859" s="127"/>
      <c r="X859" s="127"/>
      <c r="Y859" s="127"/>
      <c r="Z859" s="131"/>
      <c r="AA859" s="374"/>
      <c r="AB859" s="127"/>
      <c r="AC859" s="127"/>
      <c r="AD859" s="127"/>
      <c r="AE859" s="131"/>
      <c r="AF859" s="374"/>
      <c r="AG859" s="127"/>
      <c r="AH859" s="127"/>
      <c r="AI859" s="127"/>
      <c r="AJ859" s="131"/>
      <c r="AK859" s="374"/>
      <c r="AL859" s="127"/>
      <c r="AM859" s="127"/>
      <c r="AN859" s="127"/>
      <c r="AO859" s="359"/>
      <c r="AP859" s="359"/>
      <c r="AQ859" s="359"/>
      <c r="AR859" s="359"/>
      <c r="AS859" s="359"/>
    </row>
    <row r="860">
      <c r="A860" s="131"/>
      <c r="B860" s="374"/>
      <c r="C860" s="127"/>
      <c r="D860" s="127"/>
      <c r="E860" s="127"/>
      <c r="F860" s="131"/>
      <c r="G860" s="374"/>
      <c r="H860" s="127"/>
      <c r="I860" s="127"/>
      <c r="J860" s="127"/>
      <c r="K860" s="383"/>
      <c r="L860" s="374"/>
      <c r="M860" s="127"/>
      <c r="N860" s="127"/>
      <c r="O860" s="127"/>
      <c r="P860" s="383"/>
      <c r="Q860" s="164"/>
      <c r="R860" s="127"/>
      <c r="S860" s="127"/>
      <c r="T860" s="127"/>
      <c r="U860" s="131"/>
      <c r="V860" s="374"/>
      <c r="W860" s="127"/>
      <c r="X860" s="127"/>
      <c r="Y860" s="127"/>
      <c r="Z860" s="131"/>
      <c r="AA860" s="374"/>
      <c r="AB860" s="127"/>
      <c r="AC860" s="127"/>
      <c r="AD860" s="127"/>
      <c r="AE860" s="131"/>
      <c r="AF860" s="374"/>
      <c r="AG860" s="127"/>
      <c r="AH860" s="127"/>
      <c r="AI860" s="127"/>
      <c r="AJ860" s="131"/>
      <c r="AK860" s="374"/>
      <c r="AL860" s="127"/>
      <c r="AM860" s="127"/>
      <c r="AN860" s="127"/>
      <c r="AO860" s="359"/>
      <c r="AP860" s="359"/>
      <c r="AQ860" s="359"/>
      <c r="AR860" s="359"/>
      <c r="AS860" s="359"/>
    </row>
    <row r="861">
      <c r="A861" s="131"/>
      <c r="B861" s="374"/>
      <c r="C861" s="127"/>
      <c r="D861" s="127"/>
      <c r="E861" s="127"/>
      <c r="F861" s="131"/>
      <c r="G861" s="374"/>
      <c r="H861" s="127"/>
      <c r="I861" s="127"/>
      <c r="J861" s="127"/>
      <c r="K861" s="383"/>
      <c r="L861" s="374"/>
      <c r="M861" s="127"/>
      <c r="N861" s="127"/>
      <c r="O861" s="127"/>
      <c r="P861" s="383"/>
      <c r="Q861" s="164"/>
      <c r="R861" s="127"/>
      <c r="S861" s="127"/>
      <c r="T861" s="127"/>
      <c r="U861" s="131"/>
      <c r="V861" s="374"/>
      <c r="W861" s="127"/>
      <c r="X861" s="127"/>
      <c r="Y861" s="127"/>
      <c r="Z861" s="131"/>
      <c r="AA861" s="374"/>
      <c r="AB861" s="127"/>
      <c r="AC861" s="127"/>
      <c r="AD861" s="127"/>
      <c r="AE861" s="131"/>
      <c r="AF861" s="374"/>
      <c r="AG861" s="127"/>
      <c r="AH861" s="127"/>
      <c r="AI861" s="127"/>
      <c r="AJ861" s="131"/>
      <c r="AK861" s="374"/>
      <c r="AL861" s="127"/>
      <c r="AM861" s="127"/>
      <c r="AN861" s="127"/>
      <c r="AO861" s="359"/>
      <c r="AP861" s="359"/>
      <c r="AQ861" s="359"/>
      <c r="AR861" s="359"/>
      <c r="AS861" s="359"/>
    </row>
    <row r="862">
      <c r="A862" s="131"/>
      <c r="B862" s="374"/>
      <c r="C862" s="127"/>
      <c r="D862" s="127"/>
      <c r="E862" s="127"/>
      <c r="F862" s="131"/>
      <c r="G862" s="374"/>
      <c r="H862" s="127"/>
      <c r="I862" s="127"/>
      <c r="J862" s="127"/>
      <c r="K862" s="383"/>
      <c r="L862" s="374"/>
      <c r="M862" s="127"/>
      <c r="N862" s="127"/>
      <c r="O862" s="127"/>
      <c r="P862" s="383"/>
      <c r="Q862" s="164"/>
      <c r="R862" s="127"/>
      <c r="S862" s="127"/>
      <c r="T862" s="127"/>
      <c r="U862" s="131"/>
      <c r="V862" s="374"/>
      <c r="W862" s="127"/>
      <c r="X862" s="127"/>
      <c r="Y862" s="127"/>
      <c r="Z862" s="131"/>
      <c r="AA862" s="374"/>
      <c r="AB862" s="127"/>
      <c r="AC862" s="127"/>
      <c r="AD862" s="127"/>
      <c r="AE862" s="131"/>
      <c r="AF862" s="374"/>
      <c r="AG862" s="127"/>
      <c r="AH862" s="127"/>
      <c r="AI862" s="127"/>
      <c r="AJ862" s="131"/>
      <c r="AK862" s="374"/>
      <c r="AL862" s="127"/>
      <c r="AM862" s="127"/>
      <c r="AN862" s="127"/>
      <c r="AO862" s="359"/>
      <c r="AP862" s="359"/>
      <c r="AQ862" s="359"/>
      <c r="AR862" s="359"/>
      <c r="AS862" s="359"/>
    </row>
    <row r="863">
      <c r="A863" s="131"/>
      <c r="B863" s="374"/>
      <c r="C863" s="127"/>
      <c r="D863" s="127"/>
      <c r="E863" s="127"/>
      <c r="F863" s="131"/>
      <c r="G863" s="374"/>
      <c r="H863" s="127"/>
      <c r="I863" s="127"/>
      <c r="J863" s="127"/>
      <c r="K863" s="383"/>
      <c r="L863" s="374"/>
      <c r="M863" s="127"/>
      <c r="N863" s="127"/>
      <c r="O863" s="127"/>
      <c r="P863" s="383"/>
      <c r="Q863" s="164"/>
      <c r="R863" s="127"/>
      <c r="S863" s="127"/>
      <c r="T863" s="127"/>
      <c r="U863" s="131"/>
      <c r="V863" s="374"/>
      <c r="W863" s="127"/>
      <c r="X863" s="127"/>
      <c r="Y863" s="127"/>
      <c r="Z863" s="131"/>
      <c r="AA863" s="374"/>
      <c r="AB863" s="127"/>
      <c r="AC863" s="127"/>
      <c r="AD863" s="127"/>
      <c r="AE863" s="131"/>
      <c r="AF863" s="374"/>
      <c r="AG863" s="127"/>
      <c r="AH863" s="127"/>
      <c r="AI863" s="127"/>
      <c r="AJ863" s="131"/>
      <c r="AK863" s="374"/>
      <c r="AL863" s="127"/>
      <c r="AM863" s="127"/>
      <c r="AN863" s="127"/>
      <c r="AO863" s="359"/>
      <c r="AP863" s="359"/>
      <c r="AQ863" s="359"/>
      <c r="AR863" s="359"/>
      <c r="AS863" s="359"/>
    </row>
    <row r="864">
      <c r="A864" s="131"/>
      <c r="B864" s="374"/>
      <c r="C864" s="127"/>
      <c r="D864" s="127"/>
      <c r="E864" s="127"/>
      <c r="F864" s="131"/>
      <c r="G864" s="374"/>
      <c r="H864" s="127"/>
      <c r="I864" s="127"/>
      <c r="J864" s="127"/>
      <c r="K864" s="383"/>
      <c r="L864" s="374"/>
      <c r="M864" s="127"/>
      <c r="N864" s="127"/>
      <c r="O864" s="127"/>
      <c r="P864" s="383"/>
      <c r="Q864" s="164"/>
      <c r="R864" s="127"/>
      <c r="S864" s="127"/>
      <c r="T864" s="127"/>
      <c r="U864" s="131"/>
      <c r="V864" s="374"/>
      <c r="W864" s="127"/>
      <c r="X864" s="127"/>
      <c r="Y864" s="127"/>
      <c r="Z864" s="131"/>
      <c r="AA864" s="374"/>
      <c r="AB864" s="127"/>
      <c r="AC864" s="127"/>
      <c r="AD864" s="127"/>
      <c r="AE864" s="131"/>
      <c r="AF864" s="374"/>
      <c r="AG864" s="127"/>
      <c r="AH864" s="127"/>
      <c r="AI864" s="127"/>
      <c r="AJ864" s="131"/>
      <c r="AK864" s="374"/>
      <c r="AL864" s="127"/>
      <c r="AM864" s="127"/>
      <c r="AN864" s="127"/>
      <c r="AO864" s="359"/>
      <c r="AP864" s="359"/>
      <c r="AQ864" s="359"/>
      <c r="AR864" s="359"/>
      <c r="AS864" s="359"/>
    </row>
    <row r="865">
      <c r="A865" s="131"/>
      <c r="B865" s="374"/>
      <c r="C865" s="127"/>
      <c r="D865" s="127"/>
      <c r="E865" s="127"/>
      <c r="F865" s="131"/>
      <c r="G865" s="374"/>
      <c r="H865" s="127"/>
      <c r="I865" s="127"/>
      <c r="J865" s="127"/>
      <c r="K865" s="383"/>
      <c r="L865" s="374"/>
      <c r="M865" s="127"/>
      <c r="N865" s="127"/>
      <c r="O865" s="127"/>
      <c r="P865" s="383"/>
      <c r="Q865" s="164"/>
      <c r="R865" s="127"/>
      <c r="S865" s="127"/>
      <c r="T865" s="127"/>
      <c r="U865" s="131"/>
      <c r="V865" s="374"/>
      <c r="W865" s="127"/>
      <c r="X865" s="127"/>
      <c r="Y865" s="127"/>
      <c r="Z865" s="131"/>
      <c r="AA865" s="374"/>
      <c r="AB865" s="127"/>
      <c r="AC865" s="127"/>
      <c r="AD865" s="127"/>
      <c r="AE865" s="131"/>
      <c r="AF865" s="374"/>
      <c r="AG865" s="127"/>
      <c r="AH865" s="127"/>
      <c r="AI865" s="127"/>
      <c r="AJ865" s="131"/>
      <c r="AK865" s="374"/>
      <c r="AL865" s="127"/>
      <c r="AM865" s="127"/>
      <c r="AN865" s="127"/>
      <c r="AO865" s="359"/>
      <c r="AP865" s="359"/>
      <c r="AQ865" s="359"/>
      <c r="AR865" s="359"/>
      <c r="AS865" s="359"/>
    </row>
    <row r="866">
      <c r="A866" s="131"/>
      <c r="B866" s="374"/>
      <c r="C866" s="127"/>
      <c r="D866" s="127"/>
      <c r="E866" s="127"/>
      <c r="F866" s="131"/>
      <c r="G866" s="374"/>
      <c r="H866" s="127"/>
      <c r="I866" s="127"/>
      <c r="J866" s="127"/>
      <c r="K866" s="383"/>
      <c r="L866" s="374"/>
      <c r="M866" s="127"/>
      <c r="N866" s="127"/>
      <c r="O866" s="127"/>
      <c r="P866" s="383"/>
      <c r="Q866" s="164"/>
      <c r="R866" s="127"/>
      <c r="S866" s="127"/>
      <c r="T866" s="127"/>
      <c r="U866" s="131"/>
      <c r="V866" s="374"/>
      <c r="W866" s="127"/>
      <c r="X866" s="127"/>
      <c r="Y866" s="127"/>
      <c r="Z866" s="131"/>
      <c r="AA866" s="374"/>
      <c r="AB866" s="127"/>
      <c r="AC866" s="127"/>
      <c r="AD866" s="127"/>
      <c r="AE866" s="131"/>
      <c r="AF866" s="374"/>
      <c r="AG866" s="127"/>
      <c r="AH866" s="127"/>
      <c r="AI866" s="127"/>
      <c r="AJ866" s="131"/>
      <c r="AK866" s="374"/>
      <c r="AL866" s="127"/>
      <c r="AM866" s="127"/>
      <c r="AN866" s="127"/>
      <c r="AO866" s="359"/>
      <c r="AP866" s="359"/>
      <c r="AQ866" s="359"/>
      <c r="AR866" s="359"/>
      <c r="AS866" s="359"/>
    </row>
    <row r="867">
      <c r="A867" s="131"/>
      <c r="B867" s="374"/>
      <c r="C867" s="127"/>
      <c r="D867" s="127"/>
      <c r="E867" s="127"/>
      <c r="F867" s="131"/>
      <c r="G867" s="374"/>
      <c r="H867" s="127"/>
      <c r="I867" s="127"/>
      <c r="J867" s="127"/>
      <c r="K867" s="383"/>
      <c r="L867" s="374"/>
      <c r="M867" s="127"/>
      <c r="N867" s="127"/>
      <c r="O867" s="127"/>
      <c r="P867" s="383"/>
      <c r="Q867" s="164"/>
      <c r="R867" s="127"/>
      <c r="S867" s="127"/>
      <c r="T867" s="127"/>
      <c r="U867" s="131"/>
      <c r="V867" s="374"/>
      <c r="W867" s="127"/>
      <c r="X867" s="127"/>
      <c r="Y867" s="127"/>
      <c r="Z867" s="131"/>
      <c r="AA867" s="374"/>
      <c r="AB867" s="127"/>
      <c r="AC867" s="127"/>
      <c r="AD867" s="127"/>
      <c r="AE867" s="131"/>
      <c r="AF867" s="374"/>
      <c r="AG867" s="127"/>
      <c r="AH867" s="127"/>
      <c r="AI867" s="127"/>
      <c r="AJ867" s="131"/>
      <c r="AK867" s="374"/>
      <c r="AL867" s="127"/>
      <c r="AM867" s="127"/>
      <c r="AN867" s="127"/>
      <c r="AO867" s="359"/>
      <c r="AP867" s="359"/>
      <c r="AQ867" s="359"/>
      <c r="AR867" s="359"/>
      <c r="AS867" s="359"/>
    </row>
    <row r="868">
      <c r="A868" s="131"/>
      <c r="B868" s="374"/>
      <c r="C868" s="127"/>
      <c r="D868" s="127"/>
      <c r="E868" s="127"/>
      <c r="F868" s="131"/>
      <c r="G868" s="374"/>
      <c r="H868" s="127"/>
      <c r="I868" s="127"/>
      <c r="J868" s="127"/>
      <c r="K868" s="383"/>
      <c r="L868" s="374"/>
      <c r="M868" s="127"/>
      <c r="N868" s="127"/>
      <c r="O868" s="127"/>
      <c r="P868" s="383"/>
      <c r="Q868" s="164"/>
      <c r="R868" s="127"/>
      <c r="S868" s="127"/>
      <c r="T868" s="127"/>
      <c r="U868" s="131"/>
      <c r="V868" s="374"/>
      <c r="W868" s="127"/>
      <c r="X868" s="127"/>
      <c r="Y868" s="127"/>
      <c r="Z868" s="131"/>
      <c r="AA868" s="374"/>
      <c r="AB868" s="127"/>
      <c r="AC868" s="127"/>
      <c r="AD868" s="127"/>
      <c r="AE868" s="131"/>
      <c r="AF868" s="374"/>
      <c r="AG868" s="127"/>
      <c r="AH868" s="127"/>
      <c r="AI868" s="127"/>
      <c r="AJ868" s="131"/>
      <c r="AK868" s="374"/>
      <c r="AL868" s="127"/>
      <c r="AM868" s="127"/>
      <c r="AN868" s="127"/>
      <c r="AO868" s="359"/>
      <c r="AP868" s="359"/>
      <c r="AQ868" s="359"/>
      <c r="AR868" s="359"/>
      <c r="AS868" s="359"/>
    </row>
    <row r="869">
      <c r="A869" s="131"/>
      <c r="B869" s="374"/>
      <c r="C869" s="127"/>
      <c r="D869" s="127"/>
      <c r="E869" s="127"/>
      <c r="F869" s="131"/>
      <c r="G869" s="374"/>
      <c r="H869" s="127"/>
      <c r="I869" s="127"/>
      <c r="J869" s="127"/>
      <c r="K869" s="383"/>
      <c r="L869" s="374"/>
      <c r="M869" s="127"/>
      <c r="N869" s="127"/>
      <c r="O869" s="127"/>
      <c r="P869" s="383"/>
      <c r="Q869" s="164"/>
      <c r="R869" s="127"/>
      <c r="S869" s="127"/>
      <c r="T869" s="127"/>
      <c r="U869" s="131"/>
      <c r="V869" s="374"/>
      <c r="W869" s="127"/>
      <c r="X869" s="127"/>
      <c r="Y869" s="127"/>
      <c r="Z869" s="131"/>
      <c r="AA869" s="374"/>
      <c r="AB869" s="127"/>
      <c r="AC869" s="127"/>
      <c r="AD869" s="127"/>
      <c r="AE869" s="131"/>
      <c r="AF869" s="374"/>
      <c r="AG869" s="127"/>
      <c r="AH869" s="127"/>
      <c r="AI869" s="127"/>
      <c r="AJ869" s="131"/>
      <c r="AK869" s="374"/>
      <c r="AL869" s="127"/>
      <c r="AM869" s="127"/>
      <c r="AN869" s="127"/>
      <c r="AO869" s="359"/>
      <c r="AP869" s="359"/>
      <c r="AQ869" s="359"/>
      <c r="AR869" s="359"/>
      <c r="AS869" s="359"/>
    </row>
    <row r="870">
      <c r="A870" s="131"/>
      <c r="B870" s="374"/>
      <c r="C870" s="127"/>
      <c r="D870" s="127"/>
      <c r="E870" s="127"/>
      <c r="F870" s="131"/>
      <c r="G870" s="374"/>
      <c r="H870" s="127"/>
      <c r="I870" s="127"/>
      <c r="J870" s="127"/>
      <c r="K870" s="383"/>
      <c r="L870" s="374"/>
      <c r="M870" s="127"/>
      <c r="N870" s="127"/>
      <c r="O870" s="127"/>
      <c r="P870" s="383"/>
      <c r="Q870" s="164"/>
      <c r="R870" s="127"/>
      <c r="S870" s="127"/>
      <c r="T870" s="127"/>
      <c r="U870" s="131"/>
      <c r="V870" s="374"/>
      <c r="W870" s="127"/>
      <c r="X870" s="127"/>
      <c r="Y870" s="127"/>
      <c r="Z870" s="131"/>
      <c r="AA870" s="374"/>
      <c r="AB870" s="127"/>
      <c r="AC870" s="127"/>
      <c r="AD870" s="127"/>
      <c r="AE870" s="131"/>
      <c r="AF870" s="374"/>
      <c r="AG870" s="127"/>
      <c r="AH870" s="127"/>
      <c r="AI870" s="127"/>
      <c r="AJ870" s="131"/>
      <c r="AK870" s="374"/>
      <c r="AL870" s="127"/>
      <c r="AM870" s="127"/>
      <c r="AN870" s="127"/>
      <c r="AO870" s="359"/>
      <c r="AP870" s="359"/>
      <c r="AQ870" s="359"/>
      <c r="AR870" s="359"/>
      <c r="AS870" s="359"/>
    </row>
    <row r="871">
      <c r="A871" s="131"/>
      <c r="B871" s="374"/>
      <c r="C871" s="127"/>
      <c r="D871" s="127"/>
      <c r="E871" s="127"/>
      <c r="F871" s="131"/>
      <c r="G871" s="374"/>
      <c r="H871" s="127"/>
      <c r="I871" s="127"/>
      <c r="J871" s="127"/>
      <c r="K871" s="383"/>
      <c r="L871" s="374"/>
      <c r="M871" s="127"/>
      <c r="N871" s="127"/>
      <c r="O871" s="127"/>
      <c r="P871" s="383"/>
      <c r="Q871" s="164"/>
      <c r="R871" s="127"/>
      <c r="S871" s="127"/>
      <c r="T871" s="127"/>
      <c r="U871" s="131"/>
      <c r="V871" s="374"/>
      <c r="W871" s="127"/>
      <c r="X871" s="127"/>
      <c r="Y871" s="127"/>
      <c r="Z871" s="131"/>
      <c r="AA871" s="374"/>
      <c r="AB871" s="127"/>
      <c r="AC871" s="127"/>
      <c r="AD871" s="127"/>
      <c r="AE871" s="131"/>
      <c r="AF871" s="374"/>
      <c r="AG871" s="127"/>
      <c r="AH871" s="127"/>
      <c r="AI871" s="127"/>
      <c r="AJ871" s="131"/>
      <c r="AK871" s="374"/>
      <c r="AL871" s="127"/>
      <c r="AM871" s="127"/>
      <c r="AN871" s="127"/>
      <c r="AO871" s="359"/>
      <c r="AP871" s="359"/>
      <c r="AQ871" s="359"/>
      <c r="AR871" s="359"/>
      <c r="AS871" s="359"/>
    </row>
    <row r="872">
      <c r="A872" s="131"/>
      <c r="B872" s="374"/>
      <c r="C872" s="127"/>
      <c r="D872" s="127"/>
      <c r="E872" s="127"/>
      <c r="F872" s="131"/>
      <c r="G872" s="374"/>
      <c r="H872" s="127"/>
      <c r="I872" s="127"/>
      <c r="J872" s="127"/>
      <c r="K872" s="383"/>
      <c r="L872" s="374"/>
      <c r="M872" s="127"/>
      <c r="N872" s="127"/>
      <c r="O872" s="127"/>
      <c r="P872" s="383"/>
      <c r="Q872" s="164"/>
      <c r="R872" s="127"/>
      <c r="S872" s="127"/>
      <c r="T872" s="127"/>
      <c r="U872" s="131"/>
      <c r="V872" s="374"/>
      <c r="W872" s="127"/>
      <c r="X872" s="127"/>
      <c r="Y872" s="127"/>
      <c r="Z872" s="131"/>
      <c r="AA872" s="374"/>
      <c r="AB872" s="127"/>
      <c r="AC872" s="127"/>
      <c r="AD872" s="127"/>
      <c r="AE872" s="131"/>
      <c r="AF872" s="374"/>
      <c r="AG872" s="127"/>
      <c r="AH872" s="127"/>
      <c r="AI872" s="127"/>
      <c r="AJ872" s="131"/>
      <c r="AK872" s="374"/>
      <c r="AL872" s="127"/>
      <c r="AM872" s="127"/>
      <c r="AN872" s="127"/>
      <c r="AO872" s="359"/>
      <c r="AP872" s="359"/>
      <c r="AQ872" s="359"/>
      <c r="AR872" s="359"/>
      <c r="AS872" s="359"/>
    </row>
    <row r="873">
      <c r="A873" s="131"/>
      <c r="B873" s="374"/>
      <c r="C873" s="127"/>
      <c r="D873" s="127"/>
      <c r="E873" s="127"/>
      <c r="F873" s="131"/>
      <c r="G873" s="374"/>
      <c r="H873" s="127"/>
      <c r="I873" s="127"/>
      <c r="J873" s="127"/>
      <c r="K873" s="383"/>
      <c r="L873" s="374"/>
      <c r="M873" s="127"/>
      <c r="N873" s="127"/>
      <c r="O873" s="127"/>
      <c r="P873" s="383"/>
      <c r="Q873" s="164"/>
      <c r="R873" s="127"/>
      <c r="S873" s="127"/>
      <c r="T873" s="127"/>
      <c r="U873" s="131"/>
      <c r="V873" s="374"/>
      <c r="W873" s="127"/>
      <c r="X873" s="127"/>
      <c r="Y873" s="127"/>
      <c r="Z873" s="131"/>
      <c r="AA873" s="374"/>
      <c r="AB873" s="127"/>
      <c r="AC873" s="127"/>
      <c r="AD873" s="127"/>
      <c r="AE873" s="131"/>
      <c r="AF873" s="374"/>
      <c r="AG873" s="127"/>
      <c r="AH873" s="127"/>
      <c r="AI873" s="127"/>
      <c r="AJ873" s="131"/>
      <c r="AK873" s="374"/>
      <c r="AL873" s="127"/>
      <c r="AM873" s="127"/>
      <c r="AN873" s="127"/>
      <c r="AO873" s="359"/>
      <c r="AP873" s="359"/>
      <c r="AQ873" s="359"/>
      <c r="AR873" s="359"/>
      <c r="AS873" s="359"/>
    </row>
    <row r="874">
      <c r="A874" s="131"/>
      <c r="B874" s="374"/>
      <c r="C874" s="127"/>
      <c r="D874" s="127"/>
      <c r="E874" s="127"/>
      <c r="F874" s="131"/>
      <c r="G874" s="374"/>
      <c r="H874" s="127"/>
      <c r="I874" s="127"/>
      <c r="J874" s="127"/>
      <c r="K874" s="383"/>
      <c r="L874" s="374"/>
      <c r="M874" s="127"/>
      <c r="N874" s="127"/>
      <c r="O874" s="127"/>
      <c r="P874" s="383"/>
      <c r="Q874" s="164"/>
      <c r="R874" s="127"/>
      <c r="S874" s="127"/>
      <c r="T874" s="127"/>
      <c r="U874" s="131"/>
      <c r="V874" s="374"/>
      <c r="W874" s="127"/>
      <c r="X874" s="127"/>
      <c r="Y874" s="127"/>
      <c r="Z874" s="131"/>
      <c r="AA874" s="374"/>
      <c r="AB874" s="127"/>
      <c r="AC874" s="127"/>
      <c r="AD874" s="127"/>
      <c r="AE874" s="131"/>
      <c r="AF874" s="374"/>
      <c r="AG874" s="127"/>
      <c r="AH874" s="127"/>
      <c r="AI874" s="127"/>
      <c r="AJ874" s="131"/>
      <c r="AK874" s="374"/>
      <c r="AL874" s="127"/>
      <c r="AM874" s="127"/>
      <c r="AN874" s="127"/>
      <c r="AO874" s="359"/>
      <c r="AP874" s="359"/>
      <c r="AQ874" s="359"/>
      <c r="AR874" s="359"/>
      <c r="AS874" s="359"/>
    </row>
    <row r="875">
      <c r="A875" s="131"/>
      <c r="B875" s="374"/>
      <c r="C875" s="127"/>
      <c r="D875" s="127"/>
      <c r="E875" s="127"/>
      <c r="F875" s="131"/>
      <c r="G875" s="374"/>
      <c r="H875" s="127"/>
      <c r="I875" s="127"/>
      <c r="J875" s="127"/>
      <c r="K875" s="383"/>
      <c r="L875" s="374"/>
      <c r="M875" s="127"/>
      <c r="N875" s="127"/>
      <c r="O875" s="127"/>
      <c r="P875" s="383"/>
      <c r="Q875" s="164"/>
      <c r="R875" s="127"/>
      <c r="S875" s="127"/>
      <c r="T875" s="127"/>
      <c r="U875" s="131"/>
      <c r="V875" s="374"/>
      <c r="W875" s="127"/>
      <c r="X875" s="127"/>
      <c r="Y875" s="127"/>
      <c r="Z875" s="131"/>
      <c r="AA875" s="374"/>
      <c r="AB875" s="127"/>
      <c r="AC875" s="127"/>
      <c r="AD875" s="127"/>
      <c r="AE875" s="131"/>
      <c r="AF875" s="374"/>
      <c r="AG875" s="127"/>
      <c r="AH875" s="127"/>
      <c r="AI875" s="127"/>
      <c r="AJ875" s="131"/>
      <c r="AK875" s="374"/>
      <c r="AL875" s="127"/>
      <c r="AM875" s="127"/>
      <c r="AN875" s="127"/>
      <c r="AO875" s="359"/>
      <c r="AP875" s="359"/>
      <c r="AQ875" s="359"/>
      <c r="AR875" s="359"/>
      <c r="AS875" s="359"/>
    </row>
    <row r="876">
      <c r="A876" s="131"/>
      <c r="B876" s="374"/>
      <c r="C876" s="127"/>
      <c r="D876" s="127"/>
      <c r="E876" s="127"/>
      <c r="F876" s="131"/>
      <c r="G876" s="374"/>
      <c r="H876" s="127"/>
      <c r="I876" s="127"/>
      <c r="J876" s="127"/>
      <c r="K876" s="383"/>
      <c r="L876" s="374"/>
      <c r="M876" s="127"/>
      <c r="N876" s="127"/>
      <c r="O876" s="127"/>
      <c r="P876" s="383"/>
      <c r="Q876" s="164"/>
      <c r="R876" s="127"/>
      <c r="S876" s="127"/>
      <c r="T876" s="127"/>
      <c r="U876" s="131"/>
      <c r="V876" s="374"/>
      <c r="W876" s="127"/>
      <c r="X876" s="127"/>
      <c r="Y876" s="127"/>
      <c r="Z876" s="131"/>
      <c r="AA876" s="374"/>
      <c r="AB876" s="127"/>
      <c r="AC876" s="127"/>
      <c r="AD876" s="127"/>
      <c r="AE876" s="131"/>
      <c r="AF876" s="374"/>
      <c r="AG876" s="127"/>
      <c r="AH876" s="127"/>
      <c r="AI876" s="127"/>
      <c r="AJ876" s="131"/>
      <c r="AK876" s="374"/>
      <c r="AL876" s="127"/>
      <c r="AM876" s="127"/>
      <c r="AN876" s="127"/>
      <c r="AO876" s="359"/>
      <c r="AP876" s="359"/>
      <c r="AQ876" s="359"/>
      <c r="AR876" s="359"/>
      <c r="AS876" s="359"/>
    </row>
    <row r="877">
      <c r="A877" s="131"/>
      <c r="B877" s="374"/>
      <c r="C877" s="127"/>
      <c r="D877" s="127"/>
      <c r="E877" s="127"/>
      <c r="F877" s="131"/>
      <c r="G877" s="374"/>
      <c r="H877" s="127"/>
      <c r="I877" s="127"/>
      <c r="J877" s="127"/>
      <c r="K877" s="383"/>
      <c r="L877" s="374"/>
      <c r="M877" s="127"/>
      <c r="N877" s="127"/>
      <c r="O877" s="127"/>
      <c r="P877" s="383"/>
      <c r="Q877" s="164"/>
      <c r="R877" s="127"/>
      <c r="S877" s="127"/>
      <c r="T877" s="127"/>
      <c r="U877" s="131"/>
      <c r="V877" s="374"/>
      <c r="W877" s="127"/>
      <c r="X877" s="127"/>
      <c r="Y877" s="127"/>
      <c r="Z877" s="131"/>
      <c r="AA877" s="374"/>
      <c r="AB877" s="127"/>
      <c r="AC877" s="127"/>
      <c r="AD877" s="127"/>
      <c r="AE877" s="131"/>
      <c r="AF877" s="374"/>
      <c r="AG877" s="127"/>
      <c r="AH877" s="127"/>
      <c r="AI877" s="127"/>
      <c r="AJ877" s="131"/>
      <c r="AK877" s="374"/>
      <c r="AL877" s="127"/>
      <c r="AM877" s="127"/>
      <c r="AN877" s="127"/>
      <c r="AO877" s="359"/>
      <c r="AP877" s="359"/>
      <c r="AQ877" s="359"/>
      <c r="AR877" s="359"/>
      <c r="AS877" s="359"/>
    </row>
    <row r="878">
      <c r="A878" s="131"/>
      <c r="B878" s="374"/>
      <c r="C878" s="127"/>
      <c r="D878" s="127"/>
      <c r="E878" s="127"/>
      <c r="F878" s="131"/>
      <c r="G878" s="374"/>
      <c r="H878" s="127"/>
      <c r="I878" s="127"/>
      <c r="J878" s="127"/>
      <c r="K878" s="383"/>
      <c r="L878" s="374"/>
      <c r="M878" s="127"/>
      <c r="N878" s="127"/>
      <c r="O878" s="127"/>
      <c r="P878" s="383"/>
      <c r="Q878" s="164"/>
      <c r="R878" s="127"/>
      <c r="S878" s="127"/>
      <c r="T878" s="127"/>
      <c r="U878" s="131"/>
      <c r="V878" s="374"/>
      <c r="W878" s="127"/>
      <c r="X878" s="127"/>
      <c r="Y878" s="127"/>
      <c r="Z878" s="131"/>
      <c r="AA878" s="374"/>
      <c r="AB878" s="127"/>
      <c r="AC878" s="127"/>
      <c r="AD878" s="127"/>
      <c r="AE878" s="131"/>
      <c r="AF878" s="374"/>
      <c r="AG878" s="127"/>
      <c r="AH878" s="127"/>
      <c r="AI878" s="127"/>
      <c r="AJ878" s="131"/>
      <c r="AK878" s="374"/>
      <c r="AL878" s="127"/>
      <c r="AM878" s="127"/>
      <c r="AN878" s="127"/>
      <c r="AO878" s="359"/>
      <c r="AP878" s="359"/>
      <c r="AQ878" s="359"/>
      <c r="AR878" s="359"/>
      <c r="AS878" s="359"/>
    </row>
    <row r="879">
      <c r="A879" s="131"/>
      <c r="B879" s="374"/>
      <c r="C879" s="127"/>
      <c r="D879" s="127"/>
      <c r="E879" s="127"/>
      <c r="F879" s="131"/>
      <c r="G879" s="374"/>
      <c r="H879" s="127"/>
      <c r="I879" s="127"/>
      <c r="J879" s="127"/>
      <c r="K879" s="383"/>
      <c r="L879" s="374"/>
      <c r="M879" s="127"/>
      <c r="N879" s="127"/>
      <c r="O879" s="127"/>
      <c r="P879" s="383"/>
      <c r="Q879" s="164"/>
      <c r="R879" s="127"/>
      <c r="S879" s="127"/>
      <c r="T879" s="127"/>
      <c r="U879" s="131"/>
      <c r="V879" s="374"/>
      <c r="W879" s="127"/>
      <c r="X879" s="127"/>
      <c r="Y879" s="127"/>
      <c r="Z879" s="131"/>
      <c r="AA879" s="374"/>
      <c r="AB879" s="127"/>
      <c r="AC879" s="127"/>
      <c r="AD879" s="127"/>
      <c r="AE879" s="131"/>
      <c r="AF879" s="374"/>
      <c r="AG879" s="127"/>
      <c r="AH879" s="127"/>
      <c r="AI879" s="127"/>
      <c r="AJ879" s="131"/>
      <c r="AK879" s="374"/>
      <c r="AL879" s="127"/>
      <c r="AM879" s="127"/>
      <c r="AN879" s="127"/>
      <c r="AO879" s="359"/>
      <c r="AP879" s="359"/>
      <c r="AQ879" s="359"/>
      <c r="AR879" s="359"/>
      <c r="AS879" s="359"/>
    </row>
    <row r="880">
      <c r="A880" s="131"/>
      <c r="B880" s="374"/>
      <c r="C880" s="127"/>
      <c r="D880" s="127"/>
      <c r="E880" s="127"/>
      <c r="F880" s="131"/>
      <c r="G880" s="374"/>
      <c r="H880" s="127"/>
      <c r="I880" s="127"/>
      <c r="J880" s="127"/>
      <c r="K880" s="383"/>
      <c r="L880" s="374"/>
      <c r="M880" s="127"/>
      <c r="N880" s="127"/>
      <c r="O880" s="127"/>
      <c r="P880" s="383"/>
      <c r="Q880" s="164"/>
      <c r="R880" s="127"/>
      <c r="S880" s="127"/>
      <c r="T880" s="127"/>
      <c r="U880" s="131"/>
      <c r="V880" s="374"/>
      <c r="W880" s="127"/>
      <c r="X880" s="127"/>
      <c r="Y880" s="127"/>
      <c r="Z880" s="131"/>
      <c r="AA880" s="374"/>
      <c r="AB880" s="127"/>
      <c r="AC880" s="127"/>
      <c r="AD880" s="127"/>
      <c r="AE880" s="131"/>
      <c r="AF880" s="374"/>
      <c r="AG880" s="127"/>
      <c r="AH880" s="127"/>
      <c r="AI880" s="127"/>
      <c r="AJ880" s="131"/>
      <c r="AK880" s="374"/>
      <c r="AL880" s="127"/>
      <c r="AM880" s="127"/>
      <c r="AN880" s="127"/>
      <c r="AO880" s="359"/>
      <c r="AP880" s="359"/>
      <c r="AQ880" s="359"/>
      <c r="AR880" s="359"/>
      <c r="AS880" s="359"/>
    </row>
    <row r="881">
      <c r="A881" s="131"/>
      <c r="B881" s="374"/>
      <c r="C881" s="127"/>
      <c r="D881" s="127"/>
      <c r="E881" s="127"/>
      <c r="F881" s="131"/>
      <c r="G881" s="374"/>
      <c r="H881" s="127"/>
      <c r="I881" s="127"/>
      <c r="J881" s="127"/>
      <c r="K881" s="383"/>
      <c r="L881" s="374"/>
      <c r="M881" s="127"/>
      <c r="N881" s="127"/>
      <c r="O881" s="127"/>
      <c r="P881" s="383"/>
      <c r="Q881" s="164"/>
      <c r="R881" s="127"/>
      <c r="S881" s="127"/>
      <c r="T881" s="127"/>
      <c r="U881" s="131"/>
      <c r="V881" s="374"/>
      <c r="W881" s="127"/>
      <c r="X881" s="127"/>
      <c r="Y881" s="127"/>
      <c r="Z881" s="131"/>
      <c r="AA881" s="374"/>
      <c r="AB881" s="127"/>
      <c r="AC881" s="127"/>
      <c r="AD881" s="127"/>
      <c r="AE881" s="131"/>
      <c r="AF881" s="374"/>
      <c r="AG881" s="127"/>
      <c r="AH881" s="127"/>
      <c r="AI881" s="127"/>
      <c r="AJ881" s="131"/>
      <c r="AK881" s="374"/>
      <c r="AL881" s="127"/>
      <c r="AM881" s="127"/>
      <c r="AN881" s="127"/>
      <c r="AO881" s="359"/>
      <c r="AP881" s="359"/>
      <c r="AQ881" s="359"/>
      <c r="AR881" s="359"/>
      <c r="AS881" s="359"/>
    </row>
    <row r="882">
      <c r="A882" s="131"/>
      <c r="B882" s="374"/>
      <c r="C882" s="127"/>
      <c r="D882" s="127"/>
      <c r="E882" s="127"/>
      <c r="F882" s="131"/>
      <c r="G882" s="374"/>
      <c r="H882" s="127"/>
      <c r="I882" s="127"/>
      <c r="J882" s="127"/>
      <c r="K882" s="383"/>
      <c r="L882" s="374"/>
      <c r="M882" s="127"/>
      <c r="N882" s="127"/>
      <c r="O882" s="127"/>
      <c r="P882" s="383"/>
      <c r="Q882" s="164"/>
      <c r="R882" s="127"/>
      <c r="S882" s="127"/>
      <c r="T882" s="127"/>
      <c r="U882" s="131"/>
      <c r="V882" s="374"/>
      <c r="W882" s="127"/>
      <c r="X882" s="127"/>
      <c r="Y882" s="127"/>
      <c r="Z882" s="131"/>
      <c r="AA882" s="374"/>
      <c r="AB882" s="127"/>
      <c r="AC882" s="127"/>
      <c r="AD882" s="127"/>
      <c r="AE882" s="131"/>
      <c r="AF882" s="374"/>
      <c r="AG882" s="127"/>
      <c r="AH882" s="127"/>
      <c r="AI882" s="127"/>
      <c r="AJ882" s="131"/>
      <c r="AK882" s="374"/>
      <c r="AL882" s="127"/>
      <c r="AM882" s="127"/>
      <c r="AN882" s="127"/>
      <c r="AO882" s="359"/>
      <c r="AP882" s="359"/>
      <c r="AQ882" s="359"/>
      <c r="AR882" s="359"/>
      <c r="AS882" s="359"/>
    </row>
    <row r="883">
      <c r="A883" s="131"/>
      <c r="B883" s="374"/>
      <c r="C883" s="127"/>
      <c r="D883" s="127"/>
      <c r="E883" s="127"/>
      <c r="F883" s="131"/>
      <c r="G883" s="374"/>
      <c r="H883" s="127"/>
      <c r="I883" s="127"/>
      <c r="J883" s="127"/>
      <c r="K883" s="383"/>
      <c r="L883" s="374"/>
      <c r="M883" s="127"/>
      <c r="N883" s="127"/>
      <c r="O883" s="127"/>
      <c r="P883" s="383"/>
      <c r="Q883" s="164"/>
      <c r="R883" s="127"/>
      <c r="S883" s="127"/>
      <c r="T883" s="127"/>
      <c r="U883" s="131"/>
      <c r="V883" s="374"/>
      <c r="W883" s="127"/>
      <c r="X883" s="127"/>
      <c r="Y883" s="127"/>
      <c r="Z883" s="131"/>
      <c r="AA883" s="374"/>
      <c r="AB883" s="127"/>
      <c r="AC883" s="127"/>
      <c r="AD883" s="127"/>
      <c r="AE883" s="131"/>
      <c r="AF883" s="374"/>
      <c r="AG883" s="127"/>
      <c r="AH883" s="127"/>
      <c r="AI883" s="127"/>
      <c r="AJ883" s="131"/>
      <c r="AK883" s="374"/>
      <c r="AL883" s="127"/>
      <c r="AM883" s="127"/>
      <c r="AN883" s="127"/>
      <c r="AO883" s="359"/>
      <c r="AP883" s="359"/>
      <c r="AQ883" s="359"/>
      <c r="AR883" s="359"/>
      <c r="AS883" s="359"/>
    </row>
    <row r="884">
      <c r="A884" s="131"/>
      <c r="B884" s="374"/>
      <c r="C884" s="127"/>
      <c r="D884" s="127"/>
      <c r="E884" s="127"/>
      <c r="F884" s="131"/>
      <c r="G884" s="374"/>
      <c r="H884" s="127"/>
      <c r="I884" s="127"/>
      <c r="J884" s="127"/>
      <c r="K884" s="383"/>
      <c r="L884" s="374"/>
      <c r="M884" s="127"/>
      <c r="N884" s="127"/>
      <c r="O884" s="127"/>
      <c r="P884" s="383"/>
      <c r="Q884" s="164"/>
      <c r="R884" s="127"/>
      <c r="S884" s="127"/>
      <c r="T884" s="127"/>
      <c r="U884" s="131"/>
      <c r="V884" s="374"/>
      <c r="W884" s="127"/>
      <c r="X884" s="127"/>
      <c r="Y884" s="127"/>
      <c r="Z884" s="131"/>
      <c r="AA884" s="374"/>
      <c r="AB884" s="127"/>
      <c r="AC884" s="127"/>
      <c r="AD884" s="127"/>
      <c r="AE884" s="131"/>
      <c r="AF884" s="374"/>
      <c r="AG884" s="127"/>
      <c r="AH884" s="127"/>
      <c r="AI884" s="127"/>
      <c r="AJ884" s="131"/>
      <c r="AK884" s="374"/>
      <c r="AL884" s="127"/>
      <c r="AM884" s="127"/>
      <c r="AN884" s="127"/>
      <c r="AO884" s="359"/>
      <c r="AP884" s="359"/>
      <c r="AQ884" s="359"/>
      <c r="AR884" s="359"/>
      <c r="AS884" s="359"/>
    </row>
    <row r="885">
      <c r="A885" s="131"/>
      <c r="B885" s="374"/>
      <c r="C885" s="127"/>
      <c r="D885" s="127"/>
      <c r="E885" s="127"/>
      <c r="F885" s="131"/>
      <c r="G885" s="374"/>
      <c r="H885" s="127"/>
      <c r="I885" s="127"/>
      <c r="J885" s="127"/>
      <c r="K885" s="383"/>
      <c r="L885" s="374"/>
      <c r="M885" s="127"/>
      <c r="N885" s="127"/>
      <c r="O885" s="127"/>
      <c r="P885" s="383"/>
      <c r="Q885" s="164"/>
      <c r="R885" s="127"/>
      <c r="S885" s="127"/>
      <c r="T885" s="127"/>
      <c r="U885" s="131"/>
      <c r="V885" s="374"/>
      <c r="W885" s="127"/>
      <c r="X885" s="127"/>
      <c r="Y885" s="127"/>
      <c r="Z885" s="131"/>
      <c r="AA885" s="374"/>
      <c r="AB885" s="127"/>
      <c r="AC885" s="127"/>
      <c r="AD885" s="127"/>
      <c r="AE885" s="131"/>
      <c r="AF885" s="374"/>
      <c r="AG885" s="127"/>
      <c r="AH885" s="127"/>
      <c r="AI885" s="127"/>
      <c r="AJ885" s="131"/>
      <c r="AK885" s="374"/>
      <c r="AL885" s="127"/>
      <c r="AM885" s="127"/>
      <c r="AN885" s="127"/>
      <c r="AO885" s="359"/>
      <c r="AP885" s="359"/>
      <c r="AQ885" s="359"/>
      <c r="AR885" s="359"/>
      <c r="AS885" s="359"/>
    </row>
    <row r="886">
      <c r="A886" s="131"/>
      <c r="B886" s="374"/>
      <c r="C886" s="127"/>
      <c r="D886" s="127"/>
      <c r="E886" s="127"/>
      <c r="F886" s="131"/>
      <c r="G886" s="374"/>
      <c r="H886" s="127"/>
      <c r="I886" s="127"/>
      <c r="J886" s="127"/>
      <c r="K886" s="383"/>
      <c r="L886" s="374"/>
      <c r="M886" s="127"/>
      <c r="N886" s="127"/>
      <c r="O886" s="127"/>
      <c r="P886" s="383"/>
      <c r="Q886" s="164"/>
      <c r="R886" s="127"/>
      <c r="S886" s="127"/>
      <c r="T886" s="127"/>
      <c r="U886" s="131"/>
      <c r="V886" s="374"/>
      <c r="W886" s="127"/>
      <c r="X886" s="127"/>
      <c r="Y886" s="127"/>
      <c r="Z886" s="131"/>
      <c r="AA886" s="374"/>
      <c r="AB886" s="127"/>
      <c r="AC886" s="127"/>
      <c r="AD886" s="127"/>
      <c r="AE886" s="131"/>
      <c r="AF886" s="374"/>
      <c r="AG886" s="127"/>
      <c r="AH886" s="127"/>
      <c r="AI886" s="127"/>
      <c r="AJ886" s="131"/>
      <c r="AK886" s="374"/>
      <c r="AL886" s="127"/>
      <c r="AM886" s="127"/>
      <c r="AN886" s="127"/>
      <c r="AO886" s="359"/>
      <c r="AP886" s="359"/>
      <c r="AQ886" s="359"/>
      <c r="AR886" s="359"/>
      <c r="AS886" s="359"/>
    </row>
    <row r="887">
      <c r="A887" s="131"/>
      <c r="B887" s="374"/>
      <c r="C887" s="127"/>
      <c r="D887" s="127"/>
      <c r="E887" s="127"/>
      <c r="F887" s="131"/>
      <c r="G887" s="374"/>
      <c r="H887" s="127"/>
      <c r="I887" s="127"/>
      <c r="J887" s="127"/>
      <c r="K887" s="383"/>
      <c r="L887" s="374"/>
      <c r="M887" s="127"/>
      <c r="N887" s="127"/>
      <c r="O887" s="127"/>
      <c r="P887" s="383"/>
      <c r="Q887" s="164"/>
      <c r="R887" s="127"/>
      <c r="S887" s="127"/>
      <c r="T887" s="127"/>
      <c r="U887" s="131"/>
      <c r="V887" s="374"/>
      <c r="W887" s="127"/>
      <c r="X887" s="127"/>
      <c r="Y887" s="127"/>
      <c r="Z887" s="131"/>
      <c r="AA887" s="374"/>
      <c r="AB887" s="127"/>
      <c r="AC887" s="127"/>
      <c r="AD887" s="127"/>
      <c r="AE887" s="131"/>
      <c r="AF887" s="374"/>
      <c r="AG887" s="127"/>
      <c r="AH887" s="127"/>
      <c r="AI887" s="127"/>
      <c r="AJ887" s="131"/>
      <c r="AK887" s="374"/>
      <c r="AL887" s="127"/>
      <c r="AM887" s="127"/>
      <c r="AN887" s="127"/>
      <c r="AO887" s="359"/>
      <c r="AP887" s="359"/>
      <c r="AQ887" s="359"/>
      <c r="AR887" s="359"/>
      <c r="AS887" s="359"/>
    </row>
    <row r="888">
      <c r="A888" s="131"/>
      <c r="B888" s="374"/>
      <c r="C888" s="127"/>
      <c r="D888" s="127"/>
      <c r="E888" s="127"/>
      <c r="F888" s="131"/>
      <c r="G888" s="374"/>
      <c r="H888" s="127"/>
      <c r="I888" s="127"/>
      <c r="J888" s="127"/>
      <c r="K888" s="383"/>
      <c r="L888" s="374"/>
      <c r="M888" s="127"/>
      <c r="N888" s="127"/>
      <c r="O888" s="127"/>
      <c r="P888" s="383"/>
      <c r="Q888" s="164"/>
      <c r="R888" s="127"/>
      <c r="S888" s="127"/>
      <c r="T888" s="127"/>
      <c r="U888" s="131"/>
      <c r="V888" s="374"/>
      <c r="W888" s="127"/>
      <c r="X888" s="127"/>
      <c r="Y888" s="127"/>
      <c r="Z888" s="131"/>
      <c r="AA888" s="374"/>
      <c r="AB888" s="127"/>
      <c r="AC888" s="127"/>
      <c r="AD888" s="127"/>
      <c r="AE888" s="131"/>
      <c r="AF888" s="374"/>
      <c r="AG888" s="127"/>
      <c r="AH888" s="127"/>
      <c r="AI888" s="127"/>
      <c r="AJ888" s="131"/>
      <c r="AK888" s="374"/>
      <c r="AL888" s="127"/>
      <c r="AM888" s="127"/>
      <c r="AN888" s="127"/>
      <c r="AO888" s="359"/>
      <c r="AP888" s="359"/>
      <c r="AQ888" s="359"/>
      <c r="AR888" s="359"/>
      <c r="AS888" s="359"/>
    </row>
    <row r="889">
      <c r="A889" s="131"/>
      <c r="B889" s="374"/>
      <c r="C889" s="127"/>
      <c r="D889" s="127"/>
      <c r="E889" s="127"/>
      <c r="F889" s="131"/>
      <c r="G889" s="374"/>
      <c r="H889" s="127"/>
      <c r="I889" s="127"/>
      <c r="J889" s="127"/>
      <c r="K889" s="383"/>
      <c r="L889" s="374"/>
      <c r="M889" s="127"/>
      <c r="N889" s="127"/>
      <c r="O889" s="127"/>
      <c r="P889" s="383"/>
      <c r="Q889" s="164"/>
      <c r="R889" s="127"/>
      <c r="S889" s="127"/>
      <c r="T889" s="127"/>
      <c r="U889" s="131"/>
      <c r="V889" s="374"/>
      <c r="W889" s="127"/>
      <c r="X889" s="127"/>
      <c r="Y889" s="127"/>
      <c r="Z889" s="131"/>
      <c r="AA889" s="374"/>
      <c r="AB889" s="127"/>
      <c r="AC889" s="127"/>
      <c r="AD889" s="127"/>
      <c r="AE889" s="131"/>
      <c r="AF889" s="374"/>
      <c r="AG889" s="127"/>
      <c r="AH889" s="127"/>
      <c r="AI889" s="127"/>
      <c r="AJ889" s="131"/>
      <c r="AK889" s="374"/>
      <c r="AL889" s="127"/>
      <c r="AM889" s="127"/>
      <c r="AN889" s="127"/>
      <c r="AO889" s="359"/>
      <c r="AP889" s="359"/>
      <c r="AQ889" s="359"/>
      <c r="AR889" s="359"/>
      <c r="AS889" s="359"/>
    </row>
    <row r="890">
      <c r="A890" s="131"/>
      <c r="B890" s="374"/>
      <c r="C890" s="127"/>
      <c r="D890" s="127"/>
      <c r="E890" s="127"/>
      <c r="F890" s="131"/>
      <c r="G890" s="374"/>
      <c r="H890" s="127"/>
      <c r="I890" s="127"/>
      <c r="J890" s="127"/>
      <c r="K890" s="383"/>
      <c r="L890" s="374"/>
      <c r="M890" s="127"/>
      <c r="N890" s="127"/>
      <c r="O890" s="127"/>
      <c r="P890" s="383"/>
      <c r="Q890" s="164"/>
      <c r="R890" s="127"/>
      <c r="S890" s="127"/>
      <c r="T890" s="127"/>
      <c r="U890" s="131"/>
      <c r="V890" s="374"/>
      <c r="W890" s="127"/>
      <c r="X890" s="127"/>
      <c r="Y890" s="127"/>
      <c r="Z890" s="131"/>
      <c r="AA890" s="374"/>
      <c r="AB890" s="127"/>
      <c r="AC890" s="127"/>
      <c r="AD890" s="127"/>
      <c r="AE890" s="131"/>
      <c r="AF890" s="374"/>
      <c r="AG890" s="127"/>
      <c r="AH890" s="127"/>
      <c r="AI890" s="127"/>
      <c r="AJ890" s="131"/>
      <c r="AK890" s="374"/>
      <c r="AL890" s="127"/>
      <c r="AM890" s="127"/>
      <c r="AN890" s="127"/>
      <c r="AO890" s="359"/>
      <c r="AP890" s="359"/>
      <c r="AQ890" s="359"/>
      <c r="AR890" s="359"/>
      <c r="AS890" s="359"/>
    </row>
    <row r="891">
      <c r="A891" s="131"/>
      <c r="B891" s="374"/>
      <c r="C891" s="127"/>
      <c r="D891" s="127"/>
      <c r="E891" s="127"/>
      <c r="F891" s="131"/>
      <c r="G891" s="374"/>
      <c r="H891" s="127"/>
      <c r="I891" s="127"/>
      <c r="J891" s="127"/>
      <c r="K891" s="383"/>
      <c r="L891" s="374"/>
      <c r="M891" s="127"/>
      <c r="N891" s="127"/>
      <c r="O891" s="127"/>
      <c r="P891" s="383"/>
      <c r="Q891" s="164"/>
      <c r="R891" s="127"/>
      <c r="S891" s="127"/>
      <c r="T891" s="127"/>
      <c r="U891" s="131"/>
      <c r="V891" s="374"/>
      <c r="W891" s="127"/>
      <c r="X891" s="127"/>
      <c r="Y891" s="127"/>
      <c r="Z891" s="131"/>
      <c r="AA891" s="374"/>
      <c r="AB891" s="127"/>
      <c r="AC891" s="127"/>
      <c r="AD891" s="127"/>
      <c r="AE891" s="131"/>
      <c r="AF891" s="374"/>
      <c r="AG891" s="127"/>
      <c r="AH891" s="127"/>
      <c r="AI891" s="127"/>
      <c r="AJ891" s="131"/>
      <c r="AK891" s="374"/>
      <c r="AL891" s="127"/>
      <c r="AM891" s="127"/>
      <c r="AN891" s="127"/>
      <c r="AO891" s="359"/>
      <c r="AP891" s="359"/>
      <c r="AQ891" s="359"/>
      <c r="AR891" s="359"/>
      <c r="AS891" s="359"/>
    </row>
    <row r="892">
      <c r="A892" s="131"/>
      <c r="B892" s="374"/>
      <c r="C892" s="127"/>
      <c r="D892" s="127"/>
      <c r="E892" s="127"/>
      <c r="F892" s="131"/>
      <c r="G892" s="374"/>
      <c r="H892" s="127"/>
      <c r="I892" s="127"/>
      <c r="J892" s="127"/>
      <c r="K892" s="383"/>
      <c r="L892" s="374"/>
      <c r="M892" s="127"/>
      <c r="N892" s="127"/>
      <c r="O892" s="127"/>
      <c r="P892" s="383"/>
      <c r="Q892" s="164"/>
      <c r="R892" s="127"/>
      <c r="S892" s="127"/>
      <c r="T892" s="127"/>
      <c r="U892" s="131"/>
      <c r="V892" s="374"/>
      <c r="W892" s="127"/>
      <c r="X892" s="127"/>
      <c r="Y892" s="127"/>
      <c r="Z892" s="131"/>
      <c r="AA892" s="374"/>
      <c r="AB892" s="127"/>
      <c r="AC892" s="127"/>
      <c r="AD892" s="127"/>
      <c r="AE892" s="131"/>
      <c r="AF892" s="374"/>
      <c r="AG892" s="127"/>
      <c r="AH892" s="127"/>
      <c r="AI892" s="127"/>
      <c r="AJ892" s="131"/>
      <c r="AK892" s="374"/>
      <c r="AL892" s="127"/>
      <c r="AM892" s="127"/>
      <c r="AN892" s="127"/>
      <c r="AO892" s="359"/>
      <c r="AP892" s="359"/>
      <c r="AQ892" s="359"/>
      <c r="AR892" s="359"/>
      <c r="AS892" s="359"/>
    </row>
    <row r="893">
      <c r="A893" s="131"/>
      <c r="B893" s="374"/>
      <c r="C893" s="127"/>
      <c r="D893" s="127"/>
      <c r="E893" s="127"/>
      <c r="F893" s="131"/>
      <c r="G893" s="374"/>
      <c r="H893" s="127"/>
      <c r="I893" s="127"/>
      <c r="J893" s="127"/>
      <c r="K893" s="383"/>
      <c r="L893" s="374"/>
      <c r="M893" s="127"/>
      <c r="N893" s="127"/>
      <c r="O893" s="127"/>
      <c r="P893" s="383"/>
      <c r="Q893" s="164"/>
      <c r="R893" s="127"/>
      <c r="S893" s="127"/>
      <c r="T893" s="127"/>
      <c r="U893" s="131"/>
      <c r="V893" s="374"/>
      <c r="W893" s="127"/>
      <c r="X893" s="127"/>
      <c r="Y893" s="127"/>
      <c r="Z893" s="131"/>
      <c r="AA893" s="374"/>
      <c r="AB893" s="127"/>
      <c r="AC893" s="127"/>
      <c r="AD893" s="127"/>
      <c r="AE893" s="131"/>
      <c r="AF893" s="374"/>
      <c r="AG893" s="127"/>
      <c r="AH893" s="127"/>
      <c r="AI893" s="127"/>
      <c r="AJ893" s="131"/>
      <c r="AK893" s="374"/>
      <c r="AL893" s="127"/>
      <c r="AM893" s="127"/>
      <c r="AN893" s="127"/>
      <c r="AO893" s="359"/>
      <c r="AP893" s="359"/>
      <c r="AQ893" s="359"/>
      <c r="AR893" s="359"/>
      <c r="AS893" s="359"/>
    </row>
    <row r="894">
      <c r="A894" s="131"/>
      <c r="B894" s="374"/>
      <c r="C894" s="127"/>
      <c r="D894" s="127"/>
      <c r="E894" s="127"/>
      <c r="F894" s="131"/>
      <c r="G894" s="374"/>
      <c r="H894" s="127"/>
      <c r="I894" s="127"/>
      <c r="J894" s="127"/>
      <c r="K894" s="383"/>
      <c r="L894" s="374"/>
      <c r="M894" s="127"/>
      <c r="N894" s="127"/>
      <c r="O894" s="127"/>
      <c r="P894" s="383"/>
      <c r="Q894" s="164"/>
      <c r="R894" s="127"/>
      <c r="S894" s="127"/>
      <c r="T894" s="127"/>
      <c r="U894" s="131"/>
      <c r="V894" s="374"/>
      <c r="W894" s="127"/>
      <c r="X894" s="127"/>
      <c r="Y894" s="127"/>
      <c r="Z894" s="131"/>
      <c r="AA894" s="374"/>
      <c r="AB894" s="127"/>
      <c r="AC894" s="127"/>
      <c r="AD894" s="127"/>
      <c r="AE894" s="131"/>
      <c r="AF894" s="374"/>
      <c r="AG894" s="127"/>
      <c r="AH894" s="127"/>
      <c r="AI894" s="127"/>
      <c r="AJ894" s="131"/>
      <c r="AK894" s="374"/>
      <c r="AL894" s="127"/>
      <c r="AM894" s="127"/>
      <c r="AN894" s="127"/>
      <c r="AO894" s="359"/>
      <c r="AP894" s="359"/>
      <c r="AQ894" s="359"/>
      <c r="AR894" s="359"/>
      <c r="AS894" s="359"/>
    </row>
    <row r="895">
      <c r="A895" s="131"/>
      <c r="B895" s="374"/>
      <c r="C895" s="127"/>
      <c r="D895" s="127"/>
      <c r="E895" s="127"/>
      <c r="F895" s="131"/>
      <c r="G895" s="374"/>
      <c r="H895" s="127"/>
      <c r="I895" s="127"/>
      <c r="J895" s="127"/>
      <c r="K895" s="383"/>
      <c r="L895" s="374"/>
      <c r="M895" s="127"/>
      <c r="N895" s="127"/>
      <c r="O895" s="127"/>
      <c r="P895" s="383"/>
      <c r="Q895" s="164"/>
      <c r="R895" s="127"/>
      <c r="S895" s="127"/>
      <c r="T895" s="127"/>
      <c r="U895" s="131"/>
      <c r="V895" s="374"/>
      <c r="W895" s="127"/>
      <c r="X895" s="127"/>
      <c r="Y895" s="127"/>
      <c r="Z895" s="131"/>
      <c r="AA895" s="374"/>
      <c r="AB895" s="127"/>
      <c r="AC895" s="127"/>
      <c r="AD895" s="127"/>
      <c r="AE895" s="131"/>
      <c r="AF895" s="374"/>
      <c r="AG895" s="127"/>
      <c r="AH895" s="127"/>
      <c r="AI895" s="127"/>
      <c r="AJ895" s="131"/>
      <c r="AK895" s="374"/>
      <c r="AL895" s="127"/>
      <c r="AM895" s="127"/>
      <c r="AN895" s="127"/>
      <c r="AO895" s="359"/>
      <c r="AP895" s="359"/>
      <c r="AQ895" s="359"/>
      <c r="AR895" s="359"/>
      <c r="AS895" s="359"/>
    </row>
    <row r="896">
      <c r="A896" s="131"/>
      <c r="B896" s="374"/>
      <c r="C896" s="127"/>
      <c r="D896" s="127"/>
      <c r="E896" s="127"/>
      <c r="F896" s="131"/>
      <c r="G896" s="374"/>
      <c r="H896" s="127"/>
      <c r="I896" s="127"/>
      <c r="J896" s="127"/>
      <c r="K896" s="383"/>
      <c r="L896" s="374"/>
      <c r="M896" s="127"/>
      <c r="N896" s="127"/>
      <c r="O896" s="127"/>
      <c r="P896" s="383"/>
      <c r="Q896" s="164"/>
      <c r="R896" s="127"/>
      <c r="S896" s="127"/>
      <c r="T896" s="127"/>
      <c r="U896" s="131"/>
      <c r="V896" s="374"/>
      <c r="W896" s="127"/>
      <c r="X896" s="127"/>
      <c r="Y896" s="127"/>
      <c r="Z896" s="131"/>
      <c r="AA896" s="374"/>
      <c r="AB896" s="127"/>
      <c r="AC896" s="127"/>
      <c r="AD896" s="127"/>
      <c r="AE896" s="131"/>
      <c r="AF896" s="374"/>
      <c r="AG896" s="127"/>
      <c r="AH896" s="127"/>
      <c r="AI896" s="127"/>
      <c r="AJ896" s="131"/>
      <c r="AK896" s="374"/>
      <c r="AL896" s="127"/>
      <c r="AM896" s="127"/>
      <c r="AN896" s="127"/>
      <c r="AO896" s="359"/>
      <c r="AP896" s="359"/>
      <c r="AQ896" s="359"/>
      <c r="AR896" s="359"/>
      <c r="AS896" s="359"/>
    </row>
    <row r="897">
      <c r="A897" s="131"/>
      <c r="B897" s="374"/>
      <c r="C897" s="127"/>
      <c r="D897" s="127"/>
      <c r="E897" s="127"/>
      <c r="F897" s="131"/>
      <c r="G897" s="374"/>
      <c r="H897" s="127"/>
      <c r="I897" s="127"/>
      <c r="J897" s="127"/>
      <c r="K897" s="383"/>
      <c r="L897" s="374"/>
      <c r="M897" s="127"/>
      <c r="N897" s="127"/>
      <c r="O897" s="127"/>
      <c r="P897" s="383"/>
      <c r="Q897" s="164"/>
      <c r="R897" s="127"/>
      <c r="S897" s="127"/>
      <c r="T897" s="127"/>
      <c r="U897" s="131"/>
      <c r="V897" s="374"/>
      <c r="W897" s="127"/>
      <c r="X897" s="127"/>
      <c r="Y897" s="127"/>
      <c r="Z897" s="131"/>
      <c r="AA897" s="374"/>
      <c r="AB897" s="127"/>
      <c r="AC897" s="127"/>
      <c r="AD897" s="127"/>
      <c r="AE897" s="131"/>
      <c r="AF897" s="374"/>
      <c r="AG897" s="127"/>
      <c r="AH897" s="127"/>
      <c r="AI897" s="127"/>
      <c r="AJ897" s="131"/>
      <c r="AK897" s="374"/>
      <c r="AL897" s="127"/>
      <c r="AM897" s="127"/>
      <c r="AN897" s="127"/>
      <c r="AO897" s="359"/>
      <c r="AP897" s="359"/>
      <c r="AQ897" s="359"/>
      <c r="AR897" s="359"/>
      <c r="AS897" s="359"/>
    </row>
    <row r="898">
      <c r="A898" s="131"/>
      <c r="B898" s="374"/>
      <c r="C898" s="127"/>
      <c r="D898" s="127"/>
      <c r="E898" s="127"/>
      <c r="F898" s="131"/>
      <c r="G898" s="374"/>
      <c r="H898" s="127"/>
      <c r="I898" s="127"/>
      <c r="J898" s="127"/>
      <c r="K898" s="383"/>
      <c r="L898" s="374"/>
      <c r="M898" s="127"/>
      <c r="N898" s="127"/>
      <c r="O898" s="127"/>
      <c r="P898" s="383"/>
      <c r="Q898" s="164"/>
      <c r="R898" s="127"/>
      <c r="S898" s="127"/>
      <c r="T898" s="127"/>
      <c r="U898" s="131"/>
      <c r="V898" s="374"/>
      <c r="W898" s="127"/>
      <c r="X898" s="127"/>
      <c r="Y898" s="127"/>
      <c r="Z898" s="131"/>
      <c r="AA898" s="374"/>
      <c r="AB898" s="127"/>
      <c r="AC898" s="127"/>
      <c r="AD898" s="127"/>
      <c r="AE898" s="131"/>
      <c r="AF898" s="374"/>
      <c r="AG898" s="127"/>
      <c r="AH898" s="127"/>
      <c r="AI898" s="127"/>
      <c r="AJ898" s="131"/>
      <c r="AK898" s="374"/>
      <c r="AL898" s="127"/>
      <c r="AM898" s="127"/>
      <c r="AN898" s="127"/>
      <c r="AO898" s="359"/>
      <c r="AP898" s="359"/>
      <c r="AQ898" s="359"/>
      <c r="AR898" s="359"/>
      <c r="AS898" s="359"/>
    </row>
    <row r="899">
      <c r="A899" s="131"/>
      <c r="B899" s="374"/>
      <c r="C899" s="127"/>
      <c r="D899" s="127"/>
      <c r="E899" s="127"/>
      <c r="F899" s="131"/>
      <c r="G899" s="374"/>
      <c r="H899" s="127"/>
      <c r="I899" s="127"/>
      <c r="J899" s="127"/>
      <c r="K899" s="383"/>
      <c r="L899" s="374"/>
      <c r="M899" s="127"/>
      <c r="N899" s="127"/>
      <c r="O899" s="127"/>
      <c r="P899" s="383"/>
      <c r="Q899" s="164"/>
      <c r="R899" s="127"/>
      <c r="S899" s="127"/>
      <c r="T899" s="127"/>
      <c r="U899" s="131"/>
      <c r="V899" s="374"/>
      <c r="W899" s="127"/>
      <c r="X899" s="127"/>
      <c r="Y899" s="127"/>
      <c r="Z899" s="131"/>
      <c r="AA899" s="374"/>
      <c r="AB899" s="127"/>
      <c r="AC899" s="127"/>
      <c r="AD899" s="127"/>
      <c r="AE899" s="131"/>
      <c r="AF899" s="374"/>
      <c r="AG899" s="127"/>
      <c r="AH899" s="127"/>
      <c r="AI899" s="127"/>
      <c r="AJ899" s="131"/>
      <c r="AK899" s="374"/>
      <c r="AL899" s="127"/>
      <c r="AM899" s="127"/>
      <c r="AN899" s="127"/>
      <c r="AO899" s="359"/>
      <c r="AP899" s="359"/>
      <c r="AQ899" s="359"/>
      <c r="AR899" s="359"/>
      <c r="AS899" s="359"/>
    </row>
    <row r="900">
      <c r="A900" s="131"/>
      <c r="B900" s="374"/>
      <c r="C900" s="127"/>
      <c r="D900" s="127"/>
      <c r="E900" s="127"/>
      <c r="F900" s="131"/>
      <c r="G900" s="374"/>
      <c r="H900" s="127"/>
      <c r="I900" s="127"/>
      <c r="J900" s="127"/>
      <c r="K900" s="383"/>
      <c r="L900" s="374"/>
      <c r="M900" s="127"/>
      <c r="N900" s="127"/>
      <c r="O900" s="127"/>
      <c r="P900" s="383"/>
      <c r="Q900" s="164"/>
      <c r="R900" s="127"/>
      <c r="S900" s="127"/>
      <c r="T900" s="127"/>
      <c r="U900" s="131"/>
      <c r="V900" s="374"/>
      <c r="W900" s="127"/>
      <c r="X900" s="127"/>
      <c r="Y900" s="127"/>
      <c r="Z900" s="131"/>
      <c r="AA900" s="374"/>
      <c r="AB900" s="127"/>
      <c r="AC900" s="127"/>
      <c r="AD900" s="127"/>
      <c r="AE900" s="131"/>
      <c r="AF900" s="374"/>
      <c r="AG900" s="127"/>
      <c r="AH900" s="127"/>
      <c r="AI900" s="127"/>
      <c r="AJ900" s="131"/>
      <c r="AK900" s="374"/>
      <c r="AL900" s="127"/>
      <c r="AM900" s="127"/>
      <c r="AN900" s="127"/>
      <c r="AO900" s="359"/>
      <c r="AP900" s="359"/>
      <c r="AQ900" s="359"/>
      <c r="AR900" s="359"/>
      <c r="AS900" s="359"/>
    </row>
    <row r="901">
      <c r="A901" s="131"/>
      <c r="B901" s="374"/>
      <c r="C901" s="127"/>
      <c r="D901" s="127"/>
      <c r="E901" s="127"/>
      <c r="F901" s="131"/>
      <c r="G901" s="374"/>
      <c r="H901" s="127"/>
      <c r="I901" s="127"/>
      <c r="J901" s="127"/>
      <c r="K901" s="383"/>
      <c r="L901" s="374"/>
      <c r="M901" s="127"/>
      <c r="N901" s="127"/>
      <c r="O901" s="127"/>
      <c r="P901" s="383"/>
      <c r="Q901" s="164"/>
      <c r="R901" s="127"/>
      <c r="S901" s="127"/>
      <c r="T901" s="127"/>
      <c r="U901" s="131"/>
      <c r="V901" s="374"/>
      <c r="W901" s="127"/>
      <c r="X901" s="127"/>
      <c r="Y901" s="127"/>
      <c r="Z901" s="131"/>
      <c r="AA901" s="374"/>
      <c r="AB901" s="127"/>
      <c r="AC901" s="127"/>
      <c r="AD901" s="127"/>
      <c r="AE901" s="131"/>
      <c r="AF901" s="374"/>
      <c r="AG901" s="127"/>
      <c r="AH901" s="127"/>
      <c r="AI901" s="127"/>
      <c r="AJ901" s="131"/>
      <c r="AK901" s="374"/>
      <c r="AL901" s="127"/>
      <c r="AM901" s="127"/>
      <c r="AN901" s="127"/>
      <c r="AO901" s="359"/>
      <c r="AP901" s="359"/>
      <c r="AQ901" s="359"/>
      <c r="AR901" s="359"/>
      <c r="AS901" s="359"/>
    </row>
    <row r="902">
      <c r="A902" s="131"/>
      <c r="B902" s="374"/>
      <c r="C902" s="127"/>
      <c r="D902" s="127"/>
      <c r="E902" s="127"/>
      <c r="F902" s="131"/>
      <c r="G902" s="374"/>
      <c r="H902" s="127"/>
      <c r="I902" s="127"/>
      <c r="J902" s="127"/>
      <c r="K902" s="383"/>
      <c r="L902" s="374"/>
      <c r="M902" s="127"/>
      <c r="N902" s="127"/>
      <c r="O902" s="127"/>
      <c r="P902" s="383"/>
      <c r="Q902" s="164"/>
      <c r="R902" s="127"/>
      <c r="S902" s="127"/>
      <c r="T902" s="127"/>
      <c r="U902" s="131"/>
      <c r="V902" s="374"/>
      <c r="W902" s="127"/>
      <c r="X902" s="127"/>
      <c r="Y902" s="127"/>
      <c r="Z902" s="131"/>
      <c r="AA902" s="374"/>
      <c r="AB902" s="127"/>
      <c r="AC902" s="127"/>
      <c r="AD902" s="127"/>
      <c r="AE902" s="131"/>
      <c r="AF902" s="374"/>
      <c r="AG902" s="127"/>
      <c r="AH902" s="127"/>
      <c r="AI902" s="127"/>
      <c r="AJ902" s="131"/>
      <c r="AK902" s="374"/>
      <c r="AL902" s="127"/>
      <c r="AM902" s="127"/>
      <c r="AN902" s="127"/>
      <c r="AO902" s="359"/>
      <c r="AP902" s="359"/>
      <c r="AQ902" s="359"/>
      <c r="AR902" s="359"/>
      <c r="AS902" s="359"/>
    </row>
    <row r="903">
      <c r="A903" s="131"/>
      <c r="B903" s="374"/>
      <c r="C903" s="127"/>
      <c r="D903" s="127"/>
      <c r="E903" s="127"/>
      <c r="F903" s="131"/>
      <c r="G903" s="374"/>
      <c r="H903" s="127"/>
      <c r="I903" s="127"/>
      <c r="J903" s="127"/>
      <c r="K903" s="383"/>
      <c r="L903" s="374"/>
      <c r="M903" s="127"/>
      <c r="N903" s="127"/>
      <c r="O903" s="127"/>
      <c r="P903" s="383"/>
      <c r="Q903" s="164"/>
      <c r="R903" s="127"/>
      <c r="S903" s="127"/>
      <c r="T903" s="127"/>
      <c r="U903" s="131"/>
      <c r="V903" s="374"/>
      <c r="W903" s="127"/>
      <c r="X903" s="127"/>
      <c r="Y903" s="127"/>
      <c r="Z903" s="131"/>
      <c r="AA903" s="374"/>
      <c r="AB903" s="127"/>
      <c r="AC903" s="127"/>
      <c r="AD903" s="127"/>
      <c r="AE903" s="131"/>
      <c r="AF903" s="374"/>
      <c r="AG903" s="127"/>
      <c r="AH903" s="127"/>
      <c r="AI903" s="127"/>
      <c r="AJ903" s="131"/>
      <c r="AK903" s="374"/>
      <c r="AL903" s="127"/>
      <c r="AM903" s="127"/>
      <c r="AN903" s="127"/>
      <c r="AO903" s="359"/>
      <c r="AP903" s="359"/>
      <c r="AQ903" s="359"/>
      <c r="AR903" s="359"/>
      <c r="AS903" s="359"/>
    </row>
    <row r="904">
      <c r="A904" s="131"/>
      <c r="B904" s="374"/>
      <c r="C904" s="127"/>
      <c r="D904" s="127"/>
      <c r="E904" s="127"/>
      <c r="F904" s="131"/>
      <c r="G904" s="374"/>
      <c r="H904" s="127"/>
      <c r="I904" s="127"/>
      <c r="J904" s="127"/>
      <c r="K904" s="383"/>
      <c r="L904" s="374"/>
      <c r="M904" s="127"/>
      <c r="N904" s="127"/>
      <c r="O904" s="127"/>
      <c r="P904" s="383"/>
      <c r="Q904" s="164"/>
      <c r="R904" s="127"/>
      <c r="S904" s="127"/>
      <c r="T904" s="127"/>
      <c r="U904" s="131"/>
      <c r="V904" s="374"/>
      <c r="W904" s="127"/>
      <c r="X904" s="127"/>
      <c r="Y904" s="127"/>
      <c r="Z904" s="131"/>
      <c r="AA904" s="374"/>
      <c r="AB904" s="127"/>
      <c r="AC904" s="127"/>
      <c r="AD904" s="127"/>
      <c r="AE904" s="131"/>
      <c r="AF904" s="374"/>
      <c r="AG904" s="127"/>
      <c r="AH904" s="127"/>
      <c r="AI904" s="127"/>
      <c r="AJ904" s="131"/>
      <c r="AK904" s="374"/>
      <c r="AL904" s="127"/>
      <c r="AM904" s="127"/>
      <c r="AN904" s="127"/>
      <c r="AO904" s="359"/>
      <c r="AP904" s="359"/>
      <c r="AQ904" s="359"/>
      <c r="AR904" s="359"/>
      <c r="AS904" s="359"/>
    </row>
    <row r="905">
      <c r="A905" s="131"/>
      <c r="B905" s="374"/>
      <c r="C905" s="127"/>
      <c r="D905" s="127"/>
      <c r="E905" s="127"/>
      <c r="F905" s="131"/>
      <c r="G905" s="374"/>
      <c r="H905" s="127"/>
      <c r="I905" s="127"/>
      <c r="J905" s="127"/>
      <c r="K905" s="383"/>
      <c r="L905" s="374"/>
      <c r="M905" s="127"/>
      <c r="N905" s="127"/>
      <c r="O905" s="127"/>
      <c r="P905" s="383"/>
      <c r="Q905" s="164"/>
      <c r="R905" s="127"/>
      <c r="S905" s="127"/>
      <c r="T905" s="127"/>
      <c r="U905" s="131"/>
      <c r="V905" s="374"/>
      <c r="W905" s="127"/>
      <c r="X905" s="127"/>
      <c r="Y905" s="127"/>
      <c r="Z905" s="131"/>
      <c r="AA905" s="374"/>
      <c r="AB905" s="127"/>
      <c r="AC905" s="127"/>
      <c r="AD905" s="127"/>
      <c r="AE905" s="131"/>
      <c r="AF905" s="374"/>
      <c r="AG905" s="127"/>
      <c r="AH905" s="127"/>
      <c r="AI905" s="127"/>
      <c r="AJ905" s="131"/>
      <c r="AK905" s="374"/>
      <c r="AL905" s="127"/>
      <c r="AM905" s="127"/>
      <c r="AN905" s="127"/>
      <c r="AO905" s="359"/>
      <c r="AP905" s="359"/>
      <c r="AQ905" s="359"/>
      <c r="AR905" s="359"/>
      <c r="AS905" s="359"/>
    </row>
    <row r="906">
      <c r="A906" s="131"/>
      <c r="B906" s="374"/>
      <c r="C906" s="127"/>
      <c r="D906" s="127"/>
      <c r="E906" s="127"/>
      <c r="F906" s="131"/>
      <c r="G906" s="374"/>
      <c r="H906" s="127"/>
      <c r="I906" s="127"/>
      <c r="J906" s="127"/>
      <c r="K906" s="383"/>
      <c r="L906" s="374"/>
      <c r="M906" s="127"/>
      <c r="N906" s="127"/>
      <c r="O906" s="127"/>
      <c r="P906" s="383"/>
      <c r="Q906" s="164"/>
      <c r="R906" s="127"/>
      <c r="S906" s="127"/>
      <c r="T906" s="127"/>
      <c r="U906" s="131"/>
      <c r="V906" s="374"/>
      <c r="W906" s="127"/>
      <c r="X906" s="127"/>
      <c r="Y906" s="127"/>
      <c r="Z906" s="131"/>
      <c r="AA906" s="374"/>
      <c r="AB906" s="127"/>
      <c r="AC906" s="127"/>
      <c r="AD906" s="127"/>
      <c r="AE906" s="131"/>
      <c r="AF906" s="374"/>
      <c r="AG906" s="127"/>
      <c r="AH906" s="127"/>
      <c r="AI906" s="127"/>
      <c r="AJ906" s="131"/>
      <c r="AK906" s="374"/>
      <c r="AL906" s="127"/>
      <c r="AM906" s="127"/>
      <c r="AN906" s="127"/>
      <c r="AO906" s="359"/>
      <c r="AP906" s="359"/>
      <c r="AQ906" s="359"/>
      <c r="AR906" s="359"/>
      <c r="AS906" s="359"/>
    </row>
    <row r="907">
      <c r="A907" s="131"/>
      <c r="B907" s="374"/>
      <c r="C907" s="127"/>
      <c r="D907" s="127"/>
      <c r="E907" s="127"/>
      <c r="F907" s="131"/>
      <c r="G907" s="374"/>
      <c r="H907" s="127"/>
      <c r="I907" s="127"/>
      <c r="J907" s="127"/>
      <c r="K907" s="383"/>
      <c r="L907" s="374"/>
      <c r="M907" s="127"/>
      <c r="N907" s="127"/>
      <c r="O907" s="127"/>
      <c r="P907" s="383"/>
      <c r="Q907" s="164"/>
      <c r="R907" s="127"/>
      <c r="S907" s="127"/>
      <c r="T907" s="127"/>
      <c r="U907" s="131"/>
      <c r="V907" s="374"/>
      <c r="W907" s="127"/>
      <c r="X907" s="127"/>
      <c r="Y907" s="127"/>
      <c r="Z907" s="131"/>
      <c r="AA907" s="374"/>
      <c r="AB907" s="127"/>
      <c r="AC907" s="127"/>
      <c r="AD907" s="127"/>
      <c r="AE907" s="131"/>
      <c r="AF907" s="374"/>
      <c r="AG907" s="127"/>
      <c r="AH907" s="127"/>
      <c r="AI907" s="127"/>
      <c r="AJ907" s="131"/>
      <c r="AK907" s="374"/>
      <c r="AL907" s="127"/>
      <c r="AM907" s="127"/>
      <c r="AN907" s="127"/>
      <c r="AO907" s="359"/>
      <c r="AP907" s="359"/>
      <c r="AQ907" s="359"/>
      <c r="AR907" s="359"/>
      <c r="AS907" s="359"/>
    </row>
    <row r="908">
      <c r="A908" s="131"/>
      <c r="B908" s="374"/>
      <c r="C908" s="127"/>
      <c r="D908" s="127"/>
      <c r="E908" s="127"/>
      <c r="F908" s="131"/>
      <c r="G908" s="374"/>
      <c r="H908" s="127"/>
      <c r="I908" s="127"/>
      <c r="J908" s="127"/>
      <c r="K908" s="383"/>
      <c r="L908" s="374"/>
      <c r="M908" s="127"/>
      <c r="N908" s="127"/>
      <c r="O908" s="127"/>
      <c r="P908" s="383"/>
      <c r="Q908" s="164"/>
      <c r="R908" s="127"/>
      <c r="S908" s="127"/>
      <c r="T908" s="127"/>
      <c r="U908" s="131"/>
      <c r="V908" s="374"/>
      <c r="W908" s="127"/>
      <c r="X908" s="127"/>
      <c r="Y908" s="127"/>
      <c r="Z908" s="131"/>
      <c r="AA908" s="374"/>
      <c r="AB908" s="127"/>
      <c r="AC908" s="127"/>
      <c r="AD908" s="127"/>
      <c r="AE908" s="131"/>
      <c r="AF908" s="374"/>
      <c r="AG908" s="127"/>
      <c r="AH908" s="127"/>
      <c r="AI908" s="127"/>
      <c r="AJ908" s="131"/>
      <c r="AK908" s="374"/>
      <c r="AL908" s="127"/>
      <c r="AM908" s="127"/>
      <c r="AN908" s="127"/>
      <c r="AO908" s="359"/>
      <c r="AP908" s="359"/>
      <c r="AQ908" s="359"/>
      <c r="AR908" s="359"/>
      <c r="AS908" s="359"/>
    </row>
    <row r="909">
      <c r="A909" s="131"/>
      <c r="B909" s="374"/>
      <c r="C909" s="127"/>
      <c r="D909" s="127"/>
      <c r="E909" s="127"/>
      <c r="F909" s="131"/>
      <c r="G909" s="374"/>
      <c r="H909" s="127"/>
      <c r="I909" s="127"/>
      <c r="J909" s="127"/>
      <c r="K909" s="383"/>
      <c r="L909" s="374"/>
      <c r="M909" s="127"/>
      <c r="N909" s="127"/>
      <c r="O909" s="127"/>
      <c r="P909" s="383"/>
      <c r="Q909" s="164"/>
      <c r="R909" s="127"/>
      <c r="S909" s="127"/>
      <c r="T909" s="127"/>
      <c r="U909" s="131"/>
      <c r="V909" s="374"/>
      <c r="W909" s="127"/>
      <c r="X909" s="127"/>
      <c r="Y909" s="127"/>
      <c r="Z909" s="131"/>
      <c r="AA909" s="374"/>
      <c r="AB909" s="127"/>
      <c r="AC909" s="127"/>
      <c r="AD909" s="127"/>
      <c r="AE909" s="131"/>
      <c r="AF909" s="374"/>
      <c r="AG909" s="127"/>
      <c r="AH909" s="127"/>
      <c r="AI909" s="127"/>
      <c r="AJ909" s="131"/>
      <c r="AK909" s="374"/>
      <c r="AL909" s="127"/>
      <c r="AM909" s="127"/>
      <c r="AN909" s="127"/>
      <c r="AO909" s="359"/>
      <c r="AP909" s="359"/>
      <c r="AQ909" s="359"/>
      <c r="AR909" s="359"/>
      <c r="AS909" s="359"/>
    </row>
    <row r="910">
      <c r="A910" s="131"/>
      <c r="B910" s="374"/>
      <c r="C910" s="127"/>
      <c r="D910" s="127"/>
      <c r="E910" s="127"/>
      <c r="F910" s="131"/>
      <c r="G910" s="374"/>
      <c r="H910" s="127"/>
      <c r="I910" s="127"/>
      <c r="J910" s="127"/>
      <c r="K910" s="383"/>
      <c r="L910" s="374"/>
      <c r="M910" s="127"/>
      <c r="N910" s="127"/>
      <c r="O910" s="127"/>
      <c r="P910" s="383"/>
      <c r="Q910" s="164"/>
      <c r="R910" s="127"/>
      <c r="S910" s="127"/>
      <c r="T910" s="127"/>
      <c r="U910" s="131"/>
      <c r="V910" s="374"/>
      <c r="W910" s="127"/>
      <c r="X910" s="127"/>
      <c r="Y910" s="127"/>
      <c r="Z910" s="131"/>
      <c r="AA910" s="374"/>
      <c r="AB910" s="127"/>
      <c r="AC910" s="127"/>
      <c r="AD910" s="127"/>
      <c r="AE910" s="131"/>
      <c r="AF910" s="374"/>
      <c r="AG910" s="127"/>
      <c r="AH910" s="127"/>
      <c r="AI910" s="127"/>
      <c r="AJ910" s="131"/>
      <c r="AK910" s="374"/>
      <c r="AL910" s="127"/>
      <c r="AM910" s="127"/>
      <c r="AN910" s="127"/>
      <c r="AO910" s="359"/>
      <c r="AP910" s="359"/>
      <c r="AQ910" s="359"/>
      <c r="AR910" s="359"/>
      <c r="AS910" s="359"/>
    </row>
    <row r="911">
      <c r="A911" s="131"/>
      <c r="B911" s="374"/>
      <c r="C911" s="127"/>
      <c r="D911" s="127"/>
      <c r="E911" s="127"/>
      <c r="F911" s="131"/>
      <c r="G911" s="374"/>
      <c r="H911" s="127"/>
      <c r="I911" s="127"/>
      <c r="J911" s="127"/>
      <c r="K911" s="383"/>
      <c r="L911" s="374"/>
      <c r="M911" s="127"/>
      <c r="N911" s="127"/>
      <c r="O911" s="127"/>
      <c r="P911" s="383"/>
      <c r="Q911" s="164"/>
      <c r="R911" s="127"/>
      <c r="S911" s="127"/>
      <c r="T911" s="127"/>
      <c r="U911" s="131"/>
      <c r="V911" s="374"/>
      <c r="W911" s="127"/>
      <c r="X911" s="127"/>
      <c r="Y911" s="127"/>
      <c r="Z911" s="131"/>
      <c r="AA911" s="374"/>
      <c r="AB911" s="127"/>
      <c r="AC911" s="127"/>
      <c r="AD911" s="127"/>
      <c r="AE911" s="131"/>
      <c r="AF911" s="374"/>
      <c r="AG911" s="127"/>
      <c r="AH911" s="127"/>
      <c r="AI911" s="127"/>
      <c r="AJ911" s="131"/>
      <c r="AK911" s="374"/>
      <c r="AL911" s="127"/>
      <c r="AM911" s="127"/>
      <c r="AN911" s="127"/>
      <c r="AO911" s="359"/>
      <c r="AP911" s="359"/>
      <c r="AQ911" s="359"/>
      <c r="AR911" s="359"/>
      <c r="AS911" s="359"/>
    </row>
    <row r="912">
      <c r="A912" s="131"/>
      <c r="B912" s="374"/>
      <c r="C912" s="127"/>
      <c r="D912" s="127"/>
      <c r="E912" s="127"/>
      <c r="F912" s="131"/>
      <c r="G912" s="374"/>
      <c r="H912" s="127"/>
      <c r="I912" s="127"/>
      <c r="J912" s="127"/>
      <c r="K912" s="383"/>
      <c r="L912" s="374"/>
      <c r="M912" s="127"/>
      <c r="N912" s="127"/>
      <c r="O912" s="127"/>
      <c r="P912" s="383"/>
      <c r="Q912" s="164"/>
      <c r="R912" s="127"/>
      <c r="S912" s="127"/>
      <c r="T912" s="127"/>
      <c r="U912" s="131"/>
      <c r="V912" s="374"/>
      <c r="W912" s="127"/>
      <c r="X912" s="127"/>
      <c r="Y912" s="127"/>
      <c r="Z912" s="131"/>
      <c r="AA912" s="374"/>
      <c r="AB912" s="127"/>
      <c r="AC912" s="127"/>
      <c r="AD912" s="127"/>
      <c r="AE912" s="131"/>
      <c r="AF912" s="374"/>
      <c r="AG912" s="127"/>
      <c r="AH912" s="127"/>
      <c r="AI912" s="127"/>
      <c r="AJ912" s="131"/>
      <c r="AK912" s="374"/>
      <c r="AL912" s="127"/>
      <c r="AM912" s="127"/>
      <c r="AN912" s="127"/>
      <c r="AO912" s="359"/>
      <c r="AP912" s="359"/>
      <c r="AQ912" s="359"/>
      <c r="AR912" s="359"/>
      <c r="AS912" s="359"/>
    </row>
    <row r="913">
      <c r="A913" s="131"/>
      <c r="B913" s="374"/>
      <c r="C913" s="127"/>
      <c r="D913" s="127"/>
      <c r="E913" s="127"/>
      <c r="F913" s="131"/>
      <c r="G913" s="374"/>
      <c r="H913" s="127"/>
      <c r="I913" s="127"/>
      <c r="J913" s="127"/>
      <c r="K913" s="383"/>
      <c r="L913" s="374"/>
      <c r="M913" s="127"/>
      <c r="N913" s="127"/>
      <c r="O913" s="127"/>
      <c r="P913" s="383"/>
      <c r="Q913" s="164"/>
      <c r="R913" s="127"/>
      <c r="S913" s="127"/>
      <c r="T913" s="127"/>
      <c r="U913" s="131"/>
      <c r="V913" s="374"/>
      <c r="W913" s="127"/>
      <c r="X913" s="127"/>
      <c r="Y913" s="127"/>
      <c r="Z913" s="131"/>
      <c r="AA913" s="374"/>
      <c r="AB913" s="127"/>
      <c r="AC913" s="127"/>
      <c r="AD913" s="127"/>
      <c r="AE913" s="131"/>
      <c r="AF913" s="374"/>
      <c r="AG913" s="127"/>
      <c r="AH913" s="127"/>
      <c r="AI913" s="127"/>
      <c r="AJ913" s="131"/>
      <c r="AK913" s="374"/>
      <c r="AL913" s="127"/>
      <c r="AM913" s="127"/>
      <c r="AN913" s="127"/>
      <c r="AO913" s="359"/>
      <c r="AP913" s="359"/>
      <c r="AQ913" s="359"/>
      <c r="AR913" s="359"/>
      <c r="AS913" s="359"/>
    </row>
    <row r="914">
      <c r="A914" s="131"/>
      <c r="B914" s="374"/>
      <c r="C914" s="127"/>
      <c r="D914" s="127"/>
      <c r="E914" s="127"/>
      <c r="F914" s="131"/>
      <c r="G914" s="374"/>
      <c r="H914" s="127"/>
      <c r="I914" s="127"/>
      <c r="J914" s="127"/>
      <c r="K914" s="383"/>
      <c r="L914" s="374"/>
      <c r="M914" s="127"/>
      <c r="N914" s="127"/>
      <c r="O914" s="127"/>
      <c r="P914" s="383"/>
      <c r="Q914" s="164"/>
      <c r="R914" s="127"/>
      <c r="S914" s="127"/>
      <c r="T914" s="127"/>
      <c r="U914" s="131"/>
      <c r="V914" s="374"/>
      <c r="W914" s="127"/>
      <c r="X914" s="127"/>
      <c r="Y914" s="127"/>
      <c r="Z914" s="131"/>
      <c r="AA914" s="374"/>
      <c r="AB914" s="127"/>
      <c r="AC914" s="127"/>
      <c r="AD914" s="127"/>
      <c r="AE914" s="131"/>
      <c r="AF914" s="374"/>
      <c r="AG914" s="127"/>
      <c r="AH914" s="127"/>
      <c r="AI914" s="127"/>
      <c r="AJ914" s="131"/>
      <c r="AK914" s="374"/>
      <c r="AL914" s="127"/>
      <c r="AM914" s="127"/>
      <c r="AN914" s="127"/>
      <c r="AO914" s="359"/>
      <c r="AP914" s="359"/>
      <c r="AQ914" s="359"/>
      <c r="AR914" s="359"/>
      <c r="AS914" s="359"/>
    </row>
    <row r="915">
      <c r="A915" s="131"/>
      <c r="B915" s="374"/>
      <c r="C915" s="127"/>
      <c r="D915" s="127"/>
      <c r="E915" s="127"/>
      <c r="F915" s="131"/>
      <c r="G915" s="374"/>
      <c r="H915" s="127"/>
      <c r="I915" s="127"/>
      <c r="J915" s="127"/>
      <c r="K915" s="383"/>
      <c r="L915" s="374"/>
      <c r="M915" s="127"/>
      <c r="N915" s="127"/>
      <c r="O915" s="127"/>
      <c r="P915" s="383"/>
      <c r="Q915" s="164"/>
      <c r="R915" s="127"/>
      <c r="S915" s="127"/>
      <c r="T915" s="127"/>
      <c r="U915" s="131"/>
      <c r="V915" s="374"/>
      <c r="W915" s="127"/>
      <c r="X915" s="127"/>
      <c r="Y915" s="127"/>
      <c r="Z915" s="131"/>
      <c r="AA915" s="374"/>
      <c r="AB915" s="127"/>
      <c r="AC915" s="127"/>
      <c r="AD915" s="127"/>
      <c r="AE915" s="131"/>
      <c r="AF915" s="374"/>
      <c r="AG915" s="127"/>
      <c r="AH915" s="127"/>
      <c r="AI915" s="127"/>
      <c r="AJ915" s="131"/>
      <c r="AK915" s="374"/>
      <c r="AL915" s="127"/>
      <c r="AM915" s="127"/>
      <c r="AN915" s="127"/>
      <c r="AO915" s="359"/>
      <c r="AP915" s="359"/>
      <c r="AQ915" s="359"/>
      <c r="AR915" s="359"/>
      <c r="AS915" s="359"/>
    </row>
    <row r="916">
      <c r="A916" s="131"/>
      <c r="B916" s="374"/>
      <c r="C916" s="127"/>
      <c r="D916" s="127"/>
      <c r="E916" s="127"/>
      <c r="F916" s="131"/>
      <c r="G916" s="374"/>
      <c r="H916" s="127"/>
      <c r="I916" s="127"/>
      <c r="J916" s="127"/>
      <c r="K916" s="383"/>
      <c r="L916" s="374"/>
      <c r="M916" s="127"/>
      <c r="N916" s="127"/>
      <c r="O916" s="127"/>
      <c r="P916" s="383"/>
      <c r="Q916" s="164"/>
      <c r="R916" s="127"/>
      <c r="S916" s="127"/>
      <c r="T916" s="127"/>
      <c r="U916" s="131"/>
      <c r="V916" s="374"/>
      <c r="W916" s="127"/>
      <c r="X916" s="127"/>
      <c r="Y916" s="127"/>
      <c r="Z916" s="131"/>
      <c r="AA916" s="374"/>
      <c r="AB916" s="127"/>
      <c r="AC916" s="127"/>
      <c r="AD916" s="127"/>
      <c r="AE916" s="131"/>
      <c r="AF916" s="374"/>
      <c r="AG916" s="127"/>
      <c r="AH916" s="127"/>
      <c r="AI916" s="127"/>
      <c r="AJ916" s="131"/>
      <c r="AK916" s="374"/>
      <c r="AL916" s="127"/>
      <c r="AM916" s="127"/>
      <c r="AN916" s="127"/>
      <c r="AO916" s="359"/>
      <c r="AP916" s="359"/>
      <c r="AQ916" s="359"/>
      <c r="AR916" s="359"/>
      <c r="AS916" s="359"/>
    </row>
    <row r="917">
      <c r="A917" s="131"/>
      <c r="B917" s="374"/>
      <c r="C917" s="127"/>
      <c r="D917" s="127"/>
      <c r="E917" s="127"/>
      <c r="F917" s="131"/>
      <c r="G917" s="374"/>
      <c r="H917" s="127"/>
      <c r="I917" s="127"/>
      <c r="J917" s="127"/>
      <c r="K917" s="383"/>
      <c r="L917" s="374"/>
      <c r="M917" s="127"/>
      <c r="N917" s="127"/>
      <c r="O917" s="127"/>
      <c r="P917" s="383"/>
      <c r="Q917" s="164"/>
      <c r="R917" s="127"/>
      <c r="S917" s="127"/>
      <c r="T917" s="127"/>
      <c r="U917" s="131"/>
      <c r="V917" s="374"/>
      <c r="W917" s="127"/>
      <c r="X917" s="127"/>
      <c r="Y917" s="127"/>
      <c r="Z917" s="131"/>
      <c r="AA917" s="374"/>
      <c r="AB917" s="127"/>
      <c r="AC917" s="127"/>
      <c r="AD917" s="127"/>
      <c r="AE917" s="131"/>
      <c r="AF917" s="374"/>
      <c r="AG917" s="127"/>
      <c r="AH917" s="127"/>
      <c r="AI917" s="127"/>
      <c r="AJ917" s="131"/>
      <c r="AK917" s="374"/>
      <c r="AL917" s="127"/>
      <c r="AM917" s="127"/>
      <c r="AN917" s="127"/>
      <c r="AO917" s="359"/>
      <c r="AP917" s="359"/>
      <c r="AQ917" s="359"/>
      <c r="AR917" s="359"/>
      <c r="AS917" s="359"/>
    </row>
    <row r="918">
      <c r="A918" s="131"/>
      <c r="B918" s="374"/>
      <c r="C918" s="127"/>
      <c r="D918" s="127"/>
      <c r="E918" s="127"/>
      <c r="F918" s="131"/>
      <c r="G918" s="374"/>
      <c r="H918" s="127"/>
      <c r="I918" s="127"/>
      <c r="J918" s="127"/>
      <c r="K918" s="383"/>
      <c r="L918" s="374"/>
      <c r="M918" s="127"/>
      <c r="N918" s="127"/>
      <c r="O918" s="127"/>
      <c r="P918" s="383"/>
      <c r="Q918" s="164"/>
      <c r="R918" s="127"/>
      <c r="S918" s="127"/>
      <c r="T918" s="127"/>
      <c r="U918" s="131"/>
      <c r="V918" s="374"/>
      <c r="W918" s="127"/>
      <c r="X918" s="127"/>
      <c r="Y918" s="127"/>
      <c r="Z918" s="131"/>
      <c r="AA918" s="374"/>
      <c r="AB918" s="127"/>
      <c r="AC918" s="127"/>
      <c r="AD918" s="127"/>
      <c r="AE918" s="131"/>
      <c r="AF918" s="374"/>
      <c r="AG918" s="127"/>
      <c r="AH918" s="127"/>
      <c r="AI918" s="127"/>
      <c r="AJ918" s="131"/>
      <c r="AK918" s="374"/>
      <c r="AL918" s="127"/>
      <c r="AM918" s="127"/>
      <c r="AN918" s="127"/>
      <c r="AO918" s="359"/>
      <c r="AP918" s="359"/>
      <c r="AQ918" s="359"/>
      <c r="AR918" s="359"/>
      <c r="AS918" s="359"/>
    </row>
    <row r="919">
      <c r="A919" s="131"/>
      <c r="B919" s="374"/>
      <c r="C919" s="127"/>
      <c r="D919" s="127"/>
      <c r="E919" s="127"/>
      <c r="F919" s="131"/>
      <c r="G919" s="374"/>
      <c r="H919" s="127"/>
      <c r="I919" s="127"/>
      <c r="J919" s="127"/>
      <c r="K919" s="383"/>
      <c r="L919" s="374"/>
      <c r="M919" s="127"/>
      <c r="N919" s="127"/>
      <c r="O919" s="127"/>
      <c r="P919" s="383"/>
      <c r="Q919" s="164"/>
      <c r="R919" s="127"/>
      <c r="S919" s="127"/>
      <c r="T919" s="127"/>
      <c r="U919" s="131"/>
      <c r="V919" s="374"/>
      <c r="W919" s="127"/>
      <c r="X919" s="127"/>
      <c r="Y919" s="127"/>
      <c r="Z919" s="131"/>
      <c r="AA919" s="374"/>
      <c r="AB919" s="127"/>
      <c r="AC919" s="127"/>
      <c r="AD919" s="127"/>
      <c r="AE919" s="131"/>
      <c r="AF919" s="374"/>
      <c r="AG919" s="127"/>
      <c r="AH919" s="127"/>
      <c r="AI919" s="127"/>
      <c r="AJ919" s="131"/>
      <c r="AK919" s="374"/>
      <c r="AL919" s="127"/>
      <c r="AM919" s="127"/>
      <c r="AN919" s="127"/>
      <c r="AO919" s="359"/>
      <c r="AP919" s="359"/>
      <c r="AQ919" s="359"/>
      <c r="AR919" s="359"/>
      <c r="AS919" s="359"/>
    </row>
    <row r="920">
      <c r="A920" s="131"/>
      <c r="B920" s="374"/>
      <c r="C920" s="127"/>
      <c r="D920" s="127"/>
      <c r="E920" s="127"/>
      <c r="F920" s="131"/>
      <c r="G920" s="374"/>
      <c r="H920" s="127"/>
      <c r="I920" s="127"/>
      <c r="J920" s="127"/>
      <c r="K920" s="383"/>
      <c r="L920" s="374"/>
      <c r="M920" s="127"/>
      <c r="N920" s="127"/>
      <c r="O920" s="127"/>
      <c r="P920" s="383"/>
      <c r="Q920" s="164"/>
      <c r="R920" s="127"/>
      <c r="S920" s="127"/>
      <c r="T920" s="127"/>
      <c r="U920" s="131"/>
      <c r="V920" s="374"/>
      <c r="W920" s="127"/>
      <c r="X920" s="127"/>
      <c r="Y920" s="127"/>
      <c r="Z920" s="131"/>
      <c r="AA920" s="374"/>
      <c r="AB920" s="127"/>
      <c r="AC920" s="127"/>
      <c r="AD920" s="127"/>
      <c r="AE920" s="131"/>
      <c r="AF920" s="374"/>
      <c r="AG920" s="127"/>
      <c r="AH920" s="127"/>
      <c r="AI920" s="127"/>
      <c r="AJ920" s="131"/>
      <c r="AK920" s="374"/>
      <c r="AL920" s="127"/>
      <c r="AM920" s="127"/>
      <c r="AN920" s="127"/>
      <c r="AO920" s="359"/>
      <c r="AP920" s="359"/>
      <c r="AQ920" s="359"/>
      <c r="AR920" s="359"/>
      <c r="AS920" s="359"/>
    </row>
    <row r="921">
      <c r="A921" s="131"/>
      <c r="B921" s="374"/>
      <c r="C921" s="127"/>
      <c r="D921" s="127"/>
      <c r="E921" s="127"/>
      <c r="F921" s="131"/>
      <c r="G921" s="374"/>
      <c r="H921" s="127"/>
      <c r="I921" s="127"/>
      <c r="J921" s="127"/>
      <c r="K921" s="383"/>
      <c r="L921" s="374"/>
      <c r="M921" s="127"/>
      <c r="N921" s="127"/>
      <c r="O921" s="127"/>
      <c r="P921" s="383"/>
      <c r="Q921" s="164"/>
      <c r="R921" s="127"/>
      <c r="S921" s="127"/>
      <c r="T921" s="127"/>
      <c r="U921" s="131"/>
      <c r="V921" s="374"/>
      <c r="W921" s="127"/>
      <c r="X921" s="127"/>
      <c r="Y921" s="127"/>
      <c r="Z921" s="131"/>
      <c r="AA921" s="374"/>
      <c r="AB921" s="127"/>
      <c r="AC921" s="127"/>
      <c r="AD921" s="127"/>
      <c r="AE921" s="131"/>
      <c r="AF921" s="374"/>
      <c r="AG921" s="127"/>
      <c r="AH921" s="127"/>
      <c r="AI921" s="127"/>
      <c r="AJ921" s="131"/>
      <c r="AK921" s="374"/>
      <c r="AL921" s="127"/>
      <c r="AM921" s="127"/>
      <c r="AN921" s="127"/>
      <c r="AO921" s="359"/>
      <c r="AP921" s="359"/>
      <c r="AQ921" s="359"/>
      <c r="AR921" s="359"/>
      <c r="AS921" s="359"/>
    </row>
    <row r="922">
      <c r="A922" s="131"/>
      <c r="B922" s="374"/>
      <c r="C922" s="127"/>
      <c r="D922" s="127"/>
      <c r="E922" s="127"/>
      <c r="F922" s="131"/>
      <c r="G922" s="374"/>
      <c r="H922" s="127"/>
      <c r="I922" s="127"/>
      <c r="J922" s="127"/>
      <c r="K922" s="383"/>
      <c r="L922" s="374"/>
      <c r="M922" s="127"/>
      <c r="N922" s="127"/>
      <c r="O922" s="127"/>
      <c r="P922" s="383"/>
      <c r="Q922" s="164"/>
      <c r="R922" s="127"/>
      <c r="S922" s="127"/>
      <c r="T922" s="127"/>
      <c r="U922" s="131"/>
      <c r="V922" s="374"/>
      <c r="W922" s="127"/>
      <c r="X922" s="127"/>
      <c r="Y922" s="127"/>
      <c r="Z922" s="131"/>
      <c r="AA922" s="374"/>
      <c r="AB922" s="127"/>
      <c r="AC922" s="127"/>
      <c r="AD922" s="127"/>
      <c r="AE922" s="131"/>
      <c r="AF922" s="374"/>
      <c r="AG922" s="127"/>
      <c r="AH922" s="127"/>
      <c r="AI922" s="127"/>
      <c r="AJ922" s="131"/>
      <c r="AK922" s="374"/>
      <c r="AL922" s="127"/>
      <c r="AM922" s="127"/>
      <c r="AN922" s="127"/>
      <c r="AO922" s="359"/>
      <c r="AP922" s="359"/>
      <c r="AQ922" s="359"/>
      <c r="AR922" s="359"/>
      <c r="AS922" s="359"/>
    </row>
    <row r="923">
      <c r="A923" s="131"/>
      <c r="B923" s="374"/>
      <c r="C923" s="127"/>
      <c r="D923" s="127"/>
      <c r="E923" s="127"/>
      <c r="F923" s="131"/>
      <c r="G923" s="374"/>
      <c r="H923" s="127"/>
      <c r="I923" s="127"/>
      <c r="J923" s="127"/>
      <c r="K923" s="383"/>
      <c r="L923" s="374"/>
      <c r="M923" s="127"/>
      <c r="N923" s="127"/>
      <c r="O923" s="127"/>
      <c r="P923" s="383"/>
      <c r="Q923" s="164"/>
      <c r="R923" s="127"/>
      <c r="S923" s="127"/>
      <c r="T923" s="127"/>
      <c r="U923" s="131"/>
      <c r="V923" s="374"/>
      <c r="W923" s="127"/>
      <c r="X923" s="127"/>
      <c r="Y923" s="127"/>
      <c r="Z923" s="131"/>
      <c r="AA923" s="374"/>
      <c r="AB923" s="127"/>
      <c r="AC923" s="127"/>
      <c r="AD923" s="127"/>
      <c r="AE923" s="131"/>
      <c r="AF923" s="374"/>
      <c r="AG923" s="127"/>
      <c r="AH923" s="127"/>
      <c r="AI923" s="127"/>
      <c r="AJ923" s="131"/>
      <c r="AK923" s="374"/>
      <c r="AL923" s="127"/>
      <c r="AM923" s="127"/>
      <c r="AN923" s="127"/>
      <c r="AO923" s="359"/>
      <c r="AP923" s="359"/>
      <c r="AQ923" s="359"/>
      <c r="AR923" s="359"/>
      <c r="AS923" s="359"/>
    </row>
    <row r="924">
      <c r="A924" s="131"/>
      <c r="B924" s="374"/>
      <c r="C924" s="127"/>
      <c r="D924" s="127"/>
      <c r="E924" s="127"/>
      <c r="F924" s="131"/>
      <c r="G924" s="374"/>
      <c r="H924" s="127"/>
      <c r="I924" s="127"/>
      <c r="J924" s="127"/>
      <c r="K924" s="383"/>
      <c r="L924" s="374"/>
      <c r="M924" s="127"/>
      <c r="N924" s="127"/>
      <c r="O924" s="127"/>
      <c r="P924" s="383"/>
      <c r="Q924" s="164"/>
      <c r="R924" s="127"/>
      <c r="S924" s="127"/>
      <c r="T924" s="127"/>
      <c r="U924" s="131"/>
      <c r="V924" s="374"/>
      <c r="W924" s="127"/>
      <c r="X924" s="127"/>
      <c r="Y924" s="127"/>
      <c r="Z924" s="131"/>
      <c r="AA924" s="374"/>
      <c r="AB924" s="127"/>
      <c r="AC924" s="127"/>
      <c r="AD924" s="127"/>
      <c r="AE924" s="131"/>
      <c r="AF924" s="374"/>
      <c r="AG924" s="127"/>
      <c r="AH924" s="127"/>
      <c r="AI924" s="127"/>
      <c r="AJ924" s="131"/>
      <c r="AK924" s="374"/>
      <c r="AL924" s="127"/>
      <c r="AM924" s="127"/>
      <c r="AN924" s="127"/>
      <c r="AO924" s="359"/>
      <c r="AP924" s="359"/>
      <c r="AQ924" s="359"/>
      <c r="AR924" s="359"/>
      <c r="AS924" s="359"/>
    </row>
    <row r="925">
      <c r="A925" s="131"/>
      <c r="B925" s="374"/>
      <c r="C925" s="127"/>
      <c r="D925" s="127"/>
      <c r="E925" s="127"/>
      <c r="F925" s="131"/>
      <c r="G925" s="374"/>
      <c r="H925" s="127"/>
      <c r="I925" s="127"/>
      <c r="J925" s="127"/>
      <c r="K925" s="383"/>
      <c r="L925" s="374"/>
      <c r="M925" s="127"/>
      <c r="N925" s="127"/>
      <c r="O925" s="127"/>
      <c r="P925" s="383"/>
      <c r="Q925" s="164"/>
      <c r="R925" s="127"/>
      <c r="S925" s="127"/>
      <c r="T925" s="127"/>
      <c r="U925" s="131"/>
      <c r="V925" s="374"/>
      <c r="W925" s="127"/>
      <c r="X925" s="127"/>
      <c r="Y925" s="127"/>
      <c r="Z925" s="131"/>
      <c r="AA925" s="374"/>
      <c r="AB925" s="127"/>
      <c r="AC925" s="127"/>
      <c r="AD925" s="127"/>
      <c r="AE925" s="131"/>
      <c r="AF925" s="374"/>
      <c r="AG925" s="127"/>
      <c r="AH925" s="127"/>
      <c r="AI925" s="127"/>
      <c r="AJ925" s="131"/>
      <c r="AK925" s="374"/>
      <c r="AL925" s="127"/>
      <c r="AM925" s="127"/>
      <c r="AN925" s="127"/>
      <c r="AO925" s="359"/>
      <c r="AP925" s="359"/>
      <c r="AQ925" s="359"/>
      <c r="AR925" s="359"/>
      <c r="AS925" s="359"/>
    </row>
    <row r="926">
      <c r="A926" s="131"/>
      <c r="B926" s="374"/>
      <c r="C926" s="127"/>
      <c r="D926" s="127"/>
      <c r="E926" s="127"/>
      <c r="F926" s="131"/>
      <c r="G926" s="374"/>
      <c r="H926" s="127"/>
      <c r="I926" s="127"/>
      <c r="J926" s="127"/>
      <c r="K926" s="383"/>
      <c r="L926" s="374"/>
      <c r="M926" s="127"/>
      <c r="N926" s="127"/>
      <c r="O926" s="127"/>
      <c r="P926" s="383"/>
      <c r="Q926" s="164"/>
      <c r="R926" s="127"/>
      <c r="S926" s="127"/>
      <c r="T926" s="127"/>
      <c r="U926" s="131"/>
      <c r="V926" s="374"/>
      <c r="W926" s="127"/>
      <c r="X926" s="127"/>
      <c r="Y926" s="127"/>
      <c r="Z926" s="131"/>
      <c r="AA926" s="374"/>
      <c r="AB926" s="127"/>
      <c r="AC926" s="127"/>
      <c r="AD926" s="127"/>
      <c r="AE926" s="131"/>
      <c r="AF926" s="374"/>
      <c r="AG926" s="127"/>
      <c r="AH926" s="127"/>
      <c r="AI926" s="127"/>
      <c r="AJ926" s="131"/>
      <c r="AK926" s="374"/>
      <c r="AL926" s="127"/>
      <c r="AM926" s="127"/>
      <c r="AN926" s="127"/>
      <c r="AO926" s="359"/>
      <c r="AP926" s="359"/>
      <c r="AQ926" s="359"/>
      <c r="AR926" s="359"/>
      <c r="AS926" s="359"/>
    </row>
    <row r="927">
      <c r="A927" s="131"/>
      <c r="B927" s="374"/>
      <c r="C927" s="127"/>
      <c r="D927" s="127"/>
      <c r="E927" s="127"/>
      <c r="F927" s="131"/>
      <c r="G927" s="374"/>
      <c r="H927" s="127"/>
      <c r="I927" s="127"/>
      <c r="J927" s="127"/>
      <c r="K927" s="383"/>
      <c r="L927" s="374"/>
      <c r="M927" s="127"/>
      <c r="N927" s="127"/>
      <c r="O927" s="127"/>
      <c r="P927" s="383"/>
      <c r="Q927" s="164"/>
      <c r="R927" s="127"/>
      <c r="S927" s="127"/>
      <c r="T927" s="127"/>
      <c r="U927" s="131"/>
      <c r="V927" s="374"/>
      <c r="W927" s="127"/>
      <c r="X927" s="127"/>
      <c r="Y927" s="127"/>
      <c r="Z927" s="131"/>
      <c r="AA927" s="374"/>
      <c r="AB927" s="127"/>
      <c r="AC927" s="127"/>
      <c r="AD927" s="127"/>
      <c r="AE927" s="131"/>
      <c r="AF927" s="374"/>
      <c r="AG927" s="127"/>
      <c r="AH927" s="127"/>
      <c r="AI927" s="127"/>
      <c r="AJ927" s="131"/>
      <c r="AK927" s="374"/>
      <c r="AL927" s="127"/>
      <c r="AM927" s="127"/>
      <c r="AN927" s="127"/>
      <c r="AO927" s="359"/>
      <c r="AP927" s="359"/>
      <c r="AQ927" s="359"/>
      <c r="AR927" s="359"/>
      <c r="AS927" s="359"/>
    </row>
    <row r="928">
      <c r="A928" s="131"/>
      <c r="B928" s="374"/>
      <c r="C928" s="127"/>
      <c r="D928" s="127"/>
      <c r="E928" s="127"/>
      <c r="F928" s="131"/>
      <c r="G928" s="374"/>
      <c r="H928" s="127"/>
      <c r="I928" s="127"/>
      <c r="J928" s="127"/>
      <c r="K928" s="383"/>
      <c r="L928" s="374"/>
      <c r="M928" s="127"/>
      <c r="N928" s="127"/>
      <c r="O928" s="127"/>
      <c r="P928" s="383"/>
      <c r="Q928" s="164"/>
      <c r="R928" s="127"/>
      <c r="S928" s="127"/>
      <c r="T928" s="127"/>
      <c r="U928" s="131"/>
      <c r="V928" s="374"/>
      <c r="W928" s="127"/>
      <c r="X928" s="127"/>
      <c r="Y928" s="127"/>
      <c r="Z928" s="131"/>
      <c r="AA928" s="374"/>
      <c r="AB928" s="127"/>
      <c r="AC928" s="127"/>
      <c r="AD928" s="127"/>
      <c r="AE928" s="131"/>
      <c r="AF928" s="374"/>
      <c r="AG928" s="127"/>
      <c r="AH928" s="127"/>
      <c r="AI928" s="127"/>
      <c r="AJ928" s="131"/>
      <c r="AK928" s="374"/>
      <c r="AL928" s="127"/>
      <c r="AM928" s="127"/>
      <c r="AN928" s="127"/>
      <c r="AO928" s="359"/>
      <c r="AP928" s="359"/>
      <c r="AQ928" s="359"/>
      <c r="AR928" s="359"/>
      <c r="AS928" s="359"/>
    </row>
    <row r="929">
      <c r="A929" s="131"/>
      <c r="B929" s="374"/>
      <c r="C929" s="127"/>
      <c r="D929" s="127"/>
      <c r="E929" s="127"/>
      <c r="F929" s="131"/>
      <c r="G929" s="374"/>
      <c r="H929" s="127"/>
      <c r="I929" s="127"/>
      <c r="J929" s="127"/>
      <c r="K929" s="383"/>
      <c r="L929" s="374"/>
      <c r="M929" s="127"/>
      <c r="N929" s="127"/>
      <c r="O929" s="127"/>
      <c r="P929" s="383"/>
      <c r="Q929" s="164"/>
      <c r="R929" s="127"/>
      <c r="S929" s="127"/>
      <c r="T929" s="127"/>
      <c r="U929" s="131"/>
      <c r="V929" s="374"/>
      <c r="W929" s="127"/>
      <c r="X929" s="127"/>
      <c r="Y929" s="127"/>
      <c r="Z929" s="131"/>
      <c r="AA929" s="374"/>
      <c r="AB929" s="127"/>
      <c r="AC929" s="127"/>
      <c r="AD929" s="127"/>
      <c r="AE929" s="131"/>
      <c r="AF929" s="374"/>
      <c r="AG929" s="127"/>
      <c r="AH929" s="127"/>
      <c r="AI929" s="127"/>
      <c r="AJ929" s="131"/>
      <c r="AK929" s="374"/>
      <c r="AL929" s="127"/>
      <c r="AM929" s="127"/>
      <c r="AN929" s="127"/>
      <c r="AO929" s="359"/>
      <c r="AP929" s="359"/>
      <c r="AQ929" s="359"/>
      <c r="AR929" s="359"/>
      <c r="AS929" s="359"/>
    </row>
    <row r="930">
      <c r="A930" s="131"/>
      <c r="B930" s="374"/>
      <c r="C930" s="127"/>
      <c r="D930" s="127"/>
      <c r="E930" s="127"/>
      <c r="F930" s="131"/>
      <c r="G930" s="374"/>
      <c r="H930" s="127"/>
      <c r="I930" s="127"/>
      <c r="J930" s="127"/>
      <c r="K930" s="383"/>
      <c r="L930" s="374"/>
      <c r="M930" s="127"/>
      <c r="N930" s="127"/>
      <c r="O930" s="127"/>
      <c r="P930" s="383"/>
      <c r="Q930" s="164"/>
      <c r="R930" s="127"/>
      <c r="S930" s="127"/>
      <c r="T930" s="127"/>
      <c r="U930" s="131"/>
      <c r="V930" s="374"/>
      <c r="W930" s="127"/>
      <c r="X930" s="127"/>
      <c r="Y930" s="127"/>
      <c r="Z930" s="131"/>
      <c r="AA930" s="374"/>
      <c r="AB930" s="127"/>
      <c r="AC930" s="127"/>
      <c r="AD930" s="127"/>
      <c r="AE930" s="131"/>
      <c r="AF930" s="374"/>
      <c r="AG930" s="127"/>
      <c r="AH930" s="127"/>
      <c r="AI930" s="127"/>
      <c r="AJ930" s="131"/>
      <c r="AK930" s="374"/>
      <c r="AL930" s="127"/>
      <c r="AM930" s="127"/>
      <c r="AN930" s="127"/>
      <c r="AO930" s="359"/>
      <c r="AP930" s="359"/>
      <c r="AQ930" s="359"/>
      <c r="AR930" s="359"/>
      <c r="AS930" s="359"/>
    </row>
    <row r="931">
      <c r="A931" s="131"/>
      <c r="B931" s="374"/>
      <c r="C931" s="127"/>
      <c r="D931" s="127"/>
      <c r="E931" s="127"/>
      <c r="F931" s="131"/>
      <c r="G931" s="374"/>
      <c r="H931" s="127"/>
      <c r="I931" s="127"/>
      <c r="J931" s="127"/>
      <c r="K931" s="383"/>
      <c r="L931" s="374"/>
      <c r="M931" s="127"/>
      <c r="N931" s="127"/>
      <c r="O931" s="127"/>
      <c r="P931" s="383"/>
      <c r="Q931" s="164"/>
      <c r="R931" s="127"/>
      <c r="S931" s="127"/>
      <c r="T931" s="127"/>
      <c r="U931" s="131"/>
      <c r="V931" s="374"/>
      <c r="W931" s="127"/>
      <c r="X931" s="127"/>
      <c r="Y931" s="127"/>
      <c r="Z931" s="131"/>
      <c r="AA931" s="374"/>
      <c r="AB931" s="127"/>
      <c r="AC931" s="127"/>
      <c r="AD931" s="127"/>
      <c r="AE931" s="131"/>
      <c r="AF931" s="374"/>
      <c r="AG931" s="127"/>
      <c r="AH931" s="127"/>
      <c r="AI931" s="127"/>
      <c r="AJ931" s="131"/>
      <c r="AK931" s="374"/>
      <c r="AL931" s="127"/>
      <c r="AM931" s="127"/>
      <c r="AN931" s="127"/>
      <c r="AO931" s="359"/>
      <c r="AP931" s="359"/>
      <c r="AQ931" s="359"/>
      <c r="AR931" s="359"/>
      <c r="AS931" s="359"/>
    </row>
    <row r="932">
      <c r="A932" s="131"/>
      <c r="B932" s="374"/>
      <c r="C932" s="127"/>
      <c r="D932" s="127"/>
      <c r="E932" s="127"/>
      <c r="F932" s="131"/>
      <c r="G932" s="374"/>
      <c r="H932" s="127"/>
      <c r="I932" s="127"/>
      <c r="J932" s="127"/>
      <c r="K932" s="383"/>
      <c r="L932" s="374"/>
      <c r="M932" s="127"/>
      <c r="N932" s="127"/>
      <c r="O932" s="127"/>
      <c r="P932" s="383"/>
      <c r="Q932" s="164"/>
      <c r="R932" s="127"/>
      <c r="S932" s="127"/>
      <c r="T932" s="127"/>
      <c r="U932" s="131"/>
      <c r="V932" s="374"/>
      <c r="W932" s="127"/>
      <c r="X932" s="127"/>
      <c r="Y932" s="127"/>
      <c r="Z932" s="131"/>
      <c r="AA932" s="374"/>
      <c r="AB932" s="127"/>
      <c r="AC932" s="127"/>
      <c r="AD932" s="127"/>
      <c r="AE932" s="131"/>
      <c r="AF932" s="374"/>
      <c r="AG932" s="127"/>
      <c r="AH932" s="127"/>
      <c r="AI932" s="127"/>
      <c r="AJ932" s="131"/>
      <c r="AK932" s="374"/>
      <c r="AL932" s="127"/>
      <c r="AM932" s="127"/>
      <c r="AN932" s="127"/>
      <c r="AO932" s="359"/>
      <c r="AP932" s="359"/>
      <c r="AQ932" s="359"/>
      <c r="AR932" s="359"/>
      <c r="AS932" s="359"/>
    </row>
    <row r="933">
      <c r="A933" s="131"/>
      <c r="B933" s="374"/>
      <c r="C933" s="127"/>
      <c r="D933" s="127"/>
      <c r="E933" s="127"/>
      <c r="F933" s="131"/>
      <c r="G933" s="374"/>
      <c r="H933" s="127"/>
      <c r="I933" s="127"/>
      <c r="J933" s="127"/>
      <c r="K933" s="383"/>
      <c r="L933" s="374"/>
      <c r="M933" s="127"/>
      <c r="N933" s="127"/>
      <c r="O933" s="127"/>
      <c r="P933" s="383"/>
      <c r="Q933" s="164"/>
      <c r="R933" s="127"/>
      <c r="S933" s="127"/>
      <c r="T933" s="127"/>
      <c r="U933" s="131"/>
      <c r="V933" s="374"/>
      <c r="W933" s="127"/>
      <c r="X933" s="127"/>
      <c r="Y933" s="127"/>
      <c r="Z933" s="131"/>
      <c r="AA933" s="374"/>
      <c r="AB933" s="127"/>
      <c r="AC933" s="127"/>
      <c r="AD933" s="127"/>
      <c r="AE933" s="131"/>
      <c r="AF933" s="374"/>
      <c r="AG933" s="127"/>
      <c r="AH933" s="127"/>
      <c r="AI933" s="127"/>
      <c r="AJ933" s="131"/>
      <c r="AK933" s="374"/>
      <c r="AL933" s="127"/>
      <c r="AM933" s="127"/>
      <c r="AN933" s="127"/>
      <c r="AO933" s="359"/>
      <c r="AP933" s="359"/>
      <c r="AQ933" s="359"/>
      <c r="AR933" s="359"/>
      <c r="AS933" s="359"/>
    </row>
    <row r="934">
      <c r="A934" s="131"/>
      <c r="B934" s="374"/>
      <c r="C934" s="127"/>
      <c r="D934" s="127"/>
      <c r="E934" s="127"/>
      <c r="F934" s="131"/>
      <c r="G934" s="374"/>
      <c r="H934" s="127"/>
      <c r="I934" s="127"/>
      <c r="J934" s="127"/>
      <c r="K934" s="383"/>
      <c r="L934" s="374"/>
      <c r="M934" s="127"/>
      <c r="N934" s="127"/>
      <c r="O934" s="127"/>
      <c r="P934" s="383"/>
      <c r="Q934" s="164"/>
      <c r="R934" s="127"/>
      <c r="S934" s="127"/>
      <c r="T934" s="127"/>
      <c r="U934" s="131"/>
      <c r="V934" s="374"/>
      <c r="W934" s="127"/>
      <c r="X934" s="127"/>
      <c r="Y934" s="127"/>
      <c r="Z934" s="131"/>
      <c r="AA934" s="374"/>
      <c r="AB934" s="127"/>
      <c r="AC934" s="127"/>
      <c r="AD934" s="127"/>
      <c r="AE934" s="131"/>
      <c r="AF934" s="374"/>
      <c r="AG934" s="127"/>
      <c r="AH934" s="127"/>
      <c r="AI934" s="127"/>
      <c r="AJ934" s="131"/>
      <c r="AK934" s="374"/>
      <c r="AL934" s="127"/>
      <c r="AM934" s="127"/>
      <c r="AN934" s="127"/>
      <c r="AO934" s="359"/>
      <c r="AP934" s="359"/>
      <c r="AQ934" s="359"/>
      <c r="AR934" s="359"/>
      <c r="AS934" s="359"/>
    </row>
    <row r="935">
      <c r="A935" s="131"/>
      <c r="B935" s="374"/>
      <c r="C935" s="127"/>
      <c r="D935" s="127"/>
      <c r="E935" s="127"/>
      <c r="F935" s="131"/>
      <c r="G935" s="374"/>
      <c r="H935" s="127"/>
      <c r="I935" s="127"/>
      <c r="J935" s="127"/>
      <c r="K935" s="383"/>
      <c r="L935" s="374"/>
      <c r="M935" s="127"/>
      <c r="N935" s="127"/>
      <c r="O935" s="127"/>
      <c r="P935" s="383"/>
      <c r="Q935" s="164"/>
      <c r="R935" s="127"/>
      <c r="S935" s="127"/>
      <c r="T935" s="127"/>
      <c r="U935" s="131"/>
      <c r="V935" s="374"/>
      <c r="W935" s="127"/>
      <c r="X935" s="127"/>
      <c r="Y935" s="127"/>
      <c r="Z935" s="131"/>
      <c r="AA935" s="374"/>
      <c r="AB935" s="127"/>
      <c r="AC935" s="127"/>
      <c r="AD935" s="127"/>
      <c r="AE935" s="131"/>
      <c r="AF935" s="374"/>
      <c r="AG935" s="127"/>
      <c r="AH935" s="127"/>
      <c r="AI935" s="127"/>
      <c r="AJ935" s="131"/>
      <c r="AK935" s="374"/>
      <c r="AL935" s="127"/>
      <c r="AM935" s="127"/>
      <c r="AN935" s="127"/>
      <c r="AO935" s="359"/>
      <c r="AP935" s="359"/>
      <c r="AQ935" s="359"/>
      <c r="AR935" s="359"/>
      <c r="AS935" s="359"/>
    </row>
    <row r="936">
      <c r="A936" s="131"/>
      <c r="B936" s="374"/>
      <c r="C936" s="127"/>
      <c r="D936" s="127"/>
      <c r="E936" s="127"/>
      <c r="F936" s="131"/>
      <c r="G936" s="374"/>
      <c r="H936" s="127"/>
      <c r="I936" s="127"/>
      <c r="J936" s="127"/>
      <c r="K936" s="383"/>
      <c r="L936" s="374"/>
      <c r="M936" s="127"/>
      <c r="N936" s="127"/>
      <c r="O936" s="127"/>
      <c r="P936" s="383"/>
      <c r="Q936" s="164"/>
      <c r="R936" s="127"/>
      <c r="S936" s="127"/>
      <c r="T936" s="127"/>
      <c r="U936" s="131"/>
      <c r="V936" s="374"/>
      <c r="W936" s="127"/>
      <c r="X936" s="127"/>
      <c r="Y936" s="127"/>
      <c r="Z936" s="131"/>
      <c r="AA936" s="374"/>
      <c r="AB936" s="127"/>
      <c r="AC936" s="127"/>
      <c r="AD936" s="127"/>
      <c r="AE936" s="131"/>
      <c r="AF936" s="374"/>
      <c r="AG936" s="127"/>
      <c r="AH936" s="127"/>
      <c r="AI936" s="127"/>
      <c r="AJ936" s="131"/>
      <c r="AK936" s="374"/>
      <c r="AL936" s="127"/>
      <c r="AM936" s="127"/>
      <c r="AN936" s="127"/>
      <c r="AO936" s="359"/>
      <c r="AP936" s="359"/>
      <c r="AQ936" s="359"/>
      <c r="AR936" s="359"/>
      <c r="AS936" s="359"/>
    </row>
    <row r="937">
      <c r="A937" s="131"/>
      <c r="B937" s="374"/>
      <c r="C937" s="127"/>
      <c r="D937" s="127"/>
      <c r="E937" s="127"/>
      <c r="F937" s="131"/>
      <c r="G937" s="374"/>
      <c r="H937" s="127"/>
      <c r="I937" s="127"/>
      <c r="J937" s="127"/>
      <c r="K937" s="383"/>
      <c r="L937" s="374"/>
      <c r="M937" s="127"/>
      <c r="N937" s="127"/>
      <c r="O937" s="127"/>
      <c r="P937" s="383"/>
      <c r="Q937" s="164"/>
      <c r="R937" s="127"/>
      <c r="S937" s="127"/>
      <c r="T937" s="127"/>
      <c r="U937" s="131"/>
      <c r="V937" s="374"/>
      <c r="W937" s="127"/>
      <c r="X937" s="127"/>
      <c r="Y937" s="127"/>
      <c r="Z937" s="131"/>
      <c r="AA937" s="374"/>
      <c r="AB937" s="127"/>
      <c r="AC937" s="127"/>
      <c r="AD937" s="127"/>
      <c r="AE937" s="131"/>
      <c r="AF937" s="374"/>
      <c r="AG937" s="127"/>
      <c r="AH937" s="127"/>
      <c r="AI937" s="127"/>
      <c r="AJ937" s="131"/>
      <c r="AK937" s="374"/>
      <c r="AL937" s="127"/>
      <c r="AM937" s="127"/>
      <c r="AN937" s="127"/>
      <c r="AO937" s="359"/>
      <c r="AP937" s="359"/>
      <c r="AQ937" s="359"/>
      <c r="AR937" s="359"/>
      <c r="AS937" s="359"/>
    </row>
    <row r="938">
      <c r="A938" s="131"/>
      <c r="B938" s="374"/>
      <c r="C938" s="127"/>
      <c r="D938" s="127"/>
      <c r="E938" s="127"/>
      <c r="F938" s="131"/>
      <c r="G938" s="374"/>
      <c r="H938" s="127"/>
      <c r="I938" s="127"/>
      <c r="J938" s="127"/>
      <c r="K938" s="383"/>
      <c r="L938" s="374"/>
      <c r="M938" s="127"/>
      <c r="N938" s="127"/>
      <c r="O938" s="127"/>
      <c r="P938" s="383"/>
      <c r="Q938" s="164"/>
      <c r="R938" s="127"/>
      <c r="S938" s="127"/>
      <c r="T938" s="127"/>
      <c r="U938" s="131"/>
      <c r="V938" s="374"/>
      <c r="W938" s="127"/>
      <c r="X938" s="127"/>
      <c r="Y938" s="127"/>
      <c r="Z938" s="131"/>
      <c r="AA938" s="374"/>
      <c r="AB938" s="127"/>
      <c r="AC938" s="127"/>
      <c r="AD938" s="127"/>
      <c r="AE938" s="131"/>
      <c r="AF938" s="374"/>
      <c r="AG938" s="127"/>
      <c r="AH938" s="127"/>
      <c r="AI938" s="127"/>
      <c r="AJ938" s="131"/>
      <c r="AK938" s="374"/>
      <c r="AL938" s="127"/>
      <c r="AM938" s="127"/>
      <c r="AN938" s="127"/>
      <c r="AO938" s="359"/>
      <c r="AP938" s="359"/>
      <c r="AQ938" s="359"/>
      <c r="AR938" s="359"/>
      <c r="AS938" s="359"/>
    </row>
    <row r="939">
      <c r="A939" s="131"/>
      <c r="B939" s="374"/>
      <c r="C939" s="127"/>
      <c r="D939" s="127"/>
      <c r="E939" s="127"/>
      <c r="F939" s="131"/>
      <c r="G939" s="374"/>
      <c r="H939" s="127"/>
      <c r="I939" s="127"/>
      <c r="J939" s="127"/>
      <c r="K939" s="383"/>
      <c r="L939" s="374"/>
      <c r="M939" s="127"/>
      <c r="N939" s="127"/>
      <c r="O939" s="127"/>
      <c r="P939" s="383"/>
      <c r="Q939" s="164"/>
      <c r="R939" s="127"/>
      <c r="S939" s="127"/>
      <c r="T939" s="127"/>
      <c r="U939" s="131"/>
      <c r="V939" s="374"/>
      <c r="W939" s="127"/>
      <c r="X939" s="127"/>
      <c r="Y939" s="127"/>
      <c r="Z939" s="131"/>
      <c r="AA939" s="374"/>
      <c r="AB939" s="127"/>
      <c r="AC939" s="127"/>
      <c r="AD939" s="127"/>
      <c r="AE939" s="131"/>
      <c r="AF939" s="374"/>
      <c r="AG939" s="127"/>
      <c r="AH939" s="127"/>
      <c r="AI939" s="127"/>
      <c r="AJ939" s="131"/>
      <c r="AK939" s="374"/>
      <c r="AL939" s="127"/>
      <c r="AM939" s="127"/>
      <c r="AN939" s="127"/>
      <c r="AO939" s="359"/>
      <c r="AP939" s="359"/>
      <c r="AQ939" s="359"/>
      <c r="AR939" s="359"/>
      <c r="AS939" s="359"/>
    </row>
    <row r="940">
      <c r="A940" s="131"/>
      <c r="B940" s="374"/>
      <c r="C940" s="127"/>
      <c r="D940" s="127"/>
      <c r="E940" s="127"/>
      <c r="F940" s="131"/>
      <c r="G940" s="374"/>
      <c r="H940" s="127"/>
      <c r="I940" s="127"/>
      <c r="J940" s="127"/>
      <c r="K940" s="383"/>
      <c r="L940" s="374"/>
      <c r="M940" s="127"/>
      <c r="N940" s="127"/>
      <c r="O940" s="127"/>
      <c r="P940" s="383"/>
      <c r="Q940" s="164"/>
      <c r="R940" s="127"/>
      <c r="S940" s="127"/>
      <c r="T940" s="127"/>
      <c r="U940" s="131"/>
      <c r="V940" s="374"/>
      <c r="W940" s="127"/>
      <c r="X940" s="127"/>
      <c r="Y940" s="127"/>
      <c r="Z940" s="131"/>
      <c r="AA940" s="374"/>
      <c r="AB940" s="127"/>
      <c r="AC940" s="127"/>
      <c r="AD940" s="127"/>
      <c r="AE940" s="131"/>
      <c r="AF940" s="374"/>
      <c r="AG940" s="127"/>
      <c r="AH940" s="127"/>
      <c r="AI940" s="127"/>
      <c r="AJ940" s="131"/>
      <c r="AK940" s="374"/>
      <c r="AL940" s="127"/>
      <c r="AM940" s="127"/>
      <c r="AN940" s="127"/>
      <c r="AO940" s="359"/>
      <c r="AP940" s="359"/>
      <c r="AQ940" s="359"/>
      <c r="AR940" s="359"/>
      <c r="AS940" s="359"/>
    </row>
    <row r="941">
      <c r="A941" s="131"/>
      <c r="B941" s="374"/>
      <c r="C941" s="127"/>
      <c r="D941" s="127"/>
      <c r="E941" s="127"/>
      <c r="F941" s="131"/>
      <c r="G941" s="374"/>
      <c r="H941" s="127"/>
      <c r="I941" s="127"/>
      <c r="J941" s="127"/>
      <c r="K941" s="383"/>
      <c r="L941" s="374"/>
      <c r="M941" s="127"/>
      <c r="N941" s="127"/>
      <c r="O941" s="127"/>
      <c r="P941" s="383"/>
      <c r="Q941" s="164"/>
      <c r="R941" s="127"/>
      <c r="S941" s="127"/>
      <c r="T941" s="127"/>
      <c r="U941" s="131"/>
      <c r="V941" s="374"/>
      <c r="W941" s="127"/>
      <c r="X941" s="127"/>
      <c r="Y941" s="127"/>
      <c r="Z941" s="131"/>
      <c r="AA941" s="374"/>
      <c r="AB941" s="127"/>
      <c r="AC941" s="127"/>
      <c r="AD941" s="127"/>
      <c r="AE941" s="131"/>
      <c r="AF941" s="374"/>
      <c r="AG941" s="127"/>
      <c r="AH941" s="127"/>
      <c r="AI941" s="127"/>
      <c r="AJ941" s="131"/>
      <c r="AK941" s="374"/>
      <c r="AL941" s="127"/>
      <c r="AM941" s="127"/>
      <c r="AN941" s="127"/>
      <c r="AO941" s="359"/>
      <c r="AP941" s="359"/>
      <c r="AQ941" s="359"/>
      <c r="AR941" s="359"/>
      <c r="AS941" s="359"/>
    </row>
    <row r="942">
      <c r="A942" s="131"/>
      <c r="B942" s="374"/>
      <c r="C942" s="127"/>
      <c r="D942" s="127"/>
      <c r="E942" s="127"/>
      <c r="F942" s="131"/>
      <c r="G942" s="374"/>
      <c r="H942" s="127"/>
      <c r="I942" s="127"/>
      <c r="J942" s="127"/>
      <c r="K942" s="383"/>
      <c r="L942" s="374"/>
      <c r="M942" s="127"/>
      <c r="N942" s="127"/>
      <c r="O942" s="127"/>
      <c r="P942" s="383"/>
      <c r="Q942" s="164"/>
      <c r="R942" s="127"/>
      <c r="S942" s="127"/>
      <c r="T942" s="127"/>
      <c r="U942" s="131"/>
      <c r="V942" s="374"/>
      <c r="W942" s="127"/>
      <c r="X942" s="127"/>
      <c r="Y942" s="127"/>
      <c r="Z942" s="131"/>
      <c r="AA942" s="374"/>
      <c r="AB942" s="127"/>
      <c r="AC942" s="127"/>
      <c r="AD942" s="127"/>
      <c r="AE942" s="131"/>
      <c r="AF942" s="374"/>
      <c r="AG942" s="127"/>
      <c r="AH942" s="127"/>
      <c r="AI942" s="127"/>
      <c r="AJ942" s="131"/>
      <c r="AK942" s="374"/>
      <c r="AL942" s="127"/>
      <c r="AM942" s="127"/>
      <c r="AN942" s="127"/>
      <c r="AO942" s="359"/>
      <c r="AP942" s="359"/>
      <c r="AQ942" s="359"/>
      <c r="AR942" s="359"/>
      <c r="AS942" s="359"/>
    </row>
    <row r="943">
      <c r="A943" s="131"/>
      <c r="B943" s="374"/>
      <c r="C943" s="127"/>
      <c r="D943" s="127"/>
      <c r="E943" s="127"/>
      <c r="F943" s="131"/>
      <c r="G943" s="374"/>
      <c r="H943" s="127"/>
      <c r="I943" s="127"/>
      <c r="J943" s="127"/>
      <c r="K943" s="383"/>
      <c r="L943" s="374"/>
      <c r="M943" s="127"/>
      <c r="N943" s="127"/>
      <c r="O943" s="127"/>
      <c r="P943" s="383"/>
      <c r="Q943" s="164"/>
      <c r="R943" s="127"/>
      <c r="S943" s="127"/>
      <c r="T943" s="127"/>
      <c r="U943" s="131"/>
      <c r="V943" s="374"/>
      <c r="W943" s="127"/>
      <c r="X943" s="127"/>
      <c r="Y943" s="127"/>
      <c r="Z943" s="131"/>
      <c r="AA943" s="374"/>
      <c r="AB943" s="127"/>
      <c r="AC943" s="127"/>
      <c r="AD943" s="127"/>
      <c r="AE943" s="131"/>
      <c r="AF943" s="374"/>
      <c r="AG943" s="127"/>
      <c r="AH943" s="127"/>
      <c r="AI943" s="127"/>
      <c r="AJ943" s="131"/>
      <c r="AK943" s="374"/>
      <c r="AL943" s="127"/>
      <c r="AM943" s="127"/>
      <c r="AN943" s="127"/>
      <c r="AO943" s="359"/>
      <c r="AP943" s="359"/>
      <c r="AQ943" s="359"/>
      <c r="AR943" s="359"/>
      <c r="AS943" s="359"/>
    </row>
    <row r="944">
      <c r="A944" s="131"/>
      <c r="B944" s="374"/>
      <c r="C944" s="127"/>
      <c r="D944" s="127"/>
      <c r="E944" s="127"/>
      <c r="F944" s="131"/>
      <c r="G944" s="374"/>
      <c r="H944" s="127"/>
      <c r="I944" s="127"/>
      <c r="J944" s="127"/>
      <c r="K944" s="383"/>
      <c r="L944" s="374"/>
      <c r="M944" s="127"/>
      <c r="N944" s="127"/>
      <c r="O944" s="127"/>
      <c r="P944" s="383"/>
      <c r="Q944" s="164"/>
      <c r="R944" s="127"/>
      <c r="S944" s="127"/>
      <c r="T944" s="127"/>
      <c r="U944" s="131"/>
      <c r="V944" s="374"/>
      <c r="W944" s="127"/>
      <c r="X944" s="127"/>
      <c r="Y944" s="127"/>
      <c r="Z944" s="131"/>
      <c r="AA944" s="374"/>
      <c r="AB944" s="127"/>
      <c r="AC944" s="127"/>
      <c r="AD944" s="127"/>
      <c r="AE944" s="131"/>
      <c r="AF944" s="374"/>
      <c r="AG944" s="127"/>
      <c r="AH944" s="127"/>
      <c r="AI944" s="127"/>
      <c r="AJ944" s="131"/>
      <c r="AK944" s="374"/>
      <c r="AL944" s="127"/>
      <c r="AM944" s="127"/>
      <c r="AN944" s="127"/>
      <c r="AO944" s="359"/>
      <c r="AP944" s="359"/>
      <c r="AQ944" s="359"/>
      <c r="AR944" s="359"/>
      <c r="AS944" s="359"/>
    </row>
    <row r="945">
      <c r="A945" s="131"/>
      <c r="B945" s="374"/>
      <c r="C945" s="127"/>
      <c r="D945" s="127"/>
      <c r="E945" s="127"/>
      <c r="F945" s="131"/>
      <c r="G945" s="374"/>
      <c r="H945" s="127"/>
      <c r="I945" s="127"/>
      <c r="J945" s="127"/>
      <c r="K945" s="383"/>
      <c r="L945" s="374"/>
      <c r="M945" s="127"/>
      <c r="N945" s="127"/>
      <c r="O945" s="127"/>
      <c r="P945" s="383"/>
      <c r="Q945" s="164"/>
      <c r="R945" s="127"/>
      <c r="S945" s="127"/>
      <c r="T945" s="127"/>
      <c r="U945" s="131"/>
      <c r="V945" s="374"/>
      <c r="W945" s="127"/>
      <c r="X945" s="127"/>
      <c r="Y945" s="127"/>
      <c r="Z945" s="131"/>
      <c r="AA945" s="374"/>
      <c r="AB945" s="127"/>
      <c r="AC945" s="127"/>
      <c r="AD945" s="127"/>
      <c r="AE945" s="131"/>
      <c r="AF945" s="374"/>
      <c r="AG945" s="127"/>
      <c r="AH945" s="127"/>
      <c r="AI945" s="127"/>
      <c r="AJ945" s="131"/>
      <c r="AK945" s="374"/>
      <c r="AL945" s="127"/>
      <c r="AM945" s="127"/>
      <c r="AN945" s="127"/>
      <c r="AO945" s="359"/>
      <c r="AP945" s="359"/>
      <c r="AQ945" s="359"/>
      <c r="AR945" s="359"/>
      <c r="AS945" s="359"/>
    </row>
    <row r="946">
      <c r="A946" s="131"/>
      <c r="B946" s="374"/>
      <c r="C946" s="127"/>
      <c r="D946" s="127"/>
      <c r="E946" s="127"/>
      <c r="F946" s="131"/>
      <c r="G946" s="374"/>
      <c r="H946" s="127"/>
      <c r="I946" s="127"/>
      <c r="J946" s="127"/>
      <c r="K946" s="383"/>
      <c r="L946" s="374"/>
      <c r="M946" s="127"/>
      <c r="N946" s="127"/>
      <c r="O946" s="127"/>
      <c r="P946" s="383"/>
      <c r="Q946" s="164"/>
      <c r="R946" s="127"/>
      <c r="S946" s="127"/>
      <c r="T946" s="127"/>
      <c r="U946" s="131"/>
      <c r="V946" s="374"/>
      <c r="W946" s="127"/>
      <c r="X946" s="127"/>
      <c r="Y946" s="127"/>
      <c r="Z946" s="131"/>
      <c r="AA946" s="374"/>
      <c r="AB946" s="127"/>
      <c r="AC946" s="127"/>
      <c r="AD946" s="127"/>
      <c r="AE946" s="131"/>
      <c r="AF946" s="374"/>
      <c r="AG946" s="127"/>
      <c r="AH946" s="127"/>
      <c r="AI946" s="127"/>
      <c r="AJ946" s="131"/>
      <c r="AK946" s="374"/>
      <c r="AL946" s="127"/>
      <c r="AM946" s="127"/>
      <c r="AN946" s="127"/>
      <c r="AO946" s="359"/>
      <c r="AP946" s="359"/>
      <c r="AQ946" s="359"/>
      <c r="AR946" s="359"/>
      <c r="AS946" s="359"/>
    </row>
    <row r="947">
      <c r="A947" s="131"/>
      <c r="B947" s="374"/>
      <c r="C947" s="127"/>
      <c r="D947" s="127"/>
      <c r="E947" s="127"/>
      <c r="F947" s="131"/>
      <c r="G947" s="374"/>
      <c r="H947" s="127"/>
      <c r="I947" s="127"/>
      <c r="J947" s="127"/>
      <c r="K947" s="383"/>
      <c r="L947" s="374"/>
      <c r="M947" s="127"/>
      <c r="N947" s="127"/>
      <c r="O947" s="127"/>
      <c r="P947" s="383"/>
      <c r="Q947" s="164"/>
      <c r="R947" s="127"/>
      <c r="S947" s="127"/>
      <c r="T947" s="127"/>
      <c r="U947" s="131"/>
      <c r="V947" s="374"/>
      <c r="W947" s="127"/>
      <c r="X947" s="127"/>
      <c r="Y947" s="127"/>
      <c r="Z947" s="131"/>
      <c r="AA947" s="374"/>
      <c r="AB947" s="127"/>
      <c r="AC947" s="127"/>
      <c r="AD947" s="127"/>
      <c r="AE947" s="131"/>
      <c r="AF947" s="374"/>
      <c r="AG947" s="127"/>
      <c r="AH947" s="127"/>
      <c r="AI947" s="127"/>
      <c r="AJ947" s="131"/>
      <c r="AK947" s="374"/>
      <c r="AL947" s="127"/>
      <c r="AM947" s="127"/>
      <c r="AN947" s="127"/>
      <c r="AO947" s="359"/>
      <c r="AP947" s="359"/>
      <c r="AQ947" s="359"/>
      <c r="AR947" s="359"/>
      <c r="AS947" s="359"/>
    </row>
    <row r="948">
      <c r="A948" s="131"/>
      <c r="B948" s="374"/>
      <c r="C948" s="127"/>
      <c r="D948" s="127"/>
      <c r="E948" s="127"/>
      <c r="F948" s="131"/>
      <c r="G948" s="374"/>
      <c r="H948" s="127"/>
      <c r="I948" s="127"/>
      <c r="J948" s="127"/>
      <c r="K948" s="383"/>
      <c r="L948" s="374"/>
      <c r="M948" s="127"/>
      <c r="N948" s="127"/>
      <c r="O948" s="127"/>
      <c r="P948" s="383"/>
      <c r="Q948" s="164"/>
      <c r="R948" s="127"/>
      <c r="S948" s="127"/>
      <c r="T948" s="127"/>
      <c r="U948" s="131"/>
      <c r="V948" s="374"/>
      <c r="W948" s="127"/>
      <c r="X948" s="127"/>
      <c r="Y948" s="127"/>
      <c r="Z948" s="131"/>
      <c r="AA948" s="374"/>
      <c r="AB948" s="127"/>
      <c r="AC948" s="127"/>
      <c r="AD948" s="127"/>
      <c r="AE948" s="131"/>
      <c r="AF948" s="374"/>
      <c r="AG948" s="127"/>
      <c r="AH948" s="127"/>
      <c r="AI948" s="127"/>
      <c r="AJ948" s="131"/>
      <c r="AK948" s="374"/>
      <c r="AL948" s="127"/>
      <c r="AM948" s="127"/>
      <c r="AN948" s="127"/>
      <c r="AO948" s="359"/>
      <c r="AP948" s="359"/>
      <c r="AQ948" s="359"/>
      <c r="AR948" s="359"/>
      <c r="AS948" s="359"/>
    </row>
    <row r="949">
      <c r="A949" s="131"/>
      <c r="B949" s="374"/>
      <c r="C949" s="127"/>
      <c r="D949" s="127"/>
      <c r="E949" s="127"/>
      <c r="F949" s="131"/>
      <c r="G949" s="374"/>
      <c r="H949" s="127"/>
      <c r="I949" s="127"/>
      <c r="J949" s="127"/>
      <c r="K949" s="383"/>
      <c r="L949" s="374"/>
      <c r="M949" s="127"/>
      <c r="N949" s="127"/>
      <c r="O949" s="127"/>
      <c r="P949" s="383"/>
      <c r="Q949" s="164"/>
      <c r="R949" s="127"/>
      <c r="S949" s="127"/>
      <c r="T949" s="127"/>
      <c r="U949" s="131"/>
      <c r="V949" s="374"/>
      <c r="W949" s="127"/>
      <c r="X949" s="127"/>
      <c r="Y949" s="127"/>
      <c r="Z949" s="131"/>
      <c r="AA949" s="374"/>
      <c r="AB949" s="127"/>
      <c r="AC949" s="127"/>
      <c r="AD949" s="127"/>
      <c r="AE949" s="131"/>
      <c r="AF949" s="374"/>
      <c r="AG949" s="127"/>
      <c r="AH949" s="127"/>
      <c r="AI949" s="127"/>
      <c r="AJ949" s="131"/>
      <c r="AK949" s="374"/>
      <c r="AL949" s="127"/>
      <c r="AM949" s="127"/>
      <c r="AN949" s="127"/>
      <c r="AO949" s="359"/>
      <c r="AP949" s="359"/>
      <c r="AQ949" s="359"/>
      <c r="AR949" s="359"/>
      <c r="AS949" s="359"/>
    </row>
    <row r="950">
      <c r="A950" s="131"/>
      <c r="B950" s="374"/>
      <c r="C950" s="127"/>
      <c r="D950" s="127"/>
      <c r="E950" s="127"/>
      <c r="F950" s="131"/>
      <c r="G950" s="374"/>
      <c r="H950" s="127"/>
      <c r="I950" s="127"/>
      <c r="J950" s="127"/>
      <c r="K950" s="383"/>
      <c r="L950" s="374"/>
      <c r="M950" s="127"/>
      <c r="N950" s="127"/>
      <c r="O950" s="127"/>
      <c r="P950" s="383"/>
      <c r="Q950" s="164"/>
      <c r="R950" s="127"/>
      <c r="S950" s="127"/>
      <c r="T950" s="127"/>
      <c r="U950" s="131"/>
      <c r="V950" s="374"/>
      <c r="W950" s="127"/>
      <c r="X950" s="127"/>
      <c r="Y950" s="127"/>
      <c r="Z950" s="131"/>
      <c r="AA950" s="374"/>
      <c r="AB950" s="127"/>
      <c r="AC950" s="127"/>
      <c r="AD950" s="127"/>
      <c r="AE950" s="131"/>
      <c r="AF950" s="374"/>
      <c r="AG950" s="127"/>
      <c r="AH950" s="127"/>
      <c r="AI950" s="127"/>
      <c r="AJ950" s="131"/>
      <c r="AK950" s="374"/>
      <c r="AL950" s="127"/>
      <c r="AM950" s="127"/>
      <c r="AN950" s="127"/>
      <c r="AO950" s="359"/>
      <c r="AP950" s="359"/>
      <c r="AQ950" s="359"/>
      <c r="AR950" s="359"/>
      <c r="AS950" s="359"/>
    </row>
    <row r="951">
      <c r="A951" s="131"/>
      <c r="B951" s="374"/>
      <c r="C951" s="127"/>
      <c r="D951" s="127"/>
      <c r="E951" s="127"/>
      <c r="F951" s="131"/>
      <c r="G951" s="374"/>
      <c r="H951" s="127"/>
      <c r="I951" s="127"/>
      <c r="J951" s="127"/>
      <c r="K951" s="383"/>
      <c r="L951" s="374"/>
      <c r="M951" s="127"/>
      <c r="N951" s="127"/>
      <c r="O951" s="127"/>
      <c r="P951" s="383"/>
      <c r="Q951" s="164"/>
      <c r="R951" s="127"/>
      <c r="S951" s="127"/>
      <c r="T951" s="127"/>
      <c r="U951" s="131"/>
      <c r="V951" s="374"/>
      <c r="W951" s="127"/>
      <c r="X951" s="127"/>
      <c r="Y951" s="127"/>
      <c r="Z951" s="131"/>
      <c r="AA951" s="374"/>
      <c r="AB951" s="127"/>
      <c r="AC951" s="127"/>
      <c r="AD951" s="127"/>
      <c r="AE951" s="131"/>
      <c r="AF951" s="374"/>
      <c r="AG951" s="127"/>
      <c r="AH951" s="127"/>
      <c r="AI951" s="127"/>
      <c r="AJ951" s="131"/>
      <c r="AK951" s="374"/>
      <c r="AL951" s="127"/>
      <c r="AM951" s="127"/>
      <c r="AN951" s="127"/>
      <c r="AO951" s="359"/>
      <c r="AP951" s="359"/>
      <c r="AQ951" s="359"/>
      <c r="AR951" s="359"/>
      <c r="AS951" s="359"/>
    </row>
    <row r="952">
      <c r="A952" s="131"/>
      <c r="B952" s="374"/>
      <c r="C952" s="127"/>
      <c r="D952" s="127"/>
      <c r="E952" s="127"/>
      <c r="F952" s="131"/>
      <c r="G952" s="374"/>
      <c r="H952" s="127"/>
      <c r="I952" s="127"/>
      <c r="J952" s="127"/>
      <c r="K952" s="383"/>
      <c r="L952" s="374"/>
      <c r="M952" s="127"/>
      <c r="N952" s="127"/>
      <c r="O952" s="127"/>
      <c r="P952" s="383"/>
      <c r="Q952" s="164"/>
      <c r="R952" s="127"/>
      <c r="S952" s="127"/>
      <c r="T952" s="127"/>
      <c r="U952" s="131"/>
      <c r="V952" s="374"/>
      <c r="W952" s="127"/>
      <c r="X952" s="127"/>
      <c r="Y952" s="127"/>
      <c r="Z952" s="131"/>
      <c r="AA952" s="374"/>
      <c r="AB952" s="127"/>
      <c r="AC952" s="127"/>
      <c r="AD952" s="127"/>
      <c r="AE952" s="131"/>
      <c r="AF952" s="374"/>
      <c r="AG952" s="127"/>
      <c r="AH952" s="127"/>
      <c r="AI952" s="127"/>
      <c r="AJ952" s="131"/>
      <c r="AK952" s="374"/>
      <c r="AL952" s="127"/>
      <c r="AM952" s="127"/>
      <c r="AN952" s="127"/>
      <c r="AO952" s="359"/>
      <c r="AP952" s="359"/>
      <c r="AQ952" s="359"/>
      <c r="AR952" s="359"/>
      <c r="AS952" s="359"/>
    </row>
    <row r="953">
      <c r="A953" s="131"/>
      <c r="B953" s="374"/>
      <c r="C953" s="127"/>
      <c r="D953" s="127"/>
      <c r="E953" s="127"/>
      <c r="F953" s="131"/>
      <c r="G953" s="374"/>
      <c r="H953" s="127"/>
      <c r="I953" s="127"/>
      <c r="J953" s="127"/>
      <c r="K953" s="383"/>
      <c r="L953" s="374"/>
      <c r="M953" s="127"/>
      <c r="N953" s="127"/>
      <c r="O953" s="127"/>
      <c r="P953" s="383"/>
      <c r="Q953" s="164"/>
      <c r="R953" s="127"/>
      <c r="S953" s="127"/>
      <c r="T953" s="127"/>
      <c r="U953" s="131"/>
      <c r="V953" s="374"/>
      <c r="W953" s="127"/>
      <c r="X953" s="127"/>
      <c r="Y953" s="127"/>
      <c r="Z953" s="131"/>
      <c r="AA953" s="374"/>
      <c r="AB953" s="127"/>
      <c r="AC953" s="127"/>
      <c r="AD953" s="127"/>
      <c r="AE953" s="131"/>
      <c r="AF953" s="374"/>
      <c r="AG953" s="127"/>
      <c r="AH953" s="127"/>
      <c r="AI953" s="127"/>
      <c r="AJ953" s="131"/>
      <c r="AK953" s="374"/>
      <c r="AL953" s="127"/>
      <c r="AM953" s="127"/>
      <c r="AN953" s="127"/>
      <c r="AO953" s="359"/>
      <c r="AP953" s="359"/>
      <c r="AQ953" s="359"/>
      <c r="AR953" s="359"/>
      <c r="AS953" s="359"/>
    </row>
    <row r="954">
      <c r="A954" s="131"/>
      <c r="B954" s="374"/>
      <c r="C954" s="127"/>
      <c r="D954" s="127"/>
      <c r="E954" s="127"/>
      <c r="F954" s="131"/>
      <c r="G954" s="374"/>
      <c r="H954" s="127"/>
      <c r="I954" s="127"/>
      <c r="J954" s="127"/>
      <c r="K954" s="383"/>
      <c r="L954" s="374"/>
      <c r="M954" s="127"/>
      <c r="N954" s="127"/>
      <c r="O954" s="127"/>
      <c r="P954" s="383"/>
      <c r="Q954" s="164"/>
      <c r="R954" s="127"/>
      <c r="S954" s="127"/>
      <c r="T954" s="127"/>
      <c r="U954" s="131"/>
      <c r="V954" s="374"/>
      <c r="W954" s="127"/>
      <c r="X954" s="127"/>
      <c r="Y954" s="127"/>
      <c r="Z954" s="131"/>
      <c r="AA954" s="374"/>
      <c r="AB954" s="127"/>
      <c r="AC954" s="127"/>
      <c r="AD954" s="127"/>
      <c r="AE954" s="131"/>
      <c r="AF954" s="374"/>
      <c r="AG954" s="127"/>
      <c r="AH954" s="127"/>
      <c r="AI954" s="127"/>
      <c r="AJ954" s="131"/>
      <c r="AK954" s="374"/>
      <c r="AL954" s="127"/>
      <c r="AM954" s="127"/>
      <c r="AN954" s="127"/>
      <c r="AO954" s="359"/>
      <c r="AP954" s="359"/>
      <c r="AQ954" s="359"/>
      <c r="AR954" s="359"/>
      <c r="AS954" s="359"/>
    </row>
    <row r="955">
      <c r="A955" s="131"/>
      <c r="B955" s="374"/>
      <c r="C955" s="127"/>
      <c r="D955" s="127"/>
      <c r="E955" s="127"/>
      <c r="F955" s="131"/>
      <c r="G955" s="374"/>
      <c r="H955" s="127"/>
      <c r="I955" s="127"/>
      <c r="J955" s="127"/>
      <c r="K955" s="383"/>
      <c r="L955" s="374"/>
      <c r="M955" s="127"/>
      <c r="N955" s="127"/>
      <c r="O955" s="127"/>
      <c r="P955" s="383"/>
      <c r="Q955" s="164"/>
      <c r="R955" s="127"/>
      <c r="S955" s="127"/>
      <c r="T955" s="127"/>
      <c r="U955" s="131"/>
      <c r="V955" s="374"/>
      <c r="W955" s="127"/>
      <c r="X955" s="127"/>
      <c r="Y955" s="127"/>
      <c r="Z955" s="131"/>
      <c r="AA955" s="374"/>
      <c r="AB955" s="127"/>
      <c r="AC955" s="127"/>
      <c r="AD955" s="127"/>
      <c r="AE955" s="131"/>
      <c r="AF955" s="374"/>
      <c r="AG955" s="127"/>
      <c r="AH955" s="127"/>
      <c r="AI955" s="127"/>
      <c r="AJ955" s="131"/>
      <c r="AK955" s="374"/>
      <c r="AL955" s="127"/>
      <c r="AM955" s="127"/>
      <c r="AN955" s="127"/>
      <c r="AO955" s="359"/>
      <c r="AP955" s="359"/>
      <c r="AQ955" s="359"/>
      <c r="AR955" s="359"/>
      <c r="AS955" s="359"/>
    </row>
    <row r="956">
      <c r="A956" s="131"/>
      <c r="B956" s="374"/>
      <c r="C956" s="127"/>
      <c r="D956" s="127"/>
      <c r="E956" s="127"/>
      <c r="F956" s="131"/>
      <c r="G956" s="374"/>
      <c r="H956" s="127"/>
      <c r="I956" s="127"/>
      <c r="J956" s="127"/>
      <c r="K956" s="383"/>
      <c r="L956" s="374"/>
      <c r="M956" s="127"/>
      <c r="N956" s="127"/>
      <c r="O956" s="127"/>
      <c r="P956" s="383"/>
      <c r="Q956" s="164"/>
      <c r="R956" s="127"/>
      <c r="S956" s="127"/>
      <c r="T956" s="127"/>
      <c r="U956" s="131"/>
      <c r="V956" s="374"/>
      <c r="W956" s="127"/>
      <c r="X956" s="127"/>
      <c r="Y956" s="127"/>
      <c r="Z956" s="131"/>
      <c r="AA956" s="374"/>
      <c r="AB956" s="127"/>
      <c r="AC956" s="127"/>
      <c r="AD956" s="127"/>
      <c r="AE956" s="131"/>
      <c r="AF956" s="374"/>
      <c r="AG956" s="127"/>
      <c r="AH956" s="127"/>
      <c r="AI956" s="127"/>
      <c r="AJ956" s="131"/>
      <c r="AK956" s="374"/>
      <c r="AL956" s="127"/>
      <c r="AM956" s="127"/>
      <c r="AN956" s="127"/>
      <c r="AO956" s="359"/>
      <c r="AP956" s="359"/>
      <c r="AQ956" s="359"/>
      <c r="AR956" s="359"/>
      <c r="AS956" s="359"/>
    </row>
    <row r="957">
      <c r="A957" s="131"/>
      <c r="B957" s="374"/>
      <c r="C957" s="127"/>
      <c r="D957" s="127"/>
      <c r="E957" s="127"/>
      <c r="F957" s="131"/>
      <c r="G957" s="374"/>
      <c r="H957" s="127"/>
      <c r="I957" s="127"/>
      <c r="J957" s="127"/>
      <c r="K957" s="383"/>
      <c r="L957" s="374"/>
      <c r="M957" s="127"/>
      <c r="N957" s="127"/>
      <c r="O957" s="127"/>
      <c r="P957" s="383"/>
      <c r="Q957" s="164"/>
      <c r="R957" s="127"/>
      <c r="S957" s="127"/>
      <c r="T957" s="127"/>
      <c r="U957" s="131"/>
      <c r="V957" s="374"/>
      <c r="W957" s="127"/>
      <c r="X957" s="127"/>
      <c r="Y957" s="127"/>
      <c r="Z957" s="131"/>
      <c r="AA957" s="374"/>
      <c r="AB957" s="127"/>
      <c r="AC957" s="127"/>
      <c r="AD957" s="127"/>
      <c r="AE957" s="131"/>
      <c r="AF957" s="374"/>
      <c r="AG957" s="127"/>
      <c r="AH957" s="127"/>
      <c r="AI957" s="127"/>
      <c r="AJ957" s="131"/>
      <c r="AK957" s="374"/>
      <c r="AL957" s="127"/>
      <c r="AM957" s="127"/>
      <c r="AN957" s="127"/>
      <c r="AO957" s="359"/>
      <c r="AP957" s="359"/>
      <c r="AQ957" s="359"/>
      <c r="AR957" s="359"/>
      <c r="AS957" s="359"/>
    </row>
    <row r="958">
      <c r="A958" s="131"/>
      <c r="B958" s="374"/>
      <c r="C958" s="127"/>
      <c r="D958" s="127"/>
      <c r="E958" s="127"/>
      <c r="F958" s="131"/>
      <c r="G958" s="374"/>
      <c r="H958" s="127"/>
      <c r="I958" s="127"/>
      <c r="J958" s="127"/>
      <c r="K958" s="383"/>
      <c r="L958" s="374"/>
      <c r="M958" s="127"/>
      <c r="N958" s="127"/>
      <c r="O958" s="127"/>
      <c r="P958" s="383"/>
      <c r="Q958" s="164"/>
      <c r="R958" s="127"/>
      <c r="S958" s="127"/>
      <c r="T958" s="127"/>
      <c r="U958" s="131"/>
      <c r="V958" s="374"/>
      <c r="W958" s="127"/>
      <c r="X958" s="127"/>
      <c r="Y958" s="127"/>
      <c r="Z958" s="131"/>
      <c r="AA958" s="374"/>
      <c r="AB958" s="127"/>
      <c r="AC958" s="127"/>
      <c r="AD958" s="127"/>
      <c r="AE958" s="131"/>
      <c r="AF958" s="374"/>
      <c r="AG958" s="127"/>
      <c r="AH958" s="127"/>
      <c r="AI958" s="127"/>
      <c r="AJ958" s="131"/>
      <c r="AK958" s="374"/>
      <c r="AL958" s="127"/>
      <c r="AM958" s="127"/>
      <c r="AN958" s="127"/>
      <c r="AO958" s="359"/>
      <c r="AP958" s="359"/>
      <c r="AQ958" s="359"/>
      <c r="AR958" s="359"/>
      <c r="AS958" s="359"/>
    </row>
    <row r="959">
      <c r="A959" s="131"/>
      <c r="B959" s="374"/>
      <c r="C959" s="127"/>
      <c r="D959" s="127"/>
      <c r="E959" s="127"/>
      <c r="F959" s="131"/>
      <c r="G959" s="374"/>
      <c r="H959" s="127"/>
      <c r="I959" s="127"/>
      <c r="J959" s="127"/>
      <c r="K959" s="383"/>
      <c r="L959" s="374"/>
      <c r="M959" s="127"/>
      <c r="N959" s="127"/>
      <c r="O959" s="127"/>
      <c r="P959" s="383"/>
      <c r="Q959" s="164"/>
      <c r="R959" s="127"/>
      <c r="S959" s="127"/>
      <c r="T959" s="127"/>
      <c r="U959" s="131"/>
      <c r="V959" s="374"/>
      <c r="W959" s="127"/>
      <c r="X959" s="127"/>
      <c r="Y959" s="127"/>
      <c r="Z959" s="131"/>
      <c r="AA959" s="374"/>
      <c r="AB959" s="127"/>
      <c r="AC959" s="127"/>
      <c r="AD959" s="127"/>
      <c r="AE959" s="131"/>
      <c r="AF959" s="374"/>
      <c r="AG959" s="127"/>
      <c r="AH959" s="127"/>
      <c r="AI959" s="127"/>
      <c r="AJ959" s="131"/>
      <c r="AK959" s="374"/>
      <c r="AL959" s="127"/>
      <c r="AM959" s="127"/>
      <c r="AN959" s="127"/>
      <c r="AO959" s="359"/>
      <c r="AP959" s="359"/>
      <c r="AQ959" s="359"/>
      <c r="AR959" s="359"/>
      <c r="AS959" s="359"/>
    </row>
    <row r="960">
      <c r="A960" s="131"/>
      <c r="B960" s="374"/>
      <c r="C960" s="127"/>
      <c r="D960" s="127"/>
      <c r="E960" s="127"/>
      <c r="F960" s="131"/>
      <c r="G960" s="374"/>
      <c r="H960" s="127"/>
      <c r="I960" s="127"/>
      <c r="J960" s="127"/>
      <c r="K960" s="383"/>
      <c r="L960" s="374"/>
      <c r="M960" s="127"/>
      <c r="N960" s="127"/>
      <c r="O960" s="127"/>
      <c r="P960" s="383"/>
      <c r="Q960" s="164"/>
      <c r="R960" s="127"/>
      <c r="S960" s="127"/>
      <c r="T960" s="127"/>
      <c r="U960" s="131"/>
      <c r="V960" s="374"/>
      <c r="W960" s="127"/>
      <c r="X960" s="127"/>
      <c r="Y960" s="127"/>
      <c r="Z960" s="131"/>
      <c r="AA960" s="374"/>
      <c r="AB960" s="127"/>
      <c r="AC960" s="127"/>
      <c r="AD960" s="127"/>
      <c r="AE960" s="131"/>
      <c r="AF960" s="374"/>
      <c r="AG960" s="127"/>
      <c r="AH960" s="127"/>
      <c r="AI960" s="127"/>
      <c r="AJ960" s="131"/>
      <c r="AK960" s="374"/>
      <c r="AL960" s="127"/>
      <c r="AM960" s="127"/>
      <c r="AN960" s="127"/>
      <c r="AO960" s="359"/>
      <c r="AP960" s="359"/>
      <c r="AQ960" s="359"/>
      <c r="AR960" s="359"/>
      <c r="AS960" s="359"/>
    </row>
    <row r="961">
      <c r="A961" s="131"/>
      <c r="B961" s="374"/>
      <c r="C961" s="127"/>
      <c r="D961" s="127"/>
      <c r="E961" s="127"/>
      <c r="F961" s="131"/>
      <c r="G961" s="374"/>
      <c r="H961" s="127"/>
      <c r="I961" s="127"/>
      <c r="J961" s="127"/>
      <c r="K961" s="383"/>
      <c r="L961" s="374"/>
      <c r="M961" s="127"/>
      <c r="N961" s="127"/>
      <c r="O961" s="127"/>
      <c r="P961" s="383"/>
      <c r="Q961" s="164"/>
      <c r="R961" s="127"/>
      <c r="S961" s="127"/>
      <c r="T961" s="127"/>
      <c r="U961" s="131"/>
      <c r="V961" s="374"/>
      <c r="W961" s="127"/>
      <c r="X961" s="127"/>
      <c r="Y961" s="127"/>
      <c r="Z961" s="131"/>
      <c r="AA961" s="374"/>
      <c r="AB961" s="127"/>
      <c r="AC961" s="127"/>
      <c r="AD961" s="127"/>
      <c r="AE961" s="131"/>
      <c r="AF961" s="374"/>
      <c r="AG961" s="127"/>
      <c r="AH961" s="127"/>
      <c r="AI961" s="127"/>
      <c r="AJ961" s="131"/>
      <c r="AK961" s="374"/>
      <c r="AL961" s="127"/>
      <c r="AM961" s="127"/>
      <c r="AN961" s="127"/>
      <c r="AO961" s="359"/>
      <c r="AP961" s="359"/>
      <c r="AQ961" s="359"/>
      <c r="AR961" s="359"/>
      <c r="AS961" s="359"/>
    </row>
    <row r="962">
      <c r="A962" s="131"/>
      <c r="B962" s="374"/>
      <c r="C962" s="127"/>
      <c r="D962" s="127"/>
      <c r="E962" s="127"/>
      <c r="F962" s="131"/>
      <c r="G962" s="374"/>
      <c r="H962" s="127"/>
      <c r="I962" s="127"/>
      <c r="J962" s="127"/>
      <c r="K962" s="383"/>
      <c r="L962" s="374"/>
      <c r="M962" s="127"/>
      <c r="N962" s="127"/>
      <c r="O962" s="127"/>
      <c r="P962" s="383"/>
      <c r="Q962" s="164"/>
      <c r="R962" s="127"/>
      <c r="S962" s="127"/>
      <c r="T962" s="127"/>
      <c r="U962" s="131"/>
      <c r="V962" s="374"/>
      <c r="W962" s="127"/>
      <c r="X962" s="127"/>
      <c r="Y962" s="127"/>
      <c r="Z962" s="131"/>
      <c r="AA962" s="374"/>
      <c r="AB962" s="127"/>
      <c r="AC962" s="127"/>
      <c r="AD962" s="127"/>
      <c r="AE962" s="131"/>
      <c r="AF962" s="374"/>
      <c r="AG962" s="127"/>
      <c r="AH962" s="127"/>
      <c r="AI962" s="127"/>
      <c r="AJ962" s="131"/>
      <c r="AK962" s="374"/>
      <c r="AL962" s="127"/>
      <c r="AM962" s="127"/>
      <c r="AN962" s="127"/>
      <c r="AO962" s="359"/>
      <c r="AP962" s="359"/>
      <c r="AQ962" s="359"/>
      <c r="AR962" s="359"/>
      <c r="AS962" s="359"/>
    </row>
    <row r="963">
      <c r="A963" s="131"/>
      <c r="B963" s="374"/>
      <c r="C963" s="127"/>
      <c r="D963" s="127"/>
      <c r="E963" s="127"/>
      <c r="F963" s="131"/>
      <c r="G963" s="374"/>
      <c r="H963" s="127"/>
      <c r="I963" s="127"/>
      <c r="J963" s="127"/>
      <c r="K963" s="383"/>
      <c r="L963" s="374"/>
      <c r="M963" s="127"/>
      <c r="N963" s="127"/>
      <c r="O963" s="127"/>
      <c r="P963" s="383"/>
      <c r="Q963" s="164"/>
      <c r="R963" s="127"/>
      <c r="S963" s="127"/>
      <c r="T963" s="127"/>
      <c r="U963" s="131"/>
      <c r="V963" s="374"/>
      <c r="W963" s="127"/>
      <c r="X963" s="127"/>
      <c r="Y963" s="127"/>
      <c r="Z963" s="131"/>
      <c r="AA963" s="374"/>
      <c r="AB963" s="127"/>
      <c r="AC963" s="127"/>
      <c r="AD963" s="127"/>
      <c r="AE963" s="131"/>
      <c r="AF963" s="374"/>
      <c r="AG963" s="127"/>
      <c r="AH963" s="127"/>
      <c r="AI963" s="127"/>
      <c r="AJ963" s="131"/>
      <c r="AK963" s="374"/>
      <c r="AL963" s="127"/>
      <c r="AM963" s="127"/>
      <c r="AN963" s="127"/>
      <c r="AO963" s="359"/>
      <c r="AP963" s="359"/>
      <c r="AQ963" s="359"/>
      <c r="AR963" s="359"/>
      <c r="AS963" s="359"/>
    </row>
    <row r="964">
      <c r="A964" s="131"/>
      <c r="B964" s="374"/>
      <c r="C964" s="127"/>
      <c r="D964" s="127"/>
      <c r="E964" s="127"/>
      <c r="F964" s="131"/>
      <c r="G964" s="374"/>
      <c r="H964" s="127"/>
      <c r="I964" s="127"/>
      <c r="J964" s="127"/>
      <c r="K964" s="383"/>
      <c r="L964" s="374"/>
      <c r="M964" s="127"/>
      <c r="N964" s="127"/>
      <c r="O964" s="127"/>
      <c r="P964" s="383"/>
      <c r="Q964" s="164"/>
      <c r="R964" s="127"/>
      <c r="S964" s="127"/>
      <c r="T964" s="127"/>
      <c r="U964" s="131"/>
      <c r="V964" s="374"/>
      <c r="W964" s="127"/>
      <c r="X964" s="127"/>
      <c r="Y964" s="127"/>
      <c r="Z964" s="131"/>
      <c r="AA964" s="374"/>
      <c r="AB964" s="127"/>
      <c r="AC964" s="127"/>
      <c r="AD964" s="127"/>
      <c r="AE964" s="131"/>
      <c r="AF964" s="374"/>
      <c r="AG964" s="127"/>
      <c r="AH964" s="127"/>
      <c r="AI964" s="127"/>
      <c r="AJ964" s="131"/>
      <c r="AK964" s="374"/>
      <c r="AL964" s="127"/>
      <c r="AM964" s="127"/>
      <c r="AN964" s="127"/>
      <c r="AO964" s="359"/>
      <c r="AP964" s="359"/>
      <c r="AQ964" s="359"/>
      <c r="AR964" s="359"/>
      <c r="AS964" s="359"/>
    </row>
    <row r="965">
      <c r="A965" s="131"/>
      <c r="B965" s="374"/>
      <c r="C965" s="127"/>
      <c r="D965" s="127"/>
      <c r="E965" s="127"/>
      <c r="F965" s="131"/>
      <c r="G965" s="374"/>
      <c r="H965" s="127"/>
      <c r="I965" s="127"/>
      <c r="J965" s="127"/>
      <c r="K965" s="383"/>
      <c r="L965" s="374"/>
      <c r="M965" s="127"/>
      <c r="N965" s="127"/>
      <c r="O965" s="127"/>
      <c r="P965" s="383"/>
      <c r="Q965" s="164"/>
      <c r="R965" s="127"/>
      <c r="S965" s="127"/>
      <c r="T965" s="127"/>
      <c r="U965" s="131"/>
      <c r="V965" s="374"/>
      <c r="W965" s="127"/>
      <c r="X965" s="127"/>
      <c r="Y965" s="127"/>
      <c r="Z965" s="131"/>
      <c r="AA965" s="374"/>
      <c r="AB965" s="127"/>
      <c r="AC965" s="127"/>
      <c r="AD965" s="127"/>
      <c r="AE965" s="131"/>
      <c r="AF965" s="374"/>
      <c r="AG965" s="127"/>
      <c r="AH965" s="127"/>
      <c r="AI965" s="127"/>
      <c r="AJ965" s="131"/>
      <c r="AK965" s="374"/>
      <c r="AL965" s="127"/>
      <c r="AM965" s="127"/>
      <c r="AN965" s="127"/>
      <c r="AO965" s="359"/>
      <c r="AP965" s="359"/>
      <c r="AQ965" s="359"/>
      <c r="AR965" s="359"/>
      <c r="AS965" s="359"/>
    </row>
    <row r="966">
      <c r="A966" s="131"/>
      <c r="B966" s="374"/>
      <c r="C966" s="127"/>
      <c r="D966" s="127"/>
      <c r="E966" s="127"/>
      <c r="F966" s="131"/>
      <c r="G966" s="374"/>
      <c r="H966" s="127"/>
      <c r="I966" s="127"/>
      <c r="J966" s="127"/>
      <c r="K966" s="383"/>
      <c r="L966" s="374"/>
      <c r="M966" s="127"/>
      <c r="N966" s="127"/>
      <c r="O966" s="127"/>
      <c r="P966" s="383"/>
      <c r="Q966" s="164"/>
      <c r="R966" s="127"/>
      <c r="S966" s="127"/>
      <c r="T966" s="127"/>
      <c r="U966" s="131"/>
      <c r="V966" s="374"/>
      <c r="W966" s="127"/>
      <c r="X966" s="127"/>
      <c r="Y966" s="127"/>
      <c r="Z966" s="131"/>
      <c r="AA966" s="374"/>
      <c r="AB966" s="127"/>
      <c r="AC966" s="127"/>
      <c r="AD966" s="127"/>
      <c r="AE966" s="131"/>
      <c r="AF966" s="374"/>
      <c r="AG966" s="127"/>
      <c r="AH966" s="127"/>
      <c r="AI966" s="127"/>
      <c r="AJ966" s="131"/>
      <c r="AK966" s="374"/>
      <c r="AL966" s="127"/>
      <c r="AM966" s="127"/>
      <c r="AN966" s="127"/>
      <c r="AO966" s="359"/>
      <c r="AP966" s="359"/>
      <c r="AQ966" s="359"/>
      <c r="AR966" s="359"/>
      <c r="AS966" s="359"/>
    </row>
    <row r="967">
      <c r="A967" s="131"/>
      <c r="B967" s="374"/>
      <c r="C967" s="127"/>
      <c r="D967" s="127"/>
      <c r="E967" s="127"/>
      <c r="F967" s="131"/>
      <c r="G967" s="374"/>
      <c r="H967" s="127"/>
      <c r="I967" s="127"/>
      <c r="J967" s="127"/>
      <c r="K967" s="383"/>
      <c r="L967" s="374"/>
      <c r="M967" s="127"/>
      <c r="N967" s="127"/>
      <c r="O967" s="127"/>
      <c r="P967" s="383"/>
      <c r="Q967" s="164"/>
      <c r="R967" s="127"/>
      <c r="S967" s="127"/>
      <c r="T967" s="127"/>
      <c r="U967" s="131"/>
      <c r="V967" s="374"/>
      <c r="W967" s="127"/>
      <c r="X967" s="127"/>
      <c r="Y967" s="127"/>
      <c r="Z967" s="131"/>
      <c r="AA967" s="374"/>
      <c r="AB967" s="127"/>
      <c r="AC967" s="127"/>
      <c r="AD967" s="127"/>
      <c r="AE967" s="131"/>
      <c r="AF967" s="374"/>
      <c r="AG967" s="127"/>
      <c r="AH967" s="127"/>
      <c r="AI967" s="127"/>
      <c r="AJ967" s="131"/>
      <c r="AK967" s="374"/>
      <c r="AL967" s="127"/>
      <c r="AM967" s="127"/>
      <c r="AN967" s="127"/>
      <c r="AO967" s="359"/>
      <c r="AP967" s="359"/>
      <c r="AQ967" s="359"/>
      <c r="AR967" s="359"/>
      <c r="AS967" s="359"/>
    </row>
    <row r="968">
      <c r="A968" s="131"/>
      <c r="B968" s="374"/>
      <c r="C968" s="127"/>
      <c r="D968" s="127"/>
      <c r="E968" s="127"/>
      <c r="F968" s="131"/>
      <c r="G968" s="374"/>
      <c r="H968" s="127"/>
      <c r="I968" s="127"/>
      <c r="J968" s="127"/>
      <c r="K968" s="383"/>
      <c r="L968" s="374"/>
      <c r="M968" s="127"/>
      <c r="N968" s="127"/>
      <c r="O968" s="127"/>
      <c r="P968" s="383"/>
      <c r="Q968" s="164"/>
      <c r="R968" s="127"/>
      <c r="S968" s="127"/>
      <c r="T968" s="127"/>
      <c r="U968" s="131"/>
      <c r="V968" s="374"/>
      <c r="W968" s="127"/>
      <c r="X968" s="127"/>
      <c r="Y968" s="127"/>
      <c r="Z968" s="131"/>
      <c r="AA968" s="374"/>
      <c r="AB968" s="127"/>
      <c r="AC968" s="127"/>
      <c r="AD968" s="127"/>
      <c r="AE968" s="131"/>
      <c r="AF968" s="374"/>
      <c r="AG968" s="127"/>
      <c r="AH968" s="127"/>
      <c r="AI968" s="127"/>
      <c r="AJ968" s="131"/>
      <c r="AK968" s="374"/>
      <c r="AL968" s="127"/>
      <c r="AM968" s="127"/>
      <c r="AN968" s="127"/>
      <c r="AO968" s="359"/>
      <c r="AP968" s="359"/>
      <c r="AQ968" s="359"/>
      <c r="AR968" s="359"/>
      <c r="AS968" s="359"/>
    </row>
    <row r="969">
      <c r="A969" s="131"/>
      <c r="B969" s="374"/>
      <c r="C969" s="127"/>
      <c r="D969" s="127"/>
      <c r="E969" s="127"/>
      <c r="F969" s="131"/>
      <c r="G969" s="374"/>
      <c r="H969" s="127"/>
      <c r="I969" s="127"/>
      <c r="J969" s="127"/>
      <c r="K969" s="383"/>
      <c r="L969" s="374"/>
      <c r="M969" s="127"/>
      <c r="N969" s="127"/>
      <c r="O969" s="127"/>
      <c r="P969" s="383"/>
      <c r="Q969" s="164"/>
      <c r="R969" s="127"/>
      <c r="S969" s="127"/>
      <c r="T969" s="127"/>
      <c r="U969" s="131"/>
      <c r="V969" s="374"/>
      <c r="W969" s="127"/>
      <c r="X969" s="127"/>
      <c r="Y969" s="127"/>
      <c r="Z969" s="131"/>
      <c r="AA969" s="374"/>
      <c r="AB969" s="127"/>
      <c r="AC969" s="127"/>
      <c r="AD969" s="127"/>
      <c r="AE969" s="131"/>
      <c r="AF969" s="374"/>
      <c r="AG969" s="127"/>
      <c r="AH969" s="127"/>
      <c r="AI969" s="127"/>
      <c r="AJ969" s="131"/>
      <c r="AK969" s="374"/>
      <c r="AL969" s="127"/>
      <c r="AM969" s="127"/>
      <c r="AN969" s="127"/>
      <c r="AO969" s="359"/>
      <c r="AP969" s="359"/>
      <c r="AQ969" s="359"/>
      <c r="AR969" s="359"/>
      <c r="AS969" s="359"/>
    </row>
    <row r="970">
      <c r="A970" s="131"/>
      <c r="B970" s="374"/>
      <c r="C970" s="127"/>
      <c r="D970" s="127"/>
      <c r="E970" s="127"/>
      <c r="F970" s="131"/>
      <c r="G970" s="374"/>
      <c r="H970" s="127"/>
      <c r="I970" s="127"/>
      <c r="J970" s="127"/>
      <c r="K970" s="383"/>
      <c r="L970" s="374"/>
      <c r="M970" s="127"/>
      <c r="N970" s="127"/>
      <c r="O970" s="127"/>
      <c r="P970" s="383"/>
      <c r="Q970" s="164"/>
      <c r="R970" s="127"/>
      <c r="S970" s="127"/>
      <c r="T970" s="127"/>
      <c r="U970" s="131"/>
      <c r="V970" s="374"/>
      <c r="W970" s="127"/>
      <c r="X970" s="127"/>
      <c r="Y970" s="127"/>
      <c r="Z970" s="131"/>
      <c r="AA970" s="374"/>
      <c r="AB970" s="127"/>
      <c r="AC970" s="127"/>
      <c r="AD970" s="127"/>
      <c r="AE970" s="131"/>
      <c r="AF970" s="374"/>
      <c r="AG970" s="127"/>
      <c r="AH970" s="127"/>
      <c r="AI970" s="127"/>
      <c r="AJ970" s="131"/>
      <c r="AK970" s="374"/>
      <c r="AL970" s="127"/>
      <c r="AM970" s="127"/>
      <c r="AN970" s="127"/>
      <c r="AO970" s="359"/>
      <c r="AP970" s="359"/>
      <c r="AQ970" s="359"/>
      <c r="AR970" s="359"/>
      <c r="AS970" s="359"/>
    </row>
    <row r="971">
      <c r="A971" s="131"/>
      <c r="B971" s="374"/>
      <c r="C971" s="127"/>
      <c r="D971" s="127"/>
      <c r="E971" s="127"/>
      <c r="F971" s="131"/>
      <c r="G971" s="374"/>
      <c r="H971" s="127"/>
      <c r="I971" s="127"/>
      <c r="J971" s="127"/>
      <c r="K971" s="383"/>
      <c r="L971" s="374"/>
      <c r="M971" s="127"/>
      <c r="N971" s="127"/>
      <c r="O971" s="127"/>
      <c r="P971" s="383"/>
      <c r="Q971" s="164"/>
      <c r="R971" s="127"/>
      <c r="S971" s="127"/>
      <c r="T971" s="127"/>
      <c r="U971" s="131"/>
      <c r="V971" s="374"/>
      <c r="W971" s="127"/>
      <c r="X971" s="127"/>
      <c r="Y971" s="127"/>
      <c r="Z971" s="131"/>
      <c r="AA971" s="374"/>
      <c r="AB971" s="127"/>
      <c r="AC971" s="127"/>
      <c r="AD971" s="127"/>
      <c r="AE971" s="131"/>
      <c r="AF971" s="374"/>
      <c r="AG971" s="127"/>
      <c r="AH971" s="127"/>
      <c r="AI971" s="127"/>
      <c r="AJ971" s="131"/>
      <c r="AK971" s="374"/>
      <c r="AL971" s="127"/>
      <c r="AM971" s="127"/>
      <c r="AN971" s="127"/>
      <c r="AO971" s="359"/>
      <c r="AP971" s="359"/>
      <c r="AQ971" s="359"/>
      <c r="AR971" s="359"/>
      <c r="AS971" s="359"/>
    </row>
    <row r="972">
      <c r="A972" s="131"/>
      <c r="B972" s="374"/>
      <c r="C972" s="127"/>
      <c r="D972" s="127"/>
      <c r="E972" s="127"/>
      <c r="F972" s="131"/>
      <c r="G972" s="374"/>
      <c r="H972" s="127"/>
      <c r="I972" s="127"/>
      <c r="J972" s="127"/>
      <c r="K972" s="383"/>
      <c r="L972" s="374"/>
      <c r="M972" s="127"/>
      <c r="N972" s="127"/>
      <c r="O972" s="127"/>
      <c r="P972" s="383"/>
      <c r="Q972" s="164"/>
      <c r="R972" s="127"/>
      <c r="S972" s="127"/>
      <c r="T972" s="127"/>
      <c r="U972" s="131"/>
      <c r="V972" s="374"/>
      <c r="W972" s="127"/>
      <c r="X972" s="127"/>
      <c r="Y972" s="127"/>
      <c r="Z972" s="131"/>
      <c r="AA972" s="374"/>
      <c r="AB972" s="127"/>
      <c r="AC972" s="127"/>
      <c r="AD972" s="127"/>
      <c r="AE972" s="131"/>
      <c r="AF972" s="374"/>
      <c r="AG972" s="127"/>
      <c r="AH972" s="127"/>
      <c r="AI972" s="127"/>
      <c r="AJ972" s="131"/>
      <c r="AK972" s="374"/>
      <c r="AL972" s="127"/>
      <c r="AM972" s="127"/>
      <c r="AN972" s="127"/>
      <c r="AO972" s="359"/>
      <c r="AP972" s="359"/>
      <c r="AQ972" s="359"/>
      <c r="AR972" s="359"/>
      <c r="AS972" s="359"/>
    </row>
    <row r="973">
      <c r="A973" s="131"/>
      <c r="B973" s="374"/>
      <c r="C973" s="127"/>
      <c r="D973" s="127"/>
      <c r="E973" s="127"/>
      <c r="F973" s="131"/>
      <c r="G973" s="374"/>
      <c r="H973" s="127"/>
      <c r="I973" s="127"/>
      <c r="J973" s="127"/>
      <c r="K973" s="383"/>
      <c r="L973" s="374"/>
      <c r="M973" s="127"/>
      <c r="N973" s="127"/>
      <c r="O973" s="127"/>
      <c r="P973" s="383"/>
      <c r="Q973" s="164"/>
      <c r="R973" s="127"/>
      <c r="S973" s="127"/>
      <c r="T973" s="127"/>
      <c r="U973" s="131"/>
      <c r="V973" s="374"/>
      <c r="W973" s="127"/>
      <c r="X973" s="127"/>
      <c r="Y973" s="127"/>
      <c r="Z973" s="131"/>
      <c r="AA973" s="374"/>
      <c r="AB973" s="127"/>
      <c r="AC973" s="127"/>
      <c r="AD973" s="127"/>
      <c r="AE973" s="131"/>
      <c r="AF973" s="374"/>
      <c r="AG973" s="127"/>
      <c r="AH973" s="127"/>
      <c r="AI973" s="127"/>
      <c r="AJ973" s="131"/>
      <c r="AK973" s="374"/>
      <c r="AL973" s="127"/>
      <c r="AM973" s="127"/>
      <c r="AN973" s="127"/>
      <c r="AO973" s="359"/>
      <c r="AP973" s="359"/>
      <c r="AQ973" s="359"/>
      <c r="AR973" s="359"/>
      <c r="AS973" s="359"/>
    </row>
    <row r="974">
      <c r="A974" s="131"/>
      <c r="B974" s="374"/>
      <c r="C974" s="127"/>
      <c r="D974" s="127"/>
      <c r="E974" s="127"/>
      <c r="F974" s="131"/>
      <c r="G974" s="374"/>
      <c r="H974" s="127"/>
      <c r="I974" s="127"/>
      <c r="J974" s="127"/>
      <c r="K974" s="383"/>
      <c r="L974" s="374"/>
      <c r="M974" s="127"/>
      <c r="N974" s="127"/>
      <c r="O974" s="127"/>
      <c r="P974" s="383"/>
      <c r="Q974" s="164"/>
      <c r="R974" s="127"/>
      <c r="S974" s="127"/>
      <c r="T974" s="127"/>
      <c r="U974" s="131"/>
      <c r="V974" s="374"/>
      <c r="W974" s="127"/>
      <c r="X974" s="127"/>
      <c r="Y974" s="127"/>
      <c r="Z974" s="131"/>
      <c r="AA974" s="374"/>
      <c r="AB974" s="127"/>
      <c r="AC974" s="127"/>
      <c r="AD974" s="127"/>
      <c r="AE974" s="131"/>
      <c r="AF974" s="374"/>
      <c r="AG974" s="127"/>
      <c r="AH974" s="127"/>
      <c r="AI974" s="127"/>
      <c r="AJ974" s="131"/>
      <c r="AK974" s="374"/>
      <c r="AL974" s="127"/>
      <c r="AM974" s="127"/>
      <c r="AN974" s="127"/>
      <c r="AO974" s="359"/>
      <c r="AP974" s="359"/>
      <c r="AQ974" s="359"/>
      <c r="AR974" s="359"/>
      <c r="AS974" s="359"/>
    </row>
    <row r="975">
      <c r="A975" s="131"/>
      <c r="B975" s="374"/>
      <c r="C975" s="127"/>
      <c r="D975" s="127"/>
      <c r="E975" s="127"/>
      <c r="F975" s="131"/>
      <c r="G975" s="374"/>
      <c r="H975" s="127"/>
      <c r="I975" s="127"/>
      <c r="J975" s="127"/>
      <c r="K975" s="383"/>
      <c r="L975" s="374"/>
      <c r="M975" s="127"/>
      <c r="N975" s="127"/>
      <c r="O975" s="127"/>
      <c r="P975" s="383"/>
      <c r="Q975" s="164"/>
      <c r="R975" s="127"/>
      <c r="S975" s="127"/>
      <c r="T975" s="127"/>
      <c r="U975" s="131"/>
      <c r="V975" s="374"/>
      <c r="W975" s="127"/>
      <c r="X975" s="127"/>
      <c r="Y975" s="127"/>
      <c r="Z975" s="131"/>
      <c r="AA975" s="374"/>
      <c r="AB975" s="127"/>
      <c r="AC975" s="127"/>
      <c r="AD975" s="127"/>
      <c r="AE975" s="131"/>
      <c r="AF975" s="374"/>
      <c r="AG975" s="127"/>
      <c r="AH975" s="127"/>
      <c r="AI975" s="127"/>
      <c r="AJ975" s="131"/>
      <c r="AK975" s="374"/>
      <c r="AL975" s="127"/>
      <c r="AM975" s="127"/>
      <c r="AN975" s="127"/>
      <c r="AO975" s="359"/>
      <c r="AP975" s="359"/>
      <c r="AQ975" s="359"/>
      <c r="AR975" s="359"/>
      <c r="AS975" s="359"/>
    </row>
    <row r="976">
      <c r="A976" s="131"/>
      <c r="B976" s="374"/>
      <c r="C976" s="127"/>
      <c r="D976" s="127"/>
      <c r="E976" s="127"/>
      <c r="F976" s="131"/>
      <c r="G976" s="374"/>
      <c r="H976" s="127"/>
      <c r="I976" s="127"/>
      <c r="J976" s="127"/>
      <c r="K976" s="383"/>
      <c r="L976" s="374"/>
      <c r="M976" s="127"/>
      <c r="N976" s="127"/>
      <c r="O976" s="127"/>
      <c r="P976" s="383"/>
      <c r="Q976" s="164"/>
      <c r="R976" s="127"/>
      <c r="S976" s="127"/>
      <c r="T976" s="127"/>
      <c r="U976" s="131"/>
      <c r="V976" s="374"/>
      <c r="W976" s="127"/>
      <c r="X976" s="127"/>
      <c r="Y976" s="127"/>
      <c r="Z976" s="131"/>
      <c r="AA976" s="374"/>
      <c r="AB976" s="127"/>
      <c r="AC976" s="127"/>
      <c r="AD976" s="127"/>
      <c r="AE976" s="131"/>
      <c r="AF976" s="374"/>
      <c r="AG976" s="127"/>
      <c r="AH976" s="127"/>
      <c r="AI976" s="127"/>
      <c r="AJ976" s="131"/>
      <c r="AK976" s="374"/>
      <c r="AL976" s="127"/>
      <c r="AM976" s="127"/>
      <c r="AN976" s="127"/>
      <c r="AO976" s="359"/>
      <c r="AP976" s="359"/>
      <c r="AQ976" s="359"/>
      <c r="AR976" s="359"/>
      <c r="AS976" s="359"/>
    </row>
    <row r="977">
      <c r="A977" s="131"/>
      <c r="B977" s="374"/>
      <c r="C977" s="127"/>
      <c r="D977" s="127"/>
      <c r="E977" s="127"/>
      <c r="F977" s="131"/>
      <c r="G977" s="374"/>
      <c r="H977" s="127"/>
      <c r="I977" s="127"/>
      <c r="J977" s="127"/>
      <c r="K977" s="383"/>
      <c r="L977" s="374"/>
      <c r="M977" s="127"/>
      <c r="N977" s="127"/>
      <c r="O977" s="127"/>
      <c r="P977" s="383"/>
      <c r="Q977" s="164"/>
      <c r="R977" s="127"/>
      <c r="S977" s="127"/>
      <c r="T977" s="127"/>
      <c r="U977" s="131"/>
      <c r="V977" s="374"/>
      <c r="W977" s="127"/>
      <c r="X977" s="127"/>
      <c r="Y977" s="127"/>
      <c r="Z977" s="131"/>
      <c r="AA977" s="374"/>
      <c r="AB977" s="127"/>
      <c r="AC977" s="127"/>
      <c r="AD977" s="127"/>
      <c r="AE977" s="131"/>
      <c r="AF977" s="374"/>
      <c r="AG977" s="127"/>
      <c r="AH977" s="127"/>
      <c r="AI977" s="127"/>
      <c r="AJ977" s="131"/>
      <c r="AK977" s="374"/>
      <c r="AL977" s="127"/>
      <c r="AM977" s="127"/>
      <c r="AN977" s="127"/>
      <c r="AO977" s="359"/>
      <c r="AP977" s="359"/>
      <c r="AQ977" s="359"/>
      <c r="AR977" s="359"/>
      <c r="AS977" s="359"/>
    </row>
    <row r="978">
      <c r="A978" s="131"/>
      <c r="B978" s="374"/>
      <c r="C978" s="127"/>
      <c r="D978" s="127"/>
      <c r="E978" s="127"/>
      <c r="F978" s="131"/>
      <c r="G978" s="374"/>
      <c r="H978" s="127"/>
      <c r="I978" s="127"/>
      <c r="J978" s="127"/>
      <c r="K978" s="383"/>
      <c r="L978" s="374"/>
      <c r="M978" s="127"/>
      <c r="N978" s="127"/>
      <c r="O978" s="127"/>
      <c r="P978" s="383"/>
      <c r="Q978" s="164"/>
      <c r="R978" s="127"/>
      <c r="S978" s="127"/>
      <c r="T978" s="127"/>
      <c r="U978" s="131"/>
      <c r="V978" s="374"/>
      <c r="W978" s="127"/>
      <c r="X978" s="127"/>
      <c r="Y978" s="127"/>
      <c r="Z978" s="131"/>
      <c r="AA978" s="374"/>
      <c r="AB978" s="127"/>
      <c r="AC978" s="127"/>
      <c r="AD978" s="127"/>
      <c r="AE978" s="131"/>
      <c r="AF978" s="374"/>
      <c r="AG978" s="127"/>
      <c r="AH978" s="127"/>
      <c r="AI978" s="127"/>
      <c r="AJ978" s="131"/>
      <c r="AK978" s="374"/>
      <c r="AL978" s="127"/>
      <c r="AM978" s="127"/>
      <c r="AN978" s="127"/>
      <c r="AO978" s="359"/>
      <c r="AP978" s="359"/>
      <c r="AQ978" s="359"/>
      <c r="AR978" s="359"/>
      <c r="AS978" s="359"/>
    </row>
    <row r="979">
      <c r="A979" s="131"/>
      <c r="B979" s="374"/>
      <c r="C979" s="127"/>
      <c r="D979" s="127"/>
      <c r="E979" s="127"/>
      <c r="F979" s="131"/>
      <c r="G979" s="374"/>
      <c r="H979" s="127"/>
      <c r="I979" s="127"/>
      <c r="J979" s="127"/>
      <c r="K979" s="383"/>
      <c r="L979" s="374"/>
      <c r="M979" s="127"/>
      <c r="N979" s="127"/>
      <c r="O979" s="127"/>
      <c r="P979" s="383"/>
      <c r="Q979" s="164"/>
      <c r="R979" s="127"/>
      <c r="S979" s="127"/>
      <c r="T979" s="127"/>
      <c r="U979" s="131"/>
      <c r="V979" s="374"/>
      <c r="W979" s="127"/>
      <c r="X979" s="127"/>
      <c r="Y979" s="127"/>
      <c r="Z979" s="131"/>
      <c r="AA979" s="374"/>
      <c r="AB979" s="127"/>
      <c r="AC979" s="127"/>
      <c r="AD979" s="127"/>
      <c r="AE979" s="131"/>
      <c r="AF979" s="374"/>
      <c r="AG979" s="127"/>
      <c r="AH979" s="127"/>
      <c r="AI979" s="127"/>
      <c r="AJ979" s="131"/>
      <c r="AK979" s="374"/>
      <c r="AL979" s="127"/>
      <c r="AM979" s="127"/>
      <c r="AN979" s="127"/>
      <c r="AO979" s="359"/>
      <c r="AP979" s="359"/>
      <c r="AQ979" s="359"/>
      <c r="AR979" s="359"/>
      <c r="AS979" s="359"/>
    </row>
    <row r="980">
      <c r="A980" s="131"/>
      <c r="B980" s="374"/>
      <c r="C980" s="127"/>
      <c r="D980" s="127"/>
      <c r="E980" s="127"/>
      <c r="F980" s="131"/>
      <c r="G980" s="374"/>
      <c r="H980" s="127"/>
      <c r="I980" s="127"/>
      <c r="J980" s="127"/>
      <c r="K980" s="383"/>
      <c r="L980" s="374"/>
      <c r="M980" s="127"/>
      <c r="N980" s="127"/>
      <c r="O980" s="127"/>
      <c r="P980" s="383"/>
      <c r="Q980" s="164"/>
      <c r="R980" s="127"/>
      <c r="S980" s="127"/>
      <c r="T980" s="127"/>
      <c r="U980" s="131"/>
      <c r="V980" s="374"/>
      <c r="W980" s="127"/>
      <c r="X980" s="127"/>
      <c r="Y980" s="127"/>
      <c r="Z980" s="131"/>
      <c r="AA980" s="374"/>
      <c r="AB980" s="127"/>
      <c r="AC980" s="127"/>
      <c r="AD980" s="127"/>
      <c r="AE980" s="131"/>
      <c r="AF980" s="374"/>
      <c r="AG980" s="127"/>
      <c r="AH980" s="127"/>
      <c r="AI980" s="127"/>
      <c r="AJ980" s="131"/>
      <c r="AK980" s="374"/>
      <c r="AL980" s="127"/>
      <c r="AM980" s="127"/>
      <c r="AN980" s="127"/>
      <c r="AO980" s="359"/>
      <c r="AP980" s="359"/>
      <c r="AQ980" s="359"/>
      <c r="AR980" s="359"/>
      <c r="AS980" s="359"/>
    </row>
    <row r="981">
      <c r="A981" s="131"/>
      <c r="B981" s="374"/>
      <c r="C981" s="127"/>
      <c r="D981" s="127"/>
      <c r="E981" s="127"/>
      <c r="F981" s="131"/>
      <c r="G981" s="374"/>
      <c r="H981" s="127"/>
      <c r="I981" s="127"/>
      <c r="J981" s="127"/>
      <c r="K981" s="383"/>
      <c r="L981" s="374"/>
      <c r="M981" s="127"/>
      <c r="N981" s="127"/>
      <c r="O981" s="127"/>
      <c r="P981" s="383"/>
      <c r="Q981" s="164"/>
      <c r="R981" s="127"/>
      <c r="S981" s="127"/>
      <c r="T981" s="127"/>
      <c r="U981" s="131"/>
      <c r="V981" s="374"/>
      <c r="W981" s="127"/>
      <c r="X981" s="127"/>
      <c r="Y981" s="127"/>
      <c r="Z981" s="131"/>
      <c r="AA981" s="374"/>
      <c r="AB981" s="127"/>
      <c r="AC981" s="127"/>
      <c r="AD981" s="127"/>
      <c r="AE981" s="131"/>
      <c r="AF981" s="374"/>
      <c r="AG981" s="127"/>
      <c r="AH981" s="127"/>
      <c r="AI981" s="127"/>
      <c r="AJ981" s="131"/>
      <c r="AK981" s="374"/>
      <c r="AL981" s="127"/>
      <c r="AM981" s="127"/>
      <c r="AN981" s="127"/>
      <c r="AO981" s="359"/>
      <c r="AP981" s="359"/>
      <c r="AQ981" s="359"/>
      <c r="AR981" s="359"/>
      <c r="AS981" s="359"/>
    </row>
    <row r="982">
      <c r="A982" s="131"/>
      <c r="B982" s="374"/>
      <c r="C982" s="127"/>
      <c r="D982" s="127"/>
      <c r="E982" s="127"/>
      <c r="F982" s="131"/>
      <c r="G982" s="374"/>
      <c r="H982" s="127"/>
      <c r="I982" s="127"/>
      <c r="J982" s="127"/>
      <c r="K982" s="383"/>
      <c r="L982" s="374"/>
      <c r="M982" s="127"/>
      <c r="N982" s="127"/>
      <c r="O982" s="127"/>
      <c r="P982" s="383"/>
      <c r="Q982" s="164"/>
      <c r="R982" s="127"/>
      <c r="S982" s="127"/>
      <c r="T982" s="127"/>
      <c r="U982" s="131"/>
      <c r="V982" s="374"/>
      <c r="W982" s="127"/>
      <c r="X982" s="127"/>
      <c r="Y982" s="127"/>
      <c r="Z982" s="131"/>
      <c r="AA982" s="374"/>
      <c r="AB982" s="127"/>
      <c r="AC982" s="127"/>
      <c r="AD982" s="127"/>
      <c r="AE982" s="131"/>
      <c r="AF982" s="374"/>
      <c r="AG982" s="127"/>
      <c r="AH982" s="127"/>
      <c r="AI982" s="127"/>
      <c r="AJ982" s="131"/>
      <c r="AK982" s="374"/>
      <c r="AL982" s="127"/>
      <c r="AM982" s="127"/>
      <c r="AN982" s="127"/>
      <c r="AO982" s="359"/>
      <c r="AP982" s="359"/>
      <c r="AQ982" s="359"/>
      <c r="AR982" s="359"/>
      <c r="AS982" s="359"/>
    </row>
    <row r="983">
      <c r="A983" s="131"/>
      <c r="B983" s="374"/>
      <c r="C983" s="127"/>
      <c r="D983" s="127"/>
      <c r="E983" s="127"/>
      <c r="F983" s="131"/>
      <c r="G983" s="374"/>
      <c r="H983" s="127"/>
      <c r="I983" s="127"/>
      <c r="J983" s="127"/>
      <c r="K983" s="383"/>
      <c r="L983" s="374"/>
      <c r="M983" s="127"/>
      <c r="N983" s="127"/>
      <c r="O983" s="127"/>
      <c r="P983" s="383"/>
      <c r="Q983" s="164"/>
      <c r="R983" s="127"/>
      <c r="S983" s="127"/>
      <c r="T983" s="127"/>
      <c r="U983" s="131"/>
      <c r="V983" s="374"/>
      <c r="W983" s="127"/>
      <c r="X983" s="127"/>
      <c r="Y983" s="127"/>
      <c r="Z983" s="131"/>
      <c r="AA983" s="374"/>
      <c r="AB983" s="127"/>
      <c r="AC983" s="127"/>
      <c r="AD983" s="127"/>
      <c r="AE983" s="131"/>
      <c r="AF983" s="374"/>
      <c r="AG983" s="127"/>
      <c r="AH983" s="127"/>
      <c r="AI983" s="127"/>
      <c r="AJ983" s="131"/>
      <c r="AK983" s="374"/>
      <c r="AL983" s="127"/>
      <c r="AM983" s="127"/>
      <c r="AN983" s="127"/>
      <c r="AO983" s="359"/>
      <c r="AP983" s="359"/>
      <c r="AQ983" s="359"/>
      <c r="AR983" s="359"/>
      <c r="AS983" s="359"/>
    </row>
    <row r="984">
      <c r="A984" s="131"/>
      <c r="B984" s="374"/>
      <c r="C984" s="127"/>
      <c r="D984" s="127"/>
      <c r="E984" s="127"/>
      <c r="F984" s="131"/>
      <c r="G984" s="374"/>
      <c r="H984" s="127"/>
      <c r="I984" s="127"/>
      <c r="J984" s="127"/>
      <c r="K984" s="383"/>
      <c r="L984" s="374"/>
      <c r="M984" s="127"/>
      <c r="N984" s="127"/>
      <c r="O984" s="127"/>
      <c r="P984" s="383"/>
      <c r="Q984" s="164"/>
      <c r="R984" s="127"/>
      <c r="S984" s="127"/>
      <c r="T984" s="127"/>
      <c r="U984" s="131"/>
      <c r="V984" s="374"/>
      <c r="W984" s="127"/>
      <c r="X984" s="127"/>
      <c r="Y984" s="127"/>
      <c r="Z984" s="131"/>
      <c r="AA984" s="374"/>
      <c r="AB984" s="127"/>
      <c r="AC984" s="127"/>
      <c r="AD984" s="127"/>
      <c r="AE984" s="131"/>
      <c r="AF984" s="374"/>
      <c r="AG984" s="127"/>
      <c r="AH984" s="127"/>
      <c r="AI984" s="127"/>
      <c r="AJ984" s="131"/>
      <c r="AK984" s="374"/>
      <c r="AL984" s="127"/>
      <c r="AM984" s="127"/>
      <c r="AN984" s="127"/>
      <c r="AO984" s="359"/>
      <c r="AP984" s="359"/>
      <c r="AQ984" s="359"/>
      <c r="AR984" s="359"/>
      <c r="AS984" s="359"/>
    </row>
    <row r="985">
      <c r="A985" s="131"/>
      <c r="B985" s="374"/>
      <c r="C985" s="127"/>
      <c r="D985" s="127"/>
      <c r="E985" s="127"/>
      <c r="F985" s="131"/>
      <c r="G985" s="374"/>
      <c r="H985" s="127"/>
      <c r="I985" s="127"/>
      <c r="J985" s="127"/>
      <c r="K985" s="383"/>
      <c r="L985" s="374"/>
      <c r="M985" s="127"/>
      <c r="N985" s="127"/>
      <c r="O985" s="127"/>
      <c r="P985" s="383"/>
      <c r="Q985" s="164"/>
      <c r="R985" s="127"/>
      <c r="S985" s="127"/>
      <c r="T985" s="127"/>
      <c r="U985" s="131"/>
      <c r="V985" s="374"/>
      <c r="W985" s="127"/>
      <c r="X985" s="127"/>
      <c r="Y985" s="127"/>
      <c r="Z985" s="131"/>
      <c r="AA985" s="374"/>
      <c r="AB985" s="127"/>
      <c r="AC985" s="127"/>
      <c r="AD985" s="127"/>
      <c r="AE985" s="131"/>
      <c r="AF985" s="374"/>
      <c r="AG985" s="127"/>
      <c r="AH985" s="127"/>
      <c r="AI985" s="127"/>
      <c r="AJ985" s="131"/>
      <c r="AK985" s="374"/>
      <c r="AL985" s="127"/>
      <c r="AM985" s="127"/>
      <c r="AN985" s="127"/>
      <c r="AO985" s="359"/>
      <c r="AP985" s="359"/>
      <c r="AQ985" s="359"/>
      <c r="AR985" s="359"/>
      <c r="AS985" s="359"/>
    </row>
    <row r="986">
      <c r="A986" s="131"/>
      <c r="B986" s="374"/>
      <c r="C986" s="127"/>
      <c r="D986" s="127"/>
      <c r="E986" s="127"/>
      <c r="F986" s="131"/>
      <c r="G986" s="374"/>
      <c r="H986" s="127"/>
      <c r="I986" s="127"/>
      <c r="J986" s="127"/>
      <c r="K986" s="383"/>
      <c r="L986" s="374"/>
      <c r="M986" s="127"/>
      <c r="N986" s="127"/>
      <c r="O986" s="127"/>
      <c r="P986" s="383"/>
      <c r="Q986" s="164"/>
      <c r="R986" s="127"/>
      <c r="S986" s="127"/>
      <c r="T986" s="127"/>
      <c r="U986" s="131"/>
      <c r="V986" s="374"/>
      <c r="W986" s="127"/>
      <c r="X986" s="127"/>
      <c r="Y986" s="127"/>
      <c r="Z986" s="131"/>
      <c r="AA986" s="374"/>
      <c r="AB986" s="127"/>
      <c r="AC986" s="127"/>
      <c r="AD986" s="127"/>
      <c r="AE986" s="131"/>
      <c r="AF986" s="374"/>
      <c r="AG986" s="127"/>
      <c r="AH986" s="127"/>
      <c r="AI986" s="127"/>
      <c r="AJ986" s="131"/>
      <c r="AK986" s="374"/>
      <c r="AL986" s="127"/>
      <c r="AM986" s="127"/>
      <c r="AN986" s="127"/>
      <c r="AO986" s="359"/>
      <c r="AP986" s="359"/>
      <c r="AQ986" s="359"/>
      <c r="AR986" s="359"/>
      <c r="AS986" s="359"/>
    </row>
    <row r="987">
      <c r="A987" s="131"/>
      <c r="B987" s="374"/>
      <c r="C987" s="127"/>
      <c r="D987" s="127"/>
      <c r="E987" s="127"/>
      <c r="F987" s="131"/>
      <c r="G987" s="374"/>
      <c r="H987" s="127"/>
      <c r="I987" s="127"/>
      <c r="J987" s="127"/>
      <c r="K987" s="383"/>
      <c r="L987" s="374"/>
      <c r="M987" s="127"/>
      <c r="N987" s="127"/>
      <c r="O987" s="127"/>
      <c r="P987" s="383"/>
      <c r="Q987" s="164"/>
      <c r="R987" s="127"/>
      <c r="S987" s="127"/>
      <c r="T987" s="127"/>
      <c r="U987" s="131"/>
      <c r="V987" s="374"/>
      <c r="W987" s="127"/>
      <c r="X987" s="127"/>
      <c r="Y987" s="127"/>
      <c r="Z987" s="131"/>
      <c r="AA987" s="374"/>
      <c r="AB987" s="127"/>
      <c r="AC987" s="127"/>
      <c r="AD987" s="127"/>
      <c r="AE987" s="131"/>
      <c r="AF987" s="374"/>
      <c r="AG987" s="127"/>
      <c r="AH987" s="127"/>
      <c r="AI987" s="127"/>
      <c r="AJ987" s="131"/>
      <c r="AK987" s="374"/>
      <c r="AL987" s="127"/>
      <c r="AM987" s="127"/>
      <c r="AN987" s="127"/>
      <c r="AO987" s="359"/>
      <c r="AP987" s="359"/>
      <c r="AQ987" s="359"/>
      <c r="AR987" s="359"/>
      <c r="AS987" s="359"/>
    </row>
    <row r="988">
      <c r="A988" s="131"/>
      <c r="B988" s="374"/>
      <c r="C988" s="127"/>
      <c r="D988" s="127"/>
      <c r="E988" s="127"/>
      <c r="F988" s="131"/>
      <c r="G988" s="374"/>
      <c r="H988" s="127"/>
      <c r="I988" s="127"/>
      <c r="J988" s="127"/>
      <c r="K988" s="383"/>
      <c r="L988" s="374"/>
      <c r="M988" s="127"/>
      <c r="N988" s="127"/>
      <c r="O988" s="127"/>
      <c r="P988" s="383"/>
      <c r="Q988" s="164"/>
      <c r="R988" s="127"/>
      <c r="S988" s="127"/>
      <c r="T988" s="127"/>
      <c r="U988" s="131"/>
      <c r="V988" s="374"/>
      <c r="W988" s="127"/>
      <c r="X988" s="127"/>
      <c r="Y988" s="127"/>
      <c r="Z988" s="131"/>
      <c r="AA988" s="374"/>
      <c r="AB988" s="127"/>
      <c r="AC988" s="127"/>
      <c r="AD988" s="127"/>
      <c r="AE988" s="131"/>
      <c r="AF988" s="374"/>
      <c r="AG988" s="127"/>
      <c r="AH988" s="127"/>
      <c r="AI988" s="127"/>
      <c r="AJ988" s="131"/>
      <c r="AK988" s="374"/>
      <c r="AL988" s="127"/>
      <c r="AM988" s="127"/>
      <c r="AN988" s="127"/>
      <c r="AO988" s="359"/>
      <c r="AP988" s="359"/>
      <c r="AQ988" s="359"/>
      <c r="AR988" s="359"/>
      <c r="AS988" s="359"/>
    </row>
    <row r="989">
      <c r="A989" s="131"/>
      <c r="B989" s="374"/>
      <c r="C989" s="127"/>
      <c r="D989" s="127"/>
      <c r="E989" s="127"/>
      <c r="F989" s="131"/>
      <c r="G989" s="374"/>
      <c r="H989" s="127"/>
      <c r="I989" s="127"/>
      <c r="J989" s="127"/>
      <c r="K989" s="383"/>
      <c r="L989" s="374"/>
      <c r="M989" s="127"/>
      <c r="N989" s="127"/>
      <c r="O989" s="127"/>
      <c r="P989" s="383"/>
      <c r="Q989" s="164"/>
      <c r="R989" s="127"/>
      <c r="S989" s="127"/>
      <c r="T989" s="127"/>
      <c r="U989" s="131"/>
      <c r="V989" s="374"/>
      <c r="W989" s="127"/>
      <c r="X989" s="127"/>
      <c r="Y989" s="127"/>
      <c r="Z989" s="131"/>
      <c r="AA989" s="374"/>
      <c r="AB989" s="127"/>
      <c r="AC989" s="127"/>
      <c r="AD989" s="127"/>
      <c r="AE989" s="131"/>
      <c r="AF989" s="374"/>
      <c r="AG989" s="127"/>
      <c r="AH989" s="127"/>
      <c r="AI989" s="127"/>
      <c r="AJ989" s="131"/>
      <c r="AK989" s="374"/>
      <c r="AL989" s="127"/>
      <c r="AM989" s="127"/>
      <c r="AN989" s="127"/>
      <c r="AO989" s="359"/>
      <c r="AP989" s="359"/>
      <c r="AQ989" s="359"/>
      <c r="AR989" s="359"/>
      <c r="AS989" s="359"/>
    </row>
    <row r="990">
      <c r="A990" s="131"/>
      <c r="B990" s="374"/>
      <c r="C990" s="127"/>
      <c r="D990" s="127"/>
      <c r="E990" s="127"/>
      <c r="F990" s="131"/>
      <c r="G990" s="374"/>
      <c r="H990" s="127"/>
      <c r="I990" s="127"/>
      <c r="J990" s="127"/>
      <c r="K990" s="383"/>
      <c r="L990" s="374"/>
      <c r="M990" s="127"/>
      <c r="N990" s="127"/>
      <c r="O990" s="127"/>
      <c r="P990" s="383"/>
      <c r="Q990" s="164"/>
      <c r="R990" s="127"/>
      <c r="S990" s="127"/>
      <c r="T990" s="127"/>
      <c r="U990" s="131"/>
      <c r="V990" s="374"/>
      <c r="W990" s="127"/>
      <c r="X990" s="127"/>
      <c r="Y990" s="127"/>
      <c r="Z990" s="131"/>
      <c r="AA990" s="374"/>
      <c r="AB990" s="127"/>
      <c r="AC990" s="127"/>
      <c r="AD990" s="127"/>
      <c r="AE990" s="131"/>
      <c r="AF990" s="374"/>
      <c r="AG990" s="127"/>
      <c r="AH990" s="127"/>
      <c r="AI990" s="127"/>
      <c r="AJ990" s="131"/>
      <c r="AK990" s="374"/>
      <c r="AL990" s="127"/>
      <c r="AM990" s="127"/>
      <c r="AN990" s="127"/>
      <c r="AO990" s="359"/>
      <c r="AP990" s="359"/>
      <c r="AQ990" s="359"/>
      <c r="AR990" s="359"/>
      <c r="AS990" s="359"/>
    </row>
    <row r="991">
      <c r="A991" s="131"/>
      <c r="B991" s="374"/>
      <c r="C991" s="127"/>
      <c r="D991" s="127"/>
      <c r="E991" s="127"/>
      <c r="F991" s="131"/>
      <c r="G991" s="374"/>
      <c r="H991" s="127"/>
      <c r="I991" s="127"/>
      <c r="J991" s="127"/>
      <c r="K991" s="383"/>
      <c r="L991" s="374"/>
      <c r="M991" s="127"/>
      <c r="N991" s="127"/>
      <c r="O991" s="127"/>
      <c r="P991" s="383"/>
      <c r="Q991" s="164"/>
      <c r="R991" s="127"/>
      <c r="S991" s="127"/>
      <c r="T991" s="127"/>
      <c r="U991" s="131"/>
      <c r="V991" s="374"/>
      <c r="W991" s="127"/>
      <c r="X991" s="127"/>
      <c r="Y991" s="127"/>
      <c r="Z991" s="131"/>
      <c r="AA991" s="374"/>
      <c r="AB991" s="127"/>
      <c r="AC991" s="127"/>
      <c r="AD991" s="127"/>
      <c r="AE991" s="131"/>
      <c r="AF991" s="374"/>
      <c r="AG991" s="127"/>
      <c r="AH991" s="127"/>
      <c r="AI991" s="127"/>
      <c r="AJ991" s="131"/>
      <c r="AK991" s="374"/>
      <c r="AL991" s="127"/>
      <c r="AM991" s="127"/>
      <c r="AN991" s="127"/>
      <c r="AO991" s="359"/>
      <c r="AP991" s="359"/>
      <c r="AQ991" s="359"/>
      <c r="AR991" s="359"/>
      <c r="AS991" s="359"/>
    </row>
    <row r="992">
      <c r="A992" s="131"/>
      <c r="B992" s="374"/>
      <c r="C992" s="127"/>
      <c r="D992" s="127"/>
      <c r="E992" s="127"/>
      <c r="F992" s="131"/>
      <c r="G992" s="374"/>
      <c r="H992" s="127"/>
      <c r="I992" s="127"/>
      <c r="J992" s="127"/>
      <c r="K992" s="383"/>
      <c r="L992" s="374"/>
      <c r="M992" s="127"/>
      <c r="N992" s="127"/>
      <c r="O992" s="127"/>
      <c r="P992" s="383"/>
      <c r="Q992" s="164"/>
      <c r="R992" s="127"/>
      <c r="S992" s="127"/>
      <c r="T992" s="127"/>
      <c r="U992" s="131"/>
      <c r="V992" s="374"/>
      <c r="W992" s="127"/>
      <c r="X992" s="127"/>
      <c r="Y992" s="127"/>
      <c r="Z992" s="131"/>
      <c r="AA992" s="374"/>
      <c r="AB992" s="127"/>
      <c r="AC992" s="127"/>
      <c r="AD992" s="127"/>
      <c r="AE992" s="131"/>
      <c r="AF992" s="374"/>
      <c r="AG992" s="127"/>
      <c r="AH992" s="127"/>
      <c r="AI992" s="127"/>
      <c r="AJ992" s="131"/>
      <c r="AK992" s="374"/>
      <c r="AL992" s="127"/>
      <c r="AM992" s="127"/>
      <c r="AN992" s="127"/>
      <c r="AO992" s="359"/>
      <c r="AP992" s="359"/>
      <c r="AQ992" s="359"/>
      <c r="AR992" s="359"/>
      <c r="AS992" s="359"/>
    </row>
    <row r="993">
      <c r="A993" s="131"/>
      <c r="B993" s="374"/>
      <c r="C993" s="127"/>
      <c r="D993" s="127"/>
      <c r="E993" s="127"/>
      <c r="F993" s="131"/>
      <c r="G993" s="374"/>
      <c r="H993" s="127"/>
      <c r="I993" s="127"/>
      <c r="J993" s="127"/>
      <c r="K993" s="383"/>
      <c r="L993" s="374"/>
      <c r="M993" s="127"/>
      <c r="N993" s="127"/>
      <c r="O993" s="127"/>
      <c r="P993" s="383"/>
      <c r="Q993" s="164"/>
      <c r="R993" s="127"/>
      <c r="S993" s="127"/>
      <c r="T993" s="127"/>
      <c r="U993" s="131"/>
      <c r="V993" s="374"/>
      <c r="W993" s="127"/>
      <c r="X993" s="127"/>
      <c r="Y993" s="127"/>
      <c r="Z993" s="131"/>
      <c r="AA993" s="374"/>
      <c r="AB993" s="127"/>
      <c r="AC993" s="127"/>
      <c r="AD993" s="127"/>
      <c r="AE993" s="131"/>
      <c r="AF993" s="374"/>
      <c r="AG993" s="127"/>
      <c r="AH993" s="127"/>
      <c r="AI993" s="127"/>
      <c r="AJ993" s="131"/>
      <c r="AK993" s="374"/>
      <c r="AL993" s="127"/>
      <c r="AM993" s="127"/>
      <c r="AN993" s="127"/>
      <c r="AO993" s="359"/>
      <c r="AP993" s="359"/>
      <c r="AQ993" s="359"/>
      <c r="AR993" s="359"/>
      <c r="AS993" s="359"/>
    </row>
    <row r="994">
      <c r="A994" s="131"/>
      <c r="B994" s="374"/>
      <c r="C994" s="127"/>
      <c r="D994" s="127"/>
      <c r="E994" s="127"/>
      <c r="F994" s="131"/>
      <c r="G994" s="374"/>
      <c r="H994" s="127"/>
      <c r="I994" s="127"/>
      <c r="J994" s="127"/>
      <c r="K994" s="383"/>
      <c r="L994" s="374"/>
      <c r="M994" s="127"/>
      <c r="N994" s="127"/>
      <c r="O994" s="127"/>
      <c r="P994" s="383"/>
      <c r="Q994" s="164"/>
      <c r="R994" s="127"/>
      <c r="S994" s="127"/>
      <c r="T994" s="127"/>
      <c r="U994" s="131"/>
      <c r="V994" s="374"/>
      <c r="W994" s="127"/>
      <c r="X994" s="127"/>
      <c r="Y994" s="127"/>
      <c r="Z994" s="131"/>
      <c r="AA994" s="374"/>
      <c r="AB994" s="127"/>
      <c r="AC994" s="127"/>
      <c r="AD994" s="127"/>
      <c r="AE994" s="131"/>
      <c r="AF994" s="374"/>
      <c r="AG994" s="127"/>
      <c r="AH994" s="127"/>
      <c r="AI994" s="127"/>
      <c r="AJ994" s="131"/>
      <c r="AK994" s="374"/>
      <c r="AL994" s="127"/>
      <c r="AM994" s="127"/>
      <c r="AN994" s="127"/>
      <c r="AO994" s="359"/>
      <c r="AP994" s="359"/>
      <c r="AQ994" s="359"/>
      <c r="AR994" s="359"/>
      <c r="AS994" s="359"/>
    </row>
    <row r="995">
      <c r="A995" s="131"/>
      <c r="B995" s="374"/>
      <c r="C995" s="127"/>
      <c r="D995" s="127"/>
      <c r="E995" s="127"/>
      <c r="F995" s="131"/>
      <c r="G995" s="374"/>
      <c r="H995" s="127"/>
      <c r="I995" s="127"/>
      <c r="J995" s="127"/>
      <c r="K995" s="383"/>
      <c r="L995" s="374"/>
      <c r="M995" s="127"/>
      <c r="N995" s="127"/>
      <c r="O995" s="127"/>
      <c r="P995" s="383"/>
      <c r="Q995" s="164"/>
      <c r="R995" s="127"/>
      <c r="S995" s="127"/>
      <c r="T995" s="127"/>
      <c r="U995" s="131"/>
      <c r="V995" s="374"/>
      <c r="W995" s="127"/>
      <c r="X995" s="127"/>
      <c r="Y995" s="127"/>
      <c r="Z995" s="131"/>
      <c r="AA995" s="374"/>
      <c r="AB995" s="127"/>
      <c r="AC995" s="127"/>
      <c r="AD995" s="127"/>
      <c r="AE995" s="131"/>
      <c r="AF995" s="374"/>
      <c r="AG995" s="127"/>
      <c r="AH995" s="127"/>
      <c r="AI995" s="127"/>
      <c r="AJ995" s="131"/>
      <c r="AK995" s="374"/>
      <c r="AL995" s="127"/>
      <c r="AM995" s="127"/>
      <c r="AN995" s="127"/>
      <c r="AO995" s="359"/>
      <c r="AP995" s="359"/>
      <c r="AQ995" s="359"/>
      <c r="AR995" s="359"/>
      <c r="AS995" s="359"/>
    </row>
    <row r="996">
      <c r="A996" s="131"/>
      <c r="B996" s="374"/>
      <c r="C996" s="127"/>
      <c r="D996" s="127"/>
      <c r="E996" s="127"/>
      <c r="F996" s="131"/>
      <c r="G996" s="374"/>
      <c r="H996" s="127"/>
      <c r="I996" s="127"/>
      <c r="J996" s="127"/>
      <c r="K996" s="383"/>
      <c r="L996" s="374"/>
      <c r="M996" s="127"/>
      <c r="N996" s="127"/>
      <c r="O996" s="127"/>
      <c r="P996" s="383"/>
      <c r="Q996" s="164"/>
      <c r="R996" s="127"/>
      <c r="S996" s="127"/>
      <c r="T996" s="127"/>
      <c r="U996" s="131"/>
      <c r="V996" s="374"/>
      <c r="W996" s="127"/>
      <c r="X996" s="127"/>
      <c r="Y996" s="127"/>
      <c r="Z996" s="131"/>
      <c r="AA996" s="374"/>
      <c r="AB996" s="127"/>
      <c r="AC996" s="127"/>
      <c r="AD996" s="127"/>
      <c r="AE996" s="131"/>
      <c r="AF996" s="374"/>
      <c r="AG996" s="127"/>
      <c r="AH996" s="127"/>
      <c r="AI996" s="127"/>
      <c r="AJ996" s="131"/>
      <c r="AK996" s="374"/>
      <c r="AL996" s="127"/>
      <c r="AM996" s="127"/>
      <c r="AN996" s="127"/>
      <c r="AO996" s="359"/>
      <c r="AP996" s="359"/>
      <c r="AQ996" s="359"/>
      <c r="AR996" s="359"/>
      <c r="AS996" s="359"/>
    </row>
    <row r="997">
      <c r="A997" s="131"/>
      <c r="B997" s="374"/>
      <c r="C997" s="127"/>
      <c r="D997" s="127"/>
      <c r="E997" s="127"/>
      <c r="F997" s="131"/>
      <c r="G997" s="374"/>
      <c r="H997" s="127"/>
      <c r="I997" s="127"/>
      <c r="J997" s="127"/>
      <c r="K997" s="383"/>
      <c r="L997" s="374"/>
      <c r="M997" s="127"/>
      <c r="N997" s="127"/>
      <c r="O997" s="127"/>
      <c r="P997" s="383"/>
      <c r="Q997" s="164"/>
      <c r="R997" s="127"/>
      <c r="S997" s="127"/>
      <c r="T997" s="127"/>
      <c r="U997" s="131"/>
      <c r="V997" s="374"/>
      <c r="W997" s="127"/>
      <c r="X997" s="127"/>
      <c r="Y997" s="127"/>
      <c r="Z997" s="131"/>
      <c r="AA997" s="374"/>
      <c r="AB997" s="127"/>
      <c r="AC997" s="127"/>
      <c r="AD997" s="127"/>
      <c r="AE997" s="131"/>
      <c r="AF997" s="374"/>
      <c r="AG997" s="127"/>
      <c r="AH997" s="127"/>
      <c r="AI997" s="127"/>
      <c r="AJ997" s="131"/>
      <c r="AK997" s="374"/>
      <c r="AL997" s="127"/>
      <c r="AM997" s="127"/>
      <c r="AN997" s="127"/>
      <c r="AO997" s="359"/>
      <c r="AP997" s="359"/>
      <c r="AQ997" s="359"/>
      <c r="AR997" s="359"/>
      <c r="AS997" s="359"/>
    </row>
    <row r="998">
      <c r="A998" s="131"/>
      <c r="B998" s="374"/>
      <c r="C998" s="127"/>
      <c r="D998" s="127"/>
      <c r="E998" s="127"/>
      <c r="F998" s="131"/>
      <c r="G998" s="374"/>
      <c r="H998" s="127"/>
      <c r="I998" s="127"/>
      <c r="J998" s="127"/>
      <c r="K998" s="383"/>
      <c r="L998" s="374"/>
      <c r="M998" s="127"/>
      <c r="N998" s="127"/>
      <c r="O998" s="127"/>
      <c r="P998" s="383"/>
      <c r="Q998" s="164"/>
      <c r="R998" s="127"/>
      <c r="S998" s="127"/>
      <c r="T998" s="127"/>
      <c r="U998" s="131"/>
      <c r="V998" s="374"/>
      <c r="W998" s="127"/>
      <c r="X998" s="127"/>
      <c r="Y998" s="127"/>
      <c r="Z998" s="131"/>
      <c r="AA998" s="374"/>
      <c r="AB998" s="127"/>
      <c r="AC998" s="127"/>
      <c r="AD998" s="127"/>
      <c r="AE998" s="131"/>
      <c r="AF998" s="374"/>
      <c r="AG998" s="127"/>
      <c r="AH998" s="127"/>
      <c r="AI998" s="127"/>
      <c r="AJ998" s="131"/>
      <c r="AK998" s="374"/>
      <c r="AL998" s="127"/>
      <c r="AM998" s="127"/>
      <c r="AN998" s="127"/>
      <c r="AO998" s="359"/>
      <c r="AP998" s="359"/>
      <c r="AQ998" s="359"/>
      <c r="AR998" s="359"/>
      <c r="AS998" s="359"/>
    </row>
    <row r="999">
      <c r="A999" s="131"/>
      <c r="B999" s="374"/>
      <c r="C999" s="127"/>
      <c r="D999" s="127"/>
      <c r="E999" s="127"/>
      <c r="F999" s="131"/>
      <c r="G999" s="374"/>
      <c r="H999" s="127"/>
      <c r="I999" s="127"/>
      <c r="J999" s="127"/>
      <c r="K999" s="383"/>
      <c r="L999" s="374"/>
      <c r="M999" s="127"/>
      <c r="N999" s="127"/>
      <c r="O999" s="127"/>
      <c r="P999" s="383"/>
      <c r="Q999" s="164"/>
      <c r="R999" s="127"/>
      <c r="S999" s="127"/>
      <c r="T999" s="127"/>
      <c r="U999" s="131"/>
      <c r="V999" s="374"/>
      <c r="W999" s="127"/>
      <c r="X999" s="127"/>
      <c r="Y999" s="127"/>
      <c r="Z999" s="131"/>
      <c r="AA999" s="374"/>
      <c r="AB999" s="127"/>
      <c r="AC999" s="127"/>
      <c r="AD999" s="127"/>
      <c r="AE999" s="131"/>
      <c r="AF999" s="374"/>
      <c r="AG999" s="127"/>
      <c r="AH999" s="127"/>
      <c r="AI999" s="127"/>
      <c r="AJ999" s="131"/>
      <c r="AK999" s="374"/>
      <c r="AL999" s="127"/>
      <c r="AM999" s="127"/>
      <c r="AN999" s="127"/>
      <c r="AO999" s="359"/>
      <c r="AP999" s="359"/>
      <c r="AQ999" s="359"/>
      <c r="AR999" s="359"/>
      <c r="AS999" s="359"/>
    </row>
    <row r="1000">
      <c r="A1000" s="131"/>
      <c r="B1000" s="374"/>
      <c r="C1000" s="127"/>
      <c r="D1000" s="127"/>
      <c r="E1000" s="127"/>
      <c r="F1000" s="131"/>
      <c r="G1000" s="374"/>
      <c r="H1000" s="127"/>
      <c r="I1000" s="127"/>
      <c r="J1000" s="127"/>
      <c r="K1000" s="383"/>
      <c r="L1000" s="374"/>
      <c r="M1000" s="127"/>
      <c r="N1000" s="127"/>
      <c r="O1000" s="127"/>
      <c r="P1000" s="383"/>
      <c r="Q1000" s="164"/>
      <c r="R1000" s="127"/>
      <c r="S1000" s="127"/>
      <c r="T1000" s="127"/>
      <c r="U1000" s="131"/>
      <c r="V1000" s="374"/>
      <c r="W1000" s="127"/>
      <c r="X1000" s="127"/>
      <c r="Y1000" s="127"/>
      <c r="Z1000" s="131"/>
      <c r="AA1000" s="374"/>
      <c r="AB1000" s="127"/>
      <c r="AC1000" s="127"/>
      <c r="AD1000" s="127"/>
      <c r="AE1000" s="131"/>
      <c r="AF1000" s="374"/>
      <c r="AG1000" s="127"/>
      <c r="AH1000" s="127"/>
      <c r="AI1000" s="127"/>
      <c r="AJ1000" s="131"/>
      <c r="AK1000" s="374"/>
      <c r="AL1000" s="127"/>
      <c r="AM1000" s="127"/>
      <c r="AN1000" s="127"/>
      <c r="AO1000" s="359"/>
      <c r="AP1000" s="359"/>
      <c r="AQ1000" s="359"/>
      <c r="AR1000" s="359"/>
      <c r="AS1000" s="359"/>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無断転載は禁止です。")</f>
        <v>公式ゲーム「Countercurrent Tea Party - 痩せた妹とのシンプルな生活」を応援してください。
攻略まとめ：公式Discord - RORO、協力者 - MIO、Luo Ran、翻訳者 - 눈_눈、Ruika、zNagato、Libeti、Gabriel B、maltesey、AndyJango、IntenseLag、Nian Sprout
無断転載は禁止です。</v>
      </c>
      <c r="I1" s="57" t="s">
        <v>6265</v>
      </c>
      <c r="M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 maltesey, Andy"&amp;"Jango,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Intense"&amp;"Lag,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IntenseLag, Nian Sprout.
Несанкционированное воспроизведение запрещено.</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Unerlaubte Vervielfältigung verboten.</v>
      </c>
      <c r="AG1" s="292" t="s">
        <v>6266</v>
      </c>
      <c r="AK1" s="57"/>
      <c r="AL1" s="57"/>
      <c r="AM1" s="57"/>
    </row>
    <row r="2" ht="45.0" customHeight="1">
      <c r="AK2" s="57"/>
      <c r="AL2" s="57"/>
      <c r="AM2" s="57"/>
    </row>
    <row r="3" ht="55.5" customHeight="1">
      <c r="A3" s="384" t="s">
        <v>6267</v>
      </c>
      <c r="B3" s="14" t="s">
        <v>6268</v>
      </c>
      <c r="C3" s="302" t="s">
        <v>6269</v>
      </c>
      <c r="D3" s="160" t="s">
        <v>6270</v>
      </c>
      <c r="E3" s="298" t="str">
        <f>IFERROR(__xludf.DUMMYFUNCTION("GOOGLETRANSLATE(A3,""zh-tw"",""ja"")"),"ステータスアイコン")</f>
        <v>ステータスアイコン</v>
      </c>
      <c r="F3" s="34" t="str">
        <f>IFERROR(__xludf.DUMMYFUNCTION("GOOGLETRANSLATE(B3,""zh-tw"",""ja"")"),"名前")</f>
        <v>名前</v>
      </c>
      <c r="G3" s="300" t="str">
        <f>IFERROR(__xludf.DUMMYFUNCTION("GOOGLETRANSLATE(C3,""zh-tw"",""ja"")"),"物語")</f>
        <v>物語</v>
      </c>
      <c r="H3" s="159" t="str">
        <f>IFERROR(__xludf.DUMMYFUNCTION("GOOGLETRANSLATE(D3,""zh-tw"",""ja"")"),"例")</f>
        <v>例</v>
      </c>
      <c r="I3" s="384" t="s">
        <v>6271</v>
      </c>
      <c r="J3" s="14" t="s">
        <v>6272</v>
      </c>
      <c r="K3" s="302" t="s">
        <v>6273</v>
      </c>
      <c r="L3" s="160" t="s">
        <v>6274</v>
      </c>
      <c r="M3" s="298" t="str">
        <f>IFERROR(__xludf.DUMMYFUNCTION("GOOGLETRANSLATE(A3,""zh-tw"",""zh"")"),"状态图示")</f>
        <v>状态图示</v>
      </c>
      <c r="N3" s="34" t="str">
        <f>IFERROR(__xludf.DUMMYFUNCTION("GOOGLETRANSLATE(B3,""zh-tw"",""zh"")"),"名称")</f>
        <v>名称</v>
      </c>
      <c r="O3" s="300" t="str">
        <f>IFERROR(__xludf.DUMMYFUNCTION("GOOGLETRANSLATE(C3,""zh-tw"",""zh"")"),"叙述")</f>
        <v>叙述</v>
      </c>
      <c r="P3" s="159" t="str">
        <f>IFERROR(__xludf.DUMMYFUNCTION("GOOGLETRANSLATE(D3,""zh-tw"",""zh"")"),"举例")</f>
        <v>举例</v>
      </c>
      <c r="Q3" s="298" t="str">
        <f>IFERROR(__xludf.DUMMYFUNCTION("GOOGLETRANSLATE(A3,""zh-tw"",""es-MX"")"),"Icono de estado")</f>
        <v>Icono de estado</v>
      </c>
      <c r="R3" s="34" t="str">
        <f>IFERROR(__xludf.DUMMYFUNCTION("GOOGLETRANSLATE(B3,""zh-tw"",""es-MX"")"),"nombre")</f>
        <v>nombre</v>
      </c>
      <c r="S3" s="300" t="str">
        <f>IFERROR(__xludf.DUMMYFUNCTION("GOOGLETRANSLATE(C3,""zh-tw"",""es-MX"")"),"Narrativo")</f>
        <v>Narrativo</v>
      </c>
      <c r="T3" s="159" t="str">
        <f>IFERROR(__xludf.DUMMYFUNCTION("GOOGLETRANSLATE(D3,""zh-tw"",""es-MX"")"),"Ejemplo")</f>
        <v>Ejemplo</v>
      </c>
      <c r="U3" s="298" t="str">
        <f>IFERROR(__xludf.DUMMYFUNCTION("GOOGLETRANSLATE(A3,""zh-tw"",""KO"")"),"상태 아이콘")</f>
        <v>상태 아이콘</v>
      </c>
      <c r="V3" s="34" t="str">
        <f>IFERROR(__xludf.DUMMYFUNCTION("GOOGLETRANSLATE(B3,""zh-tw"",""KO"")"),"이름")</f>
        <v>이름</v>
      </c>
      <c r="W3" s="300" t="str">
        <f>IFERROR(__xludf.DUMMYFUNCTION("GOOGLETRANSLATE(C3,""zh-tw"",""KO"")"),"이야기")</f>
        <v>이야기</v>
      </c>
      <c r="X3" s="159" t="str">
        <f>IFERROR(__xludf.DUMMYFUNCTION("GOOGLETRANSLATE(D3,""zh-tw"",""KO"")"),"예")</f>
        <v>예</v>
      </c>
      <c r="Y3" s="298" t="str">
        <f>IFERROR(__xludf.DUMMYFUNCTION("GOOGLETRANSLATE(A3,""zh-tw"",""RU"")"),"Значок статуса")</f>
        <v>Значок статуса</v>
      </c>
      <c r="Z3" s="34" t="str">
        <f>IFERROR(__xludf.DUMMYFUNCTION("GOOGLETRANSLATE(B3,""zh-tw"",""RU"")"),"имя")</f>
        <v>имя</v>
      </c>
      <c r="AA3" s="300" t="str">
        <f>IFERROR(__xludf.DUMMYFUNCTION("GOOGLETRANSLATE(C3,""zh-tw"",""RU"")"),"Повествование")</f>
        <v>Повествование</v>
      </c>
      <c r="AB3" s="159" t="str">
        <f>IFERROR(__xludf.DUMMYFUNCTION("GOOGLETRANSLATE(D3,""zh-tw"",""RU"")"),"Пример")</f>
        <v>Пример</v>
      </c>
      <c r="AC3" s="298" t="str">
        <f>IFERROR(__xludf.DUMMYFUNCTION("GOOGLETRANSLATE(A3,""zh-tw"",""DE"")"),"Statussymbol")</f>
        <v>Statussymbol</v>
      </c>
      <c r="AD3" s="34" t="str">
        <f>IFERROR(__xludf.DUMMYFUNCTION("GOOGLETRANSLATE(B3,""zh-tw"",""DE"")"),"Name")</f>
        <v>Name</v>
      </c>
      <c r="AE3" s="300" t="str">
        <f>IFERROR(__xludf.DUMMYFUNCTION("GOOGLETRANSLATE(C3,""zh-tw"",""DE"")"),"Erzählung")</f>
        <v>Erzählung</v>
      </c>
      <c r="AF3" s="159" t="str">
        <f>IFERROR(__xludf.DUMMYFUNCTION("GOOGLETRANSLATE(D3,""zh-tw"",""DE"")"),"Beispiel")</f>
        <v>Beispiel</v>
      </c>
      <c r="AG3" s="385" t="s">
        <v>6275</v>
      </c>
      <c r="AH3" s="303" t="s">
        <v>6276</v>
      </c>
      <c r="AI3" s="386" t="s">
        <v>6277</v>
      </c>
      <c r="AJ3" s="387" t="s">
        <v>3705</v>
      </c>
      <c r="AK3" s="160"/>
      <c r="AL3" s="160"/>
      <c r="AM3" s="160"/>
    </row>
    <row r="4" ht="26.25" customHeight="1">
      <c r="A4" s="126" t="s">
        <v>6278</v>
      </c>
      <c r="B4" s="310" t="s">
        <v>6279</v>
      </c>
      <c r="C4" s="312" t="s">
        <v>723</v>
      </c>
      <c r="D4" s="388" t="s">
        <v>6280</v>
      </c>
      <c r="E4" s="126" t="s">
        <v>6281</v>
      </c>
      <c r="F4" s="308" t="str">
        <f>IFERROR(__xludf.DUMMYFUNCTION("GOOGLETRANSLATE(B4,""zh-tw"",""ja"")"),"少し落ち着かない気分")</f>
        <v>少し落ち着かない気分</v>
      </c>
      <c r="G4" s="309" t="str">
        <f>IFERROR(__xludf.DUMMYFUNCTION("GOOGLETRANSLATE(C4,""zh-tw"",""ja"")"),"-")</f>
        <v>-</v>
      </c>
      <c r="H4" s="388" t="s">
        <v>6282</v>
      </c>
      <c r="I4" s="126" t="s">
        <v>6283</v>
      </c>
      <c r="J4" s="310" t="s">
        <v>6284</v>
      </c>
      <c r="K4" s="309" t="str">
        <f>IFERROR(__xludf.DUMMYFUNCTION("GOOGLETRANSLATE(C4,""zh-tw"",""en"")"),"-")</f>
        <v>-</v>
      </c>
      <c r="L4" s="388" t="s">
        <v>6285</v>
      </c>
      <c r="M4" s="307" t="str">
        <f>IFERROR(__xludf.DUMMYFUNCTION("GOOGLETRANSLATE(A4,""zh-tw"",""zh"")"),"兴奋")</f>
        <v>兴奋</v>
      </c>
      <c r="N4" s="308" t="str">
        <f>IFERROR(__xludf.DUMMYFUNCTION("GOOGLETRANSLATE(B4,""zh-tw"",""zh"")"),"感觉有些躁动")</f>
        <v>感觉有些躁动</v>
      </c>
      <c r="O4" s="309" t="str">
        <f>IFERROR(__xludf.DUMMYFUNCTION("GOOGLETRANSLATE(C4,""zh-tw"",""zh"")"),"-")</f>
        <v>-</v>
      </c>
      <c r="P4" s="389"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1"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불안함을 느낀다")</f>
        <v>조금 불안함을 느낀다</v>
      </c>
      <c r="W4" s="311" t="str">
        <f>IFERROR(__xludf.DUMMYFUNCTION("GOOGLETRANSLATE(C4,""zh-tw"",""KO"")"),"-")</f>
        <v>-</v>
      </c>
      <c r="X4" s="108" t="str">
        <f>IFERROR(__xludf.DUMMYFUNCTION("GOOGLETRANSLATE(D4,""zh-tw"",""KO"")"),"내 동생은 성적 욕망이 좀 있어요")</f>
        <v>내 동생은 성적 욕망이 좀 있어요</v>
      </c>
      <c r="Y4" s="307" t="str">
        <f>IFERROR(__xludf.DUMMYFUNCTION("GOOGLETRANSLATE(A4,""zh-tw"",""RU"")"),"взволнованный")</f>
        <v>взволнованный</v>
      </c>
      <c r="Z4" s="308" t="str">
        <f>IFERROR(__xludf.DUMMYFUNCTION("GOOGLETRANSLATE(B4,""zh-tw"",""RU"")"),"Чувствую себя немного беспокойно")</f>
        <v>Чувствую себя немного беспокойно</v>
      </c>
      <c r="AA4" s="309" t="str">
        <f>IFERROR(__xludf.DUMMYFUNCTION("GOOGLETRANSLATE(C4,""zh-tw"",""RU"")"),"-")</f>
        <v>-</v>
      </c>
      <c r="AB4" s="389" t="str">
        <f>IFERROR(__xludf.DUMMYFUNCTION("GOOGLETRANSLATE(D4,""zh-tw"",""RU"")"),"У моего брата есть сексуальное желание.")</f>
        <v>У моего брата есть сексуальное желание.</v>
      </c>
      <c r="AC4" s="307" t="str">
        <f>IFERROR(__xludf.DUMMYFUNCTION("GOOGLETRANSLATE(A4,""zh-tw"",""DE"")"),"aufgeregt")</f>
        <v>aufgeregt</v>
      </c>
      <c r="AD4" s="308" t="str">
        <f>IFERROR(__xludf.DUMMYFUNCTION("GOOGLETRANSLATE(B4,""zh-tw"",""DE"")"),"Fühle mich ein wenig unruhig")</f>
        <v>Fühle mich ein wenig unruhig</v>
      </c>
      <c r="AE4" s="309" t="str">
        <f>IFERROR(__xludf.DUMMYFUNCTION("GOOGLETRANSLATE(C4,""zh-tw"",""DE"")"),"-")</f>
        <v>-</v>
      </c>
      <c r="AF4" s="389" t="str">
        <f>IFERROR(__xludf.DUMMYFUNCTION("GOOGLETRANSLATE(D4,""zh-tw"",""DE"")"),"Mein Bruder hat ein gewisses sexuelles Verlangen")</f>
        <v>Mein Bruder hat ein gewisses sexuelles Verlangen</v>
      </c>
      <c r="AG4" s="94" t="s">
        <v>6286</v>
      </c>
      <c r="AH4" s="123" t="s">
        <v>6287</v>
      </c>
      <c r="AI4" s="313" t="s">
        <v>723</v>
      </c>
      <c r="AJ4" s="178" t="s">
        <v>6288</v>
      </c>
      <c r="AK4" s="388"/>
      <c r="AL4" s="388"/>
      <c r="AM4" s="388"/>
    </row>
    <row r="5" ht="26.25" customHeight="1">
      <c r="A5" s="126" t="s">
        <v>6278</v>
      </c>
      <c r="B5" s="310" t="s">
        <v>6289</v>
      </c>
      <c r="C5" s="312" t="s">
        <v>723</v>
      </c>
      <c r="D5" s="388" t="s">
        <v>6290</v>
      </c>
      <c r="E5" s="126" t="s">
        <v>6281</v>
      </c>
      <c r="F5" s="308" t="str">
        <f>IFERROR(__xludf.DUMMYFUNCTION("GOOGLETRANSLATE(B5,""zh-tw"",""ja"")"),"全身が何らかの刺激を求めている")</f>
        <v>全身が何らかの刺激を求めている</v>
      </c>
      <c r="G5" s="312" t="s">
        <v>723</v>
      </c>
      <c r="H5" s="388" t="s">
        <v>6291</v>
      </c>
      <c r="I5" s="126" t="s">
        <v>6283</v>
      </c>
      <c r="J5" s="310" t="s">
        <v>6292</v>
      </c>
      <c r="K5" s="312" t="s">
        <v>723</v>
      </c>
      <c r="L5" s="388" t="s">
        <v>6293</v>
      </c>
      <c r="M5" s="307" t="str">
        <f>IFERROR(__xludf.DUMMYFUNCTION("GOOGLETRANSLATE(A5,""zh-tw"",""zh"")"),"兴奋")</f>
        <v>兴奋</v>
      </c>
      <c r="N5" s="308" t="str">
        <f>IFERROR(__xludf.DUMMYFUNCTION("GOOGLETRANSLATE(B5,""zh-tw"",""zh"")"),"全身都在渴望着某种刺激")</f>
        <v>全身都在渴望着某种刺激</v>
      </c>
      <c r="O5" s="309" t="str">
        <f>IFERROR(__xludf.DUMMYFUNCTION("GOOGLETRANSLATE(C5,""zh-tw"",""zh"")"),"-")</f>
        <v>-</v>
      </c>
      <c r="P5" s="389"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1"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1" t="str">
        <f>IFERROR(__xludf.DUMMYFUNCTION("GOOGLETRANSLATE(C5,""zh-tw"",""KO"")"),"-")</f>
        <v>-</v>
      </c>
      <c r="X5" s="108" t="str">
        <f>IFERROR(__xludf.DUMMYFUNCTION("GOOGLETRANSLATE(D5,""zh-tw"",""KO"")"),"내 동생은 성적 욕망이 많아요")</f>
        <v>내 동생은 성적 욕망이 많아요</v>
      </c>
      <c r="Y5" s="307" t="str">
        <f>IFERROR(__xludf.DUMMYFUNCTION("GOOGLETRANSLATE(A5,""zh-tw"",""RU"")"),"взволнованный")</f>
        <v>взволнованный</v>
      </c>
      <c r="Z5" s="308" t="str">
        <f>IFERROR(__xludf.DUMMYFUNCTION("GOOGLETRANSLATE(B5,""zh-tw"",""RU"")"),"Все тело жаждет какой-то стимуляции.")</f>
        <v>Все тело жаждет какой-то стимуляции.</v>
      </c>
      <c r="AA5" s="309" t="str">
        <f>IFERROR(__xludf.DUMMYFUNCTION("GOOGLETRANSLATE(C5,""zh-tw"",""RU"")"),"-")</f>
        <v>-</v>
      </c>
      <c r="AB5" s="389" t="str">
        <f>IFERROR(__xludf.DUMMYFUNCTION("GOOGLETRANSLATE(D5,""zh-tw"",""RU"")"),"У моего брата сильное сексуальное желание.")</f>
        <v>У моего брата сильное сексуальное желание.</v>
      </c>
      <c r="AC5" s="307" t="str">
        <f>IFERROR(__xludf.DUMMYFUNCTION("GOOGLETRANSLATE(A5,""zh-tw"",""DE"")"),"aufgeregt")</f>
        <v>aufgeregt</v>
      </c>
      <c r="AD5" s="308" t="str">
        <f>IFERROR(__xludf.DUMMYFUNCTION("GOOGLETRANSLATE(B5,""zh-tw"",""DE"")"),"Der ganze Körper sehnt sich nach einer Stimulation")</f>
        <v>Der ganze Körper sehnt sich nach einer Stimulation</v>
      </c>
      <c r="AE5" s="309" t="str">
        <f>IFERROR(__xludf.DUMMYFUNCTION("GOOGLETRANSLATE(C5,""zh-tw"",""DE"")"),"-")</f>
        <v>-</v>
      </c>
      <c r="AF5" s="389" t="str">
        <f>IFERROR(__xludf.DUMMYFUNCTION("GOOGLETRANSLATE(D5,""zh-tw"",""DE"")"),"Mein Bruder hat ein großes sexuelles Verlangen")</f>
        <v>Mein Bruder hat ein großes sexuelles Verlangen</v>
      </c>
      <c r="AG5" s="94" t="s">
        <v>6286</v>
      </c>
      <c r="AH5" s="123" t="s">
        <v>6294</v>
      </c>
      <c r="AI5" s="313" t="s">
        <v>723</v>
      </c>
      <c r="AJ5" s="178" t="s">
        <v>6295</v>
      </c>
      <c r="AK5" s="388"/>
      <c r="AL5" s="388"/>
      <c r="AM5" s="388"/>
    </row>
    <row r="6" ht="26.25" customHeight="1">
      <c r="A6" s="126" t="s">
        <v>6278</v>
      </c>
      <c r="B6" s="310" t="s">
        <v>6296</v>
      </c>
      <c r="C6" s="312" t="s">
        <v>723</v>
      </c>
      <c r="D6" s="388" t="s">
        <v>6297</v>
      </c>
      <c r="E6" s="126" t="s">
        <v>6281</v>
      </c>
      <c r="F6" s="308" t="str">
        <f>IFERROR(__xludf.DUMMYFUNCTION("GOOGLETRANSLATE(B6,""zh-tw"",""ja"")"),"もう自分をコントロールできない")</f>
        <v>もう自分をコントロールできない</v>
      </c>
      <c r="G6" s="312" t="s">
        <v>723</v>
      </c>
      <c r="H6" s="388" t="s">
        <v>6298</v>
      </c>
      <c r="I6" s="126" t="s">
        <v>6283</v>
      </c>
      <c r="J6" s="310" t="s">
        <v>6299</v>
      </c>
      <c r="K6" s="312" t="s">
        <v>723</v>
      </c>
      <c r="L6" s="388" t="s">
        <v>6300</v>
      </c>
      <c r="M6" s="307" t="str">
        <f>IFERROR(__xludf.DUMMYFUNCTION("GOOGLETRANSLATE(A6,""zh-tw"",""zh"")"),"兴奋")</f>
        <v>兴奋</v>
      </c>
      <c r="N6" s="308" t="str">
        <f>IFERROR(__xludf.DUMMYFUNCTION("GOOGLETRANSLATE(B6,""zh-tw"",""zh"")"),"要控制不住自己了")</f>
        <v>要控制不住自己了</v>
      </c>
      <c r="O6" s="309" t="str">
        <f>IFERROR(__xludf.DUMMYFUNCTION("GOOGLETRANSLATE(C6,""zh-tw"",""zh"")"),"-")</f>
        <v>-</v>
      </c>
      <c r="P6" s="389"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1"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1" t="str">
        <f>IFERROR(__xludf.DUMMYFUNCTION("GOOGLETRANSLATE(C6,""zh-tw"",""KO"")"),"-")</f>
        <v>-</v>
      </c>
      <c r="X6" s="108" t="str">
        <f>IFERROR(__xludf.DUMMYFUNCTION("GOOGLETRANSLATE(D6,""zh-tw"",""KO"")"),"오빠는 더 성적이에요")</f>
        <v>오빠는 더 성적이에요</v>
      </c>
      <c r="Y6" s="307" t="str">
        <f>IFERROR(__xludf.DUMMYFUNCTION("GOOGLETRANSLATE(A6,""zh-tw"",""RU"")"),"взволнованный")</f>
        <v>взволнованный</v>
      </c>
      <c r="Z6" s="308" t="str">
        <f>IFERROR(__xludf.DUMMYFUNCTION("GOOGLETRANSLATE(B6,""zh-tw"",""RU"")"),"Я больше не могу себя контролировать.")</f>
        <v>Я больше не могу себя контролировать.</v>
      </c>
      <c r="AA6" s="309" t="str">
        <f>IFERROR(__xludf.DUMMYFUNCTION("GOOGLETRANSLATE(C6,""zh-tw"",""RU"")"),"-")</f>
        <v>-</v>
      </c>
      <c r="AB6" s="389" t="str">
        <f>IFERROR(__xludf.DUMMYFUNCTION("GOOGLETRANSLATE(D6,""zh-tw"",""RU"")"),"Брат более сексуальный")</f>
        <v>Брат более сексуальный</v>
      </c>
      <c r="AC6" s="307" t="str">
        <f>IFERROR(__xludf.DUMMYFUNCTION("GOOGLETRANSLATE(A6,""zh-tw"",""DE"")"),"aufgeregt")</f>
        <v>aufgeregt</v>
      </c>
      <c r="AD6" s="308" t="str">
        <f>IFERROR(__xludf.DUMMYFUNCTION("GOOGLETRANSLATE(B6,""zh-tw"",""DE"")"),"Ich kann mich nicht mehr beherrschen")</f>
        <v>Ich kann mich nicht mehr beherrschen</v>
      </c>
      <c r="AE6" s="309" t="str">
        <f>IFERROR(__xludf.DUMMYFUNCTION("GOOGLETRANSLATE(C6,""zh-tw"",""DE"")"),"-")</f>
        <v>-</v>
      </c>
      <c r="AF6" s="389" t="str">
        <f>IFERROR(__xludf.DUMMYFUNCTION("GOOGLETRANSLATE(D6,""zh-tw"",""DE"")"),"Bruder ist sexueller")</f>
        <v>Bruder ist sexueller</v>
      </c>
      <c r="AG6" s="94" t="s">
        <v>6286</v>
      </c>
      <c r="AH6" s="123" t="s">
        <v>6301</v>
      </c>
      <c r="AI6" s="313" t="s">
        <v>723</v>
      </c>
      <c r="AJ6" s="178" t="s">
        <v>6302</v>
      </c>
      <c r="AK6" s="388"/>
      <c r="AL6" s="388"/>
      <c r="AM6" s="388"/>
    </row>
    <row r="7">
      <c r="A7" s="126" t="s">
        <v>6303</v>
      </c>
      <c r="B7" s="310" t="s">
        <v>6304</v>
      </c>
      <c r="C7" s="312" t="s">
        <v>6305</v>
      </c>
      <c r="D7" s="388" t="s">
        <v>6306</v>
      </c>
      <c r="E7" s="126" t="s">
        <v>6307</v>
      </c>
      <c r="F7" s="308" t="str">
        <f>IFERROR(__xludf.DUMMYFUNCTION("GOOGLETRANSLATE(B7,""zh-tw"",""ja"")"),"うおおおおおおおお……！")</f>
        <v>うおおおおおおおお……！</v>
      </c>
      <c r="G7" s="312" t="s">
        <v>6308</v>
      </c>
      <c r="H7" s="388" t="s">
        <v>6309</v>
      </c>
      <c r="I7" s="126" t="s">
        <v>6310</v>
      </c>
      <c r="J7" s="310" t="s">
        <v>6311</v>
      </c>
      <c r="K7" s="312" t="s">
        <v>6312</v>
      </c>
      <c r="L7" s="388" t="s">
        <v>6313</v>
      </c>
      <c r="M7" s="307" t="str">
        <f>IFERROR(__xludf.DUMMYFUNCTION("GOOGLETRANSLATE(A7,""zh-tw"",""zh"")"),"兽人")</f>
        <v>兽人</v>
      </c>
      <c r="N7" s="308" t="str">
        <f>IFERROR(__xludf.DUMMYFUNCTION("GOOGLETRANSLATE(B7,""zh-tw"",""zh"")"),"唔噢噢噢噢.......!")</f>
        <v>唔噢噢噢噢.......!</v>
      </c>
      <c r="O7" s="309" t="str">
        <f>IFERROR(__xludf.DUMMYFUNCTION("GOOGLETRANSLATE(C7,""zh-tw"",""zh"")"),"扭曲为了满脑子都是欲望的Beast！")</f>
        <v>扭曲为了满脑子都是欲望的Beast！</v>
      </c>
      <c r="P7" s="389"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1"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1"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7" t="str">
        <f>IFERROR(__xludf.DUMMYFUNCTION("GOOGLETRANSLATE(A7,""zh-tw"",""RU"")"),"Орки")</f>
        <v>Орки</v>
      </c>
      <c r="Z7" s="308" t="str">
        <f>IFERROR(__xludf.DUMMYFUNCTION("GOOGLETRANSLATE(B7,""zh-tw"",""RU"")"),"Ууууууух ...")</f>
        <v>Ууууууух ...</v>
      </c>
      <c r="AA7" s="309" t="str">
        <f>IFERROR(__xludf.DUMMYFUNCTION("GOOGLETRANSLATE(C7,""zh-tw"",""RU"")"),"Превратился в зверя с разумом, полным желаний!")</f>
        <v>Превратился в зверя с разумом, полным желаний!</v>
      </c>
      <c r="AB7" s="389" t="str">
        <f>IFERROR(__xludf.DUMMYFUNCTION("GOOGLETRANSLATE(D7,""zh-tw"",""RU"")"),"У моего брата очень высокое либидо.")</f>
        <v>У моего брата очень высокое либидо.</v>
      </c>
      <c r="AC7" s="307" t="str">
        <f>IFERROR(__xludf.DUMMYFUNCTION("GOOGLETRANSLATE(A7,""zh-tw"",""DE"")"),"Orks")</f>
        <v>Orks</v>
      </c>
      <c r="AD7" s="308" t="str">
        <f>IFERROR(__xludf.DUMMYFUNCTION("GOOGLETRANSLATE(B7,""zh-tw"",""DE"")"),"Uooohhhhhhh.......!")</f>
        <v>Uooohhhhhhh.......!</v>
      </c>
      <c r="AE7" s="309" t="str">
        <f>IFERROR(__xludf.DUMMYFUNCTION("GOOGLETRANSLATE(C7,""zh-tw"",""DE"")"),"Verwandelt in ein Biest mit einem Kopf voller Wünsche!")</f>
        <v>Verwandelt in ein Biest mit einem Kopf voller Wünsche!</v>
      </c>
      <c r="AF7" s="389" t="str">
        <f>IFERROR(__xludf.DUMMYFUNCTION("GOOGLETRANSLATE(D7,""zh-tw"",""DE"")"),"Mein Bruder hat eine sehr hohe Libido")</f>
        <v>Mein Bruder hat eine sehr hohe Libido</v>
      </c>
      <c r="AG7" s="94" t="s">
        <v>6310</v>
      </c>
      <c r="AH7" s="123" t="s">
        <v>6311</v>
      </c>
      <c r="AI7" s="313" t="s">
        <v>6314</v>
      </c>
      <c r="AJ7" s="178" t="s">
        <v>6315</v>
      </c>
      <c r="AK7" s="388"/>
      <c r="AL7" s="388"/>
      <c r="AM7" s="388"/>
    </row>
    <row r="8">
      <c r="A8" s="126" t="s">
        <v>6316</v>
      </c>
      <c r="B8" s="310" t="s">
        <v>6317</v>
      </c>
      <c r="C8" s="312" t="s">
        <v>6318</v>
      </c>
      <c r="D8" s="388" t="s">
        <v>6319</v>
      </c>
      <c r="E8" s="126" t="s">
        <v>6320</v>
      </c>
      <c r="F8" s="310" t="s">
        <v>6321</v>
      </c>
      <c r="G8" s="309" t="str">
        <f>IFERROR(__xludf.DUMMYFUNCTION("GOOGLETRANSLATE(C8,""zh-tw"",""ja"")"),"賢者モードに入り、すべての属性が上昇しました")</f>
        <v>賢者モードに入り、すべての属性が上昇しました</v>
      </c>
      <c r="H8" s="388" t="s">
        <v>6322</v>
      </c>
      <c r="I8" s="126" t="s">
        <v>6323</v>
      </c>
      <c r="J8" s="310" t="s">
        <v>6324</v>
      </c>
      <c r="K8" s="312" t="s">
        <v>6325</v>
      </c>
      <c r="L8" s="388" t="s">
        <v>6326</v>
      </c>
      <c r="M8" s="307" t="str">
        <f>IFERROR(__xludf.DUMMYFUNCTION("GOOGLETRANSLATE(A8,""zh-tw"",""zh"")"),"贤者")</f>
        <v>贤者</v>
      </c>
      <c r="N8" s="308" t="str">
        <f>IFERROR(__xludf.DUMMYFUNCTION("GOOGLETRANSLATE(B8,""zh-tw"",""zh"")"),"现在我感觉自己无所不能。")</f>
        <v>现在我感觉自己无所不能。</v>
      </c>
      <c r="O8" s="309" t="str">
        <f>IFERROR(__xludf.DUMMYFUNCTION("GOOGLETRANSLATE(C8,""zh-tw"",""zh"")"),"进入了贤者模式，全属性上升")</f>
        <v>进入了贤者模式，全属性上升</v>
      </c>
      <c r="P8" s="389"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1"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1"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7" t="str">
        <f>IFERROR(__xludf.DUMMYFUNCTION("GOOGLETRANSLATE(A8,""zh-tw"",""RU"")"),"Мудрец")</f>
        <v>Мудрец</v>
      </c>
      <c r="Z8" s="308" t="str">
        <f>IFERROR(__xludf.DUMMYFUNCTION("GOOGLETRANSLATE(B8,""zh-tw"",""RU"")"),"Теперь я чувствую, что могу все.")</f>
        <v>Теперь я чувствую, что могу все.</v>
      </c>
      <c r="AA8" s="309" t="str">
        <f>IFERROR(__xludf.DUMMYFUNCTION("GOOGLETRANSLATE(C8,""zh-tw"",""RU"")"),"Вошел в режим мудреца, все характеристики увеличились.")</f>
        <v>Вошел в режим мудреца, все характеристики увеличились.</v>
      </c>
      <c r="AB8" s="389" t="str">
        <f>IFERROR(__xludf.DUMMYFUNCTION("GOOGLETRANSLATE(D8,""zh-tw"",""RU"")"),"У моего брата нет сексуального желания.")</f>
        <v>У моего брата нет сексуального желания.</v>
      </c>
      <c r="AC8" s="307" t="str">
        <f>IFERROR(__xludf.DUMMYFUNCTION("GOOGLETRANSLATE(A8,""zh-tw"",""DE"")"),"Salbei")</f>
        <v>Salbei</v>
      </c>
      <c r="AD8" s="308" t="str">
        <f>IFERROR(__xludf.DUMMYFUNCTION("GOOGLETRANSLATE(B8,""zh-tw"",""DE"")"),"Jetzt habe ich das Gefühl, dass ich alles schaffen kann.")</f>
        <v>Jetzt habe ich das Gefühl, dass ich alles schaffen kann.</v>
      </c>
      <c r="AE8" s="309" t="str">
        <f>IFERROR(__xludf.DUMMYFUNCTION("GOOGLETRANSLATE(C8,""zh-tw"",""DE"")"),"In den Weisenmodus gewechselt, alle Attribute erhöht")</f>
        <v>In den Weisenmodus gewechselt, alle Attribute erhöht</v>
      </c>
      <c r="AF8" s="389" t="str">
        <f>IFERROR(__xludf.DUMMYFUNCTION("GOOGLETRANSLATE(D8,""zh-tw"",""DE"")"),"Mein Bruder hat kein sexuelles Verlangen")</f>
        <v>Mein Bruder hat kein sexuelles Verlangen</v>
      </c>
      <c r="AG8" s="94" t="s">
        <v>6327</v>
      </c>
      <c r="AH8" s="123" t="s">
        <v>6328</v>
      </c>
      <c r="AI8" s="313" t="s">
        <v>6329</v>
      </c>
      <c r="AJ8" s="178" t="s">
        <v>6330</v>
      </c>
      <c r="AK8" s="388"/>
      <c r="AL8" s="388"/>
      <c r="AM8" s="388"/>
    </row>
    <row r="9">
      <c r="A9" s="126" t="s">
        <v>6331</v>
      </c>
      <c r="B9" s="310" t="s">
        <v>723</v>
      </c>
      <c r="C9" s="312" t="s">
        <v>6332</v>
      </c>
      <c r="D9" s="388" t="s">
        <v>6333</v>
      </c>
      <c r="E9" s="307" t="str">
        <f>IFERROR(__xludf.DUMMYFUNCTION("GOOGLETRANSLATE(A9,""zh-tw"",""ja"")"),"集中")</f>
        <v>集中</v>
      </c>
      <c r="F9" s="308" t="str">
        <f>IFERROR(__xludf.DUMMYFUNCTION("GOOGLETRANSLATE(B9,""zh-tw"",""ja"")"),"-")</f>
        <v>-</v>
      </c>
      <c r="G9" s="312" t="s">
        <v>6334</v>
      </c>
      <c r="H9" s="388" t="s">
        <v>6335</v>
      </c>
      <c r="I9" s="126" t="s">
        <v>6336</v>
      </c>
      <c r="J9" s="308" t="str">
        <f>IFERROR(__xludf.DUMMYFUNCTION("GOOGLETRANSLATE(B9,""zh-tw"",""en"")"),"-")</f>
        <v>-</v>
      </c>
      <c r="K9" s="312" t="s">
        <v>6337</v>
      </c>
      <c r="L9" s="388" t="s">
        <v>6338</v>
      </c>
      <c r="M9" s="307" t="str">
        <f>IFERROR(__xludf.DUMMYFUNCTION("GOOGLETRANSLATE(A9,""zh-tw"",""zh"")"),"专注")</f>
        <v>专注</v>
      </c>
      <c r="N9" s="308" t="str">
        <f>IFERROR(__xludf.DUMMYFUNCTION("GOOGLETRANSLATE(B9,""zh-tw"",""zh"")"),"-")</f>
        <v>-</v>
      </c>
      <c r="O9" s="309" t="str">
        <f>IFERROR(__xludf.DUMMYFUNCTION("GOOGLETRANSLATE(C9,""zh-tw"",""zh"")"),"集中精力为下一击做准被，移动速度下降")</f>
        <v>集中精力为下一击做准被，移动速度下降</v>
      </c>
      <c r="P9" s="389"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1"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1"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7" t="str">
        <f>IFERROR(__xludf.DUMMYFUNCTION("GOOGLETRANSLATE(A9,""zh-tw"",""RU"")"),"Фокус")</f>
        <v>Фокус</v>
      </c>
      <c r="Z9" s="308" t="str">
        <f>IFERROR(__xludf.DUMMYFUNCTION("GOOGLETRANSLATE(B9,""zh-tw"",""RU"")"),"-")</f>
        <v>-</v>
      </c>
      <c r="AA9" s="309"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9" t="str">
        <f>IFERROR(__xludf.DUMMYFUNCTION("GOOGLETRANSLATE(D9,""zh-tw"",""RU"")"),"Оружие ближнего боя правая кнопка мыши")</f>
        <v>Оружие ближнего боя правая кнопка мыши</v>
      </c>
      <c r="AC9" s="307" t="str">
        <f>IFERROR(__xludf.DUMMYFUNCTION("GOOGLETRANSLATE(A9,""zh-tw"",""DE"")"),"Fokus")</f>
        <v>Fokus</v>
      </c>
      <c r="AD9" s="308" t="str">
        <f>IFERROR(__xludf.DUMMYFUNCTION("GOOGLETRANSLATE(B9,""zh-tw"",""DE"")"),"-")</f>
        <v>-</v>
      </c>
      <c r="AE9" s="309"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9" t="str">
        <f>IFERROR(__xludf.DUMMYFUNCTION("GOOGLETRANSLATE(D9,""zh-tw"",""DE"")"),"Rechte Maustaste für Nahkampfwaffen")</f>
        <v>Rechte Maustaste für Nahkampfwaffen</v>
      </c>
      <c r="AG9" s="94" t="s">
        <v>6339</v>
      </c>
      <c r="AH9" s="123" t="s">
        <v>723</v>
      </c>
      <c r="AI9" s="313" t="s">
        <v>6340</v>
      </c>
      <c r="AJ9" s="178" t="s">
        <v>6341</v>
      </c>
      <c r="AK9" s="388"/>
      <c r="AL9" s="388"/>
      <c r="AM9" s="388"/>
    </row>
    <row r="10">
      <c r="A10" s="126" t="s">
        <v>6342</v>
      </c>
      <c r="B10" s="310" t="s">
        <v>6343</v>
      </c>
      <c r="C10" s="312" t="s">
        <v>723</v>
      </c>
      <c r="D10" s="388" t="s">
        <v>6344</v>
      </c>
      <c r="E10" s="126" t="s">
        <v>6345</v>
      </c>
      <c r="F10" s="310" t="s">
        <v>6346</v>
      </c>
      <c r="G10" s="309" t="str">
        <f>IFERROR(__xludf.DUMMYFUNCTION("GOOGLETRANSLATE(C10,""zh-tw"",""ja"")"),"-")</f>
        <v>-</v>
      </c>
      <c r="H10" s="388" t="s">
        <v>6347</v>
      </c>
      <c r="I10" s="126" t="s">
        <v>6348</v>
      </c>
      <c r="J10" s="310" t="s">
        <v>6349</v>
      </c>
      <c r="K10" s="309" t="str">
        <f>IFERROR(__xludf.DUMMYFUNCTION("GOOGLETRANSLATE(C10,""zh-tw"",""en"")"),"-")</f>
        <v>-</v>
      </c>
      <c r="L10" s="388" t="s">
        <v>6350</v>
      </c>
      <c r="M10" s="307" t="str">
        <f>IFERROR(__xludf.DUMMYFUNCTION("GOOGLETRANSLATE(A10,""zh-tw"",""zh"")"),"闪步")</f>
        <v>闪步</v>
      </c>
      <c r="N10" s="308" t="str">
        <f>IFERROR(__xludf.DUMMYFUNCTION("GOOGLETRANSLATE(B10,""zh-tw"",""zh"")"),"真红的三倍速")</f>
        <v>真红的三倍速</v>
      </c>
      <c r="O10" s="309" t="str">
        <f>IFERROR(__xludf.DUMMYFUNCTION("GOOGLETRANSLATE(C10,""zh-tw"",""zh"")"),"-")</f>
        <v>-</v>
      </c>
      <c r="P10" s="389"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1"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1"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7" t="str">
        <f>IFERROR(__xludf.DUMMYFUNCTION("GOOGLETRANSLATE(A10,""zh-tw"",""RU"")"),"Флэш-шаг")</f>
        <v>Флэш-шаг</v>
      </c>
      <c r="Z10" s="308" t="str">
        <f>IFERROR(__xludf.DUMMYFUNCTION("GOOGLETRANSLATE(B10,""zh-tw"",""RU"")"),"True Red Triple Speed")</f>
        <v>True Red Triple Speed</v>
      </c>
      <c r="AA10" s="309" t="str">
        <f>IFERROR(__xludf.DUMMYFUNCTION("GOOGLETRANSLATE(C10,""zh-tw"",""RU"")"),"-")</f>
        <v>-</v>
      </c>
      <c r="AB10" s="389"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7" t="str">
        <f>IFERROR(__xludf.DUMMYFUNCTION("GOOGLETRANSLATE(A10,""zh-tw"",""DE"")"),"Flash-Schritt")</f>
        <v>Flash-Schritt</v>
      </c>
      <c r="AD10" s="308" t="str">
        <f>IFERROR(__xludf.DUMMYFUNCTION("GOOGLETRANSLATE(B10,""zh-tw"",""DE"")"),"True Red Dreifachgeschwindigkeit")</f>
        <v>True Red Dreifachgeschwindigkeit</v>
      </c>
      <c r="AE10" s="309" t="str">
        <f>IFERROR(__xludf.DUMMYFUNCTION("GOOGLETRANSLATE(C10,""zh-tw"",""DE"")"),"-")</f>
        <v>-</v>
      </c>
      <c r="AF10" s="389" t="str">
        <f>IFERROR(__xludf.DUMMYFUNCTION("GOOGLETRANSLATE(D10,""zh-tw"",""DE"")"),"Permanenter Fehler beim Flash-Schritt oder beim Passieren der Karte")</f>
        <v>Permanenter Fehler beim Flash-Schritt oder beim Passieren der Karte</v>
      </c>
      <c r="AG10" s="94" t="s">
        <v>6348</v>
      </c>
      <c r="AH10" s="123" t="s">
        <v>6351</v>
      </c>
      <c r="AI10" s="313" t="s">
        <v>723</v>
      </c>
      <c r="AJ10" s="178" t="s">
        <v>6352</v>
      </c>
      <c r="AK10" s="388"/>
      <c r="AL10" s="388"/>
      <c r="AM10" s="388"/>
    </row>
    <row r="11">
      <c r="A11" s="126" t="s">
        <v>6353</v>
      </c>
      <c r="B11" s="310" t="s">
        <v>723</v>
      </c>
      <c r="C11" s="312" t="s">
        <v>6354</v>
      </c>
      <c r="D11" s="388" t="s">
        <v>6355</v>
      </c>
      <c r="E11" s="126" t="s">
        <v>6356</v>
      </c>
      <c r="F11" s="308" t="str">
        <f>IFERROR(__xludf.DUMMYFUNCTION("GOOGLETRANSLATE(B11,""zh-tw"",""ja"")"),"-")</f>
        <v>-</v>
      </c>
      <c r="G11" s="312" t="s">
        <v>6357</v>
      </c>
      <c r="H11" s="388" t="s">
        <v>6358</v>
      </c>
      <c r="I11" s="126" t="s">
        <v>6359</v>
      </c>
      <c r="J11" s="308" t="str">
        <f>IFERROR(__xludf.DUMMYFUNCTION("GOOGLETRANSLATE(B11,""zh-tw"",""en"")"),"-")</f>
        <v>-</v>
      </c>
      <c r="K11" s="312" t="s">
        <v>6360</v>
      </c>
      <c r="L11" s="388" t="s">
        <v>6361</v>
      </c>
      <c r="M11" s="307" t="str">
        <f>IFERROR(__xludf.DUMMYFUNCTION("GOOGLETRANSLATE(A11,""zh-tw"",""zh"")"),"闪步禁止")</f>
        <v>闪步禁止</v>
      </c>
      <c r="N11" s="308" t="str">
        <f>IFERROR(__xludf.DUMMYFUNCTION("GOOGLETRANSLATE(B11,""zh-tw"",""zh"")"),"-")</f>
        <v>-</v>
      </c>
      <c r="O11" s="309" t="str">
        <f>IFERROR(__xludf.DUMMYFUNCTION("GOOGLETRANSLATE(C11,""zh-tw"",""zh"")"),"禁止发动闪步")</f>
        <v>禁止发动闪步</v>
      </c>
      <c r="P11" s="389"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1"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1"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7" t="str">
        <f>IFERROR(__xludf.DUMMYFUNCTION("GOOGLETRANSLATE(A11,""zh-tw"",""RU"")"),"Запрет на молниеносный шаг")</f>
        <v>Запрет на молниеносный шаг</v>
      </c>
      <c r="Z11" s="308" t="str">
        <f>IFERROR(__xludf.DUMMYFUNCTION("GOOGLETRANSLATE(B11,""zh-tw"",""RU"")"),"-")</f>
        <v>-</v>
      </c>
      <c r="AA11" s="309" t="str">
        <f>IFERROR(__xludf.DUMMYFUNCTION("GOOGLETRANSLATE(C11,""zh-tw"",""RU"")"),"Flash Step запрещен")</f>
        <v>Flash Step запрещен</v>
      </c>
      <c r="AB11" s="389" t="str">
        <f>IFERROR(__xludf.DUMMYFUNCTION("GOOGLETRANSLATE(D11,""zh-tw"",""RU"")"),"Период Flash Step CD")</f>
        <v>Период Flash Step CD</v>
      </c>
      <c r="AC11" s="307" t="str">
        <f>IFERROR(__xludf.DUMMYFUNCTION("GOOGLETRANSLATE(A11,""zh-tw"",""DE"")"),"Flash-Step-Verbot")</f>
        <v>Flash-Step-Verbot</v>
      </c>
      <c r="AD11" s="308" t="str">
        <f>IFERROR(__xludf.DUMMYFUNCTION("GOOGLETRANSLATE(B11,""zh-tw"",""DE"")"),"-")</f>
        <v>-</v>
      </c>
      <c r="AE11" s="309" t="str">
        <f>IFERROR(__xludf.DUMMYFUNCTION("GOOGLETRANSLATE(C11,""zh-tw"",""DE"")"),"Flash Step ist verboten")</f>
        <v>Flash Step ist verboten</v>
      </c>
      <c r="AF11" s="389" t="str">
        <f>IFERROR(__xludf.DUMMYFUNCTION("GOOGLETRANSLATE(D11,""zh-tw"",""DE"")"),"Flash Step CD-Zeitraum")</f>
        <v>Flash Step CD-Zeitraum</v>
      </c>
      <c r="AG11" s="94" t="s">
        <v>6362</v>
      </c>
      <c r="AH11" s="123" t="s">
        <v>723</v>
      </c>
      <c r="AI11" s="313" t="s">
        <v>6363</v>
      </c>
      <c r="AJ11" s="178" t="s">
        <v>6364</v>
      </c>
      <c r="AK11" s="388"/>
      <c r="AL11" s="388"/>
      <c r="AM11" s="388"/>
    </row>
    <row r="12">
      <c r="A12" s="126" t="s">
        <v>6365</v>
      </c>
      <c r="B12" s="310" t="s">
        <v>723</v>
      </c>
      <c r="C12" s="312" t="s">
        <v>6366</v>
      </c>
      <c r="D12" s="388" t="s">
        <v>6367</v>
      </c>
      <c r="E12" s="126" t="s">
        <v>6368</v>
      </c>
      <c r="F12" s="308" t="str">
        <f>IFERROR(__xludf.DUMMYFUNCTION("GOOGLETRANSLATE(B12,""zh-tw"",""ja"")"),"-")</f>
        <v>-</v>
      </c>
      <c r="G12" s="312" t="s">
        <v>6369</v>
      </c>
      <c r="H12" s="388" t="s">
        <v>6370</v>
      </c>
      <c r="I12" s="126" t="s">
        <v>6371</v>
      </c>
      <c r="J12" s="308" t="str">
        <f>IFERROR(__xludf.DUMMYFUNCTION("GOOGLETRANSLATE(B12,""zh-tw"",""en"")"),"-")</f>
        <v>-</v>
      </c>
      <c r="K12" s="312" t="s">
        <v>6372</v>
      </c>
      <c r="L12" s="388" t="s">
        <v>6373</v>
      </c>
      <c r="M12" s="307" t="str">
        <f>IFERROR(__xludf.DUMMYFUNCTION("GOOGLETRANSLATE(A12,""zh-tw"",""zh"")"),"眩晕")</f>
        <v>眩晕</v>
      </c>
      <c r="N12" s="308" t="str">
        <f>IFERROR(__xludf.DUMMYFUNCTION("GOOGLETRANSLATE(B12,""zh-tw"",""zh"")"),"-")</f>
        <v>-</v>
      </c>
      <c r="O12" s="309" t="str">
        <f>IFERROR(__xludf.DUMMYFUNCTION("GOOGLETRANSLATE(C12,""zh-tw"",""zh"")"),"转的头晕了。")</f>
        <v>转的头晕了。</v>
      </c>
      <c r="P12" s="389"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1"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1" t="str">
        <f>IFERROR(__xludf.DUMMYFUNCTION("GOOGLETRANSLATE(C12,""zh-tw"",""KO"")"),"나는 돌아서서 어지러움을 느낀다.")</f>
        <v>나는 돌아서서 어지러움을 느낀다.</v>
      </c>
      <c r="X12" s="108" t="str">
        <f>IFERROR(__xludf.DUMMYFUNCTION("GOOGLETRANSLATE(D12,""zh-tw"",""KO"")"),"근접 무기를 마우스 오른쪽 버튼으로 클릭한 후")</f>
        <v>근접 무기를 마우스 오른쪽 버튼으로 클릭한 후</v>
      </c>
      <c r="Y12" s="307" t="str">
        <f>IFERROR(__xludf.DUMMYFUNCTION("GOOGLETRANSLATE(A12,""zh-tw"",""RU"")"),"головокружение")</f>
        <v>головокружение</v>
      </c>
      <c r="Z12" s="308" t="str">
        <f>IFERROR(__xludf.DUMMYFUNCTION("GOOGLETRANSLATE(B12,""zh-tw"",""RU"")"),"-")</f>
        <v>-</v>
      </c>
      <c r="AA12" s="309" t="str">
        <f>IFERROR(__xludf.DUMMYFUNCTION("GOOGLETRANSLATE(C12,""zh-tw"",""RU"")"),"У меня кружится голова от вращения.")</f>
        <v>У меня кружится голова от вращения.</v>
      </c>
      <c r="AB12" s="389"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7" t="str">
        <f>IFERROR(__xludf.DUMMYFUNCTION("GOOGLETRANSLATE(A12,""zh-tw"",""DE"")"),"Schwindel")</f>
        <v>Schwindel</v>
      </c>
      <c r="AD12" s="308" t="str">
        <f>IFERROR(__xludf.DUMMYFUNCTION("GOOGLETRANSLATE(B12,""zh-tw"",""DE"")"),"-")</f>
        <v>-</v>
      </c>
      <c r="AE12" s="309" t="str">
        <f>IFERROR(__xludf.DUMMYFUNCTION("GOOGLETRANSLATE(C12,""zh-tw"",""DE"")"),"Mir wird schwindelig, weil ich mich im Kreis drehe.")</f>
        <v>Mir wird schwindelig, weil ich mich im Kreis drehe.</v>
      </c>
      <c r="AF12" s="389" t="str">
        <f>IFERROR(__xludf.DUMMYFUNCTION("GOOGLETRANSLATE(D12,""zh-tw"",""DE"")"),"Nach einem Rechtsklick auf eine Nahkampfwaffe")</f>
        <v>Nach einem Rechtsklick auf eine Nahkampfwaffe</v>
      </c>
      <c r="AG12" s="94" t="s">
        <v>6374</v>
      </c>
      <c r="AH12" s="123" t="s">
        <v>723</v>
      </c>
      <c r="AI12" s="313" t="s">
        <v>6375</v>
      </c>
      <c r="AJ12" s="178" t="s">
        <v>6376</v>
      </c>
      <c r="AK12" s="388"/>
      <c r="AL12" s="388"/>
      <c r="AM12" s="388"/>
    </row>
    <row r="13">
      <c r="A13" s="126" t="s">
        <v>6377</v>
      </c>
      <c r="B13" s="310" t="s">
        <v>723</v>
      </c>
      <c r="C13" s="312" t="s">
        <v>6378</v>
      </c>
      <c r="D13" s="388" t="s">
        <v>6379</v>
      </c>
      <c r="E13" s="307" t="str">
        <f>IFERROR(__xludf.DUMMYFUNCTION("GOOGLETRANSLATE(A13,""zh-tw"",""ja"")"),"呪文詠唱")</f>
        <v>呪文詠唱</v>
      </c>
      <c r="F13" s="308" t="str">
        <f>IFERROR(__xludf.DUMMYFUNCTION("GOOGLETRANSLATE(B13,""zh-tw"",""ja"")"),"-")</f>
        <v>-</v>
      </c>
      <c r="G13" s="309" t="str">
        <f>IFERROR(__xludf.DUMMYFUNCTION("GOOGLETRANSLATE(C13,""zh-tw"",""ja"")"),"魔法の詠唱")</f>
        <v>魔法の詠唱</v>
      </c>
      <c r="H13" s="389" t="str">
        <f>IFERROR(__xludf.DUMMYFUNCTION("GOOGLETRANSLATE(D13,""zh-tw"",""ja"")"),"杖武器の右マウスボタン")</f>
        <v>杖武器の右マウスボタン</v>
      </c>
      <c r="I13" s="126" t="s">
        <v>6380</v>
      </c>
      <c r="J13" s="308" t="str">
        <f>IFERROR(__xludf.DUMMYFUNCTION("GOOGLETRANSLATE(B13,""zh-tw"",""en"")"),"-")</f>
        <v>-</v>
      </c>
      <c r="K13" s="312" t="s">
        <v>6381</v>
      </c>
      <c r="L13" s="388" t="s">
        <v>6382</v>
      </c>
      <c r="M13" s="307" t="str">
        <f>IFERROR(__xludf.DUMMYFUNCTION("GOOGLETRANSLATE(A13,""zh-tw"",""zh"")"),"施法")</f>
        <v>施法</v>
      </c>
      <c r="N13" s="308" t="str">
        <f>IFERROR(__xludf.DUMMYFUNCTION("GOOGLETRANSLATE(B13,""zh-tw"",""zh"")"),"-")</f>
        <v>-</v>
      </c>
      <c r="O13" s="309" t="str">
        <f>IFERROR(__xludf.DUMMYFUNCTION("GOOGLETRANSLATE(C13,""zh-tw"",""zh"")"),"魔法吟唱中")</f>
        <v>魔法吟唱中</v>
      </c>
      <c r="P13" s="389"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1"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1" t="str">
        <f>IFERROR(__xludf.DUMMYFUNCTION("GOOGLETRANSLATE(C13,""zh-tw"",""KO"")"),"마법 주문")</f>
        <v>마법 주문</v>
      </c>
      <c r="X13" s="108" t="str">
        <f>IFERROR(__xludf.DUMMYFUNCTION("GOOGLETRANSLATE(D13,""zh-tw"",""KO"")"),"스태프 무기 오른쪽 마우스 버튼")</f>
        <v>스태프 무기 오른쪽 마우스 버튼</v>
      </c>
      <c r="Y13" s="307" t="str">
        <f>IFERROR(__xludf.DUMMYFUNCTION("GOOGLETRANSLATE(A13,""zh-tw"",""RU"")"),"Колдовство")</f>
        <v>Колдовство</v>
      </c>
      <c r="Z13" s="308" t="str">
        <f>IFERROR(__xludf.DUMMYFUNCTION("GOOGLETRANSLATE(B13,""zh-tw"",""RU"")"),"-")</f>
        <v>-</v>
      </c>
      <c r="AA13" s="309" t="str">
        <f>IFERROR(__xludf.DUMMYFUNCTION("GOOGLETRANSLATE(C13,""zh-tw"",""RU"")"),"Волшебное пение")</f>
        <v>Волшебное пение</v>
      </c>
      <c r="AB13" s="389" t="str">
        <f>IFERROR(__xludf.DUMMYFUNCTION("GOOGLETRANSLATE(D13,""zh-tw"",""RU"")"),"Оружие-посох, правая кнопка мыши")</f>
        <v>Оружие-посох, правая кнопка мыши</v>
      </c>
      <c r="AC13" s="307" t="str">
        <f>IFERROR(__xludf.DUMMYFUNCTION("GOOGLETRANSLATE(A13,""zh-tw"",""DE"")"),"Zauberei")</f>
        <v>Zauberei</v>
      </c>
      <c r="AD13" s="308" t="str">
        <f>IFERROR(__xludf.DUMMYFUNCTION("GOOGLETRANSLATE(B13,""zh-tw"",""DE"")"),"-")</f>
        <v>-</v>
      </c>
      <c r="AE13" s="309" t="str">
        <f>IFERROR(__xludf.DUMMYFUNCTION("GOOGLETRANSLATE(C13,""zh-tw"",""DE"")"),"Magischer Gesang")</f>
        <v>Magischer Gesang</v>
      </c>
      <c r="AF13" s="389" t="str">
        <f>IFERROR(__xludf.DUMMYFUNCTION("GOOGLETRANSLATE(D13,""zh-tw"",""DE"")"),"Rechte Maustaste für Stabwaffe")</f>
        <v>Rechte Maustaste für Stabwaffe</v>
      </c>
      <c r="AG13" s="94" t="s">
        <v>6383</v>
      </c>
      <c r="AH13" s="123" t="s">
        <v>723</v>
      </c>
      <c r="AI13" s="313" t="s">
        <v>6384</v>
      </c>
      <c r="AJ13" s="178" t="s">
        <v>6385</v>
      </c>
      <c r="AK13" s="388"/>
      <c r="AL13" s="388"/>
      <c r="AM13" s="388"/>
    </row>
    <row r="14">
      <c r="A14" s="126" t="s">
        <v>6386</v>
      </c>
      <c r="B14" s="310" t="s">
        <v>6387</v>
      </c>
      <c r="C14" s="312" t="s">
        <v>6388</v>
      </c>
      <c r="D14" s="388" t="s">
        <v>6389</v>
      </c>
      <c r="E14" s="126" t="s">
        <v>6386</v>
      </c>
      <c r="F14" s="310" t="s">
        <v>6390</v>
      </c>
      <c r="G14" s="312" t="s">
        <v>6391</v>
      </c>
      <c r="H14" s="388" t="s">
        <v>6392</v>
      </c>
      <c r="I14" s="126" t="s">
        <v>6393</v>
      </c>
      <c r="J14" s="310" t="s">
        <v>6394</v>
      </c>
      <c r="K14" s="312" t="s">
        <v>6395</v>
      </c>
      <c r="L14" s="388" t="s">
        <v>6396</v>
      </c>
      <c r="M14" s="307" t="str">
        <f>IFERROR(__xludf.DUMMYFUNCTION("GOOGLETRANSLATE(A14,""zh-tw"",""zh"")"),"中毒")</f>
        <v>中毒</v>
      </c>
      <c r="N14" s="308" t="str">
        <f>IFERROR(__xludf.DUMMYFUNCTION("GOOGLETRANSLATE(B14,""zh-tw"",""zh"")"),"体内感染了毒素")</f>
        <v>体内感染了毒素</v>
      </c>
      <c r="O14" s="309" t="str">
        <f>IFERROR(__xludf.DUMMYFUNCTION("GOOGLETRANSLATE(C14,""zh-tw"",""zh"")"),"随时间经过受到更多伤害")</f>
        <v>随时间经过受到更多伤害</v>
      </c>
      <c r="P14" s="389"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1"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1"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7" t="str">
        <f>IFERROR(__xludf.DUMMYFUNCTION("GOOGLETRANSLATE(A14,""zh-tw"",""RU"")"),"отравление")</f>
        <v>отравление</v>
      </c>
      <c r="Z14" s="308" t="str">
        <f>IFERROR(__xludf.DUMMYFUNCTION("GOOGLETRANSLATE(B14,""zh-tw"",""RU"")"),"Заражён токсинами")</f>
        <v>Заражён токсинами</v>
      </c>
      <c r="AA14" s="309" t="str">
        <f>IFERROR(__xludf.DUMMYFUNCTION("GOOGLETRANSLATE(C14,""zh-tw"",""RU"")"),"Получает больше урона с течением времени")</f>
        <v>Получает больше урона с течением времени</v>
      </c>
      <c r="AB14" s="389" t="str">
        <f>IFERROR(__xludf.DUMMYFUNCTION("GOOGLETRANSLATE(D14,""zh-tw"",""RU"")"),"Напали зомби")</f>
        <v>Напали зомби</v>
      </c>
      <c r="AC14" s="307" t="str">
        <f>IFERROR(__xludf.DUMMYFUNCTION("GOOGLETRANSLATE(A14,""zh-tw"",""DE"")"),"Vergiftung")</f>
        <v>Vergiftung</v>
      </c>
      <c r="AD14" s="308" t="str">
        <f>IFERROR(__xludf.DUMMYFUNCTION("GOOGLETRANSLATE(B14,""zh-tw"",""DE"")"),"Mit Giftstoffen infiziert")</f>
        <v>Mit Giftstoffen infiziert</v>
      </c>
      <c r="AE14" s="309" t="str">
        <f>IFERROR(__xludf.DUMMYFUNCTION("GOOGLETRANSLATE(C14,""zh-tw"",""DE"")"),"Erleidet mit der Zeit mehr Schaden")</f>
        <v>Erleidet mit der Zeit mehr Schaden</v>
      </c>
      <c r="AF14" s="389" t="str">
        <f>IFERROR(__xludf.DUMMYFUNCTION("GOOGLETRANSLATE(D14,""zh-tw"",""DE"")"),"Von Zombies angegriffen")</f>
        <v>Von Zombies angegriffen</v>
      </c>
      <c r="AG14" s="94" t="s">
        <v>6397</v>
      </c>
      <c r="AH14" s="123" t="s">
        <v>6398</v>
      </c>
      <c r="AI14" s="313" t="s">
        <v>6399</v>
      </c>
      <c r="AJ14" s="178" t="s">
        <v>6400</v>
      </c>
      <c r="AK14" s="388"/>
      <c r="AL14" s="388"/>
      <c r="AM14" s="388"/>
    </row>
    <row r="15">
      <c r="A15" s="126" t="s">
        <v>6401</v>
      </c>
      <c r="B15" s="310" t="s">
        <v>6402</v>
      </c>
      <c r="C15" s="312" t="s">
        <v>6403</v>
      </c>
      <c r="D15" s="388" t="s">
        <v>6404</v>
      </c>
      <c r="E15" s="307" t="str">
        <f>IFERROR(__xludf.DUMMYFUNCTION("GOOGLETRANSLATE(A15,""zh-tw"",""ja"")"),"出血")</f>
        <v>出血</v>
      </c>
      <c r="F15" s="310" t="s">
        <v>6405</v>
      </c>
      <c r="G15" s="309" t="str">
        <f>IFERROR(__xludf.DUMMYFUNCTION("GOOGLETRANSLATE(C15,""zh-tw"",""ja"")"),"最大スタミナに応じてダメージを受ける")</f>
        <v>最大スタミナに応じてダメージを受ける</v>
      </c>
      <c r="H15" s="388" t="s">
        <v>6406</v>
      </c>
      <c r="I15" s="307" t="str">
        <f>IFERROR(__xludf.DUMMYFUNCTION("GOOGLETRANSLATE(A15,""zh-tw"",""en"")"),"Bleeding")</f>
        <v>Bleeding</v>
      </c>
      <c r="J15" s="310" t="s">
        <v>6407</v>
      </c>
      <c r="K15" s="312" t="s">
        <v>6408</v>
      </c>
      <c r="L15" s="388" t="s">
        <v>6409</v>
      </c>
      <c r="M15" s="307" t="str">
        <f>IFERROR(__xludf.DUMMYFUNCTION("GOOGLETRANSLATE(A15,""zh-tw"",""zh"")"),"出血")</f>
        <v>出血</v>
      </c>
      <c r="N15" s="308" t="str">
        <f>IFERROR(__xludf.DUMMYFUNCTION("GOOGLETRANSLATE(B15,""zh-tw"",""zh"")"),"血流不止。")</f>
        <v>血流不止。</v>
      </c>
      <c r="O15" s="309" t="str">
        <f>IFERROR(__xludf.DUMMYFUNCTION("GOOGLETRANSLATE(C15,""zh-tw"",""zh"")"),"根据体力上限受到伤害")</f>
        <v>根据体力上限受到伤害</v>
      </c>
      <c r="P15" s="389"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1"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1"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7" t="str">
        <f>IFERROR(__xludf.DUMMYFUNCTION("GOOGLETRANSLATE(A15,""zh-tw"",""RU"")"),"Кровотечение")</f>
        <v>Кровотечение</v>
      </c>
      <c r="Z15" s="308" t="str">
        <f>IFERROR(__xludf.DUMMYFUNCTION("GOOGLETRANSLATE(B15,""zh-tw"",""RU"")"),"Кровотечение не останавливается.")</f>
        <v>Кровотечение не останавливается.</v>
      </c>
      <c r="AA15" s="309"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9" t="str">
        <f>IFERROR(__xludf.DUMMYFUNCTION("GOOGLETRANSLATE(D15,""zh-tw"",""RU"")"),"Атакован Маленьким Красным Зверем")</f>
        <v>Атакован Маленьким Красным Зверем</v>
      </c>
      <c r="AC15" s="307" t="str">
        <f>IFERROR(__xludf.DUMMYFUNCTION("GOOGLETRANSLATE(A15,""zh-tw"",""DE"")"),"Blutung")</f>
        <v>Blutung</v>
      </c>
      <c r="AD15" s="308" t="str">
        <f>IFERROR(__xludf.DUMMYFUNCTION("GOOGLETRANSLATE(B15,""zh-tw"",""DE"")"),"Die Blutung hört nicht auf.")</f>
        <v>Die Blutung hört nicht auf.</v>
      </c>
      <c r="AE15" s="309" t="str">
        <f>IFERROR(__xludf.DUMMYFUNCTION("GOOGLETRANSLATE(C15,""zh-tw"",""DE"")"),"Erleiden Sie Schaden basierend auf Ihrer maximalen Ausdauer")</f>
        <v>Erleiden Sie Schaden basierend auf Ihrer maximalen Ausdauer</v>
      </c>
      <c r="AF15" s="389" t="str">
        <f>IFERROR(__xludf.DUMMYFUNCTION("GOOGLETRANSLATE(D15,""zh-tw"",""DE"")"),"Von der kleinen roten Bestie angegriffen")</f>
        <v>Von der kleinen roten Bestie angegriffen</v>
      </c>
      <c r="AG15" s="94" t="s">
        <v>6410</v>
      </c>
      <c r="AH15" s="123" t="s">
        <v>6411</v>
      </c>
      <c r="AI15" s="313" t="s">
        <v>6412</v>
      </c>
      <c r="AJ15" s="178" t="s">
        <v>6413</v>
      </c>
      <c r="AK15" s="388"/>
      <c r="AL15" s="388"/>
      <c r="AM15" s="388"/>
    </row>
    <row r="16">
      <c r="A16" s="126" t="s">
        <v>6414</v>
      </c>
      <c r="B16" s="310" t="s">
        <v>6415</v>
      </c>
      <c r="C16" s="312" t="s">
        <v>6416</v>
      </c>
      <c r="D16" s="388" t="s">
        <v>6417</v>
      </c>
      <c r="E16" s="126" t="s">
        <v>6418</v>
      </c>
      <c r="F16" s="308" t="str">
        <f>IFERROR(__xludf.DUMMYFUNCTION("GOOGLETRANSLATE(B16,""zh-tw"",""ja"")"),"見てください、この男は雷に打たれました！")</f>
        <v>見てください、この男は雷に打たれました！</v>
      </c>
      <c r="G16" s="312" t="s">
        <v>6419</v>
      </c>
      <c r="H16" s="388" t="s">
        <v>6420</v>
      </c>
      <c r="I16" s="126" t="s">
        <v>6421</v>
      </c>
      <c r="J16" s="310" t="s">
        <v>6422</v>
      </c>
      <c r="K16" s="312" t="s">
        <v>6423</v>
      </c>
      <c r="L16" s="388" t="s">
        <v>6424</v>
      </c>
      <c r="M16" s="307" t="str">
        <f>IFERROR(__xludf.DUMMYFUNCTION("GOOGLETRANSLATE(A16,""zh-tw"",""zh"")"),"打雷")</f>
        <v>打雷</v>
      </c>
      <c r="N16" s="308" t="str">
        <f>IFERROR(__xludf.DUMMYFUNCTION("GOOGLETRANSLATE(B16,""zh-tw"",""zh"")"),"看啊，这家伙被雷劈了！")</f>
        <v>看啊，这家伙被雷劈了！</v>
      </c>
      <c r="O16" s="309" t="str">
        <f>IFERROR(__xludf.DUMMYFUNCTION("GOOGLETRANSLATE(C16,""zh-tw"",""zh"")"),"全身麻痹无法动弹！")</f>
        <v>全身麻痹无法动弹！</v>
      </c>
      <c r="P16" s="389"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1"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1"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7" t="str">
        <f>IFERROR(__xludf.DUMMYFUNCTION("GOOGLETRANSLATE(A16,""zh-tw"",""RU"")"),"гром")</f>
        <v>гром</v>
      </c>
      <c r="Z16" s="308" t="str">
        <f>IFERROR(__xludf.DUMMYFUNCTION("GOOGLETRANSLATE(B16,""zh-tw"",""RU"")"),"Смотри, в этого парня ударила молния!")</f>
        <v>Смотри, в этого парня ударила молния!</v>
      </c>
      <c r="AA16" s="309" t="str">
        <f>IFERROR(__xludf.DUMMYFUNCTION("GOOGLETRANSLATE(C16,""zh-tw"",""RU"")"),"Все мое тело парализовано, и я не могу двигаться!")</f>
        <v>Все мое тело парализовано, и я не могу двигаться!</v>
      </c>
      <c r="AB16" s="389"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7" t="str">
        <f>IFERROR(__xludf.DUMMYFUNCTION("GOOGLETRANSLATE(A16,""zh-tw"",""DE"")"),"Donner")</f>
        <v>Donner</v>
      </c>
      <c r="AD16" s="308" t="str">
        <f>IFERROR(__xludf.DUMMYFUNCTION("GOOGLETRANSLATE(B16,""zh-tw"",""DE"")"),"Schauen Sie, dieser Typ wurde vom Blitz getroffen!")</f>
        <v>Schauen Sie, dieser Typ wurde vom Blitz getroffen!</v>
      </c>
      <c r="AE16" s="309" t="str">
        <f>IFERROR(__xludf.DUMMYFUNCTION("GOOGLETRANSLATE(C16,""zh-tw"",""DE"")"),"Mein ganzer Körper ist gelähmt und ich kann mich nicht bewegen!")</f>
        <v>Mein ganzer Körper ist gelähmt und ich kann mich nicht bewegen!</v>
      </c>
      <c r="AF16" s="389" t="str">
        <f>IFERROR(__xludf.DUMMYFUNCTION("GOOGLETRANSLATE(D16,""zh-tw"",""DE"")"),"Defekte Produkte, bei denen Strom austritt, Bilibili Slime")</f>
        <v>Defekte Produkte, bei denen Strom austritt, Bilibili Slime</v>
      </c>
      <c r="AG16" s="94" t="s">
        <v>6425</v>
      </c>
      <c r="AH16" s="123" t="s">
        <v>6426</v>
      </c>
      <c r="AI16" s="313" t="s">
        <v>6427</v>
      </c>
      <c r="AJ16" s="178" t="s">
        <v>6428</v>
      </c>
      <c r="AK16" s="388"/>
      <c r="AL16" s="388"/>
      <c r="AM16" s="388"/>
    </row>
    <row r="17">
      <c r="A17" s="126" t="s">
        <v>6429</v>
      </c>
      <c r="B17" s="310" t="s">
        <v>6430</v>
      </c>
      <c r="C17" s="312" t="s">
        <v>6431</v>
      </c>
      <c r="D17" s="388" t="s">
        <v>6432</v>
      </c>
      <c r="E17" s="126" t="s">
        <v>6429</v>
      </c>
      <c r="F17" s="308" t="str">
        <f>IFERROR(__xludf.DUMMYFUNCTION("GOOGLETRANSLATE(B17,""zh-tw"",""ja"")"),"暑い、暑い、暑い——！")</f>
        <v>暑い、暑い、暑い——！</v>
      </c>
      <c r="G17" s="312" t="s">
        <v>6433</v>
      </c>
      <c r="H17" s="388" t="s">
        <v>6434</v>
      </c>
      <c r="I17" s="126" t="s">
        <v>6435</v>
      </c>
      <c r="J17" s="310" t="s">
        <v>6436</v>
      </c>
      <c r="K17" s="312" t="s">
        <v>6437</v>
      </c>
      <c r="L17" s="388" t="s">
        <v>6438</v>
      </c>
      <c r="M17" s="307" t="str">
        <f>IFERROR(__xludf.DUMMYFUNCTION("GOOGLETRANSLATE(A17,""zh-tw"",""zh"")"),"炎上")</f>
        <v>炎上</v>
      </c>
      <c r="N17" s="308" t="str">
        <f>IFERROR(__xludf.DUMMYFUNCTION("GOOGLETRANSLATE(B17,""zh-tw"",""zh"")"),"好烫好烫好烫——！")</f>
        <v>好烫好烫好烫——！</v>
      </c>
      <c r="O17" s="309" t="str">
        <f>IFERROR(__xludf.DUMMYFUNCTION("GOOGLETRANSLATE(C17,""zh-tw"",""zh"")"),"对自身范围内所有单位持续的灼烧")</f>
        <v>对自身范围内所有单位持续的灼烧</v>
      </c>
      <c r="P17" s="389"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1"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IFERROR(__xludf.DUMMYFUNCTION("GOOGLETRANSLATE(A17,""zh-tw"",""KO"")"),"옌샹")</f>
        <v>옌샹</v>
      </c>
      <c r="V17" s="121" t="str">
        <f>IFERROR(__xludf.DUMMYFUNCTION("GOOGLETRANSLATE(B17,""zh-tw"",""KO"")"),"너무 더워요, 너무 더워요, 너무 더워요——!")</f>
        <v>너무 더워요, 너무 더워요, 너무 더워요——!</v>
      </c>
      <c r="W17" s="311"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7" t="str">
        <f>IFERROR(__xludf.DUMMYFUNCTION("GOOGLETRANSLATE(A17,""zh-tw"",""RU"")"),"Ян Шан")</f>
        <v>Ян Шан</v>
      </c>
      <c r="Z17" s="308" t="str">
        <f>IFERROR(__xludf.DUMMYFUNCTION("GOOGLETRANSLATE(B17,""zh-tw"",""RU"")"),"Так жарко, так жарко, так жарко!")</f>
        <v>Так жарко, так жарко, так жарко!</v>
      </c>
      <c r="AA17" s="309"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9" t="str">
        <f>IFERROR(__xludf.DUMMYFUNCTION("GOOGLETRANSLATE(D17,""zh-tw"",""RU"")"),"Атака огнем")</f>
        <v>Атака огнем</v>
      </c>
      <c r="AC17" s="307" t="str">
        <f>IFERROR(__xludf.DUMMYFUNCTION("GOOGLETRANSLATE(A17,""zh-tw"",""DE"")"),"Yan Shang")</f>
        <v>Yan Shang</v>
      </c>
      <c r="AD17" s="308" t="str">
        <f>IFERROR(__xludf.DUMMYFUNCTION("GOOGLETRANSLATE(B17,""zh-tw"",""DE"")"),"Es ist so heiß, so heiß, so heiß——!")</f>
        <v>Es ist so heiß, so heiß, so heiß——!</v>
      </c>
      <c r="AE17" s="309" t="str">
        <f>IFERROR(__xludf.DUMMYFUNCTION("GOOGLETRANSLATE(C17,""zh-tw"",""DE"")"),"Verbrennt kontinuierlich alle Einheiten in seiner Reichweite")</f>
        <v>Verbrennt kontinuierlich alle Einheiten in seiner Reichweite</v>
      </c>
      <c r="AF17" s="389" t="str">
        <f>IFERROR(__xludf.DUMMYFUNCTION("GOOGLETRANSLATE(D17,""zh-tw"",""DE"")"),"Attribut „Angegriffen durch Feuer“")</f>
        <v>Attribut „Angegriffen durch Feuer“</v>
      </c>
      <c r="AG17" s="94" t="s">
        <v>6439</v>
      </c>
      <c r="AH17" s="123" t="s">
        <v>6440</v>
      </c>
      <c r="AI17" s="313" t="s">
        <v>6441</v>
      </c>
      <c r="AJ17" s="178" t="s">
        <v>6442</v>
      </c>
      <c r="AK17" s="388"/>
      <c r="AL17" s="388"/>
      <c r="AM17" s="388"/>
    </row>
    <row r="18">
      <c r="A18" s="126" t="s">
        <v>6443</v>
      </c>
      <c r="B18" s="310" t="s">
        <v>6444</v>
      </c>
      <c r="C18" s="312" t="s">
        <v>6445</v>
      </c>
      <c r="D18" s="388" t="s">
        <v>3748</v>
      </c>
      <c r="E18" s="126" t="s">
        <v>6446</v>
      </c>
      <c r="F18" s="308" t="str">
        <f>IFERROR(__xludf.DUMMYFUNCTION("GOOGLETRANSLATE(B18,""zh-tw"",""ja"")"),"アイスキャンディーに変身！")</f>
        <v>アイスキャンディーに変身！</v>
      </c>
      <c r="G18" s="312" t="s">
        <v>6447</v>
      </c>
      <c r="H18" s="388" t="s">
        <v>6448</v>
      </c>
      <c r="I18" s="126" t="s">
        <v>6449</v>
      </c>
      <c r="J18" s="310" t="s">
        <v>6450</v>
      </c>
      <c r="K18" s="312" t="s">
        <v>6451</v>
      </c>
      <c r="L18" s="388" t="s">
        <v>3752</v>
      </c>
      <c r="M18" s="307" t="str">
        <f>IFERROR(__xludf.DUMMYFUNCTION("GOOGLETRANSLATE(A18,""zh-tw"",""zh"")"),"冰结")</f>
        <v>冰结</v>
      </c>
      <c r="N18" s="308" t="str">
        <f>IFERROR(__xludf.DUMMYFUNCTION("GOOGLETRANSLATE(B18,""zh-tw"",""zh"")"),"变成冰棍吧！")</f>
        <v>变成冰棍吧！</v>
      </c>
      <c r="O18" s="309" t="str">
        <f>IFERROR(__xludf.DUMMYFUNCTION("GOOGLETRANSLATE(C18,""zh-tw"",""zh"")"),"被冻住了！")</f>
        <v>被冻住了！</v>
      </c>
      <c r="P18" s="389"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1"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1" t="str">
        <f>IFERROR(__xludf.DUMMYFUNCTION("GOOGLETRANSLATE(C18,""zh-tw"",""KO"")"),"언!")</f>
        <v>언!</v>
      </c>
      <c r="X18" s="108" t="str">
        <f>IFERROR(__xludf.DUMMYFUNCTION("GOOGLETRANSLATE(D18,""zh-tw"",""KO"")"),"얼어붙은 슬라임")</f>
        <v>얼어붙은 슬라임</v>
      </c>
      <c r="Y18" s="307" t="str">
        <f>IFERROR(__xludf.DUMMYFUNCTION("GOOGLETRANSLATE(A18,""zh-tw"",""RU"")"),"Заморозить")</f>
        <v>Заморозить</v>
      </c>
      <c r="Z18" s="308" t="str">
        <f>IFERROR(__xludf.DUMMYFUNCTION("GOOGLETRANSLATE(B18,""zh-tw"",""RU"")"),"Превратись в эскимо!")</f>
        <v>Превратись в эскимо!</v>
      </c>
      <c r="AA18" s="309" t="str">
        <f>IFERROR(__xludf.DUMMYFUNCTION("GOOGLETRANSLATE(C18,""zh-tw"",""RU"")"),"Заморожено!")</f>
        <v>Заморожено!</v>
      </c>
      <c r="AB18" s="389" t="str">
        <f>IFERROR(__xludf.DUMMYFUNCTION("GOOGLETRANSLATE(D18,""zh-tw"",""RU"")"),"Замороженная слизь")</f>
        <v>Замороженная слизь</v>
      </c>
      <c r="AC18" s="307" t="str">
        <f>IFERROR(__xludf.DUMMYFUNCTION("GOOGLETRANSLATE(A18,""zh-tw"",""DE"")"),"Einfrieren")</f>
        <v>Einfrieren</v>
      </c>
      <c r="AD18" s="308" t="str">
        <f>IFERROR(__xludf.DUMMYFUNCTION("GOOGLETRANSLATE(B18,""zh-tw"",""DE"")"),"Verwandle dich in ein Eis am Stiel!")</f>
        <v>Verwandle dich in ein Eis am Stiel!</v>
      </c>
      <c r="AE18" s="309" t="str">
        <f>IFERROR(__xludf.DUMMYFUNCTION("GOOGLETRANSLATE(C18,""zh-tw"",""DE"")"),"Gefroren!")</f>
        <v>Gefroren!</v>
      </c>
      <c r="AF18" s="389" t="str">
        <f>IFERROR(__xludf.DUMMYFUNCTION("GOOGLETRANSLATE(D18,""zh-tw"",""DE"")"),"Gefrorener Schleim")</f>
        <v>Gefrorener Schleim</v>
      </c>
      <c r="AG18" s="94" t="s">
        <v>6452</v>
      </c>
      <c r="AH18" s="123" t="s">
        <v>6453</v>
      </c>
      <c r="AI18" s="313" t="s">
        <v>6454</v>
      </c>
      <c r="AJ18" s="178" t="s">
        <v>3758</v>
      </c>
      <c r="AK18" s="388"/>
      <c r="AL18" s="388"/>
      <c r="AM18" s="388"/>
    </row>
    <row r="19">
      <c r="A19" s="126" t="s">
        <v>6455</v>
      </c>
      <c r="B19" s="310" t="s">
        <v>6456</v>
      </c>
      <c r="C19" s="312" t="s">
        <v>6457</v>
      </c>
      <c r="D19" s="388" t="s">
        <v>6458</v>
      </c>
      <c r="E19" s="126" t="s">
        <v>6459</v>
      </c>
      <c r="F19" s="308" t="str">
        <f>IFERROR(__xludf.DUMMYFUNCTION("GOOGLETRANSLATE(B19,""zh-tw"",""ja"")"),"ふふ、逆らうとこうなるのね～♡")</f>
        <v>ふふ、逆らうとこうなるのね～♡</v>
      </c>
      <c r="G19" s="312" t="s">
        <v>6460</v>
      </c>
      <c r="H19" s="389" t="str">
        <f>IFERROR(__xludf.DUMMYFUNCTION("GOOGLETRANSLATE(D19,""zh-tw"",""ja"")"),"ミステリーショップは魚をくれない")</f>
        <v>ミステリーショップは魚をくれない</v>
      </c>
      <c r="I19" s="126" t="s">
        <v>6461</v>
      </c>
      <c r="J19" s="310" t="s">
        <v>6462</v>
      </c>
      <c r="K19" s="312" t="s">
        <v>6463</v>
      </c>
      <c r="L19" s="388" t="s">
        <v>6464</v>
      </c>
      <c r="M19" s="307" t="str">
        <f>IFERROR(__xludf.DUMMYFUNCTION("GOOGLETRANSLATE(A19,""zh-tw"",""zh"")"),"恶魔诅咒")</f>
        <v>恶魔诅咒</v>
      </c>
      <c r="N19" s="308" t="str">
        <f>IFERROR(__xludf.DUMMYFUNCTION("GOOGLETRANSLATE(B19,""zh-tw"",""zh"")"),"呋呋，这就是反抗我的下场噢~♡")</f>
        <v>呋呋，这就是反抗我的下场噢~♡</v>
      </c>
      <c r="O19" s="309" t="str">
        <f>IFERROR(__xludf.DUMMYFUNCTION("GOOGLETRANSLATE(C19,""zh-tw"",""zh"")"),"被奇怪的小鬼店长诅咒了")</f>
        <v>被奇怪的小鬼店长诅咒了</v>
      </c>
      <c r="P19" s="389"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1"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1"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7" t="str">
        <f>IFERROR(__xludf.DUMMYFUNCTION("GOOGLETRANSLATE(A19,""zh-tw"",""RU"")"),"Демоническое проклятие")</f>
        <v>Демоническое проклятие</v>
      </c>
      <c r="Z19" s="308" t="str">
        <f>IFERROR(__xludf.DUMMYFUNCTION("GOOGLETRANSLATE(B19,""zh-tw"",""RU"")"),"Фуфу, вот что происходит, когда ты мне сопротивляешься~♡")</f>
        <v>Фуфу, вот что происходит, когда ты мне сопротивляешься~♡</v>
      </c>
      <c r="AA19" s="309"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9" t="str">
        <f>IFERROR(__xludf.DUMMYFUNCTION("GOOGLETRANSLATE(D19,""zh-tw"",""RU"")"),"Тайный магазин не даёт рыбу")</f>
        <v>Тайный магазин не даёт рыбу</v>
      </c>
      <c r="AC19" s="307" t="str">
        <f>IFERROR(__xludf.DUMMYFUNCTION("GOOGLETRANSLATE(A19,""zh-tw"",""DE"")"),"Dämonischer Fluch")</f>
        <v>Dämonischer Fluch</v>
      </c>
      <c r="AD19" s="308" t="str">
        <f>IFERROR(__xludf.DUMMYFUNCTION("GOOGLETRANSLATE(B19,""zh-tw"",""DE"")"),"Fufu, das passiert, wenn du dich mir widersetzt~♡")</f>
        <v>Fufu, das passiert, wenn du dich mir widersetzt~♡</v>
      </c>
      <c r="AE19" s="309" t="str">
        <f>IFERROR(__xludf.DUMMYFUNCTION("GOOGLETRANSLATE(C19,""zh-tw"",""DE"")"),"Verflucht vom seltsamen kleinen Geister-Ladenleiter")</f>
        <v>Verflucht vom seltsamen kleinen Geister-Ladenleiter</v>
      </c>
      <c r="AF19" s="389" t="str">
        <f>IFERROR(__xludf.DUMMYFUNCTION("GOOGLETRANSLATE(D19,""zh-tw"",""DE"")"),"Mystery Shop gibt keinen Fisch")</f>
        <v>Mystery Shop gibt keinen Fisch</v>
      </c>
      <c r="AG19" s="94" t="s">
        <v>6465</v>
      </c>
      <c r="AH19" s="123" t="s">
        <v>6466</v>
      </c>
      <c r="AI19" s="313" t="s">
        <v>6467</v>
      </c>
      <c r="AJ19" s="178" t="s">
        <v>6468</v>
      </c>
      <c r="AK19" s="388"/>
      <c r="AL19" s="388"/>
      <c r="AM19" s="388"/>
    </row>
    <row r="20">
      <c r="A20" s="126" t="s">
        <v>6469</v>
      </c>
      <c r="B20" s="310" t="s">
        <v>6470</v>
      </c>
      <c r="C20" s="312" t="s">
        <v>6471</v>
      </c>
      <c r="D20" s="388" t="s">
        <v>6472</v>
      </c>
      <c r="E20" s="126" t="s">
        <v>6473</v>
      </c>
      <c r="F20" s="308" t="str">
        <f>IFERROR(__xludf.DUMMYFUNCTION("GOOGLETRANSLATE(B20,""zh-tw"",""ja"")"),"ここは私の領土だから悪いことはしちゃダメよ♡！")</f>
        <v>ここは私の領土だから悪いことはしちゃダメよ♡！</v>
      </c>
      <c r="G20" s="309" t="str">
        <f>IFERROR(__xludf.DUMMYFUNCTION("GOOGLETRANSLATE(C20,""zh-tw"",""ja"")"),"攻撃的な行為は禁止されています")</f>
        <v>攻撃的な行為は禁止されています</v>
      </c>
      <c r="H20" s="389" t="str">
        <f>IFERROR(__xludf.DUMMYFUNCTION("GOOGLETRANSLATE(D20,""zh-tw"",""ja"")"),"ミステリーショップの近く")</f>
        <v>ミステリーショップの近く</v>
      </c>
      <c r="I20" s="126" t="s">
        <v>6474</v>
      </c>
      <c r="J20" s="310" t="s">
        <v>6475</v>
      </c>
      <c r="K20" s="312" t="s">
        <v>6476</v>
      </c>
      <c r="L20" s="388" t="s">
        <v>6477</v>
      </c>
      <c r="M20" s="307" t="str">
        <f>IFERROR(__xludf.DUMMYFUNCTION("GOOGLETRANSLATE(A20,""zh-tw"",""zh"")"),"禁止攻击")</f>
        <v>禁止攻击</v>
      </c>
      <c r="N20" s="308" t="str">
        <f>IFERROR(__xludf.DUMMYFUNCTION("GOOGLETRANSLATE(B20,""zh-tw"",""zh"")"),"这里可是我的领域噢，可不能做坏事呢♡！")</f>
        <v>这里可是我的领域噢，可不能做坏事呢♡！</v>
      </c>
      <c r="O20" s="309" t="str">
        <f>IFERROR(__xludf.DUMMYFUNCTION("GOOGLETRANSLATE(C20,""zh-tw"",""zh"")"),"攻击行为禁止")</f>
        <v>攻击行为禁止</v>
      </c>
      <c r="P20" s="389"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1"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1"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7" t="str">
        <f>IFERROR(__xludf.DUMMYFUNCTION("GOOGLETRANSLATE(A20,""zh-tw"",""RU"")"),"Нет атаки")</f>
        <v>Нет атаки</v>
      </c>
      <c r="Z20" s="308"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9" t="str">
        <f>IFERROR(__xludf.DUMMYFUNCTION("GOOGLETRANSLATE(C20,""zh-tw"",""RU"")"),"Оскорбительное поведение запрещено")</f>
        <v>Оскорбительное поведение запрещено</v>
      </c>
      <c r="AB20" s="389" t="str">
        <f>IFERROR(__xludf.DUMMYFUNCTION("GOOGLETRANSLATE(D20,""zh-tw"",""RU"")"),"Рядом с таинственным магазином")</f>
        <v>Рядом с таинственным магазином</v>
      </c>
      <c r="AC20" s="307" t="str">
        <f>IFERROR(__xludf.DUMMYFUNCTION("GOOGLETRANSLATE(A20,""zh-tw"",""DE"")"),"Kein Angriff")</f>
        <v>Kein Angriff</v>
      </c>
      <c r="AD20" s="308" t="str">
        <f>IFERROR(__xludf.DUMMYFUNCTION("GOOGLETRANSLATE(B20,""zh-tw"",""DE"")"),"Das ist mein Territorium, also kannst du nichts Schlimmes tun ♡!")</f>
        <v>Das ist mein Territorium, also kannst du nichts Schlimmes tun ♡!</v>
      </c>
      <c r="AE20" s="309" t="str">
        <f>IFERROR(__xludf.DUMMYFUNCTION("GOOGLETRANSLATE(C20,""zh-tw"",""DE"")"),"Anstößiges Verhalten ist verboten")</f>
        <v>Anstößiges Verhalten ist verboten</v>
      </c>
      <c r="AF20" s="389" t="str">
        <f>IFERROR(__xludf.DUMMYFUNCTION("GOOGLETRANSLATE(D20,""zh-tw"",""DE"")"),"In der Nähe des Mystery Shops")</f>
        <v>In der Nähe des Mystery Shops</v>
      </c>
      <c r="AG20" s="94" t="s">
        <v>6478</v>
      </c>
      <c r="AH20" s="123" t="s">
        <v>6479</v>
      </c>
      <c r="AI20" s="313" t="s">
        <v>6480</v>
      </c>
      <c r="AJ20" s="178" t="s">
        <v>6481</v>
      </c>
      <c r="AK20" s="388"/>
      <c r="AL20" s="388"/>
      <c r="AM20" s="388"/>
    </row>
    <row r="21">
      <c r="A21" s="126" t="s">
        <v>6482</v>
      </c>
      <c r="B21" s="310" t="s">
        <v>6483</v>
      </c>
      <c r="C21" s="312" t="s">
        <v>6484</v>
      </c>
      <c r="D21" s="388" t="s">
        <v>6485</v>
      </c>
      <c r="E21" s="126" t="s">
        <v>6486</v>
      </c>
      <c r="F21" s="310" t="s">
        <v>6487</v>
      </c>
      <c r="G21" s="312" t="s">
        <v>6488</v>
      </c>
      <c r="H21" s="389" t="str">
        <f>IFERROR(__xludf.DUMMYFUNCTION("GOOGLETRANSLATE(D21,""zh-tw"",""ja"")"),"妹にいたずらをして怒る")</f>
        <v>妹にいたずらをして怒る</v>
      </c>
      <c r="I21" s="126" t="s">
        <v>6489</v>
      </c>
      <c r="J21" s="310" t="s">
        <v>6490</v>
      </c>
      <c r="K21" s="312" t="s">
        <v>6491</v>
      </c>
      <c r="L21" s="388" t="s">
        <v>6492</v>
      </c>
      <c r="M21" s="307" t="str">
        <f>IFERROR(__xludf.DUMMYFUNCTION("GOOGLETRANSLATE(A21,""zh-tw"",""zh"")"),"不要受伤")</f>
        <v>不要受伤</v>
      </c>
      <c r="N21" s="308" t="str">
        <f>IFERROR(__xludf.DUMMYFUNCTION("GOOGLETRANSLATE(B21,""zh-tw"",""zh"")"),"和妹妹重要的约定，必须要遵守呢")</f>
        <v>和妹妹重要的约定，必须要遵守呢</v>
      </c>
      <c r="O21" s="309" t="str">
        <f>IFERROR(__xludf.DUMMYFUNCTION("GOOGLETRANSLATE(C21,""zh-tw"",""zh"")"),"不要重伤回家")</f>
        <v>不要重伤回家</v>
      </c>
      <c r="P21" s="389"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1"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1"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7" t="str">
        <f>IFERROR(__xludf.DUMMYFUNCTION("GOOGLETRANSLATE(A21,""zh-tw"",""RU"")"),"Не поранься")</f>
        <v>Не поранься</v>
      </c>
      <c r="Z21" s="308"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9" t="str">
        <f>IFERROR(__xludf.DUMMYFUNCTION("GOOGLETRANSLATE(C21,""zh-tw"",""RU"")"),"Не возвращайтесь домой с серьезными травмами.")</f>
        <v>Не возвращайтесь домой с серьезными травмами.</v>
      </c>
      <c r="AB21" s="389" t="str">
        <f>IFERROR(__xludf.DUMMYFUNCTION("GOOGLETRANSLATE(D21,""zh-tw"",""RU"")"),"Разозлиться, когда подшучиваешь над сестрой")</f>
        <v>Разозлиться, когда подшучиваешь над сестрой</v>
      </c>
      <c r="AC21" s="307" t="str">
        <f>IFERROR(__xludf.DUMMYFUNCTION("GOOGLETRANSLATE(A21,""zh-tw"",""DE"")"),"Lass dich nicht verletzen")</f>
        <v>Lass dich nicht verletzen</v>
      </c>
      <c r="AD21" s="308" t="str">
        <f>IFERROR(__xludf.DUMMYFUNCTION("GOOGLETRANSLATE(B21,""zh-tw"",""DE"")"),"Ich habe eine wichtige Vereinbarung mit meiner Schwester und muss sie einhalten.")</f>
        <v>Ich habe eine wichtige Vereinbarung mit meiner Schwester und muss sie einhalten.</v>
      </c>
      <c r="AE21" s="309" t="str">
        <f>IFERROR(__xludf.DUMMYFUNCTION("GOOGLETRANSLATE(C21,""zh-tw"",""DE"")"),"Gehen Sie nicht schwer verletzt nach Hause.")</f>
        <v>Gehen Sie nicht schwer verletzt nach Hause.</v>
      </c>
      <c r="AF21" s="389" t="str">
        <f>IFERROR(__xludf.DUMMYFUNCTION("GOOGLETRANSLATE(D21,""zh-tw"",""DE"")"),"Wütend werden, wenn man seiner Schwester einen Streich spielt")</f>
        <v>Wütend werden, wenn man seiner Schwester einen Streich spielt</v>
      </c>
      <c r="AG21" s="94" t="s">
        <v>6493</v>
      </c>
      <c r="AH21" s="123" t="s">
        <v>6494</v>
      </c>
      <c r="AI21" s="313" t="s">
        <v>6493</v>
      </c>
      <c r="AJ21" s="178" t="s">
        <v>6495</v>
      </c>
      <c r="AK21" s="388"/>
      <c r="AL21" s="388"/>
      <c r="AM21" s="388"/>
    </row>
    <row r="22">
      <c r="A22" s="126" t="s">
        <v>6496</v>
      </c>
      <c r="B22" s="310" t="s">
        <v>6483</v>
      </c>
      <c r="C22" s="312" t="s">
        <v>6497</v>
      </c>
      <c r="D22" s="388" t="s">
        <v>6485</v>
      </c>
      <c r="E22" s="126" t="s">
        <v>6498</v>
      </c>
      <c r="F22" s="310" t="s">
        <v>6487</v>
      </c>
      <c r="G22" s="309" t="str">
        <f>IFERROR(__xludf.DUMMYFUNCTION("GOOGLETRANSLATE(C22,""zh-tw"",""ja"")"),"肉料理の調理")</f>
        <v>肉料理の調理</v>
      </c>
      <c r="H22" s="389" t="str">
        <f>IFERROR(__xludf.DUMMYFUNCTION("GOOGLETRANSLATE(D22,""zh-tw"",""ja"")"),"妹にいたずらをして怒る")</f>
        <v>妹にいたずらをして怒る</v>
      </c>
      <c r="I22" s="126" t="s">
        <v>6499</v>
      </c>
      <c r="J22" s="310" t="s">
        <v>6490</v>
      </c>
      <c r="K22" s="309" t="str">
        <f>IFERROR(__xludf.DUMMYFUNCTION("GOOGLETRANSLATE(C22,""zh-tw"",""en"")"),"Cooking meat dishes")</f>
        <v>Cooking meat dishes</v>
      </c>
      <c r="L22" s="388" t="s">
        <v>6492</v>
      </c>
      <c r="M22" s="307" t="str">
        <f>IFERROR(__xludf.DUMMYFUNCTION("GOOGLETRANSLATE(A22,""zh-tw"",""zh"")"),"肉料理")</f>
        <v>肉料理</v>
      </c>
      <c r="N22" s="308" t="str">
        <f>IFERROR(__xludf.DUMMYFUNCTION("GOOGLETRANSLATE(B22,""zh-tw"",""zh"")"),"和妹妹重要的约定，必须要遵守呢")</f>
        <v>和妹妹重要的约定，必须要遵守呢</v>
      </c>
      <c r="O22" s="309" t="str">
        <f>IFERROR(__xludf.DUMMYFUNCTION("GOOGLETRANSLATE(C22,""zh-tw"",""zh"")"),"做肉料理")</f>
        <v>做肉料理</v>
      </c>
      <c r="P22" s="389"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1"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1"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7" t="str">
        <f>IFERROR(__xludf.DUMMYFUNCTION("GOOGLETRANSLATE(A22,""zh-tw"",""RU"")"),"Мясные блюда")</f>
        <v>Мясные блюда</v>
      </c>
      <c r="Z22" s="308"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9" t="str">
        <f>IFERROR(__xludf.DUMMYFUNCTION("GOOGLETRANSLATE(C22,""zh-tw"",""RU"")"),"Приготовление мясных блюд")</f>
        <v>Приготовление мясных блюд</v>
      </c>
      <c r="AB22" s="389" t="str">
        <f>IFERROR(__xludf.DUMMYFUNCTION("GOOGLETRANSLATE(D22,""zh-tw"",""RU"")"),"Разозлиться, когда подшучиваешь над сестрой")</f>
        <v>Разозлиться, когда подшучиваешь над сестрой</v>
      </c>
      <c r="AC22" s="307" t="str">
        <f>IFERROR(__xludf.DUMMYFUNCTION("GOOGLETRANSLATE(A22,""zh-tw"",""DE"")"),"Fleischgerichte")</f>
        <v>Fleischgerichte</v>
      </c>
      <c r="AD22" s="308" t="str">
        <f>IFERROR(__xludf.DUMMYFUNCTION("GOOGLETRANSLATE(B22,""zh-tw"",""DE"")"),"Ich habe eine wichtige Vereinbarung mit meiner Schwester und muss sie einhalten.")</f>
        <v>Ich habe eine wichtige Vereinbarung mit meiner Schwester und muss sie einhalten.</v>
      </c>
      <c r="AE22" s="309" t="str">
        <f>IFERROR(__xludf.DUMMYFUNCTION("GOOGLETRANSLATE(C22,""zh-tw"",""DE"")"),"Fleischgerichte kochen")</f>
        <v>Fleischgerichte kochen</v>
      </c>
      <c r="AF22" s="389" t="str">
        <f>IFERROR(__xludf.DUMMYFUNCTION("GOOGLETRANSLATE(D22,""zh-tw"",""DE"")"),"Wütend werden, wenn man seiner Schwester einen Streich spielt")</f>
        <v>Wütend werden, wenn man seiner Schwester einen Streich spielt</v>
      </c>
      <c r="AG22" s="94" t="s">
        <v>6500</v>
      </c>
      <c r="AH22" s="123" t="s">
        <v>6494</v>
      </c>
      <c r="AI22" s="313" t="s">
        <v>6501</v>
      </c>
      <c r="AJ22" s="178" t="s">
        <v>6495</v>
      </c>
      <c r="AK22" s="388"/>
      <c r="AL22" s="388"/>
      <c r="AM22" s="388"/>
    </row>
    <row r="23">
      <c r="A23" s="126" t="s">
        <v>6502</v>
      </c>
      <c r="B23" s="310" t="s">
        <v>6503</v>
      </c>
      <c r="C23" s="312" t="s">
        <v>6504</v>
      </c>
      <c r="D23" s="388" t="s">
        <v>245</v>
      </c>
      <c r="E23" s="126" t="s">
        <v>301</v>
      </c>
      <c r="F23" s="308" t="str">
        <f>IFERROR(__xludf.DUMMYFUNCTION("GOOGLETRANSLATE(B23,""zh-tw"",""ja"")"),".....")</f>
        <v>.....</v>
      </c>
      <c r="G23" s="312" t="s">
        <v>6505</v>
      </c>
      <c r="H23" s="388" t="s">
        <v>248</v>
      </c>
      <c r="I23" s="126" t="s">
        <v>6506</v>
      </c>
      <c r="J23" s="308" t="str">
        <f>IFERROR(__xludf.DUMMYFUNCTION("GOOGLETRANSLATE(B23,""zh-tw"",""en"")"),".....")</f>
        <v>.....</v>
      </c>
      <c r="K23" s="312" t="s">
        <v>6507</v>
      </c>
      <c r="L23" s="388" t="s">
        <v>250</v>
      </c>
      <c r="M23" s="307" t="str">
        <f>IFERROR(__xludf.DUMMYFUNCTION("GOOGLETRANSLATE(A23,""zh-tw"",""zh"")"),"到底忘记了什么")</f>
        <v>到底忘记了什么</v>
      </c>
      <c r="N23" s="308" t="str">
        <f>IFERROR(__xludf.DUMMYFUNCTION("GOOGLETRANSLATE(B23,""zh-tw"",""zh"")"),".....")</f>
        <v>.....</v>
      </c>
      <c r="O23" s="309" t="str">
        <f>IFERROR(__xludf.DUMMYFUNCTION("GOOGLETRANSLATE(C23,""zh-tw"",""zh"")"),"感觉忘记了什么重要的事情，总有一天会想起来吧？")</f>
        <v>感觉忘记了什么重要的事情，总有一天会想起来吧？</v>
      </c>
      <c r="P23" s="389"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1"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1"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7" t="str">
        <f>IFERROR(__xludf.DUMMYFUNCTION("GOOGLETRANSLATE(A23,""zh-tw"",""RU"")"),"Что я забыл?")</f>
        <v>Что я забыл?</v>
      </c>
      <c r="Z23" s="308" t="str">
        <f>IFERROR(__xludf.DUMMYFUNCTION("GOOGLETRANSLATE(B23,""zh-tw"",""RU"")"),".....")</f>
        <v>.....</v>
      </c>
      <c r="AA23" s="309"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9" t="str">
        <f>IFERROR(__xludf.DUMMYFUNCTION("GOOGLETRANSLATE(D23,""zh-tw"",""RU"")"),"Варианты открытия")</f>
        <v>Варианты открытия</v>
      </c>
      <c r="AC23" s="307" t="str">
        <f>IFERROR(__xludf.DUMMYFUNCTION("GOOGLETRANSLATE(A23,""zh-tw"",""DE"")"),"Was habe ich vergessen?")</f>
        <v>Was habe ich vergessen?</v>
      </c>
      <c r="AD23" s="308" t="str">
        <f>IFERROR(__xludf.DUMMYFUNCTION("GOOGLETRANSLATE(B23,""zh-tw"",""DE"")"),".....")</f>
        <v>.....</v>
      </c>
      <c r="AE23" s="309"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9" t="str">
        <f>IFERROR(__xludf.DUMMYFUNCTION("GOOGLETRANSLATE(D23,""zh-tw"",""DE"")"),"Öffnungsoptionen")</f>
        <v>Öffnungsoptionen</v>
      </c>
      <c r="AG23" s="94" t="s">
        <v>6508</v>
      </c>
      <c r="AH23" s="123" t="s">
        <v>6509</v>
      </c>
      <c r="AI23" s="313" t="s">
        <v>6510</v>
      </c>
      <c r="AJ23" s="178" t="s">
        <v>265</v>
      </c>
      <c r="AK23" s="388"/>
      <c r="AL23" s="388"/>
      <c r="AM23" s="388"/>
    </row>
    <row r="24">
      <c r="A24" s="126" t="s">
        <v>6511</v>
      </c>
      <c r="B24" s="310" t="s">
        <v>6512</v>
      </c>
      <c r="C24" s="312" t="s">
        <v>6513</v>
      </c>
      <c r="D24" s="388" t="s">
        <v>4316</v>
      </c>
      <c r="E24" s="126" t="s">
        <v>6514</v>
      </c>
      <c r="F24" s="310" t="s">
        <v>6515</v>
      </c>
      <c r="G24" s="309" t="str">
        <f>IFERROR(__xludf.DUMMYFUNCTION("GOOGLETRANSLATE(C24,""zh-tw"",""ja"")"),"体は常に悪臭を放っている")</f>
        <v>体は常に悪臭を放っている</v>
      </c>
      <c r="H24" s="388" t="s">
        <v>4318</v>
      </c>
      <c r="I24" s="126" t="s">
        <v>6516</v>
      </c>
      <c r="J24" s="310" t="s">
        <v>6517</v>
      </c>
      <c r="K24" s="312" t="s">
        <v>6518</v>
      </c>
      <c r="L24" s="388" t="s">
        <v>4319</v>
      </c>
      <c r="M24" s="307" t="str">
        <f>IFERROR(__xludf.DUMMYFUNCTION("GOOGLETRANSLATE(A24,""zh-tw"",""zh"")"),"浑身恶臭")</f>
        <v>浑身恶臭</v>
      </c>
      <c r="N24" s="308" t="str">
        <f>IFERROR(__xludf.DUMMYFUNCTION("GOOGLETRANSLATE(B24,""zh-tw"",""zh"")"),"浑身恶臭。")</f>
        <v>浑身恶臭。</v>
      </c>
      <c r="O24" s="309" t="str">
        <f>IFERROR(__xludf.DUMMYFUNCTION("GOOGLETRANSLATE(C24,""zh-tw"",""zh"")"),"身上不断散发着恶臭")</f>
        <v>身上不断散发着恶臭</v>
      </c>
      <c r="P24" s="389"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1"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1" t="str">
        <f>IFERROR(__xludf.DUMMYFUNCTION("GOOGLETRANSLATE(C24,""zh-tw"",""KO"")"),"몸에서 끊임없이 악취가 난다")</f>
        <v>몸에서 끊임없이 악취가 난다</v>
      </c>
      <c r="X24" s="108" t="str">
        <f>IFERROR(__xludf.DUMMYFUNCTION("GOOGLETRANSLATE(D24,""zh-tw"",""KO"")"),"냄새나는 생선 뼈")</f>
        <v>냄새나는 생선 뼈</v>
      </c>
      <c r="Y24" s="307" t="str">
        <f>IFERROR(__xludf.DUMMYFUNCTION("GOOGLETRANSLATE(A24,""zh-tw"",""RU"")"),"Пахнет плохо")</f>
        <v>Пахнет плохо</v>
      </c>
      <c r="Z24" s="308" t="str">
        <f>IFERROR(__xludf.DUMMYFUNCTION("GOOGLETRANSLATE(B24,""zh-tw"",""RU"")"),"Повсюду неприятный запах.")</f>
        <v>Повсюду неприятный запах.</v>
      </c>
      <c r="AA24" s="309" t="str">
        <f>IFERROR(__xludf.DUMMYFUNCTION("GOOGLETRANSLATE(C24,""zh-tw"",""RU"")"),"Тело постоянно испускает неприятный запах.")</f>
        <v>Тело постоянно испускает неприятный запах.</v>
      </c>
      <c r="AB24" s="389" t="str">
        <f>IFERROR(__xludf.DUMMYFUNCTION("GOOGLETRANSLATE(D24,""zh-tw"",""RU"")"),"Вонючие рыбьи кости")</f>
        <v>Вонючие рыбьи кости</v>
      </c>
      <c r="AC24" s="307" t="str">
        <f>IFERROR(__xludf.DUMMYFUNCTION("GOOGLETRANSLATE(A24,""zh-tw"",""DE"")"),"Riecht schlecht")</f>
        <v>Riecht schlecht</v>
      </c>
      <c r="AD24" s="308" t="str">
        <f>IFERROR(__xludf.DUMMYFUNCTION("GOOGLETRANSLATE(B24,""zh-tw"",""DE"")"),"Riecht überall schlecht.")</f>
        <v>Riecht überall schlecht.</v>
      </c>
      <c r="AE24" s="309" t="str">
        <f>IFERROR(__xludf.DUMMYFUNCTION("GOOGLETRANSLATE(C24,""zh-tw"",""DE"")"),"Der Körper verströmt ständig einen üblen Geruch")</f>
        <v>Der Körper verströmt ständig einen üblen Geruch</v>
      </c>
      <c r="AF24" s="389" t="str">
        <f>IFERROR(__xludf.DUMMYFUNCTION("GOOGLETRANSLATE(D24,""zh-tw"",""DE"")"),"Stinkende Fischgräten")</f>
        <v>Stinkende Fischgräten</v>
      </c>
      <c r="AG24" s="94" t="s">
        <v>6519</v>
      </c>
      <c r="AH24" s="123" t="s">
        <v>6520</v>
      </c>
      <c r="AI24" s="313" t="s">
        <v>6521</v>
      </c>
      <c r="AJ24" s="178" t="s">
        <v>4324</v>
      </c>
      <c r="AK24" s="388"/>
      <c r="AL24" s="388"/>
      <c r="AM24" s="388"/>
    </row>
    <row r="25">
      <c r="A25" s="126" t="s">
        <v>6522</v>
      </c>
      <c r="B25" s="310" t="s">
        <v>6523</v>
      </c>
      <c r="C25" s="312" t="s">
        <v>6524</v>
      </c>
      <c r="D25" s="388" t="s">
        <v>6525</v>
      </c>
      <c r="E25" s="307" t="str">
        <f>IFERROR(__xludf.DUMMYFUNCTION("GOOGLETRANSLATE(A25,""zh-tw"",""ja"")"),"美味しい")</f>
        <v>美味しい</v>
      </c>
      <c r="F25" s="308" t="str">
        <f>IFERROR(__xludf.DUMMYFUNCTION("GOOGLETRANSLATE(B25,""zh-tw"",""ja"")"),"美味しいものを食べてお腹が温まりました。")</f>
        <v>美味しいものを食べてお腹が温まりました。</v>
      </c>
      <c r="G25" s="309" t="str">
        <f>IFERROR(__xludf.DUMMYFUNCTION("GOOGLETRANSLATE(C25,""zh-tw"",""ja"")"),"毎秒少しずつ体力が回復する")</f>
        <v>毎秒少しずつ体力が回復する</v>
      </c>
      <c r="H25" s="389" t="str">
        <f>IFERROR(__xludf.DUMMYFUNCTION("GOOGLETRANSLATE(D25,""zh-tw"",""ja"")"),"美味しい料理")</f>
        <v>美味しい料理</v>
      </c>
      <c r="I25" s="126" t="s">
        <v>6526</v>
      </c>
      <c r="J25" s="310" t="s">
        <v>6527</v>
      </c>
      <c r="K25" s="312" t="s">
        <v>6528</v>
      </c>
      <c r="L25" s="388" t="s">
        <v>6529</v>
      </c>
      <c r="M25" s="307" t="str">
        <f>IFERROR(__xludf.DUMMYFUNCTION("GOOGLETRANSLATE(A25,""zh-tw"",""zh"")"),"美味い")</f>
        <v>美味い</v>
      </c>
      <c r="N25" s="308" t="str">
        <f>IFERROR(__xludf.DUMMYFUNCTION("GOOGLETRANSLATE(B25,""zh-tw"",""zh"")"),"吃到了美味的东西，肚子里暖暖的~")</f>
        <v>吃到了美味的东西，肚子里暖暖的~</v>
      </c>
      <c r="O25" s="309" t="str">
        <f>IFERROR(__xludf.DUMMYFUNCTION("GOOGLETRANSLATE(C25,""zh-tw"",""zh"")"),"每秒体力少量回复")</f>
        <v>每秒体力少量回复</v>
      </c>
      <c r="P25" s="389"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1"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1" t="str">
        <f>IFERROR(__xludf.DUMMYFUNCTION("GOOGLETRANSLATE(C25,""zh-tw"",""KO"")"),"1초당 소량의 체력이 회복됩니다.")</f>
        <v>1초당 소량의 체력이 회복됩니다.</v>
      </c>
      <c r="X25" s="108" t="str">
        <f>IFERROR(__xludf.DUMMYFUNCTION("GOOGLETRANSLATE(D25,""zh-tw"",""KO"")"),"맛있는 요리")</f>
        <v>맛있는 요리</v>
      </c>
      <c r="Y25" s="307" t="str">
        <f>IFERROR(__xludf.DUMMYFUNCTION("GOOGLETRANSLATE(A25,""zh-tw"",""RU"")"),"Вкусный")</f>
        <v>Вкусный</v>
      </c>
      <c r="Z25" s="308" t="str">
        <f>IFERROR(__xludf.DUMMYFUNCTION("GOOGLETRANSLATE(B25,""zh-tw"",""RU"")"),"Я съел что-то вкусное, и в животе стало тепло.")</f>
        <v>Я съел что-то вкусное, и в животе стало тепло.</v>
      </c>
      <c r="AA25" s="309"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9" t="str">
        <f>IFERROR(__xludf.DUMMYFUNCTION("GOOGLETRANSLATE(D25,""zh-tw"",""RU"")"),"Вкусная кухня")</f>
        <v>Вкусная кухня</v>
      </c>
      <c r="AC25" s="307" t="str">
        <f>IFERROR(__xludf.DUMMYFUNCTION("GOOGLETRANSLATE(A25,""zh-tw"",""DE"")"),"Lecker")</f>
        <v>Lecker</v>
      </c>
      <c r="AD25" s="308" t="str">
        <f>IFERROR(__xludf.DUMMYFUNCTION("GOOGLETRANSLATE(B25,""zh-tw"",""DE"")"),"Ich habe etwas Leckeres gegessen und mein Magen fühlte sich warm an.")</f>
        <v>Ich habe etwas Leckeres gegessen und mein Magen fühlte sich warm an.</v>
      </c>
      <c r="AE25" s="309" t="str">
        <f>IFERROR(__xludf.DUMMYFUNCTION("GOOGLETRANSLATE(C25,""zh-tw"",""DE"")"),"Pro Sekunde wird eine kleine Menge an körperlicher Kraft wiederhergestellt")</f>
        <v>Pro Sekunde wird eine kleine Menge an körperlicher Kraft wiederhergestellt</v>
      </c>
      <c r="AF25" s="389" t="str">
        <f>IFERROR(__xludf.DUMMYFUNCTION("GOOGLETRANSLATE(D25,""zh-tw"",""DE"")"),"Köstliche Küche")</f>
        <v>Köstliche Küche</v>
      </c>
      <c r="AG25" s="94" t="s">
        <v>6530</v>
      </c>
      <c r="AH25" s="123" t="s">
        <v>6531</v>
      </c>
      <c r="AI25" s="313" t="s">
        <v>6532</v>
      </c>
      <c r="AJ25" s="178" t="s">
        <v>6533</v>
      </c>
      <c r="AK25" s="388"/>
      <c r="AL25" s="388"/>
      <c r="AM25" s="388"/>
    </row>
    <row r="26">
      <c r="A26" s="126" t="s">
        <v>6534</v>
      </c>
      <c r="B26" s="310" t="s">
        <v>6535</v>
      </c>
      <c r="C26" s="312" t="s">
        <v>6536</v>
      </c>
      <c r="D26" s="388" t="s">
        <v>6537</v>
      </c>
      <c r="E26" s="126" t="s">
        <v>6538</v>
      </c>
      <c r="F26" s="310" t="s">
        <v>6539</v>
      </c>
      <c r="G26" s="309" t="str">
        <f>IFERROR(__xludf.DUMMYFUNCTION("GOOGLETRANSLATE(C26,""zh-tw"",""ja"")"),"攻撃力+50%")</f>
        <v>攻撃力+50%</v>
      </c>
      <c r="H26" s="389" t="str">
        <f>IFERROR(__xludf.DUMMYFUNCTION("GOOGLETRANSLATE(D26,""zh-tw"",""ja"")"),"食べ物")</f>
        <v>食べ物</v>
      </c>
      <c r="I26" s="126" t="s">
        <v>6540</v>
      </c>
      <c r="J26" s="310" t="s">
        <v>6541</v>
      </c>
      <c r="K26" s="312" t="s">
        <v>6542</v>
      </c>
      <c r="L26" s="388" t="s">
        <v>6543</v>
      </c>
      <c r="M26" s="307" t="str">
        <f>IFERROR(__xludf.DUMMYFUNCTION("GOOGLETRANSLATE(A26,""zh-tw"",""zh"")"),"力量提升")</f>
        <v>力量提升</v>
      </c>
      <c r="N26" s="308" t="str">
        <f>IFERROR(__xludf.DUMMYFUNCTION("GOOGLETRANSLATE(B26,""zh-tw"",""zh"")"),"力量……涌上来了！")</f>
        <v>力量……涌上来了！</v>
      </c>
      <c r="O26" s="309" t="str">
        <f>IFERROR(__xludf.DUMMYFUNCTION("GOOGLETRANSLATE(C26,""zh-tw"",""zh"")"),"攻击力+50%")</f>
        <v>攻击力+50%</v>
      </c>
      <c r="P26" s="389"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1"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1" t="str">
        <f>IFERROR(__xludf.DUMMYFUNCTION("GOOGLETRANSLATE(C26,""zh-tw"",""KO"")"),"공격력 +50%")</f>
        <v>공격력 +50%</v>
      </c>
      <c r="X26" s="108" t="str">
        <f>IFERROR(__xludf.DUMMYFUNCTION("GOOGLETRANSLATE(D26,""zh-tw"",""KO"")"),"음식")</f>
        <v>음식</v>
      </c>
      <c r="Y26" s="307" t="str">
        <f>IFERROR(__xludf.DUMMYFUNCTION("GOOGLETRANSLATE(A26,""zh-tw"",""RU"")"),"Улучшение силы")</f>
        <v>Улучшение силы</v>
      </c>
      <c r="Z26" s="308" t="str">
        <f>IFERROR(__xludf.DUMMYFUNCTION("GOOGLETRANSLATE(B26,""zh-tw"",""RU"")"),"Сила...приближается!")</f>
        <v>Сила...приближается!</v>
      </c>
      <c r="AA26" s="309" t="str">
        <f>IFERROR(__xludf.DUMMYFUNCTION("GOOGLETRANSLATE(C26,""zh-tw"",""RU"")"),"Сила атаки +50%")</f>
        <v>Сила атаки +50%</v>
      </c>
      <c r="AB26" s="389" t="str">
        <f>IFERROR(__xludf.DUMMYFUNCTION("GOOGLETRANSLATE(D26,""zh-tw"",""RU"")"),"еда")</f>
        <v>еда</v>
      </c>
      <c r="AC26" s="307" t="str">
        <f>IFERROR(__xludf.DUMMYFUNCTION("GOOGLETRANSLATE(A26,""zh-tw"",""DE"")"),"Kraftsteigerung")</f>
        <v>Kraftsteigerung</v>
      </c>
      <c r="AD26" s="308" t="str">
        <f>IFERROR(__xludf.DUMMYFUNCTION("GOOGLETRANSLATE(B26,""zh-tw"",""DE"")"),"Die Macht ... kommt!")</f>
        <v>Die Macht ... kommt!</v>
      </c>
      <c r="AE26" s="309" t="str">
        <f>IFERROR(__xludf.DUMMYFUNCTION("GOOGLETRANSLATE(C26,""zh-tw"",""DE"")"),"Angriffskraft +50 %")</f>
        <v>Angriffskraft +50 %</v>
      </c>
      <c r="AF26" s="389" t="str">
        <f>IFERROR(__xludf.DUMMYFUNCTION("GOOGLETRANSLATE(D26,""zh-tw"",""DE"")"),"Essen")</f>
        <v>Essen</v>
      </c>
      <c r="AG26" s="94" t="s">
        <v>6544</v>
      </c>
      <c r="AH26" s="123" t="s">
        <v>6545</v>
      </c>
      <c r="AI26" s="313" t="s">
        <v>6546</v>
      </c>
      <c r="AJ26" s="178" t="s">
        <v>6547</v>
      </c>
      <c r="AK26" s="388"/>
      <c r="AL26" s="388"/>
      <c r="AM26" s="388"/>
    </row>
    <row r="27">
      <c r="A27" s="126" t="s">
        <v>6548</v>
      </c>
      <c r="B27" s="310" t="s">
        <v>6549</v>
      </c>
      <c r="C27" s="312" t="s">
        <v>6550</v>
      </c>
      <c r="D27" s="388" t="s">
        <v>6537</v>
      </c>
      <c r="E27" s="126" t="s">
        <v>6551</v>
      </c>
      <c r="F27" s="310" t="s">
        <v>6552</v>
      </c>
      <c r="G27" s="309" t="str">
        <f>IFERROR(__xludf.DUMMYFUNCTION("GOOGLETRANSLATE(C27,""zh-tw"",""ja"")"),"魔法力+50%")</f>
        <v>魔法力+50%</v>
      </c>
      <c r="H27" s="389" t="str">
        <f>IFERROR(__xludf.DUMMYFUNCTION("GOOGLETRANSLATE(D27,""zh-tw"",""ja"")"),"食べ物")</f>
        <v>食べ物</v>
      </c>
      <c r="I27" s="126" t="s">
        <v>6553</v>
      </c>
      <c r="J27" s="310" t="s">
        <v>6554</v>
      </c>
      <c r="K27" s="312" t="s">
        <v>6555</v>
      </c>
      <c r="L27" s="388" t="s">
        <v>6543</v>
      </c>
      <c r="M27" s="307" t="str">
        <f>IFERROR(__xludf.DUMMYFUNCTION("GOOGLETRANSLATE(A27,""zh-tw"",""zh"")"),"魔力提升")</f>
        <v>魔力提升</v>
      </c>
      <c r="N27" s="308" t="str">
        <f>IFERROR(__xludf.DUMMYFUNCTION("GOOGLETRANSLATE(B27,""zh-tw"",""zh"")"),"我逐渐理解一切。")</f>
        <v>我逐渐理解一切。</v>
      </c>
      <c r="O27" s="309" t="str">
        <f>IFERROR(__xludf.DUMMYFUNCTION("GOOGLETRANSLATE(C27,""zh-tw"",""zh"")"),"魔功力+50%")</f>
        <v>魔功力+50%</v>
      </c>
      <c r="P27" s="389"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1"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되었다.")</f>
        <v>나는 점차 모든 것을 이해하게 되었다.</v>
      </c>
      <c r="W27" s="311" t="str">
        <f>IFERROR(__xludf.DUMMYFUNCTION("GOOGLETRANSLATE(C27,""zh-tw"",""KO"")"),"마법력 +50%")</f>
        <v>마법력 +50%</v>
      </c>
      <c r="X27" s="108" t="str">
        <f>IFERROR(__xludf.DUMMYFUNCTION("GOOGLETRANSLATE(D27,""zh-tw"",""KO"")"),"음식")</f>
        <v>음식</v>
      </c>
      <c r="Y27" s="307" t="str">
        <f>IFERROR(__xludf.DUMMYFUNCTION("GOOGLETRANSLATE(A27,""zh-tw"",""RU"")"),"Увеличение магической силы")</f>
        <v>Увеличение магической силы</v>
      </c>
      <c r="Z27" s="308" t="str">
        <f>IFERROR(__xludf.DUMMYFUNCTION("GOOGLETRANSLATE(B27,""zh-tw"",""RU"")"),"Постепенно я все понял.")</f>
        <v>Постепенно я все понял.</v>
      </c>
      <c r="AA27" s="309" t="str">
        <f>IFERROR(__xludf.DUMMYFUNCTION("GOOGLETRANSLATE(C27,""zh-tw"",""RU"")"),"Магическая сила +50%")</f>
        <v>Магическая сила +50%</v>
      </c>
      <c r="AB27" s="389" t="str">
        <f>IFERROR(__xludf.DUMMYFUNCTION("GOOGLETRANSLATE(D27,""zh-tw"",""RU"")"),"еда")</f>
        <v>еда</v>
      </c>
      <c r="AC27" s="307" t="str">
        <f>IFERROR(__xludf.DUMMYFUNCTION("GOOGLETRANSLATE(A27,""zh-tw"",""DE"")"),"Steigerung der magischen Kraft")</f>
        <v>Steigerung der magischen Kraft</v>
      </c>
      <c r="AD27" s="308" t="str">
        <f>IFERROR(__xludf.DUMMYFUNCTION("GOOGLETRANSLATE(B27,""zh-tw"",""DE"")"),"Nach und nach verstand ich alles.")</f>
        <v>Nach und nach verstand ich alles.</v>
      </c>
      <c r="AE27" s="309" t="str">
        <f>IFERROR(__xludf.DUMMYFUNCTION("GOOGLETRANSLATE(C27,""zh-tw"",""DE"")"),"Magische Kraft +50 %")</f>
        <v>Magische Kraft +50 %</v>
      </c>
      <c r="AF27" s="389" t="str">
        <f>IFERROR(__xludf.DUMMYFUNCTION("GOOGLETRANSLATE(D27,""zh-tw"",""DE"")"),"Essen")</f>
        <v>Essen</v>
      </c>
      <c r="AG27" s="94" t="s">
        <v>6556</v>
      </c>
      <c r="AH27" s="123" t="s">
        <v>6557</v>
      </c>
      <c r="AI27" s="313" t="s">
        <v>6558</v>
      </c>
      <c r="AJ27" s="178" t="s">
        <v>6547</v>
      </c>
      <c r="AK27" s="388"/>
      <c r="AL27" s="388"/>
      <c r="AM27" s="388"/>
    </row>
    <row r="28">
      <c r="A28" s="126" t="s">
        <v>6559</v>
      </c>
      <c r="B28" s="310" t="s">
        <v>6560</v>
      </c>
      <c r="C28" s="312" t="s">
        <v>6561</v>
      </c>
      <c r="D28" s="388" t="s">
        <v>6537</v>
      </c>
      <c r="E28" s="307" t="str">
        <f>IFERROR(__xludf.DUMMYFUNCTION("GOOGLETRANSLATE(A28,""zh-tw"",""ja"")"),"スピードアップ")</f>
        <v>スピードアップ</v>
      </c>
      <c r="F28" s="308" t="str">
        <f>IFERROR(__xludf.DUMMYFUNCTION("GOOGLETRANSLATE(B28,""zh-tw"",""ja"")"),"私のスピードについて来られますか？")</f>
        <v>私のスピードについて来られますか？</v>
      </c>
      <c r="G28" s="309" t="str">
        <f>IFERROR(__xludf.DUMMYFUNCTION("GOOGLETRANSLATE(C28,""zh-tw"",""ja"")"),"移動速度が上昇")</f>
        <v>移動速度が上昇</v>
      </c>
      <c r="H28" s="389" t="str">
        <f>IFERROR(__xludf.DUMMYFUNCTION("GOOGLETRANSLATE(D28,""zh-tw"",""ja"")"),"食べ物")</f>
        <v>食べ物</v>
      </c>
      <c r="I28" s="126" t="s">
        <v>6562</v>
      </c>
      <c r="J28" s="310" t="s">
        <v>6563</v>
      </c>
      <c r="K28" s="312" t="s">
        <v>6564</v>
      </c>
      <c r="L28" s="388" t="s">
        <v>6543</v>
      </c>
      <c r="M28" s="307" t="str">
        <f>IFERROR(__xludf.DUMMYFUNCTION("GOOGLETRANSLATE(A28,""zh-tw"",""zh"")"),"速度提升")</f>
        <v>速度提升</v>
      </c>
      <c r="N28" s="308" t="str">
        <f>IFERROR(__xludf.DUMMYFUNCTION("GOOGLETRANSLATE(B28,""zh-tw"",""zh"")"),"跟得上吗……我的SPEED！")</f>
        <v>跟得上吗……我的SPEED！</v>
      </c>
      <c r="O28" s="309" t="str">
        <f>IFERROR(__xludf.DUMMYFUNCTION("GOOGLETRANSLATE(C28,""zh-tw"",""zh"")"),"移动速度上升")</f>
        <v>移动速度上升</v>
      </c>
      <c r="P28" s="389"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1"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1" t="str">
        <f>IFERROR(__xludf.DUMMYFUNCTION("GOOGLETRANSLATE(C28,""zh-tw"",""KO"")"),"이동속도가 증가했습니다")</f>
        <v>이동속도가 증가했습니다</v>
      </c>
      <c r="X28" s="108" t="str">
        <f>IFERROR(__xludf.DUMMYFUNCTION("GOOGLETRANSLATE(D28,""zh-tw"",""KO"")"),"음식")</f>
        <v>음식</v>
      </c>
      <c r="Y28" s="307" t="str">
        <f>IFERROR(__xludf.DUMMYFUNCTION("GOOGLETRANSLATE(A28,""zh-tw"",""RU"")"),"Ускорение")</f>
        <v>Ускорение</v>
      </c>
      <c r="Z28" s="308" t="str">
        <f>IFERROR(__xludf.DUMMYFUNCTION("GOOGLETRANSLATE(B28,""zh-tw"",""RU"")"),"Сможешь ли ты угнаться за моей СКОРОСТЬЮ!")</f>
        <v>Сможешь ли ты угнаться за моей СКОРОСТЬЮ!</v>
      </c>
      <c r="AA28" s="309" t="str">
        <f>IFERROR(__xludf.DUMMYFUNCTION("GOOGLETRANSLATE(C28,""zh-tw"",""RU"")"),"Скорость движения увеличена")</f>
        <v>Скорость движения увеличена</v>
      </c>
      <c r="AB28" s="389" t="str">
        <f>IFERROR(__xludf.DUMMYFUNCTION("GOOGLETRANSLATE(D28,""zh-tw"",""RU"")"),"еда")</f>
        <v>еда</v>
      </c>
      <c r="AC28" s="307" t="str">
        <f>IFERROR(__xludf.DUMMYFUNCTION("GOOGLETRANSLATE(A28,""zh-tw"",""DE"")"),"Beschleunigen")</f>
        <v>Beschleunigen</v>
      </c>
      <c r="AD28" s="308" t="str">
        <f>IFERROR(__xludf.DUMMYFUNCTION("GOOGLETRANSLATE(B28,""zh-tw"",""DE"")"),"Kannst du mithalten ... mit meiner GESCHWINDIGKEIT!")</f>
        <v>Kannst du mithalten ... mit meiner GESCHWINDIGKEIT!</v>
      </c>
      <c r="AE28" s="309" t="str">
        <f>IFERROR(__xludf.DUMMYFUNCTION("GOOGLETRANSLATE(C28,""zh-tw"",""DE"")"),"Bewegungsgeschwindigkeit erhöht")</f>
        <v>Bewegungsgeschwindigkeit erhöht</v>
      </c>
      <c r="AF28" s="389" t="str">
        <f>IFERROR(__xludf.DUMMYFUNCTION("GOOGLETRANSLATE(D28,""zh-tw"",""DE"")"),"Essen")</f>
        <v>Essen</v>
      </c>
      <c r="AG28" s="94" t="s">
        <v>6565</v>
      </c>
      <c r="AH28" s="123" t="s">
        <v>6566</v>
      </c>
      <c r="AI28" s="313" t="s">
        <v>6567</v>
      </c>
      <c r="AJ28" s="178" t="s">
        <v>6547</v>
      </c>
      <c r="AK28" s="388"/>
      <c r="AL28" s="388"/>
      <c r="AM28" s="388"/>
    </row>
    <row r="29">
      <c r="A29" s="126" t="s">
        <v>6568</v>
      </c>
      <c r="B29" s="310" t="s">
        <v>6569</v>
      </c>
      <c r="C29" s="312" t="s">
        <v>6570</v>
      </c>
      <c r="D29" s="388" t="s">
        <v>6571</v>
      </c>
      <c r="E29" s="307" t="str">
        <f>IFERROR(__xludf.DUMMYFUNCTION("GOOGLETRANSLATE(A29,""zh-tw"",""ja"")"),"巨神兵")</f>
        <v>巨神兵</v>
      </c>
      <c r="F29" s="310" t="s">
        <v>6572</v>
      </c>
      <c r="G29" s="312" t="s">
        <v>6573</v>
      </c>
      <c r="H29" s="389" t="str">
        <f>IFERROR(__xludf.DUMMYFUNCTION("GOOGLETRANSLATE(D29,""zh-tw"",""ja"")"),"タロット")</f>
        <v>タロット</v>
      </c>
      <c r="I29" s="126" t="s">
        <v>6574</v>
      </c>
      <c r="J29" s="310" t="s">
        <v>6575</v>
      </c>
      <c r="K29" s="312" t="s">
        <v>6576</v>
      </c>
      <c r="L29" s="388" t="s">
        <v>6577</v>
      </c>
      <c r="M29" s="307" t="str">
        <f>IFERROR(__xludf.DUMMYFUNCTION("GOOGLETRANSLATE(A29,""zh-tw"",""zh"")"),"巨神兵")</f>
        <v>巨神兵</v>
      </c>
      <c r="N29" s="308" t="str">
        <f>IFERROR(__xludf.DUMMYFUNCTION("GOOGLETRANSLATE(B29,""zh-tw"",""zh"")"),"神兵天将")</f>
        <v>神兵天将</v>
      </c>
      <c r="O29" s="309" t="str">
        <f>IFERROR(__xludf.DUMMYFUNCTION("GOOGLETRANSLATE(C29,""zh-tw"",""zh"")"),"状态持续期间武器巨大化，提升攻击范围和伤害")</f>
        <v>状态持续期间武器巨大化，提升攻击范围和伤害</v>
      </c>
      <c r="P29" s="389"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1" t="str">
        <f>IFERROR(__xludf.DUMMYFUNCTION("GOOGLETRANSLATE(C29,""zh-tw"",""es-MX"")"),"Durante la duración del estado, el arma se vuelve más grande, aumentando el alcance del ataque y el daño.")</f>
        <v>Durante la duración del estado, el arma se vuelve más grande,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1" t="str">
        <f>IFERROR(__xludf.DUMMYFUNCTION("GOOGLETRANSLATE(C29,""zh-tw"",""KO"")"),"상태가 지속되는 동안 무기가 더 커져 공격 범위와 데미지가 증가합니다.")</f>
        <v>상태가 지속되는 동안 무기가 더 커져 공격 범위와 데미지가 증가합니다.</v>
      </c>
      <c r="X29" s="108" t="str">
        <f>IFERROR(__xludf.DUMMYFUNCTION("GOOGLETRANSLATE(D29,""zh-tw"",""KO"")"),"타로")</f>
        <v>타로</v>
      </c>
      <c r="Y29" s="307" t="str">
        <f>IFERROR(__xludf.DUMMYFUNCTION("GOOGLETRANSLATE(A29,""zh-tw"",""RU"")"),"Гигантский Божественный Солдат")</f>
        <v>Гигантский Божественный Солдат</v>
      </c>
      <c r="Z29" s="308" t="str">
        <f>IFERROR(__xludf.DUMMYFUNCTION("GOOGLETRANSLATE(B29,""zh-tw"",""RU"")"),"Божественные солдаты и небесные генералы")</f>
        <v>Божественные солдаты и небесные генералы</v>
      </c>
      <c r="AA29" s="309" t="str">
        <f>IFERROR(__xludf.DUMMYFUNCTION("GOOGLETRANSLATE(C29,""zh-tw"",""RU"")"),"Во время действия этого состояния оружие становится больше, увеличивая дальность атаки и урон.")</f>
        <v>Во время действия этого состояния оружие становится больше, увеличивая дальность атаки и урон.</v>
      </c>
      <c r="AB29" s="389" t="str">
        <f>IFERROR(__xludf.DUMMYFUNCTION("GOOGLETRANSLATE(D29,""zh-tw"",""RU"")"),"Таро")</f>
        <v>Таро</v>
      </c>
      <c r="AC29" s="307" t="str">
        <f>IFERROR(__xludf.DUMMYFUNCTION("GOOGLETRANSLATE(A29,""zh-tw"",""DE"")"),"Riesiger Gottessoldat")</f>
        <v>Riesiger Gottessoldat</v>
      </c>
      <c r="AD29" s="308" t="str">
        <f>IFERROR(__xludf.DUMMYFUNCTION("GOOGLETRANSLATE(B29,""zh-tw"",""DE"")"),"Göttliche Soldaten und himmlische Generäle")</f>
        <v>Göttliche Soldaten und himmlische Generäle</v>
      </c>
      <c r="AE29" s="309" t="str">
        <f>IFERROR(__xludf.DUMMYFUNCTION("GOOGLETRANSLATE(C29,""zh-tw"",""DE"")"),"Während der Dauer des Zustands wird die Waffe größer, wodurch die Angriffsreichweite und der Schaden erhöht werden")</f>
        <v>Während der Dauer des Zustands wird die Waffe größer, wodurch die Angriffsreichweite und der Schaden erhöht werden</v>
      </c>
      <c r="AF29" s="389" t="str">
        <f>IFERROR(__xludf.DUMMYFUNCTION("GOOGLETRANSLATE(D29,""zh-tw"",""DE"")"),"Tarot")</f>
        <v>Tarot</v>
      </c>
      <c r="AG29" s="94" t="s">
        <v>6578</v>
      </c>
      <c r="AH29" s="123" t="s">
        <v>6579</v>
      </c>
      <c r="AI29" s="313" t="s">
        <v>6580</v>
      </c>
      <c r="AJ29" s="178" t="s">
        <v>6581</v>
      </c>
      <c r="AK29" s="388"/>
      <c r="AL29" s="388"/>
      <c r="AM29" s="388"/>
    </row>
    <row r="30">
      <c r="A30" s="126" t="s">
        <v>6582</v>
      </c>
      <c r="B30" s="310" t="s">
        <v>6583</v>
      </c>
      <c r="C30" s="312" t="s">
        <v>6584</v>
      </c>
      <c r="D30" s="388" t="s">
        <v>6571</v>
      </c>
      <c r="E30" s="126" t="s">
        <v>6585</v>
      </c>
      <c r="F30" s="308" t="str">
        <f>IFERROR(__xludf.DUMMYFUNCTION("GOOGLETRANSLATE(B30,""zh-tw"",""ja"")"),"運命の流れ…")</f>
        <v>運命の流れ…</v>
      </c>
      <c r="G30" s="309" t="str">
        <f>IFERROR(__xludf.DUMMYFUNCTION("GOOGLETRANSLATE(C30,""zh-tw"",""ja"")"),"運命の祝福で幸せなことに出会いやすくなります！")</f>
        <v>運命の祝福で幸せなことに出会いやすくなります！</v>
      </c>
      <c r="H30" s="389" t="str">
        <f>IFERROR(__xludf.DUMMYFUNCTION("GOOGLETRANSLATE(D30,""zh-tw"",""ja"")"),"タロット")</f>
        <v>タロット</v>
      </c>
      <c r="I30" s="126" t="s">
        <v>6586</v>
      </c>
      <c r="J30" s="310" t="s">
        <v>6587</v>
      </c>
      <c r="K30" s="309" t="str">
        <f>IFERROR(__xludf.DUMMYFUNCTION("GOOGLETRANSLATE(C30,""zh-tw"",""en"")"),"With the blessing of fate, it is easier to encounter happy things!")</f>
        <v>With the blessing of fate, it is easier to encounter happy things!</v>
      </c>
      <c r="L30" s="388" t="s">
        <v>6588</v>
      </c>
      <c r="M30" s="307" t="str">
        <f>IFERROR(__xludf.DUMMYFUNCTION("GOOGLETRANSLATE(A30,""zh-tw"",""zh"")"),"命运之轮-正")</f>
        <v>命运之轮-正</v>
      </c>
      <c r="N30" s="308" t="str">
        <f>IFERROR(__xludf.DUMMYFUNCTION("GOOGLETRANSLATE(B30,""zh-tw"",""zh"")"),"命运的流动……")</f>
        <v>命运的流动……</v>
      </c>
      <c r="O30" s="309" t="str">
        <f>IFERROR(__xludf.DUMMYFUNCTION("GOOGLETRANSLATE(C30,""zh-tw"",""zh"")"),"得到命运的加护，更容易遇到开心的事情了！")</f>
        <v>得到命运的加护，更容易遇到开心的事情了！</v>
      </c>
      <c r="P30" s="389"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1"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1" t="str">
        <f>IFERROR(__xludf.DUMMYFUNCTION("GOOGLETRANSLATE(C30,""zh-tw"",""KO"")"),"운명의 축복을 받으면 행복한 일이 더 쉽게 찾아올 거예요!")</f>
        <v>운명의 축복을 받으면 행복한 일이 더 쉽게 찾아올 거예요!</v>
      </c>
      <c r="X30" s="108" t="str">
        <f>IFERROR(__xludf.DUMMYFUNCTION("GOOGLETRANSLATE(D30,""zh-tw"",""KO"")"),"타로")</f>
        <v>타로</v>
      </c>
      <c r="Y30" s="307" t="str">
        <f>IFERROR(__xludf.DUMMYFUNCTION("GOOGLETRANSLATE(A30,""zh-tw"",""RU"")"),"Колесо Фортуны-Позитив")</f>
        <v>Колесо Фортуны-Позитив</v>
      </c>
      <c r="Z30" s="308" t="str">
        <f>IFERROR(__xludf.DUMMYFUNCTION("GOOGLETRANSLATE(B30,""zh-tw"",""RU"")"),"Поток судьбы...")</f>
        <v>Поток судьбы...</v>
      </c>
      <c r="AA30" s="309"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9" t="str">
        <f>IFERROR(__xludf.DUMMYFUNCTION("GOOGLETRANSLATE(D30,""zh-tw"",""RU"")"),"Таро")</f>
        <v>Таро</v>
      </c>
      <c r="AC30" s="307" t="str">
        <f>IFERROR(__xludf.DUMMYFUNCTION("GOOGLETRANSLATE(A30,""zh-tw"",""DE"")"),"Glücksrad-Positiv")</f>
        <v>Glücksrad-Positiv</v>
      </c>
      <c r="AD30" s="308" t="str">
        <f>IFERROR(__xludf.DUMMYFUNCTION("GOOGLETRANSLATE(B30,""zh-tw"",""DE"")"),"Der Lauf des Schicksals...")</f>
        <v>Der Lauf des Schicksals...</v>
      </c>
      <c r="AE30" s="309" t="str">
        <f>IFERROR(__xludf.DUMMYFUNCTION("GOOGLETRANSLATE(C30,""zh-tw"",""DE"")"),"Mit dem Segen des Schicksals ist es einfacher, glücklichen Dingen zu begegnen!")</f>
        <v>Mit dem Segen des Schicksals ist es einfacher, glücklichen Dingen zu begegnen!</v>
      </c>
      <c r="AF30" s="389" t="str">
        <f>IFERROR(__xludf.DUMMYFUNCTION("GOOGLETRANSLATE(D30,""zh-tw"",""DE"")"),"Tarot")</f>
        <v>Tarot</v>
      </c>
      <c r="AG30" s="94" t="s">
        <v>6589</v>
      </c>
      <c r="AH30" s="123" t="s">
        <v>6590</v>
      </c>
      <c r="AI30" s="313" t="s">
        <v>6591</v>
      </c>
      <c r="AJ30" s="178" t="s">
        <v>6592</v>
      </c>
      <c r="AK30" s="388"/>
      <c r="AL30" s="388"/>
      <c r="AM30" s="388"/>
    </row>
    <row r="31">
      <c r="A31" s="126" t="s">
        <v>6593</v>
      </c>
      <c r="B31" s="310" t="s">
        <v>6594</v>
      </c>
      <c r="C31" s="312" t="s">
        <v>6595</v>
      </c>
      <c r="D31" s="388" t="s">
        <v>6571</v>
      </c>
      <c r="E31" s="126" t="s">
        <v>6596</v>
      </c>
      <c r="F31" s="308" t="str">
        <f>IFERROR(__xludf.DUMMYFUNCTION("GOOGLETRANSLATE(B31,""zh-tw"",""ja"")"),"運命は流れていく…")</f>
        <v>運命は流れていく…</v>
      </c>
      <c r="G31" s="309" t="str">
        <f>IFERROR(__xludf.DUMMYFUNCTION("GOOGLETRANSLATE(C31,""zh-tw"",""ja"")"),"運命の祝福により、悲しいことに遭遇しやすくなります！")</f>
        <v>運命の祝福により、悲しいことに遭遇しやすくなります！</v>
      </c>
      <c r="H31" s="389" t="str">
        <f>IFERROR(__xludf.DUMMYFUNCTION("GOOGLETRANSLATE(D31,""zh-tw"",""ja"")"),"タロット")</f>
        <v>タロット</v>
      </c>
      <c r="I31" s="126" t="s">
        <v>6597</v>
      </c>
      <c r="J31" s="310" t="s">
        <v>6598</v>
      </c>
      <c r="K31" s="309" t="str">
        <f>IFERROR(__xludf.DUMMYFUNCTION("GOOGLETRANSLATE(C31,""zh-tw"",""en"")"),"With the blessing of fate, it is easier to encounter sad things!")</f>
        <v>With the blessing of fate, it is easier to encounter sad things!</v>
      </c>
      <c r="L31" s="388" t="s">
        <v>6588</v>
      </c>
      <c r="M31" s="307" t="str">
        <f>IFERROR(__xludf.DUMMYFUNCTION("GOOGLETRANSLATE(A31,""zh-tw"",""zh"")"),"命运之轮-逆")</f>
        <v>命运之轮-逆</v>
      </c>
      <c r="N31" s="308" t="str">
        <f>IFERROR(__xludf.DUMMYFUNCTION("GOOGLETRANSLATE(B31,""zh-tw"",""zh"")"),"命运流动……")</f>
        <v>命运流动……</v>
      </c>
      <c r="O31" s="309" t="str">
        <f>IFERROR(__xludf.DUMMYFUNCTION("GOOGLETRANSLATE(C31,""zh-tw"",""zh"")"),"得到命运的加护，更容易遇到难过的事情了！")</f>
        <v>得到命运的加护，更容易遇到难过的事情了！</v>
      </c>
      <c r="P31" s="389"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1"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1"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7" t="str">
        <f>IFERROR(__xludf.DUMMYFUNCTION("GOOGLETRANSLATE(A31,""zh-tw"",""RU"")"),"Колесо Фортуны — Обратное")</f>
        <v>Колесо Фортуны — Обратное</v>
      </c>
      <c r="Z31" s="308" t="str">
        <f>IFERROR(__xludf.DUMMYFUNCTION("GOOGLETRANSLATE(B31,""zh-tw"",""RU"")"),"Судьба течет...")</f>
        <v>Судьба течет...</v>
      </c>
      <c r="AA31" s="309"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9" t="str">
        <f>IFERROR(__xludf.DUMMYFUNCTION("GOOGLETRANSLATE(D31,""zh-tw"",""RU"")"),"Таро")</f>
        <v>Таро</v>
      </c>
      <c r="AC31" s="307" t="str">
        <f>IFERROR(__xludf.DUMMYFUNCTION("GOOGLETRANSLATE(A31,""zh-tw"",""DE"")"),"Glücksrad - Rückwärts")</f>
        <v>Glücksrad - Rückwärts</v>
      </c>
      <c r="AD31" s="308" t="str">
        <f>IFERROR(__xludf.DUMMYFUNCTION("GOOGLETRANSLATE(B31,""zh-tw"",""DE"")"),"Das Schicksal fließt ...")</f>
        <v>Das Schicksal fließt ...</v>
      </c>
      <c r="AE31" s="309" t="str">
        <f>IFERROR(__xludf.DUMMYFUNCTION("GOOGLETRANSLATE(C31,""zh-tw"",""DE"")"),"Mit dem Segen des Schicksals ist es leichter, traurigen Dingen zu begegnen!")</f>
        <v>Mit dem Segen des Schicksals ist es leichter, traurigen Dingen zu begegnen!</v>
      </c>
      <c r="AF31" s="389" t="str">
        <f>IFERROR(__xludf.DUMMYFUNCTION("GOOGLETRANSLATE(D31,""zh-tw"",""DE"")"),"Tarot")</f>
        <v>Tarot</v>
      </c>
      <c r="AG31" s="94" t="s">
        <v>6599</v>
      </c>
      <c r="AH31" s="123" t="s">
        <v>6600</v>
      </c>
      <c r="AI31" s="313" t="s">
        <v>6601</v>
      </c>
      <c r="AJ31" s="178" t="s">
        <v>6592</v>
      </c>
      <c r="AK31" s="388"/>
      <c r="AL31" s="388"/>
      <c r="AM31" s="388"/>
    </row>
    <row r="32">
      <c r="A32" s="126" t="s">
        <v>6602</v>
      </c>
      <c r="B32" s="310" t="s">
        <v>6603</v>
      </c>
      <c r="C32" s="312" t="s">
        <v>6604</v>
      </c>
      <c r="D32" s="388" t="s">
        <v>5493</v>
      </c>
      <c r="E32" s="126" t="s">
        <v>6605</v>
      </c>
      <c r="F32" s="310" t="s">
        <v>6606</v>
      </c>
      <c r="G32" s="312" t="s">
        <v>6607</v>
      </c>
      <c r="H32" s="388" t="s">
        <v>5495</v>
      </c>
      <c r="I32" s="126" t="s">
        <v>6608</v>
      </c>
      <c r="J32" s="310" t="s">
        <v>6609</v>
      </c>
      <c r="K32" s="312" t="s">
        <v>6610</v>
      </c>
      <c r="L32" s="388" t="s">
        <v>5497</v>
      </c>
      <c r="M32" s="307" t="str">
        <f>IFERROR(__xludf.DUMMYFUNCTION("GOOGLETRANSLATE(A32,""zh-tw"",""zh"")"),"生命力")</f>
        <v>生命力</v>
      </c>
      <c r="N32" s="308" t="str">
        <f>IFERROR(__xludf.DUMMYFUNCTION("GOOGLETRANSLATE(B32,""zh-tw"",""zh"")"),"但是真的很难吃……")</f>
        <v>但是真的很难吃……</v>
      </c>
      <c r="O32" s="309" t="str">
        <f>IFERROR(__xludf.DUMMYFUNCTION("GOOGLETRANSLATE(C32,""zh-tw"",""zh"")"),"体内充满了生命力，体力增加了")</f>
        <v>体内充满了生命力，体力增加了</v>
      </c>
      <c r="P32" s="389"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1"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1" t="str">
        <f>IFERROR(__xludf.DUMMYFUNCTION("GOOGLETRANSLATE(C32,""zh-tw"",""KO"")"),"신체에 활력이 넘치고 체력이 증가합니다.")</f>
        <v>신체에 활력이 넘치고 체력이 증가합니다.</v>
      </c>
      <c r="X32" s="108" t="str">
        <f>IFERROR(__xludf.DUMMYFUNCTION("GOOGLETRANSLATE(D32,""zh-tw"",""KO"")"),"천상의 돌 조각")</f>
        <v>천상의 돌 조각</v>
      </c>
      <c r="Y32" s="307" t="str">
        <f>IFERROR(__xludf.DUMMYFUNCTION("GOOGLETRANSLATE(A32,""zh-tw"",""RU"")"),"жизненная сила")</f>
        <v>жизненная сила</v>
      </c>
      <c r="Z32" s="308" t="str">
        <f>IFERROR(__xludf.DUMMYFUNCTION("GOOGLETRANSLATE(B32,""zh-tw"",""RU"")"),"Но его действительно трудно есть...")</f>
        <v>Но его действительно трудно есть...</v>
      </c>
      <c r="AA32" s="309"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9" t="str">
        <f>IFERROR(__xludf.DUMMYFUNCTION("GOOGLETRANSLATE(D32,""zh-tw"",""RU"")"),"Фрагменты Небесного Камня")</f>
        <v>Фрагменты Небесного Камня</v>
      </c>
      <c r="AC32" s="307" t="str">
        <f>IFERROR(__xludf.DUMMYFUNCTION("GOOGLETRANSLATE(A32,""zh-tw"",""DE"")"),"Vitalität")</f>
        <v>Vitalität</v>
      </c>
      <c r="AD32" s="308" t="str">
        <f>IFERROR(__xludf.DUMMYFUNCTION("GOOGLETRANSLATE(B32,""zh-tw"",""DE"")"),"Aber es ist wirklich schwer zu essen …")</f>
        <v>Aber es ist wirklich schwer zu essen …</v>
      </c>
      <c r="AE32" s="309" t="str">
        <f>IFERROR(__xludf.DUMMYFUNCTION("GOOGLETRANSLATE(C32,""zh-tw"",""DE"")"),"Der Körper ist voller Vitalität und die körperliche Kraft wird gesteigert")</f>
        <v>Der Körper ist voller Vitalität und die körperliche Kraft wird gesteigert</v>
      </c>
      <c r="AF32" s="389" t="str">
        <f>IFERROR(__xludf.DUMMYFUNCTION("GOOGLETRANSLATE(D32,""zh-tw"",""DE"")"),"Fragmente des himmlischen Steins")</f>
        <v>Fragmente des himmlischen Steins</v>
      </c>
      <c r="AG32" s="94" t="s">
        <v>6611</v>
      </c>
      <c r="AH32" s="123" t="s">
        <v>6612</v>
      </c>
      <c r="AI32" s="313" t="s">
        <v>6613</v>
      </c>
      <c r="AJ32" s="178" t="s">
        <v>5502</v>
      </c>
      <c r="AK32" s="388"/>
      <c r="AL32" s="388"/>
      <c r="AM32" s="388"/>
    </row>
    <row r="33">
      <c r="A33" s="126" t="s">
        <v>6614</v>
      </c>
      <c r="B33" s="310" t="s">
        <v>6615</v>
      </c>
      <c r="C33" s="312" t="s">
        <v>6616</v>
      </c>
      <c r="D33" s="388" t="s">
        <v>6617</v>
      </c>
      <c r="E33" s="126" t="s">
        <v>6618</v>
      </c>
      <c r="F33" s="310" t="s">
        <v>6619</v>
      </c>
      <c r="G33" s="309" t="str">
        <f>IFERROR(__xludf.DUMMYFUNCTION("GOOGLETRANSLATE(C33,""zh-tw"",""ja"")"),"武器の性能を十分に発揮するには体力とスタミナが足りません!")</f>
        <v>武器の性能を十分に発揮するには体力とスタミナが足りません!</v>
      </c>
      <c r="H33" s="388" t="s">
        <v>6620</v>
      </c>
      <c r="I33" s="126" t="s">
        <v>6621</v>
      </c>
      <c r="J33" s="310" t="s">
        <v>6622</v>
      </c>
      <c r="K33" s="312" t="s">
        <v>6623</v>
      </c>
      <c r="L33" s="388" t="s">
        <v>6624</v>
      </c>
      <c r="M33" s="307" t="str">
        <f>IFERROR(__xludf.DUMMYFUNCTION("GOOGLETRANSLATE(A33,""zh-tw"",""zh"")"),"力不从心")</f>
        <v>力不从心</v>
      </c>
      <c r="N33" s="308" t="str">
        <f>IFERROR(__xludf.DUMMYFUNCTION("GOOGLETRANSLATE(B33,""zh-tw"",""zh"")"),"拿、拿不动了……")</f>
        <v>拿、拿不动了……</v>
      </c>
      <c r="O33" s="309" t="str">
        <f>IFERROR(__xludf.DUMMYFUNCTION("GOOGLETRANSLATE(C33,""zh-tw"",""zh"")"),"力量和体力不足，无法发挥武器性能！")</f>
        <v>力量和体力不足，无法发挥武器性能！</v>
      </c>
      <c r="P33" s="389"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1"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1"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7" t="str">
        <f>IFERROR(__xludf.DUMMYFUNCTION("GOOGLETRANSLATE(A33,""zh-tw"",""RU"")"),"Невозможность делать то, что хочется")</f>
        <v>Невозможность делать то, что хочется</v>
      </c>
      <c r="Z33" s="308" t="str">
        <f>IFERROR(__xludf.DUMMYFUNCTION("GOOGLETRANSLATE(B33,""zh-tw"",""RU"")"),"Я больше не могу его поднять...")</f>
        <v>Я больше не могу его поднять...</v>
      </c>
      <c r="AA33" s="309"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9" t="str">
        <f>IFERROR(__xludf.DUMMYFUNCTION("GOOGLETRANSLATE(D33,""zh-tw"",""RU"")"),"Серебряный Меч является условием достижения")</f>
        <v>Серебряный Меч является условием достижения</v>
      </c>
      <c r="AC33" s="307" t="str">
        <f>IFERROR(__xludf.DUMMYFUNCTION("GOOGLETRANSLATE(A33,""zh-tw"",""DE"")"),"Nicht tun können, was man will")</f>
        <v>Nicht tun können, was man will</v>
      </c>
      <c r="AD33" s="308" t="str">
        <f>IFERROR(__xludf.DUMMYFUNCTION("GOOGLETRANSLATE(B33,""zh-tw"",""DE"")"),"Ich kann es nicht mehr heben …")</f>
        <v>Ich kann es nicht mehr heben …</v>
      </c>
      <c r="AE33" s="309" t="str">
        <f>IFERROR(__xludf.DUMMYFUNCTION("GOOGLETRANSLATE(C33,""zh-tw"",""DE"")"),"Nicht genügend Kraft und Ausdauer, um die Leistung der Waffe voll auszunutzen!")</f>
        <v>Nicht genügend Kraft und Ausdauer, um die Leistung der Waffe voll auszunutzen!</v>
      </c>
      <c r="AF33" s="389" t="str">
        <f>IFERROR(__xludf.DUMMYFUNCTION("GOOGLETRANSLATE(D33,""zh-tw"",""DE"")"),"Silberschwert ist die Voraussetzung für den Erfolg")</f>
        <v>Silberschwert ist die Voraussetzung für den Erfolg</v>
      </c>
      <c r="AG33" s="94" t="s">
        <v>6625</v>
      </c>
      <c r="AH33" s="123" t="s">
        <v>6626</v>
      </c>
      <c r="AI33" s="313" t="s">
        <v>6627</v>
      </c>
      <c r="AJ33" s="178" t="s">
        <v>6628</v>
      </c>
      <c r="AK33" s="388"/>
      <c r="AL33" s="388"/>
      <c r="AM33" s="388"/>
    </row>
    <row r="34">
      <c r="A34" s="126" t="s">
        <v>6629</v>
      </c>
      <c r="B34" s="310" t="s">
        <v>6630</v>
      </c>
      <c r="C34" s="312" t="s">
        <v>6631</v>
      </c>
      <c r="D34" s="388" t="s">
        <v>4882</v>
      </c>
      <c r="E34" s="126" t="s">
        <v>6632</v>
      </c>
      <c r="F34" s="308" t="str">
        <f>IFERROR(__xludf.DUMMYFUNCTION("GOOGLETRANSLATE(B34,""zh-tw"",""ja"")"),"あなたに祝福を")</f>
        <v>あなたに祝福を</v>
      </c>
      <c r="G34" s="312" t="s">
        <v>6633</v>
      </c>
      <c r="H34" s="388" t="s">
        <v>4884</v>
      </c>
      <c r="I34" s="126" t="s">
        <v>6634</v>
      </c>
      <c r="J34" s="310" t="s">
        <v>6635</v>
      </c>
      <c r="K34" s="312" t="s">
        <v>6636</v>
      </c>
      <c r="L34" s="388" t="s">
        <v>4885</v>
      </c>
      <c r="M34" s="307" t="str">
        <f>IFERROR(__xludf.DUMMYFUNCTION("GOOGLETRANSLATE(A34,""zh-tw"",""zh"")"),"丰收的祝福")</f>
        <v>丰收的祝福</v>
      </c>
      <c r="N34" s="308" t="str">
        <f>IFERROR(__xludf.DUMMYFUNCTION("GOOGLETRANSLATE(B34,""zh-tw"",""zh"")"),"与汝享赐福")</f>
        <v>与汝享赐福</v>
      </c>
      <c r="O34" s="309" t="str">
        <f>IFERROR(__xludf.DUMMYFUNCTION("GOOGLETRANSLATE(C34,""zh-tw"",""zh"")"),"获得了圣杯的祝福，获取金钱翻倍")</f>
        <v>获得了圣杯的祝福，获取金钱翻倍</v>
      </c>
      <c r="P34" s="389"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1"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1"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7" t="str">
        <f>IFERROR(__xludf.DUMMYFUNCTION("GOOGLETRANSLATE(A34,""zh-tw"",""RU"")"),"Благословения урожая")</f>
        <v>Благословения урожая</v>
      </c>
      <c r="Z34" s="308" t="str">
        <f>IFERROR(__xludf.DUMMYFUNCTION("GOOGLETRANSLATE(B34,""zh-tw"",""RU"")"),"Да благословит вас Бог")</f>
        <v>Да благословит вас Бог</v>
      </c>
      <c r="AA34" s="309"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9" t="str">
        <f>IFERROR(__xludf.DUMMYFUNCTION("GOOGLETRANSLATE(D34,""zh-tw"",""RU"")"),"Ненаполненный Золотой Святой Грааль")</f>
        <v>Ненаполненный Золотой Святой Грааль</v>
      </c>
      <c r="AC34" s="307" t="str">
        <f>IFERROR(__xludf.DUMMYFUNCTION("GOOGLETRANSLATE(A34,""zh-tw"",""DE"")"),"Segen der Ernte")</f>
        <v>Segen der Ernte</v>
      </c>
      <c r="AD34" s="308" t="str">
        <f>IFERROR(__xludf.DUMMYFUNCTION("GOOGLETRANSLATE(B34,""zh-tw"",""DE"")"),"Segne dich mit")</f>
        <v>Segne dich mit</v>
      </c>
      <c r="AE34" s="309" t="str">
        <f>IFERROR(__xludf.DUMMYFUNCTION("GOOGLETRANSLATE(C34,""zh-tw"",""DE"")"),"Erhielt den Segen des Heiligen Grals und das verdiente Geld verdoppelte sich")</f>
        <v>Erhielt den Segen des Heiligen Grals und das verdiente Geld verdoppelte sich</v>
      </c>
      <c r="AF34" s="389" t="str">
        <f>IFERROR(__xludf.DUMMYFUNCTION("GOOGLETRANSLATE(D34,""zh-tw"",""DE"")"),"Der ungefüllte goldene Heilige Gral")</f>
        <v>Der ungefüllte goldene Heilige Gral</v>
      </c>
      <c r="AG34" s="94" t="s">
        <v>6637</v>
      </c>
      <c r="AH34" s="123" t="s">
        <v>6638</v>
      </c>
      <c r="AI34" s="313" t="s">
        <v>6639</v>
      </c>
      <c r="AJ34" s="178" t="s">
        <v>6640</v>
      </c>
      <c r="AK34" s="388"/>
      <c r="AL34" s="388"/>
      <c r="AM34" s="388"/>
    </row>
    <row r="35">
      <c r="A35" s="126" t="s">
        <v>6641</v>
      </c>
      <c r="B35" s="310" t="s">
        <v>723</v>
      </c>
      <c r="C35" s="312" t="s">
        <v>723</v>
      </c>
      <c r="D35" s="388" t="s">
        <v>6642</v>
      </c>
      <c r="E35" s="307" t="str">
        <f>IFERROR(__xludf.DUMMYFUNCTION("GOOGLETRANSLATE(A35,""zh-tw"",""ja"")"),"氷床")</f>
        <v>氷床</v>
      </c>
      <c r="F35" s="308" t="str">
        <f>IFERROR(__xludf.DUMMYFUNCTION("GOOGLETRANSLATE(B35,""zh-tw"",""ja"")"),"-")</f>
        <v>-</v>
      </c>
      <c r="G35" s="309" t="str">
        <f>IFERROR(__xludf.DUMMYFUNCTION("GOOGLETRANSLATE(C35,""zh-tw"",""ja"")"),"-")</f>
        <v>-</v>
      </c>
      <c r="H35" s="389" t="str">
        <f>IFERROR(__xludf.DUMMYFUNCTION("GOOGLETRANSLATE(D35,""zh-tw"",""ja"")"),"例えば、古いバージョンのIce Staff")</f>
        <v>例えば、古いバージョンのIce Staff</v>
      </c>
      <c r="I35" s="126" t="s">
        <v>6643</v>
      </c>
      <c r="J35" s="308" t="str">
        <f>IFERROR(__xludf.DUMMYFUNCTION("GOOGLETRANSLATE(B35,""zh-tw"",""en"")"),"-")</f>
        <v>-</v>
      </c>
      <c r="K35" s="309" t="str">
        <f>IFERROR(__xludf.DUMMYFUNCTION("GOOGLETRANSLATE(C35,""zh-tw"",""en"")"),"-")</f>
        <v>-</v>
      </c>
      <c r="L35" s="388" t="s">
        <v>6644</v>
      </c>
      <c r="M35" s="307" t="str">
        <f>IFERROR(__xludf.DUMMYFUNCTION("GOOGLETRANSLATE(A35,""zh-tw"",""zh"")"),"冰地板")</f>
        <v>冰地板</v>
      </c>
      <c r="N35" s="308" t="str">
        <f>IFERROR(__xludf.DUMMYFUNCTION("GOOGLETRANSLATE(B35,""zh-tw"",""zh"")"),"-")</f>
        <v>-</v>
      </c>
      <c r="O35" s="309" t="str">
        <f>IFERROR(__xludf.DUMMYFUNCTION("GOOGLETRANSLATE(C35,""zh-tw"",""zh"")"),"-")</f>
        <v>-</v>
      </c>
      <c r="P35" s="389"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1"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1" t="str">
        <f>IFERROR(__xludf.DUMMYFUNCTION("GOOGLETRANSLATE(C35,""zh-tw"",""KO"")"),"-")</f>
        <v>-</v>
      </c>
      <c r="X35" s="108" t="str">
        <f>IFERROR(__xludf.DUMMYFUNCTION("GOOGLETRANSLATE(D35,""zh-tw"",""KO"")"),"예를 들어: Ice Staff의 이전 버전")</f>
        <v>예를 들어: Ice Staff의 이전 버전</v>
      </c>
      <c r="Y35" s="307" t="str">
        <f>IFERROR(__xludf.DUMMYFUNCTION("GOOGLETRANSLATE(A35,""zh-tw"",""RU"")"),"Ледяной пол")</f>
        <v>Ледяной пол</v>
      </c>
      <c r="Z35" s="308" t="str">
        <f>IFERROR(__xludf.DUMMYFUNCTION("GOOGLETRANSLATE(B35,""zh-tw"",""RU"")"),"-")</f>
        <v>-</v>
      </c>
      <c r="AA35" s="309" t="str">
        <f>IFERROR(__xludf.DUMMYFUNCTION("GOOGLETRANSLATE(C35,""zh-tw"",""RU"")"),"-")</f>
        <v>-</v>
      </c>
      <c r="AB35" s="389" t="str">
        <f>IFERROR(__xludf.DUMMYFUNCTION("GOOGLETRANSLATE(D35,""zh-tw"",""RU"")"),"Например: старая версия Ice Staff")</f>
        <v>Например: старая версия Ice Staff</v>
      </c>
      <c r="AC35" s="307" t="str">
        <f>IFERROR(__xludf.DUMMYFUNCTION("GOOGLETRANSLATE(A35,""zh-tw"",""DE"")"),"Eisboden")</f>
        <v>Eisboden</v>
      </c>
      <c r="AD35" s="308" t="str">
        <f>IFERROR(__xludf.DUMMYFUNCTION("GOOGLETRANSLATE(B35,""zh-tw"",""DE"")"),"-")</f>
        <v>-</v>
      </c>
      <c r="AE35" s="309" t="str">
        <f>IFERROR(__xludf.DUMMYFUNCTION("GOOGLETRANSLATE(C35,""zh-tw"",""DE"")"),"-")</f>
        <v>-</v>
      </c>
      <c r="AF35" s="389" t="str">
        <f>IFERROR(__xludf.DUMMYFUNCTION("GOOGLETRANSLATE(D35,""zh-tw"",""DE"")"),"Zum Beispiel: die alte Version von Ice Staff")</f>
        <v>Zum Beispiel: die alte Version von Ice Staff</v>
      </c>
      <c r="AG35" s="94" t="s">
        <v>6645</v>
      </c>
      <c r="AH35" s="123" t="s">
        <v>723</v>
      </c>
      <c r="AI35" s="313" t="s">
        <v>723</v>
      </c>
      <c r="AJ35" s="178" t="s">
        <v>6646</v>
      </c>
      <c r="AK35" s="388"/>
      <c r="AL35" s="388"/>
      <c r="AM35" s="388"/>
    </row>
    <row r="36">
      <c r="A36" s="126" t="s">
        <v>6647</v>
      </c>
      <c r="B36" s="310" t="s">
        <v>6648</v>
      </c>
      <c r="C36" s="312" t="s">
        <v>6649</v>
      </c>
      <c r="D36" s="388" t="s">
        <v>4453</v>
      </c>
      <c r="E36" s="126" t="s">
        <v>4455</v>
      </c>
      <c r="F36" s="310" t="s">
        <v>6650</v>
      </c>
      <c r="G36" s="309" t="str">
        <f>IFERROR(__xludf.DUMMYFUNCTION("GOOGLETRANSLATE(C36,""zh-tw"",""ja"")"),"全属性が上昇、一時的に無敵")</f>
        <v>全属性が上昇、一時的に無敵</v>
      </c>
      <c r="H36" s="388" t="s">
        <v>4455</v>
      </c>
      <c r="I36" s="126" t="s">
        <v>4457</v>
      </c>
      <c r="J36" s="310" t="s">
        <v>6651</v>
      </c>
      <c r="K36" s="312" t="s">
        <v>6652</v>
      </c>
      <c r="L36" s="388" t="s">
        <v>4457</v>
      </c>
      <c r="M36" s="307" t="str">
        <f>IFERROR(__xludf.DUMMYFUNCTION("GOOGLETRANSLATE(A36,""zh-tw"",""zh"")"),"上古荣光")</f>
        <v>上古荣光</v>
      </c>
      <c r="N36" s="308" t="str">
        <f>IFERROR(__xludf.DUMMYFUNCTION("GOOGLETRANSLATE(B36,""zh-tw"",""zh"")"),"你散发着荣光")</f>
        <v>你散发着荣光</v>
      </c>
      <c r="O36" s="309" t="str">
        <f>IFERROR(__xludf.DUMMYFUNCTION("GOOGLETRANSLATE(C36,""zh-tw"",""zh"")"),"全属性上升，暂时无敌")</f>
        <v>全属性上升，暂时无敌</v>
      </c>
      <c r="P36" s="389"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1"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1" t="str">
        <f>IFERROR(__xludf.DUMMYFUNCTION("GOOGLETRANSLATE(C36,""zh-tw"",""KO"")"),"모든 속성 증가, 일시적으로 무적")</f>
        <v>모든 속성 증가, 일시적으로 무적</v>
      </c>
      <c r="X36" s="108" t="str">
        <f>IFERROR(__xludf.DUMMYFUNCTION("GOOGLETRANSLATE(D36,""zh-tw"",""KO"")"),"고대의 영광")</f>
        <v>고대의 영광</v>
      </c>
      <c r="Y36" s="307" t="str">
        <f>IFERROR(__xludf.DUMMYFUNCTION("GOOGLETRANSLATE(A36,""zh-tw"",""RU"")"),"Древняя слава")</f>
        <v>Древняя слава</v>
      </c>
      <c r="Z36" s="308" t="str">
        <f>IFERROR(__xludf.DUMMYFUNCTION("GOOGLETRANSLATE(B36,""zh-tw"",""RU"")"),"Ты излучаешь славу")</f>
        <v>Ты излучаешь славу</v>
      </c>
      <c r="AA36" s="309" t="str">
        <f>IFERROR(__xludf.DUMMYFUNCTION("GOOGLETRANSLATE(C36,""zh-tw"",""RU"")"),"Все характеристики увеличены, временно непобедим")</f>
        <v>Все характеристики увеличены, временно непобедим</v>
      </c>
      <c r="AB36" s="389" t="str">
        <f>IFERROR(__xludf.DUMMYFUNCTION("GOOGLETRANSLATE(D36,""zh-tw"",""RU"")"),"Древняя слава")</f>
        <v>Древняя слава</v>
      </c>
      <c r="AC36" s="88" t="str">
        <f>IFERROR(__xludf.DUMMYFUNCTION("GOOGLETRANSLATE(A36,""zh-tw"",""DE"")"),"Uralter Ruhm")</f>
        <v>Uralter Ruhm</v>
      </c>
      <c r="AD36" s="308" t="str">
        <f>IFERROR(__xludf.DUMMYFUNCTION("GOOGLETRANSLATE(B36,""zh-tw"",""DE"")"),"Du strahlst Ruhm aus")</f>
        <v>Du strahlst Ruhm aus</v>
      </c>
      <c r="AE36" s="309" t="str">
        <f>IFERROR(__xludf.DUMMYFUNCTION("GOOGLETRANSLATE(C36,""zh-tw"",""DE"")"),"Alle Attribute erhöht, vorübergehend unbesiegbar")</f>
        <v>Alle Attribute erhöht, vorübergehend unbesiegbar</v>
      </c>
      <c r="AF36" s="389" t="str">
        <f>IFERROR(__xludf.DUMMYFUNCTION("GOOGLETRANSLATE(D36,""zh-tw"",""DE"")"),"Uralter Ruhm")</f>
        <v>Uralter Ruhm</v>
      </c>
      <c r="AG36" s="94" t="s">
        <v>6653</v>
      </c>
      <c r="AH36" s="123" t="s">
        <v>6654</v>
      </c>
      <c r="AI36" s="313" t="s">
        <v>6655</v>
      </c>
      <c r="AJ36" s="178" t="s">
        <v>6653</v>
      </c>
      <c r="AK36" s="388"/>
      <c r="AL36" s="388"/>
      <c r="AM36" s="388"/>
    </row>
    <row r="37">
      <c r="A37" s="126" t="s">
        <v>2540</v>
      </c>
      <c r="B37" s="310" t="s">
        <v>6656</v>
      </c>
      <c r="C37" s="312" t="s">
        <v>6657</v>
      </c>
      <c r="D37" s="388" t="s">
        <v>6658</v>
      </c>
      <c r="E37" s="126" t="s">
        <v>2543</v>
      </c>
      <c r="F37" s="310" t="s">
        <v>6659</v>
      </c>
      <c r="G37" s="309" t="str">
        <f>IFERROR(__xludf.DUMMYFUNCTION("GOOGLETRANSLATE(C37,""zh-tw"",""ja"")"),"体力を回復できない")</f>
        <v>体力を回復できない</v>
      </c>
      <c r="H37" s="388" t="s">
        <v>4089</v>
      </c>
      <c r="I37" s="126" t="s">
        <v>4091</v>
      </c>
      <c r="J37" s="310" t="s">
        <v>6660</v>
      </c>
      <c r="K37" s="312" t="s">
        <v>6661</v>
      </c>
      <c r="L37" s="388" t="s">
        <v>4091</v>
      </c>
      <c r="M37" s="307" t="str">
        <f>IFERROR(__xludf.DUMMYFUNCTION("GOOGLETRANSLATE(A37,""zh-tw"",""zh"")"),"稻草人")</f>
        <v>稻草人</v>
      </c>
      <c r="N37" s="308" t="str">
        <f>IFERROR(__xludf.DUMMYFUNCTION("GOOGLETRANSLATE(B37,""zh-tw"",""zh"")"),"不死的稻草人之心")</f>
        <v>不死的稻草人之心</v>
      </c>
      <c r="O37" s="309" t="str">
        <f>IFERROR(__xludf.DUMMYFUNCTION("GOOGLETRANSLATE(C37,""zh-tw"",""zh"")"),"无法回复体力")</f>
        <v>无法回复体力</v>
      </c>
      <c r="P37" s="389"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1"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1" t="str">
        <f>IFERROR(__xludf.DUMMYFUNCTION("GOOGLETRANSLATE(C37,""zh-tw"",""KO"")"),"체력 회복이 안됨")</f>
        <v>체력 회복이 안됨</v>
      </c>
      <c r="X37" s="108" t="str">
        <f>IFERROR(__xludf.DUMMYFUNCTION("GOOGLETRANSLATE(D37,""zh-tw"",""KO"")"),"허수아비 하트")</f>
        <v>허수아비 하트</v>
      </c>
      <c r="Y37" s="307" t="str">
        <f>IFERROR(__xludf.DUMMYFUNCTION("GOOGLETRANSLATE(A37,""zh-tw"",""RU"")"),"пугало")</f>
        <v>пугало</v>
      </c>
      <c r="Z37" s="308" t="str">
        <f>IFERROR(__xludf.DUMMYFUNCTION("GOOGLETRANSLATE(B37,""zh-tw"",""RU"")"),"Сердце Бессмертного Пугала")</f>
        <v>Сердце Бессмертного Пугала</v>
      </c>
      <c r="AA37" s="309" t="str">
        <f>IFERROR(__xludf.DUMMYFUNCTION("GOOGLETRANSLATE(C37,""zh-tw"",""RU"")"),"Невозможно восстановить физические силы")</f>
        <v>Невозможно восстановить физические силы</v>
      </c>
      <c r="AB37" s="389" t="str">
        <f>IFERROR(__xludf.DUMMYFUNCTION("GOOGLETRANSLATE(D37,""zh-tw"",""RU"")"),"Сердце пугала")</f>
        <v>Сердце пугала</v>
      </c>
      <c r="AC37" s="307" t="str">
        <f>IFERROR(__xludf.DUMMYFUNCTION("GOOGLETRANSLATE(A37,""zh-tw"",""DE"")"),"Vogelscheuche")</f>
        <v>Vogelscheuche</v>
      </c>
      <c r="AD37" s="308" t="str">
        <f>IFERROR(__xludf.DUMMYFUNCTION("GOOGLETRANSLATE(B37,""zh-tw"",""DE"")"),"Das Herz der unsterblichen Vogelscheuche")</f>
        <v>Das Herz der unsterblichen Vogelscheuche</v>
      </c>
      <c r="AE37" s="309" t="str">
        <f>IFERROR(__xludf.DUMMYFUNCTION("GOOGLETRANSLATE(C37,""zh-tw"",""DE"")"),"Unfähig, die körperliche Stärke wiederherzustellen")</f>
        <v>Unfähig, die körperliche Stärke wiederherzustellen</v>
      </c>
      <c r="AF37" s="389" t="str">
        <f>IFERROR(__xludf.DUMMYFUNCTION("GOOGLETRANSLATE(D37,""zh-tw"",""DE"")"),"Vogelscheuchenherz")</f>
        <v>Vogelscheuchenherz</v>
      </c>
      <c r="AG37" s="94" t="s">
        <v>4097</v>
      </c>
      <c r="AH37" s="123" t="s">
        <v>6662</v>
      </c>
      <c r="AI37" s="313" t="s">
        <v>6663</v>
      </c>
      <c r="AJ37" s="178" t="s">
        <v>4097</v>
      </c>
      <c r="AK37" s="388"/>
      <c r="AL37" s="388"/>
      <c r="AM37" s="388"/>
    </row>
    <row r="38">
      <c r="A38" s="126" t="s">
        <v>6664</v>
      </c>
      <c r="B38" s="310" t="s">
        <v>723</v>
      </c>
      <c r="C38" s="312" t="s">
        <v>6665</v>
      </c>
      <c r="D38" s="388" t="s">
        <v>6666</v>
      </c>
      <c r="E38" s="307" t="str">
        <f>IFERROR(__xludf.DUMMYFUNCTION("GOOGLETRANSLATE(A38,""zh-tw"",""ja"")"),"水泳")</f>
        <v>水泳</v>
      </c>
      <c r="F38" s="308" t="str">
        <f>IFERROR(__xludf.DUMMYFUNCTION("GOOGLETRANSLATE(B38,""zh-tw"",""ja"")"),"-")</f>
        <v>-</v>
      </c>
      <c r="G38" s="309" t="str">
        <f>IFERROR(__xludf.DUMMYFUNCTION("GOOGLETRANSLATE(C38,""zh-tw"",""ja"")"),"水に浮いているため、移動速度が低下し、攻撃ができなくなります")</f>
        <v>水に浮いているため、移動速度が低下し、攻撃ができなくなります</v>
      </c>
      <c r="H38" s="389" t="str">
        <f>IFERROR(__xludf.DUMMYFUNCTION("GOOGLETRANSLATE(D38,""zh-tw"",""ja"")"),"泳ぐ")</f>
        <v>泳ぐ</v>
      </c>
      <c r="I38" s="126" t="s">
        <v>6667</v>
      </c>
      <c r="J38" s="308" t="str">
        <f>IFERROR(__xludf.DUMMYFUNCTION("GOOGLETRANSLATE(B38,""zh-tw"",""en"")"),"-")</f>
        <v>-</v>
      </c>
      <c r="K38" s="312" t="s">
        <v>6668</v>
      </c>
      <c r="L38" s="388" t="s">
        <v>6669</v>
      </c>
      <c r="M38" s="307" t="str">
        <f>IFERROR(__xludf.DUMMYFUNCTION("GOOGLETRANSLATE(A38,""zh-tw"",""zh"")"),"游泳中")</f>
        <v>游泳中</v>
      </c>
      <c r="N38" s="308" t="str">
        <f>IFERROR(__xludf.DUMMYFUNCTION("GOOGLETRANSLATE(B38,""zh-tw"",""zh"")"),"-")</f>
        <v>-</v>
      </c>
      <c r="O38" s="309" t="str">
        <f>IFERROR(__xludf.DUMMYFUNCTION("GOOGLETRANSLATE(C38,""zh-tw"",""zh"")"),"浮在水面上，移速下降，无法攻击")</f>
        <v>浮在水面上，移速下降，无法攻击</v>
      </c>
      <c r="P38" s="389" t="str">
        <f>IFERROR(__xludf.DUMMYFUNCTION("GOOGLETRANSLATE(D38,""zh-tw"",""zh"")"),"游泳")</f>
        <v>游泳</v>
      </c>
      <c r="Q38" s="88" t="str">
        <f>IFERROR(__xludf.DUMMYFUNCTION("GOOGLETRANSLATE(A38,""zh-tw"",""es-MX"")"),"Nadar")</f>
        <v>Nadar</v>
      </c>
      <c r="R38" s="121" t="str">
        <f>IFERROR(__xludf.DUMMYFUNCTION("GOOGLETRANSLATE(B38,""zh-tw"",""es-MX"")"),"-")</f>
        <v>-</v>
      </c>
      <c r="S38" s="311"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1" t="str">
        <f>IFERROR(__xludf.DUMMYFUNCTION("GOOGLETRANSLATE(C38,""zh-tw"",""KO"")"),"물 위에 떠서 이동속도 감소, 공격 불가")</f>
        <v>물 위에 떠서 이동속도 감소, 공격 불가</v>
      </c>
      <c r="X38" s="108" t="str">
        <f>IFERROR(__xludf.DUMMYFUNCTION("GOOGLETRANSLATE(D38,""zh-tw"",""KO"")"),"헤엄")</f>
        <v>헤엄</v>
      </c>
      <c r="Y38" s="307" t="str">
        <f>IFERROR(__xludf.DUMMYFUNCTION("GOOGLETRANSLATE(A38,""zh-tw"",""RU"")"),"Плавание")</f>
        <v>Плавание</v>
      </c>
      <c r="Z38" s="308" t="str">
        <f>IFERROR(__xludf.DUMMYFUNCTION("GOOGLETRANSLATE(B38,""zh-tw"",""RU"")"),"-")</f>
        <v>-</v>
      </c>
      <c r="AA38" s="309"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9" t="str">
        <f>IFERROR(__xludf.DUMMYFUNCTION("GOOGLETRANSLATE(D38,""zh-tw"",""RU"")"),"плавать")</f>
        <v>плавать</v>
      </c>
      <c r="AC38" s="307" t="str">
        <f>IFERROR(__xludf.DUMMYFUNCTION("GOOGLETRANSLATE(A38,""zh-tw"",""DE"")"),"Baden")</f>
        <v>Baden</v>
      </c>
      <c r="AD38" s="308" t="str">
        <f>IFERROR(__xludf.DUMMYFUNCTION("GOOGLETRANSLATE(B38,""zh-tw"",""DE"")"),"-")</f>
        <v>-</v>
      </c>
      <c r="AE38" s="309" t="str">
        <f>IFERROR(__xludf.DUMMYFUNCTION("GOOGLETRANSLATE(C38,""zh-tw"",""DE"")"),"Auf dem Wasser treibend, Bewegungsgeschwindigkeit verringert, nicht in der Lage anzugreifen")</f>
        <v>Auf dem Wasser treibend, Bewegungsgeschwindigkeit verringert, nicht in der Lage anzugreifen</v>
      </c>
      <c r="AF38" s="389" t="str">
        <f>IFERROR(__xludf.DUMMYFUNCTION("GOOGLETRANSLATE(D38,""zh-tw"",""DE"")"),"schwimmen")</f>
        <v>schwimmen</v>
      </c>
      <c r="AG38" s="94" t="s">
        <v>6670</v>
      </c>
      <c r="AH38" s="123" t="s">
        <v>723</v>
      </c>
      <c r="AI38" s="313" t="s">
        <v>6671</v>
      </c>
      <c r="AJ38" s="178" t="s">
        <v>6672</v>
      </c>
      <c r="AK38" s="388"/>
      <c r="AL38" s="388"/>
      <c r="AM38" s="388"/>
    </row>
    <row r="39">
      <c r="A39" s="126" t="s">
        <v>6673</v>
      </c>
      <c r="B39" s="310" t="s">
        <v>6674</v>
      </c>
      <c r="C39" s="312" t="s">
        <v>6675</v>
      </c>
      <c r="D39" s="388" t="s">
        <v>4277</v>
      </c>
      <c r="E39" s="307" t="str">
        <f>IFERROR(__xludf.DUMMYFUNCTION("GOOGLETRANSLATE(A39,""zh-tw"",""ja"")"),"騎士道")</f>
        <v>騎士道</v>
      </c>
      <c r="F39" s="308" t="str">
        <f>IFERROR(__xludf.DUMMYFUNCTION("GOOGLETRANSLATE(B39,""zh-tw"",""ja"")"),"私たちは守護者です")</f>
        <v>私たちは守護者です</v>
      </c>
      <c r="G39" s="309" t="str">
        <f>IFERROR(__xludf.DUMMYFUNCTION("GOOGLETRANSLATE(C39,""zh-tw"",""ja"")"),"攻撃力が30増加")</f>
        <v>攻撃力が30増加</v>
      </c>
      <c r="H39" s="389" t="str">
        <f>IFERROR(__xludf.DUMMYFUNCTION("GOOGLETRANSLATE(D39,""zh-tw"",""ja"")"),"騎士の剣")</f>
        <v>騎士の剣</v>
      </c>
      <c r="I39" s="126" t="s">
        <v>6676</v>
      </c>
      <c r="J39" s="310" t="s">
        <v>6677</v>
      </c>
      <c r="K39" s="312" t="s">
        <v>6678</v>
      </c>
      <c r="L39" s="388" t="s">
        <v>3854</v>
      </c>
      <c r="M39" s="307" t="str">
        <f>IFERROR(__xludf.DUMMYFUNCTION("GOOGLETRANSLATE(A39,""zh-tw"",""zh"")"),"骑士精神")</f>
        <v>骑士精神</v>
      </c>
      <c r="N39" s="308" t="str">
        <f>IFERROR(__xludf.DUMMYFUNCTION("GOOGLETRANSLATE(B39,""zh-tw"",""zh"")"),"我等乃是守护者")</f>
        <v>我等乃是守护者</v>
      </c>
      <c r="O39" s="309" t="str">
        <f>IFERROR(__xludf.DUMMYFUNCTION("GOOGLETRANSLATE(C39,""zh-tw"",""zh"")"),"攻击力提升30")</f>
        <v>攻击力提升30</v>
      </c>
      <c r="P39" s="389"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1"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1" t="str">
        <f>IFERROR(__xludf.DUMMYFUNCTION("GOOGLETRANSLATE(C39,""zh-tw"",""KO"")"),"공격력이 30 증가합니다.")</f>
        <v>공격력이 30 증가합니다.</v>
      </c>
      <c r="X39" s="108" t="str">
        <f>IFERROR(__xludf.DUMMYFUNCTION("GOOGLETRANSLATE(D39,""zh-tw"",""KO"")"),"기사의 검")</f>
        <v>기사의 검</v>
      </c>
      <c r="Y39" s="307" t="str">
        <f>IFERROR(__xludf.DUMMYFUNCTION("GOOGLETRANSLATE(A39,""zh-tw"",""RU"")"),"Рыцарство")</f>
        <v>Рыцарство</v>
      </c>
      <c r="Z39" s="308" t="str">
        <f>IFERROR(__xludf.DUMMYFUNCTION("GOOGLETRANSLATE(B39,""zh-tw"",""RU"")"),"Мы — хранители.")</f>
        <v>Мы — хранители.</v>
      </c>
      <c r="AA39" s="309" t="str">
        <f>IFERROR(__xludf.DUMMYFUNCTION("GOOGLETRANSLATE(C39,""zh-tw"",""RU"")"),"Увеличивает силу атаки на 30")</f>
        <v>Увеличивает силу атаки на 30</v>
      </c>
      <c r="AB39" s="389" t="str">
        <f>IFERROR(__xludf.DUMMYFUNCTION("GOOGLETRANSLATE(D39,""zh-tw"",""RU"")"),"Рыцарский меч")</f>
        <v>Рыцарский меч</v>
      </c>
      <c r="AC39" s="307" t="str">
        <f>IFERROR(__xludf.DUMMYFUNCTION("GOOGLETRANSLATE(A39,""zh-tw"",""DE"")"),"Ritterlichkeit")</f>
        <v>Ritterlichkeit</v>
      </c>
      <c r="AD39" s="308" t="str">
        <f>IFERROR(__xludf.DUMMYFUNCTION("GOOGLETRANSLATE(B39,""zh-tw"",""DE"")"),"Wir sind die Wächter")</f>
        <v>Wir sind die Wächter</v>
      </c>
      <c r="AE39" s="309" t="str">
        <f>IFERROR(__xludf.DUMMYFUNCTION("GOOGLETRANSLATE(C39,""zh-tw"",""DE"")"),"Erhöht die Angriffskraft um 30")</f>
        <v>Erhöht die Angriffskraft um 30</v>
      </c>
      <c r="AF39" s="389" t="str">
        <f>IFERROR(__xludf.DUMMYFUNCTION("GOOGLETRANSLATE(D39,""zh-tw"",""DE"")"),"Ritterschwert")</f>
        <v>Ritterschwert</v>
      </c>
      <c r="AG39" s="94" t="s">
        <v>6679</v>
      </c>
      <c r="AH39" s="123" t="s">
        <v>6680</v>
      </c>
      <c r="AI39" s="313" t="s">
        <v>6681</v>
      </c>
      <c r="AJ39" s="178" t="s">
        <v>3861</v>
      </c>
      <c r="AK39" s="388"/>
      <c r="AL39" s="388"/>
      <c r="AM39" s="388"/>
    </row>
    <row r="40">
      <c r="A40" s="126" t="s">
        <v>6682</v>
      </c>
      <c r="B40" s="310" t="s">
        <v>6683</v>
      </c>
      <c r="C40" s="312" t="s">
        <v>6684</v>
      </c>
      <c r="D40" s="388" t="s">
        <v>4655</v>
      </c>
      <c r="E40" s="126" t="s">
        <v>6685</v>
      </c>
      <c r="F40" s="310" t="s">
        <v>6686</v>
      </c>
      <c r="G40" s="309" t="str">
        <f>IFERROR(__xludf.DUMMYFUNCTION("GOOGLETRANSLATE(C40,""zh-tw"",""ja"")"),"体力は自動的に回復します")</f>
        <v>体力は自動的に回復します</v>
      </c>
      <c r="H40" s="388" t="s">
        <v>6687</v>
      </c>
      <c r="I40" s="126" t="s">
        <v>6688</v>
      </c>
      <c r="J40" s="310" t="s">
        <v>6689</v>
      </c>
      <c r="K40" s="312" t="s">
        <v>6690</v>
      </c>
      <c r="L40" s="388" t="s">
        <v>6691</v>
      </c>
      <c r="M40" s="307" t="str">
        <f>IFERROR(__xludf.DUMMYFUNCTION("GOOGLETRANSLATE(A40,""zh-tw"",""zh"")"),"妹妹的胖次")</f>
        <v>妹妹的胖次</v>
      </c>
      <c r="N40" s="308" t="str">
        <f>IFERROR(__xludf.DUMMYFUNCTION("GOOGLETRANSLATE(B40,""zh-tw"",""zh"")"),"就感觉妹妹在身边一样……")</f>
        <v>就感觉妹妹在身边一样……</v>
      </c>
      <c r="O40" s="309" t="str">
        <f>IFERROR(__xludf.DUMMYFUNCTION("GOOGLETRANSLATE(C40,""zh-tw"",""zh"")"),"体力自动恢复中")</f>
        <v>体力自动恢复中</v>
      </c>
      <c r="P40" s="389"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1"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내 옆에 있는 것 같은 느낌이 들어요...")</f>
        <v>마치 언니가 내 옆에 있는 것 같은 느낌이 들어요...</v>
      </c>
      <c r="W40" s="311"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7" t="str">
        <f>IFERROR(__xludf.DUMMYFUNCTION("GOOGLETRANSLATE(A40,""zh-tw"",""RU"")"),"Трусики моей сестры")</f>
        <v>Трусики моей сестры</v>
      </c>
      <c r="Z40" s="308" t="str">
        <f>IFERROR(__xludf.DUMMYFUNCTION("GOOGLETRANSLATE(B40,""zh-tw"",""RU"")"),"Такое чувство, будто рядом со мной моя сестра...")</f>
        <v>Такое чувство, будто рядом со мной моя сестра...</v>
      </c>
      <c r="AA40" s="309" t="str">
        <f>IFERROR(__xludf.DUMMYFUNCTION("GOOGLETRANSLATE(C40,""zh-tw"",""RU"")"),"Физическая сила автоматически восстанавливается")</f>
        <v>Физическая сила автоматически восстанавливается</v>
      </c>
      <c r="AB40" s="389" t="str">
        <f>IFERROR(__xludf.DUMMYFUNCTION("GOOGLETRANSLATE(D40,""zh-tw"",""RU"")"),"Моя сестра сняла нижнее белье")</f>
        <v>Моя сестра сняла нижнее белье</v>
      </c>
      <c r="AC40" s="307" t="str">
        <f>IFERROR(__xludf.DUMMYFUNCTION("GOOGLETRANSLATE(A40,""zh-tw"",""DE"")"),"Das Höschen meiner Schwester")</f>
        <v>Das Höschen meiner Schwester</v>
      </c>
      <c r="AD40" s="308" t="str">
        <f>IFERROR(__xludf.DUMMYFUNCTION("GOOGLETRANSLATE(B40,""zh-tw"",""DE"")"),"Es fühlt sich an, als wäre meine Schwester an meiner Seite ...")</f>
        <v>Es fühlt sich an, als wäre meine Schwester an meiner Seite ...</v>
      </c>
      <c r="AE40" s="309" t="str">
        <f>IFERROR(__xludf.DUMMYFUNCTION("GOOGLETRANSLATE(C40,""zh-tw"",""DE"")"),"Die körperliche Stärke wird automatisch wiederhergestellt")</f>
        <v>Die körperliche Stärke wird automatisch wiederhergestellt</v>
      </c>
      <c r="AF40" s="389" t="str">
        <f>IFERROR(__xludf.DUMMYFUNCTION("GOOGLETRANSLATE(D40,""zh-tw"",""DE"")"),"Meine Schwester zog ihre Unterwäsche aus")</f>
        <v>Meine Schwester zog ihre Unterwäsche aus</v>
      </c>
      <c r="AG40" s="94" t="s">
        <v>6692</v>
      </c>
      <c r="AH40" s="123" t="s">
        <v>6693</v>
      </c>
      <c r="AI40" s="313" t="s">
        <v>6694</v>
      </c>
      <c r="AJ40" s="178" t="s">
        <v>6695</v>
      </c>
      <c r="AK40" s="388"/>
      <c r="AL40" s="388"/>
      <c r="AM40" s="388"/>
    </row>
    <row r="41">
      <c r="A41" s="126" t="s">
        <v>6696</v>
      </c>
      <c r="B41" s="310" t="s">
        <v>6697</v>
      </c>
      <c r="C41" s="312" t="s">
        <v>6698</v>
      </c>
      <c r="D41" s="388" t="s">
        <v>6699</v>
      </c>
      <c r="E41" s="126" t="s">
        <v>6700</v>
      </c>
      <c r="F41" s="310" t="s">
        <v>6701</v>
      </c>
      <c r="G41" s="312" t="s">
        <v>6702</v>
      </c>
      <c r="H41" s="388" t="s">
        <v>6703</v>
      </c>
      <c r="I41" s="126" t="s">
        <v>6704</v>
      </c>
      <c r="J41" s="310" t="s">
        <v>6705</v>
      </c>
      <c r="K41" s="312" t="s">
        <v>6706</v>
      </c>
      <c r="L41" s="388" t="s">
        <v>6707</v>
      </c>
      <c r="M41" s="307" t="str">
        <f>IFERROR(__xludf.DUMMYFUNCTION("GOOGLETRANSLATE(A41,""zh-tw"",""zh"")"),"咕噜咕噜")</f>
        <v>咕噜咕噜</v>
      </c>
      <c r="N41" s="308" t="str">
        <f>IFERROR(__xludf.DUMMYFUNCTION("GOOGLETRANSLATE(B41,""zh-tw"",""zh"")"),"吃坏了肚子......")</f>
        <v>吃坏了肚子......</v>
      </c>
      <c r="O41" s="309" t="str">
        <f>IFERROR(__xludf.DUMMYFUNCTION("GOOGLETRANSLATE(C41,""zh-tw"",""zh"")"),"腹痛不止！")</f>
        <v>腹痛不止！</v>
      </c>
      <c r="P41" s="389"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1"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1" t="str">
        <f>IFERROR(__xludf.DUMMYFUNCTION("GOOGLETRANSLATE(C41,""zh-tw"",""KO"")"),"복통이 멈추지 않아요!")</f>
        <v>복통이 멈추지 않아요!</v>
      </c>
      <c r="X41" s="108" t="str">
        <f>IFERROR(__xludf.DUMMYFUNCTION("GOOGLETRANSLATE(D41,""zh-tw"",""KO"")"),"독이 있는 요리")</f>
        <v>독이 있는 요리</v>
      </c>
      <c r="Y41" s="307" t="str">
        <f>IFERROR(__xludf.DUMMYFUNCTION("GOOGLETRANSLATE(A41,""zh-tw"",""RU"")"),"Бульк-бульк")</f>
        <v>Бульк-бульк</v>
      </c>
      <c r="Z41" s="308" t="str">
        <f>IFERROR(__xludf.DUMMYFUNCTION("GOOGLETRANSLATE(B41,""zh-tw"",""RU"")"),"У меня расстройство желудка...")</f>
        <v>У меня расстройство желудка...</v>
      </c>
      <c r="AA41" s="309" t="str">
        <f>IFERROR(__xludf.DUMMYFUNCTION("GOOGLETRANSLATE(C41,""zh-tw"",""RU"")"),"Боль в животе не прекращается!")</f>
        <v>Боль в животе не прекращается!</v>
      </c>
      <c r="AB41" s="389" t="str">
        <f>IFERROR(__xludf.DUMMYFUNCTION("GOOGLETRANSLATE(D41,""zh-tw"",""RU"")"),"ядовитая кухня")</f>
        <v>ядовитая кухня</v>
      </c>
      <c r="AC41" s="307" t="str">
        <f>IFERROR(__xludf.DUMMYFUNCTION("GOOGLETRANSLATE(A41,""zh-tw"",""DE"")"),"Gurgeln Gurgeln")</f>
        <v>Gurgeln Gurgeln</v>
      </c>
      <c r="AD41" s="308" t="str">
        <f>IFERROR(__xludf.DUMMYFUNCTION("GOOGLETRANSLATE(B41,""zh-tw"",""DE"")"),"Ich habe Magenverstimmung ...")</f>
        <v>Ich habe Magenverstimmung ...</v>
      </c>
      <c r="AE41" s="309" t="str">
        <f>IFERROR(__xludf.DUMMYFUNCTION("GOOGLETRANSLATE(C41,""zh-tw"",""DE"")"),"Die Bauchschmerzen hören nicht auf!")</f>
        <v>Die Bauchschmerzen hören nicht auf!</v>
      </c>
      <c r="AF41" s="389" t="str">
        <f>IFERROR(__xludf.DUMMYFUNCTION("GOOGLETRANSLATE(D41,""zh-tw"",""DE"")"),"giftige Küche")</f>
        <v>giftige Küche</v>
      </c>
      <c r="AG41" s="94" t="s">
        <v>6708</v>
      </c>
      <c r="AH41" s="123" t="s">
        <v>6709</v>
      </c>
      <c r="AI41" s="313" t="s">
        <v>6710</v>
      </c>
      <c r="AJ41" s="178" t="s">
        <v>6711</v>
      </c>
      <c r="AK41" s="388"/>
      <c r="AL41" s="388"/>
      <c r="AM41" s="388"/>
    </row>
    <row r="42">
      <c r="A42" s="126" t="s">
        <v>6712</v>
      </c>
      <c r="B42" s="310" t="s">
        <v>6713</v>
      </c>
      <c r="C42" s="312" t="s">
        <v>6714</v>
      </c>
      <c r="D42" s="388" t="s">
        <v>6715</v>
      </c>
      <c r="E42" s="126" t="s">
        <v>6716</v>
      </c>
      <c r="F42" s="310" t="s">
        <v>6717</v>
      </c>
      <c r="G42" s="312" t="s">
        <v>6718</v>
      </c>
      <c r="H42" s="388" t="s">
        <v>6719</v>
      </c>
      <c r="I42" s="126" t="s">
        <v>6720</v>
      </c>
      <c r="J42" s="310" t="s">
        <v>6721</v>
      </c>
      <c r="K42" s="312" t="s">
        <v>6722</v>
      </c>
      <c r="L42" s="388" t="s">
        <v>6723</v>
      </c>
      <c r="M42" s="307" t="str">
        <f>IFERROR(__xludf.DUMMYFUNCTION("GOOGLETRANSLATE(A42,""zh-tw"",""zh"")"),"咕噜咕噜咕噜")</f>
        <v>咕噜咕噜咕噜</v>
      </c>
      <c r="N42" s="308" t="str">
        <f>IFERROR(__xludf.DUMMYFUNCTION("GOOGLETRANSLATE(B42,""zh-tw"",""zh"")"),"菊花残、满地伤...")</f>
        <v>菊花残、满地伤...</v>
      </c>
      <c r="O42" s="309" t="str">
        <f>IFERROR(__xludf.DUMMYFUNCTION("GOOGLETRANSLATE(C42,""zh-tw"",""zh"")"),"因屁股疼痛无法奔跑和冲刺！")</f>
        <v>因屁股疼痛无法奔跑和冲刺！</v>
      </c>
      <c r="P42" s="389"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1"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1"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7" t="str">
        <f>IFERROR(__xludf.DUMMYFUNCTION("GOOGLETRANSLATE(A42,""zh-tw"",""RU"")"),"Буль-буль-буль")</f>
        <v>Буль-буль-буль</v>
      </c>
      <c r="Z42" s="308" t="str">
        <f>IFERROR(__xludf.DUMMYFUNCTION("GOOGLETRANSLATE(B42,""zh-tw"",""RU"")"),"Хризантемы увяли, а земля покрылась ранами...")</f>
        <v>Хризантемы увяли, а земля покрылась ранами...</v>
      </c>
      <c r="AA42" s="309" t="str">
        <f>IFERROR(__xludf.DUMMYFUNCTION("GOOGLETRANSLATE(C42,""zh-tw"",""RU"")"),"Не могу бегать и ускоряться из-за боли в ягодице!")</f>
        <v>Не могу бегать и ускоряться из-за боли в ягодице!</v>
      </c>
      <c r="AB42" s="389" t="str">
        <f>IFERROR(__xludf.DUMMYFUNCTION("GOOGLETRANSLATE(D42,""zh-tw"",""RU"")"),"Острая кухня")</f>
        <v>Острая кухня</v>
      </c>
      <c r="AC42" s="307" t="str">
        <f>IFERROR(__xludf.DUMMYFUNCTION("GOOGLETRANSLATE(A42,""zh-tw"",""DE"")"),"Gurgel, gurgel, gurgel")</f>
        <v>Gurgel, gurgel, gurgel</v>
      </c>
      <c r="AD42" s="308" t="str">
        <f>IFERROR(__xludf.DUMMYFUNCTION("GOOGLETRANSLATE(B42,""zh-tw"",""DE"")"),"Die Chrysanthemen sind verwelkt und der Boden ist mit Wunden bedeckt ...")</f>
        <v>Die Chrysanthemen sind verwelkt und der Boden ist mit Wunden bedeckt ...</v>
      </c>
      <c r="AE42" s="309" t="str">
        <f>IFERROR(__xludf.DUMMYFUNCTION("GOOGLETRANSLATE(C42,""zh-tw"",""DE"")"),"Kann wegen Schmerzen im Hintern nicht rennen und sprinten!")</f>
        <v>Kann wegen Schmerzen im Hintern nicht rennen und sprinten!</v>
      </c>
      <c r="AF42" s="389" t="str">
        <f>IFERROR(__xludf.DUMMYFUNCTION("GOOGLETRANSLATE(D42,""zh-tw"",""DE"")"),"Scharfe Küche")</f>
        <v>Scharfe Küche</v>
      </c>
      <c r="AG42" s="94" t="s">
        <v>6724</v>
      </c>
      <c r="AH42" s="123" t="s">
        <v>6725</v>
      </c>
      <c r="AI42" s="313" t="s">
        <v>6726</v>
      </c>
      <c r="AJ42" s="178" t="s">
        <v>6727</v>
      </c>
      <c r="AK42" s="388"/>
      <c r="AL42" s="388"/>
      <c r="AM42" s="388"/>
    </row>
    <row r="43">
      <c r="A43" s="126" t="s">
        <v>6728</v>
      </c>
      <c r="B43" s="310" t="s">
        <v>6729</v>
      </c>
      <c r="C43" s="312" t="s">
        <v>6730</v>
      </c>
      <c r="D43" s="388" t="s">
        <v>6731</v>
      </c>
      <c r="E43" s="126" t="s">
        <v>6732</v>
      </c>
      <c r="F43" s="310" t="s">
        <v>6733</v>
      </c>
      <c r="G43" s="312" t="s">
        <v>6734</v>
      </c>
      <c r="H43" s="388" t="s">
        <v>6735</v>
      </c>
      <c r="I43" s="126" t="s">
        <v>6736</v>
      </c>
      <c r="J43" s="310" t="s">
        <v>6737</v>
      </c>
      <c r="K43" s="312" t="s">
        <v>6738</v>
      </c>
      <c r="L43" s="389"/>
      <c r="M43" s="307" t="str">
        <f>IFERROR(__xludf.DUMMYFUNCTION("GOOGLETRANSLATE(A43,""zh-tw"",""zh"")"),"早点回家吧")</f>
        <v>早点回家吧</v>
      </c>
      <c r="N43" s="308" t="str">
        <f>IFERROR(__xludf.DUMMYFUNCTION("GOOGLETRANSLATE(B43,""zh-tw"",""zh"")"),"热死了.....")</f>
        <v>热死了.....</v>
      </c>
      <c r="O43" s="309" t="str">
        <f>IFERROR(__xludf.DUMMYFUNCTION("GOOGLETRANSLATE(C43,""zh-tw"",""zh"")"),"因为炎热浑身无力...")</f>
        <v>因为炎热浑身无力...</v>
      </c>
      <c r="P43" s="389"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1"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1" t="str">
        <f>IFERROR(__xludf.DUMMYFUNCTION("GOOGLETRANSLATE(C43,""zh-tw"",""KO"")"),"더위 때문에 몸이 약해졌어요...")</f>
        <v>더위 때문에 몸이 약해졌어요...</v>
      </c>
      <c r="X43" s="108" t="str">
        <f>IFERROR(__xludf.DUMMYFUNCTION("GOOGLETRANSLATE(D43,""zh-tw"",""KO"")"),"더운 날씨")</f>
        <v>더운 날씨</v>
      </c>
      <c r="Y43" s="307" t="str">
        <f>IFERROR(__xludf.DUMMYFUNCTION("GOOGLETRANSLATE(A43,""zh-tw"",""RU"")"),"Иди домой пораньше")</f>
        <v>Иди домой пораньше</v>
      </c>
      <c r="Z43" s="308" t="str">
        <f>IFERROR(__xludf.DUMMYFUNCTION("GOOGLETRANSLATE(B43,""zh-tw"",""RU"")"),"Так жарко…")</f>
        <v>Так жарко…</v>
      </c>
      <c r="AA43" s="309" t="str">
        <f>IFERROR(__xludf.DUMMYFUNCTION("GOOGLETRANSLATE(C43,""zh-tw"",""RU"")"),"Из-за жары я чувствую слабость...")</f>
        <v>Из-за жары я чувствую слабость...</v>
      </c>
      <c r="AB43" s="389" t="str">
        <f>IFERROR(__xludf.DUMMYFUNCTION("GOOGLETRANSLATE(D43,""zh-tw"",""RU"")"),"Жаркая погода")</f>
        <v>Жаркая погода</v>
      </c>
      <c r="AC43" s="307" t="str">
        <f>IFERROR(__xludf.DUMMYFUNCTION("GOOGLETRANSLATE(A43,""zh-tw"",""DE"")"),"Geh früh nach Hause")</f>
        <v>Geh früh nach Hause</v>
      </c>
      <c r="AD43" s="308" t="str">
        <f>IFERROR(__xludf.DUMMYFUNCTION("GOOGLETRANSLATE(B43,""zh-tw"",""DE"")"),"Es ist so heiß…")</f>
        <v>Es ist so heiß…</v>
      </c>
      <c r="AE43" s="309" t="str">
        <f>IFERROR(__xludf.DUMMYFUNCTION("GOOGLETRANSLATE(C43,""zh-tw"",""DE"")"),"Wegen der Hitze fühle ich mich schwach...")</f>
        <v>Wegen der Hitze fühle ich mich schwach...</v>
      </c>
      <c r="AF43" s="389" t="str">
        <f>IFERROR(__xludf.DUMMYFUNCTION("GOOGLETRANSLATE(D43,""zh-tw"",""DE"")"),"Heißes Wetter")</f>
        <v>Heißes Wetter</v>
      </c>
      <c r="AG43" s="94" t="s">
        <v>1736</v>
      </c>
      <c r="AH43" s="123" t="s">
        <v>6739</v>
      </c>
      <c r="AI43" s="313" t="s">
        <v>6740</v>
      </c>
      <c r="AJ43" s="390"/>
      <c r="AK43" s="388"/>
      <c r="AL43" s="388"/>
      <c r="AM43" s="388"/>
    </row>
    <row r="44">
      <c r="A44" s="126" t="s">
        <v>6741</v>
      </c>
      <c r="B44" s="310" t="s">
        <v>6742</v>
      </c>
      <c r="C44" s="312" t="s">
        <v>6743</v>
      </c>
      <c r="D44" s="388" t="s">
        <v>6744</v>
      </c>
      <c r="E44" s="126" t="s">
        <v>6745</v>
      </c>
      <c r="F44" s="310" t="s">
        <v>6746</v>
      </c>
      <c r="G44" s="312" t="s">
        <v>6747</v>
      </c>
      <c r="H44" s="388" t="s">
        <v>6748</v>
      </c>
      <c r="I44" s="126" t="s">
        <v>6749</v>
      </c>
      <c r="J44" s="310" t="s">
        <v>6750</v>
      </c>
      <c r="K44" s="312" t="s">
        <v>6751</v>
      </c>
      <c r="L44" s="388"/>
      <c r="M44" s="307" t="str">
        <f>IFERROR(__xludf.DUMMYFUNCTION("GOOGLETRANSLATE(A44,""zh-tw"",""zh"")"),"杂鱼哥哥")</f>
        <v>杂鱼哥哥</v>
      </c>
      <c r="N44" s="308" t="str">
        <f>IFERROR(__xludf.DUMMYFUNCTION("GOOGLETRANSLATE(B44,""zh-tw"",""zh"")"),"这么简单的游戏也不会玩，真是杂鱼呢~")</f>
        <v>这么简单的游戏也不会玩，真是杂鱼呢~</v>
      </c>
      <c r="O44" s="309" t="str">
        <f>IFERROR(__xludf.DUMMYFUNCTION("GOOGLETRANSLATE(C44,""zh-tw"",""zh"")"),"因作弊而获得了杂鱼认证！")</f>
        <v>因作弊而获得了杂鱼认证！</v>
      </c>
      <c r="P44" s="389"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1"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1"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7" t="str">
        <f>IFERROR(__xludf.DUMMYFUNCTION("GOOGLETRANSLATE(A44,""zh-tw"",""RU"")"),"Брат Заю")</f>
        <v>Брат Заю</v>
      </c>
      <c r="Z44" s="308"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9" t="str">
        <f>IFERROR(__xludf.DUMMYFUNCTION("GOOGLETRANSLATE(C44,""zh-tw"",""RU"")"),"Получил мусорную сертификацию за мошенничество!")</f>
        <v>Получил мусорную сертификацию за мошенничество!</v>
      </c>
      <c r="AB44" s="389" t="str">
        <f>IFERROR(__xludf.DUMMYFUNCTION("GOOGLETRANSLATE(D44,""zh-tw"",""RU"")"),"Использование чит-кодов")</f>
        <v>Использование чит-кодов</v>
      </c>
      <c r="AC44" s="307" t="str">
        <f>IFERROR(__xludf.DUMMYFUNCTION("GOOGLETRANSLATE(A44,""zh-tw"",""DE"")"),"Bruder Zayu")</f>
        <v>Bruder Zayu</v>
      </c>
      <c r="AD44" s="308" t="str">
        <f>IFERROR(__xludf.DUMMYFUNCTION("GOOGLETRANSLATE(B44,""zh-tw"",""DE"")"),"Du kannst nicht einmal so ein einfaches Spiel spielen, du bist so ein Verlierer~")</f>
        <v>Du kannst nicht einmal so ein einfaches Spiel spielen, du bist so ein Verlierer~</v>
      </c>
      <c r="AE44" s="309" t="str">
        <f>IFERROR(__xludf.DUMMYFUNCTION("GOOGLETRANSLATE(C44,""zh-tw"",""DE"")"),"Habe das Müllzertifikat für Betrug erhalten!")</f>
        <v>Habe das Müllzertifikat für Betrug erhalten!</v>
      </c>
      <c r="AF44" s="389" t="str">
        <f>IFERROR(__xludf.DUMMYFUNCTION("GOOGLETRANSLATE(D44,""zh-tw"",""DE"")"),"Cheat-Codes verwenden")</f>
        <v>Cheat-Codes verwenden</v>
      </c>
      <c r="AG44" s="94" t="s">
        <v>6752</v>
      </c>
      <c r="AH44" s="123" t="s">
        <v>6753</v>
      </c>
      <c r="AI44" s="313" t="s">
        <v>6754</v>
      </c>
      <c r="AJ44" s="390"/>
      <c r="AK44" s="388"/>
      <c r="AL44" s="388"/>
      <c r="AM44" s="388"/>
    </row>
    <row r="45">
      <c r="A45" s="126" t="s">
        <v>6755</v>
      </c>
      <c r="B45" s="310" t="s">
        <v>6756</v>
      </c>
      <c r="C45" s="312" t="s">
        <v>723</v>
      </c>
      <c r="D45" s="388" t="s">
        <v>5202</v>
      </c>
      <c r="E45" s="126" t="s">
        <v>6757</v>
      </c>
      <c r="F45" s="310" t="s">
        <v>6758</v>
      </c>
      <c r="G45" s="312" t="s">
        <v>723</v>
      </c>
      <c r="H45" s="388" t="s">
        <v>6759</v>
      </c>
      <c r="I45" s="126" t="s">
        <v>5206</v>
      </c>
      <c r="J45" s="310" t="s">
        <v>6760</v>
      </c>
      <c r="K45" s="309"/>
      <c r="L45" s="389"/>
      <c r="M45" s="307" t="str">
        <f>IFERROR(__xludf.DUMMYFUNCTION("GOOGLETRANSLATE(A45,""zh-tw"",""zh"")"),"世界的勇者")</f>
        <v>世界的勇者</v>
      </c>
      <c r="N45" s="308" t="str">
        <f>IFERROR(__xludf.DUMMYFUNCTION("GOOGLETRANSLATE(B45,""zh-tw"",""zh"")"),"如此可得世界荣耀，远离黑暗蒙昧")</f>
        <v>如此可得世界荣耀，远离黑暗蒙昧</v>
      </c>
      <c r="O45" s="309" t="str">
        <f>IFERROR(__xludf.DUMMYFUNCTION("GOOGLETRANSLATE(C45,""zh-tw"",""zh"")"),"-")</f>
        <v>-</v>
      </c>
      <c r="P45" s="389"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1"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1" t="str">
        <f>IFERROR(__xludf.DUMMYFUNCTION("GOOGLETRANSLATE(C45,""zh-tw"",""KO"")"),"-")</f>
        <v>-</v>
      </c>
      <c r="X45" s="108" t="str">
        <f>IFERROR(__xludf.DUMMYFUNCTION("GOOGLETRANSLATE(D45,""zh-tw"",""KO"")"),"카넬리안 제이드 펜던트")</f>
        <v>카넬리안 제이드 펜던트</v>
      </c>
      <c r="Y45" s="307" t="str">
        <f>IFERROR(__xludf.DUMMYFUNCTION("GOOGLETRANSLATE(A45,""zh-tw"",""RU"")"),"Герои мира")</f>
        <v>Герои мира</v>
      </c>
      <c r="Z45" s="308"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9" t="str">
        <f>IFERROR(__xludf.DUMMYFUNCTION("GOOGLETRANSLATE(C45,""zh-tw"",""RU"")"),"-")</f>
        <v>-</v>
      </c>
      <c r="AB45" s="389" t="str">
        <f>IFERROR(__xludf.DUMMYFUNCTION("GOOGLETRANSLATE(D45,""zh-tw"",""RU"")"),"Подвеска из сердолика и нефрита")</f>
        <v>Подвеска из сердолика и нефрита</v>
      </c>
      <c r="AC45" s="307" t="str">
        <f>IFERROR(__xludf.DUMMYFUNCTION("GOOGLETRANSLATE(A45,""zh-tw"",""DE"")"),"Die Helden der Welt")</f>
        <v>Die Helden der Welt</v>
      </c>
      <c r="AD45" s="308"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9" t="str">
        <f>IFERROR(__xludf.DUMMYFUNCTION("GOOGLETRANSLATE(C45,""zh-tw"",""DE"")"),"-")</f>
        <v>-</v>
      </c>
      <c r="AF45" s="389" t="str">
        <f>IFERROR(__xludf.DUMMYFUNCTION("GOOGLETRANSLATE(D45,""zh-tw"",""DE"")"),"Karneol-Jade-Anhänger")</f>
        <v>Karneol-Jade-Anhänger</v>
      </c>
      <c r="AG45" s="94" t="s">
        <v>6761</v>
      </c>
      <c r="AH45" s="123" t="s">
        <v>6762</v>
      </c>
      <c r="AI45" s="391"/>
      <c r="AJ45" s="390"/>
      <c r="AK45" s="388"/>
      <c r="AL45" s="388"/>
      <c r="AM45" s="388"/>
    </row>
    <row r="46">
      <c r="A46" s="307"/>
      <c r="B46" s="308"/>
      <c r="C46" s="309"/>
      <c r="D46" s="389"/>
      <c r="E46" s="307"/>
      <c r="F46" s="308"/>
      <c r="G46" s="309"/>
      <c r="H46" s="389"/>
      <c r="I46" s="307"/>
      <c r="J46" s="308"/>
      <c r="K46" s="309"/>
      <c r="L46" s="389"/>
      <c r="M46" s="307"/>
      <c r="N46" s="308"/>
      <c r="O46" s="309"/>
      <c r="P46" s="389"/>
      <c r="Q46" s="192"/>
      <c r="R46" s="149"/>
      <c r="S46" s="392"/>
      <c r="T46" s="393"/>
      <c r="U46" s="192"/>
      <c r="V46" s="149"/>
      <c r="W46" s="392"/>
      <c r="X46" s="393"/>
      <c r="Y46" s="394"/>
      <c r="Z46" s="395"/>
      <c r="AA46" s="396"/>
      <c r="AB46" s="397"/>
      <c r="AC46" s="394"/>
      <c r="AD46" s="395"/>
      <c r="AE46" s="396"/>
      <c r="AF46" s="397"/>
      <c r="AG46" s="192"/>
      <c r="AH46" s="149"/>
      <c r="AI46" s="392"/>
      <c r="AJ46" s="393"/>
      <c r="AK46" s="389"/>
      <c r="AL46" s="389"/>
      <c r="AM46" s="389"/>
    </row>
    <row r="47">
      <c r="A47" s="307"/>
      <c r="B47" s="308"/>
      <c r="C47" s="309"/>
      <c r="D47" s="389"/>
      <c r="E47" s="307"/>
      <c r="F47" s="308"/>
      <c r="G47" s="309"/>
      <c r="H47" s="389"/>
      <c r="I47" s="307"/>
      <c r="J47" s="308"/>
      <c r="K47" s="309"/>
      <c r="L47" s="389"/>
      <c r="M47" s="307"/>
      <c r="N47" s="308"/>
      <c r="O47" s="309"/>
      <c r="P47" s="389"/>
      <c r="Q47" s="192"/>
      <c r="R47" s="149"/>
      <c r="S47" s="392"/>
      <c r="T47" s="393"/>
      <c r="U47" s="192"/>
      <c r="V47" s="149"/>
      <c r="W47" s="392"/>
      <c r="X47" s="393"/>
      <c r="Y47" s="394"/>
      <c r="Z47" s="395"/>
      <c r="AA47" s="396"/>
      <c r="AB47" s="397"/>
      <c r="AC47" s="394"/>
      <c r="AD47" s="395"/>
      <c r="AE47" s="396"/>
      <c r="AF47" s="397"/>
      <c r="AG47" s="192"/>
      <c r="AH47" s="149"/>
      <c r="AI47" s="392"/>
      <c r="AJ47" s="393"/>
      <c r="AK47" s="389"/>
      <c r="AL47" s="389"/>
      <c r="AM47" s="389"/>
    </row>
    <row r="48">
      <c r="A48" s="307"/>
      <c r="B48" s="308"/>
      <c r="C48" s="309"/>
      <c r="D48" s="389"/>
      <c r="E48" s="307"/>
      <c r="F48" s="308"/>
      <c r="G48" s="309"/>
      <c r="H48" s="389"/>
      <c r="I48" s="307"/>
      <c r="J48" s="308"/>
      <c r="K48" s="309"/>
      <c r="L48" s="389"/>
      <c r="M48" s="307"/>
      <c r="N48" s="308"/>
      <c r="O48" s="309"/>
      <c r="P48" s="389"/>
      <c r="Q48" s="192"/>
      <c r="R48" s="149"/>
      <c r="S48" s="392"/>
      <c r="T48" s="393"/>
      <c r="U48" s="192"/>
      <c r="V48" s="149"/>
      <c r="W48" s="392"/>
      <c r="X48" s="393"/>
      <c r="Y48" s="394"/>
      <c r="Z48" s="395"/>
      <c r="AA48" s="396"/>
      <c r="AB48" s="397"/>
      <c r="AC48" s="394"/>
      <c r="AD48" s="395"/>
      <c r="AE48" s="396"/>
      <c r="AF48" s="397"/>
      <c r="AG48" s="192"/>
      <c r="AH48" s="149"/>
      <c r="AI48" s="392"/>
      <c r="AJ48" s="393"/>
      <c r="AK48" s="389"/>
      <c r="AL48" s="389"/>
      <c r="AM48" s="389"/>
    </row>
    <row r="49">
      <c r="A49" s="307"/>
      <c r="B49" s="308"/>
      <c r="C49" s="309"/>
      <c r="D49" s="389"/>
      <c r="E49" s="307"/>
      <c r="F49" s="308"/>
      <c r="G49" s="309"/>
      <c r="H49" s="389"/>
      <c r="I49" s="307"/>
      <c r="J49" s="308"/>
      <c r="K49" s="309"/>
      <c r="L49" s="389"/>
      <c r="M49" s="307"/>
      <c r="N49" s="308"/>
      <c r="O49" s="309"/>
      <c r="P49" s="389"/>
      <c r="Q49" s="192"/>
      <c r="R49" s="149"/>
      <c r="S49" s="392"/>
      <c r="T49" s="393"/>
      <c r="U49" s="192"/>
      <c r="V49" s="149"/>
      <c r="W49" s="392"/>
      <c r="X49" s="393"/>
      <c r="Y49" s="394"/>
      <c r="Z49" s="395"/>
      <c r="AA49" s="396"/>
      <c r="AB49" s="397"/>
      <c r="AC49" s="394"/>
      <c r="AD49" s="395"/>
      <c r="AE49" s="396"/>
      <c r="AF49" s="397"/>
      <c r="AG49" s="192"/>
      <c r="AH49" s="149"/>
      <c r="AI49" s="392"/>
      <c r="AJ49" s="393"/>
      <c r="AK49" s="389"/>
      <c r="AL49" s="389"/>
      <c r="AM49" s="389"/>
    </row>
    <row r="50">
      <c r="A50" s="307"/>
      <c r="B50" s="308"/>
      <c r="C50" s="309"/>
      <c r="D50" s="389"/>
      <c r="E50" s="307"/>
      <c r="F50" s="308"/>
      <c r="G50" s="309"/>
      <c r="H50" s="389"/>
      <c r="I50" s="307"/>
      <c r="J50" s="308"/>
      <c r="K50" s="309"/>
      <c r="L50" s="389"/>
      <c r="M50" s="307"/>
      <c r="N50" s="308"/>
      <c r="O50" s="309"/>
      <c r="P50" s="389"/>
      <c r="Q50" s="192"/>
      <c r="R50" s="149"/>
      <c r="S50" s="392"/>
      <c r="T50" s="393"/>
      <c r="U50" s="192"/>
      <c r="V50" s="149"/>
      <c r="W50" s="392"/>
      <c r="X50" s="393"/>
      <c r="Y50" s="394"/>
      <c r="Z50" s="395"/>
      <c r="AA50" s="396"/>
      <c r="AB50" s="397"/>
      <c r="AC50" s="394"/>
      <c r="AD50" s="395"/>
      <c r="AE50" s="396"/>
      <c r="AF50" s="397"/>
      <c r="AG50" s="192"/>
      <c r="AH50" s="149"/>
      <c r="AI50" s="392"/>
      <c r="AJ50" s="393"/>
      <c r="AK50" s="389"/>
      <c r="AL50" s="389"/>
      <c r="AM50" s="389"/>
    </row>
    <row r="51">
      <c r="A51" s="307"/>
      <c r="B51" s="308"/>
      <c r="C51" s="309"/>
      <c r="D51" s="389"/>
      <c r="E51" s="307"/>
      <c r="F51" s="308"/>
      <c r="G51" s="309"/>
      <c r="H51" s="389"/>
      <c r="I51" s="307"/>
      <c r="J51" s="308"/>
      <c r="K51" s="309"/>
      <c r="L51" s="389"/>
      <c r="M51" s="307"/>
      <c r="N51" s="308"/>
      <c r="O51" s="309"/>
      <c r="P51" s="389"/>
      <c r="Q51" s="192"/>
      <c r="R51" s="149"/>
      <c r="S51" s="392"/>
      <c r="T51" s="393"/>
      <c r="U51" s="192"/>
      <c r="V51" s="149"/>
      <c r="W51" s="392"/>
      <c r="X51" s="393"/>
      <c r="Y51" s="394"/>
      <c r="Z51" s="395"/>
      <c r="AA51" s="396"/>
      <c r="AB51" s="397"/>
      <c r="AC51" s="394"/>
      <c r="AD51" s="395"/>
      <c r="AE51" s="396"/>
      <c r="AF51" s="397"/>
      <c r="AG51" s="192"/>
      <c r="AH51" s="149"/>
      <c r="AI51" s="392"/>
      <c r="AJ51" s="393"/>
      <c r="AK51" s="389"/>
      <c r="AL51" s="389"/>
      <c r="AM51" s="389"/>
    </row>
    <row r="52">
      <c r="A52" s="307"/>
      <c r="B52" s="308"/>
      <c r="C52" s="309"/>
      <c r="D52" s="389"/>
      <c r="E52" s="307"/>
      <c r="F52" s="308"/>
      <c r="G52" s="309"/>
      <c r="H52" s="389"/>
      <c r="I52" s="307"/>
      <c r="J52" s="308"/>
      <c r="K52" s="309"/>
      <c r="L52" s="389"/>
      <c r="M52" s="307"/>
      <c r="N52" s="308"/>
      <c r="O52" s="309"/>
      <c r="P52" s="389"/>
      <c r="Q52" s="192"/>
      <c r="R52" s="149"/>
      <c r="S52" s="392"/>
      <c r="T52" s="393"/>
      <c r="U52" s="192"/>
      <c r="V52" s="149"/>
      <c r="W52" s="392"/>
      <c r="X52" s="393"/>
      <c r="Y52" s="394"/>
      <c r="Z52" s="395"/>
      <c r="AA52" s="396"/>
      <c r="AB52" s="397"/>
      <c r="AC52" s="394"/>
      <c r="AD52" s="395"/>
      <c r="AE52" s="396"/>
      <c r="AF52" s="397"/>
      <c r="AG52" s="192"/>
      <c r="AH52" s="149"/>
      <c r="AI52" s="392"/>
      <c r="AJ52" s="393"/>
      <c r="AK52" s="389"/>
      <c r="AL52" s="389"/>
      <c r="AM52" s="389"/>
    </row>
    <row r="53">
      <c r="A53" s="307"/>
      <c r="B53" s="308"/>
      <c r="C53" s="309"/>
      <c r="D53" s="389"/>
      <c r="E53" s="307"/>
      <c r="F53" s="308"/>
      <c r="G53" s="309"/>
      <c r="H53" s="389"/>
      <c r="I53" s="307"/>
      <c r="J53" s="308"/>
      <c r="K53" s="309"/>
      <c r="L53" s="389"/>
      <c r="M53" s="307"/>
      <c r="N53" s="308"/>
      <c r="O53" s="309"/>
      <c r="P53" s="389"/>
      <c r="Q53" s="192"/>
      <c r="R53" s="149"/>
      <c r="S53" s="392"/>
      <c r="T53" s="393"/>
      <c r="U53" s="192"/>
      <c r="V53" s="149"/>
      <c r="W53" s="392"/>
      <c r="X53" s="393"/>
      <c r="Y53" s="192"/>
      <c r="Z53" s="149"/>
      <c r="AA53" s="392"/>
      <c r="AB53" s="393"/>
      <c r="AC53" s="192"/>
      <c r="AD53" s="149"/>
      <c r="AE53" s="392"/>
      <c r="AF53" s="393"/>
      <c r="AG53" s="192"/>
      <c r="AH53" s="149"/>
      <c r="AI53" s="392"/>
      <c r="AJ53" s="393"/>
      <c r="AK53" s="389"/>
      <c r="AL53" s="389"/>
      <c r="AM53" s="389"/>
    </row>
    <row r="54">
      <c r="A54" s="307"/>
      <c r="B54" s="308"/>
      <c r="C54" s="309"/>
      <c r="D54" s="389"/>
      <c r="E54" s="307"/>
      <c r="F54" s="308"/>
      <c r="G54" s="309"/>
      <c r="H54" s="389"/>
      <c r="I54" s="307"/>
      <c r="J54" s="308"/>
      <c r="K54" s="309"/>
      <c r="L54" s="389"/>
      <c r="M54" s="307"/>
      <c r="N54" s="308"/>
      <c r="O54" s="309"/>
      <c r="P54" s="389"/>
      <c r="Q54" s="192"/>
      <c r="R54" s="149"/>
      <c r="S54" s="392"/>
      <c r="T54" s="393"/>
      <c r="U54" s="192"/>
      <c r="V54" s="149"/>
      <c r="W54" s="392"/>
      <c r="X54" s="393"/>
      <c r="Y54" s="192"/>
      <c r="Z54" s="149"/>
      <c r="AA54" s="392"/>
      <c r="AB54" s="393"/>
      <c r="AC54" s="192"/>
      <c r="AD54" s="149"/>
      <c r="AE54" s="392"/>
      <c r="AF54" s="393"/>
      <c r="AG54" s="192"/>
      <c r="AH54" s="149"/>
      <c r="AI54" s="392"/>
      <c r="AJ54" s="393"/>
      <c r="AK54" s="389"/>
      <c r="AL54" s="389"/>
      <c r="AM54" s="389"/>
    </row>
    <row r="55">
      <c r="A55" s="307"/>
      <c r="B55" s="308"/>
      <c r="C55" s="309"/>
      <c r="D55" s="389"/>
      <c r="E55" s="307"/>
      <c r="F55" s="308"/>
      <c r="G55" s="309"/>
      <c r="H55" s="389"/>
      <c r="I55" s="307"/>
      <c r="J55" s="308"/>
      <c r="K55" s="309"/>
      <c r="L55" s="389"/>
      <c r="M55" s="307"/>
      <c r="N55" s="308"/>
      <c r="O55" s="309"/>
      <c r="P55" s="389"/>
      <c r="Q55" s="192"/>
      <c r="R55" s="149"/>
      <c r="S55" s="392"/>
      <c r="T55" s="393"/>
      <c r="U55" s="192"/>
      <c r="V55" s="149"/>
      <c r="W55" s="392"/>
      <c r="X55" s="393"/>
      <c r="Y55" s="192"/>
      <c r="Z55" s="149"/>
      <c r="AA55" s="392"/>
      <c r="AB55" s="393"/>
      <c r="AC55" s="192"/>
      <c r="AD55" s="149"/>
      <c r="AE55" s="392"/>
      <c r="AF55" s="393"/>
      <c r="AG55" s="192"/>
      <c r="AH55" s="149"/>
      <c r="AI55" s="392"/>
      <c r="AJ55" s="393"/>
      <c r="AK55" s="389"/>
      <c r="AL55" s="389"/>
      <c r="AM55" s="389"/>
    </row>
    <row r="56">
      <c r="A56" s="307"/>
      <c r="B56" s="308"/>
      <c r="C56" s="309"/>
      <c r="D56" s="389"/>
      <c r="E56" s="307"/>
      <c r="F56" s="308"/>
      <c r="G56" s="309"/>
      <c r="H56" s="389"/>
      <c r="I56" s="307"/>
      <c r="J56" s="308"/>
      <c r="K56" s="309"/>
      <c r="L56" s="389"/>
      <c r="M56" s="307"/>
      <c r="N56" s="308"/>
      <c r="O56" s="309"/>
      <c r="P56" s="389"/>
      <c r="Q56" s="192"/>
      <c r="R56" s="149"/>
      <c r="S56" s="392"/>
      <c r="T56" s="393"/>
      <c r="U56" s="192"/>
      <c r="V56" s="149"/>
      <c r="W56" s="392"/>
      <c r="X56" s="393"/>
      <c r="Y56" s="192"/>
      <c r="Z56" s="149"/>
      <c r="AA56" s="392"/>
      <c r="AB56" s="393"/>
      <c r="AC56" s="192"/>
      <c r="AD56" s="149"/>
      <c r="AE56" s="392"/>
      <c r="AF56" s="393"/>
      <c r="AG56" s="192"/>
      <c r="AH56" s="149"/>
      <c r="AI56" s="392"/>
      <c r="AJ56" s="393"/>
      <c r="AK56" s="389"/>
      <c r="AL56" s="389"/>
      <c r="AM56" s="389"/>
    </row>
    <row r="57">
      <c r="A57" s="307"/>
      <c r="B57" s="308"/>
      <c r="C57" s="309"/>
      <c r="D57" s="389"/>
      <c r="E57" s="307"/>
      <c r="F57" s="308"/>
      <c r="G57" s="309"/>
      <c r="H57" s="389"/>
      <c r="I57" s="307"/>
      <c r="J57" s="308"/>
      <c r="K57" s="309"/>
      <c r="L57" s="389"/>
      <c r="M57" s="307"/>
      <c r="N57" s="308"/>
      <c r="O57" s="309"/>
      <c r="P57" s="389"/>
      <c r="Q57" s="192"/>
      <c r="R57" s="149"/>
      <c r="S57" s="392"/>
      <c r="T57" s="393"/>
      <c r="U57" s="192"/>
      <c r="V57" s="149"/>
      <c r="W57" s="392"/>
      <c r="X57" s="393"/>
      <c r="Y57" s="192"/>
      <c r="Z57" s="149"/>
      <c r="AA57" s="392"/>
      <c r="AB57" s="393"/>
      <c r="AC57" s="192"/>
      <c r="AD57" s="149"/>
      <c r="AE57" s="392"/>
      <c r="AF57" s="393"/>
      <c r="AG57" s="192"/>
      <c r="AH57" s="149"/>
      <c r="AI57" s="392"/>
      <c r="AJ57" s="393"/>
      <c r="AK57" s="389"/>
      <c r="AL57" s="389"/>
      <c r="AM57" s="389"/>
    </row>
    <row r="58">
      <c r="A58" s="307"/>
      <c r="B58" s="308"/>
      <c r="C58" s="309"/>
      <c r="D58" s="389"/>
      <c r="E58" s="307"/>
      <c r="F58" s="308"/>
      <c r="G58" s="309"/>
      <c r="H58" s="389"/>
      <c r="I58" s="307"/>
      <c r="J58" s="308"/>
      <c r="K58" s="309"/>
      <c r="L58" s="389"/>
      <c r="M58" s="307"/>
      <c r="N58" s="308"/>
      <c r="O58" s="309"/>
      <c r="P58" s="389"/>
      <c r="Q58" s="192"/>
      <c r="R58" s="149"/>
      <c r="S58" s="392"/>
      <c r="T58" s="393"/>
      <c r="U58" s="192"/>
      <c r="V58" s="149"/>
      <c r="W58" s="392"/>
      <c r="X58" s="393"/>
      <c r="Y58" s="192"/>
      <c r="Z58" s="149"/>
      <c r="AA58" s="392"/>
      <c r="AB58" s="393"/>
      <c r="AC58" s="192"/>
      <c r="AD58" s="149"/>
      <c r="AE58" s="392"/>
      <c r="AF58" s="393"/>
      <c r="AG58" s="192"/>
      <c r="AH58" s="149"/>
      <c r="AI58" s="392"/>
      <c r="AJ58" s="393"/>
      <c r="AK58" s="389"/>
      <c r="AL58" s="389"/>
      <c r="AM58" s="389"/>
    </row>
    <row r="59">
      <c r="A59" s="307"/>
      <c r="B59" s="308"/>
      <c r="C59" s="309"/>
      <c r="D59" s="389"/>
      <c r="E59" s="307"/>
      <c r="F59" s="308"/>
      <c r="G59" s="309"/>
      <c r="H59" s="389"/>
      <c r="I59" s="307"/>
      <c r="J59" s="308"/>
      <c r="K59" s="309"/>
      <c r="L59" s="389"/>
      <c r="M59" s="307"/>
      <c r="N59" s="308"/>
      <c r="O59" s="309"/>
      <c r="P59" s="389"/>
      <c r="Q59" s="192"/>
      <c r="R59" s="149"/>
      <c r="S59" s="392"/>
      <c r="T59" s="393"/>
      <c r="U59" s="192"/>
      <c r="V59" s="149"/>
      <c r="W59" s="392"/>
      <c r="X59" s="393"/>
      <c r="Y59" s="192"/>
      <c r="Z59" s="149"/>
      <c r="AA59" s="392"/>
      <c r="AB59" s="393"/>
      <c r="AC59" s="192"/>
      <c r="AD59" s="149"/>
      <c r="AE59" s="392"/>
      <c r="AF59" s="393"/>
      <c r="AG59" s="192"/>
      <c r="AH59" s="149"/>
      <c r="AI59" s="392"/>
      <c r="AJ59" s="393"/>
      <c r="AK59" s="389"/>
      <c r="AL59" s="389"/>
      <c r="AM59" s="389"/>
    </row>
    <row r="60">
      <c r="A60" s="307"/>
      <c r="B60" s="308"/>
      <c r="C60" s="309"/>
      <c r="D60" s="389"/>
      <c r="E60" s="307"/>
      <c r="F60" s="308"/>
      <c r="G60" s="309"/>
      <c r="H60" s="389"/>
      <c r="I60" s="307"/>
      <c r="J60" s="308"/>
      <c r="K60" s="309"/>
      <c r="L60" s="389"/>
      <c r="M60" s="307"/>
      <c r="N60" s="308"/>
      <c r="O60" s="309"/>
      <c r="P60" s="389"/>
      <c r="Q60" s="192"/>
      <c r="R60" s="149"/>
      <c r="S60" s="392"/>
      <c r="T60" s="393"/>
      <c r="U60" s="192"/>
      <c r="V60" s="149"/>
      <c r="W60" s="392"/>
      <c r="X60" s="393"/>
      <c r="Y60" s="192"/>
      <c r="Z60" s="149"/>
      <c r="AA60" s="392"/>
      <c r="AB60" s="393"/>
      <c r="AC60" s="192"/>
      <c r="AD60" s="149"/>
      <c r="AE60" s="392"/>
      <c r="AF60" s="393"/>
      <c r="AG60" s="192"/>
      <c r="AH60" s="149"/>
      <c r="AI60" s="392"/>
      <c r="AJ60" s="393"/>
      <c r="AK60" s="389"/>
      <c r="AL60" s="389"/>
      <c r="AM60" s="389"/>
    </row>
    <row r="61">
      <c r="A61" s="307"/>
      <c r="B61" s="308"/>
      <c r="C61" s="309"/>
      <c r="D61" s="389"/>
      <c r="E61" s="307"/>
      <c r="F61" s="308"/>
      <c r="G61" s="309"/>
      <c r="H61" s="389"/>
      <c r="I61" s="307"/>
      <c r="J61" s="308"/>
      <c r="K61" s="309"/>
      <c r="L61" s="389"/>
      <c r="M61" s="307"/>
      <c r="N61" s="308"/>
      <c r="O61" s="309"/>
      <c r="P61" s="389"/>
      <c r="Q61" s="192"/>
      <c r="R61" s="149"/>
      <c r="S61" s="392"/>
      <c r="T61" s="393"/>
      <c r="U61" s="192"/>
      <c r="V61" s="149"/>
      <c r="W61" s="392"/>
      <c r="X61" s="393"/>
      <c r="Y61" s="192"/>
      <c r="Z61" s="149"/>
      <c r="AA61" s="392"/>
      <c r="AB61" s="393"/>
      <c r="AC61" s="192"/>
      <c r="AD61" s="149"/>
      <c r="AE61" s="392"/>
      <c r="AF61" s="393"/>
      <c r="AG61" s="192"/>
      <c r="AH61" s="149"/>
      <c r="AI61" s="392"/>
      <c r="AJ61" s="393"/>
      <c r="AK61" s="389"/>
      <c r="AL61" s="389"/>
      <c r="AM61" s="389"/>
    </row>
    <row r="62">
      <c r="A62" s="307"/>
      <c r="B62" s="308"/>
      <c r="C62" s="309"/>
      <c r="D62" s="389"/>
      <c r="E62" s="307"/>
      <c r="F62" s="308"/>
      <c r="G62" s="309"/>
      <c r="H62" s="389"/>
      <c r="I62" s="307"/>
      <c r="J62" s="308"/>
      <c r="K62" s="309"/>
      <c r="L62" s="389"/>
      <c r="M62" s="307"/>
      <c r="N62" s="308"/>
      <c r="O62" s="309"/>
      <c r="P62" s="389"/>
      <c r="Q62" s="192"/>
      <c r="R62" s="149"/>
      <c r="S62" s="392"/>
      <c r="T62" s="393"/>
      <c r="U62" s="192"/>
      <c r="V62" s="149"/>
      <c r="W62" s="392"/>
      <c r="X62" s="393"/>
      <c r="Y62" s="192"/>
      <c r="Z62" s="149"/>
      <c r="AA62" s="392"/>
      <c r="AB62" s="393"/>
      <c r="AC62" s="192"/>
      <c r="AD62" s="149"/>
      <c r="AE62" s="392"/>
      <c r="AF62" s="393"/>
      <c r="AG62" s="192"/>
      <c r="AH62" s="149"/>
      <c r="AI62" s="392"/>
      <c r="AJ62" s="393"/>
      <c r="AK62" s="389"/>
      <c r="AL62" s="389"/>
      <c r="AM62" s="389"/>
    </row>
    <row r="63">
      <c r="A63" s="307"/>
      <c r="B63" s="308"/>
      <c r="C63" s="309"/>
      <c r="D63" s="389"/>
      <c r="E63" s="307"/>
      <c r="F63" s="308"/>
      <c r="G63" s="309"/>
      <c r="H63" s="389"/>
      <c r="I63" s="307"/>
      <c r="J63" s="308"/>
      <c r="K63" s="309"/>
      <c r="L63" s="389"/>
      <c r="M63" s="307"/>
      <c r="N63" s="308"/>
      <c r="O63" s="309"/>
      <c r="P63" s="389"/>
      <c r="Q63" s="192"/>
      <c r="R63" s="149"/>
      <c r="S63" s="392"/>
      <c r="T63" s="393"/>
      <c r="U63" s="192"/>
      <c r="V63" s="149"/>
      <c r="W63" s="392"/>
      <c r="X63" s="393"/>
      <c r="Y63" s="192"/>
      <c r="Z63" s="149"/>
      <c r="AA63" s="392"/>
      <c r="AB63" s="393"/>
      <c r="AC63" s="192"/>
      <c r="AD63" s="149"/>
      <c r="AE63" s="392"/>
      <c r="AF63" s="393"/>
      <c r="AG63" s="192"/>
      <c r="AH63" s="149"/>
      <c r="AI63" s="392"/>
      <c r="AJ63" s="393"/>
      <c r="AK63" s="389"/>
      <c r="AL63" s="389"/>
      <c r="AM63" s="389"/>
    </row>
    <row r="64">
      <c r="A64" s="307"/>
      <c r="B64" s="308"/>
      <c r="C64" s="309"/>
      <c r="D64" s="389"/>
      <c r="E64" s="307"/>
      <c r="F64" s="308"/>
      <c r="G64" s="309"/>
      <c r="H64" s="389"/>
      <c r="I64" s="307"/>
      <c r="J64" s="308"/>
      <c r="K64" s="309"/>
      <c r="L64" s="389"/>
      <c r="M64" s="307"/>
      <c r="N64" s="308"/>
      <c r="O64" s="309"/>
      <c r="P64" s="389"/>
      <c r="Q64" s="192"/>
      <c r="R64" s="149"/>
      <c r="S64" s="392"/>
      <c r="T64" s="393"/>
      <c r="U64" s="192"/>
      <c r="V64" s="149"/>
      <c r="W64" s="392"/>
      <c r="X64" s="393"/>
      <c r="Y64" s="192"/>
      <c r="Z64" s="149"/>
      <c r="AA64" s="392"/>
      <c r="AB64" s="393"/>
      <c r="AC64" s="192"/>
      <c r="AD64" s="149"/>
      <c r="AE64" s="392"/>
      <c r="AF64" s="393"/>
      <c r="AG64" s="192"/>
      <c r="AH64" s="149"/>
      <c r="AI64" s="392"/>
      <c r="AJ64" s="393"/>
      <c r="AK64" s="389"/>
      <c r="AL64" s="389"/>
      <c r="AM64" s="389"/>
    </row>
    <row r="65">
      <c r="A65" s="307"/>
      <c r="B65" s="308"/>
      <c r="C65" s="309"/>
      <c r="D65" s="389"/>
      <c r="E65" s="307"/>
      <c r="F65" s="308"/>
      <c r="G65" s="309"/>
      <c r="H65" s="389"/>
      <c r="I65" s="307"/>
      <c r="J65" s="308"/>
      <c r="K65" s="309"/>
      <c r="L65" s="389"/>
      <c r="M65" s="307"/>
      <c r="N65" s="308"/>
      <c r="O65" s="309"/>
      <c r="P65" s="389"/>
      <c r="Q65" s="192"/>
      <c r="R65" s="149"/>
      <c r="S65" s="392"/>
      <c r="T65" s="393"/>
      <c r="U65" s="192"/>
      <c r="V65" s="149"/>
      <c r="W65" s="392"/>
      <c r="X65" s="393"/>
      <c r="Y65" s="192"/>
      <c r="Z65" s="149"/>
      <c r="AA65" s="392"/>
      <c r="AB65" s="393"/>
      <c r="AC65" s="192"/>
      <c r="AD65" s="149"/>
      <c r="AE65" s="392"/>
      <c r="AF65" s="393"/>
      <c r="AG65" s="192"/>
      <c r="AH65" s="149"/>
      <c r="AI65" s="392"/>
      <c r="AJ65" s="393"/>
      <c r="AK65" s="389"/>
      <c r="AL65" s="389"/>
      <c r="AM65" s="389"/>
    </row>
    <row r="66">
      <c r="A66" s="307"/>
      <c r="B66" s="308"/>
      <c r="C66" s="309"/>
      <c r="D66" s="389"/>
      <c r="E66" s="307"/>
      <c r="F66" s="308"/>
      <c r="G66" s="309"/>
      <c r="H66" s="389"/>
      <c r="I66" s="307"/>
      <c r="J66" s="308"/>
      <c r="K66" s="309"/>
      <c r="L66" s="389"/>
      <c r="M66" s="307"/>
      <c r="N66" s="308"/>
      <c r="O66" s="309"/>
      <c r="P66" s="389"/>
      <c r="Q66" s="192"/>
      <c r="R66" s="149"/>
      <c r="S66" s="392"/>
      <c r="T66" s="393"/>
      <c r="U66" s="192"/>
      <c r="V66" s="149"/>
      <c r="W66" s="392"/>
      <c r="X66" s="393"/>
      <c r="Y66" s="192"/>
      <c r="Z66" s="149"/>
      <c r="AA66" s="392"/>
      <c r="AB66" s="393"/>
      <c r="AC66" s="192"/>
      <c r="AD66" s="149"/>
      <c r="AE66" s="392"/>
      <c r="AF66" s="393"/>
      <c r="AG66" s="192"/>
      <c r="AH66" s="149"/>
      <c r="AI66" s="392"/>
      <c r="AJ66" s="393"/>
      <c r="AK66" s="389"/>
      <c r="AL66" s="389"/>
      <c r="AM66" s="389"/>
    </row>
    <row r="67">
      <c r="A67" s="307"/>
      <c r="B67" s="308"/>
      <c r="C67" s="309"/>
      <c r="D67" s="389"/>
      <c r="E67" s="307"/>
      <c r="F67" s="308"/>
      <c r="G67" s="309"/>
      <c r="H67" s="389"/>
      <c r="I67" s="307"/>
      <c r="J67" s="308"/>
      <c r="K67" s="309"/>
      <c r="L67" s="389"/>
      <c r="M67" s="307"/>
      <c r="N67" s="308"/>
      <c r="O67" s="309"/>
      <c r="P67" s="389"/>
      <c r="Q67" s="192"/>
      <c r="R67" s="149"/>
      <c r="S67" s="392"/>
      <c r="T67" s="393"/>
      <c r="U67" s="192"/>
      <c r="V67" s="149"/>
      <c r="W67" s="392"/>
      <c r="X67" s="393"/>
      <c r="Y67" s="192"/>
      <c r="Z67" s="149"/>
      <c r="AA67" s="392"/>
      <c r="AB67" s="393"/>
      <c r="AC67" s="192"/>
      <c r="AD67" s="149"/>
      <c r="AE67" s="392"/>
      <c r="AF67" s="393"/>
      <c r="AG67" s="192"/>
      <c r="AH67" s="149"/>
      <c r="AI67" s="392"/>
      <c r="AJ67" s="393"/>
      <c r="AK67" s="389"/>
      <c r="AL67" s="389"/>
      <c r="AM67" s="389"/>
    </row>
    <row r="68">
      <c r="A68" s="307"/>
      <c r="B68" s="308"/>
      <c r="C68" s="309"/>
      <c r="D68" s="389"/>
      <c r="E68" s="307"/>
      <c r="F68" s="308"/>
      <c r="G68" s="309"/>
      <c r="H68" s="389"/>
      <c r="I68" s="307"/>
      <c r="J68" s="308"/>
      <c r="K68" s="309"/>
      <c r="L68" s="389"/>
      <c r="M68" s="307"/>
      <c r="N68" s="308"/>
      <c r="O68" s="309"/>
      <c r="P68" s="389"/>
      <c r="Q68" s="192"/>
      <c r="R68" s="149"/>
      <c r="S68" s="392"/>
      <c r="T68" s="393"/>
      <c r="U68" s="192"/>
      <c r="V68" s="149"/>
      <c r="W68" s="392"/>
      <c r="X68" s="393"/>
      <c r="Y68" s="192"/>
      <c r="Z68" s="149"/>
      <c r="AA68" s="392"/>
      <c r="AB68" s="393"/>
      <c r="AC68" s="192"/>
      <c r="AD68" s="149"/>
      <c r="AE68" s="392"/>
      <c r="AF68" s="393"/>
      <c r="AG68" s="192"/>
      <c r="AH68" s="149"/>
      <c r="AI68" s="392"/>
      <c r="AJ68" s="393"/>
      <c r="AK68" s="389"/>
      <c r="AL68" s="389"/>
      <c r="AM68" s="389"/>
    </row>
    <row r="69">
      <c r="A69" s="307"/>
      <c r="B69" s="308"/>
      <c r="C69" s="309"/>
      <c r="D69" s="389"/>
      <c r="E69" s="307"/>
      <c r="F69" s="308"/>
      <c r="G69" s="309"/>
      <c r="H69" s="389"/>
      <c r="I69" s="307"/>
      <c r="J69" s="308"/>
      <c r="K69" s="309"/>
      <c r="L69" s="389"/>
      <c r="M69" s="307"/>
      <c r="N69" s="308"/>
      <c r="O69" s="309"/>
      <c r="P69" s="389"/>
      <c r="Q69" s="192"/>
      <c r="R69" s="149"/>
      <c r="S69" s="392"/>
      <c r="T69" s="393"/>
      <c r="U69" s="192"/>
      <c r="V69" s="149"/>
      <c r="W69" s="392"/>
      <c r="X69" s="393"/>
      <c r="Y69" s="192"/>
      <c r="Z69" s="149"/>
      <c r="AA69" s="392"/>
      <c r="AB69" s="393"/>
      <c r="AC69" s="192"/>
      <c r="AD69" s="149"/>
      <c r="AE69" s="392"/>
      <c r="AF69" s="393"/>
      <c r="AG69" s="192"/>
      <c r="AH69" s="149"/>
      <c r="AI69" s="392"/>
      <c r="AJ69" s="393"/>
      <c r="AK69" s="389"/>
      <c r="AL69" s="389"/>
      <c r="AM69" s="389"/>
    </row>
    <row r="70">
      <c r="A70" s="307"/>
      <c r="B70" s="308"/>
      <c r="C70" s="309"/>
      <c r="D70" s="389"/>
      <c r="E70" s="307"/>
      <c r="F70" s="308"/>
      <c r="G70" s="309"/>
      <c r="H70" s="389"/>
      <c r="I70" s="307"/>
      <c r="J70" s="308"/>
      <c r="K70" s="309"/>
      <c r="L70" s="389"/>
      <c r="M70" s="307"/>
      <c r="N70" s="308"/>
      <c r="O70" s="309"/>
      <c r="P70" s="389"/>
      <c r="Q70" s="192"/>
      <c r="R70" s="149"/>
      <c r="S70" s="392"/>
      <c r="T70" s="393"/>
      <c r="U70" s="192"/>
      <c r="V70" s="149"/>
      <c r="W70" s="392"/>
      <c r="X70" s="393"/>
      <c r="Y70" s="192"/>
      <c r="Z70" s="149"/>
      <c r="AA70" s="392"/>
      <c r="AB70" s="393"/>
      <c r="AC70" s="192"/>
      <c r="AD70" s="149"/>
      <c r="AE70" s="392"/>
      <c r="AF70" s="393"/>
      <c r="AG70" s="192"/>
      <c r="AH70" s="149"/>
      <c r="AI70" s="392"/>
      <c r="AJ70" s="393"/>
      <c r="AK70" s="389"/>
      <c r="AL70" s="389"/>
      <c r="AM70" s="389"/>
    </row>
    <row r="71">
      <c r="A71" s="307"/>
      <c r="B71" s="308"/>
      <c r="C71" s="309"/>
      <c r="D71" s="389"/>
      <c r="E71" s="307"/>
      <c r="F71" s="308"/>
      <c r="G71" s="309"/>
      <c r="H71" s="389"/>
      <c r="I71" s="307"/>
      <c r="J71" s="308"/>
      <c r="K71" s="309"/>
      <c r="L71" s="389"/>
      <c r="M71" s="307"/>
      <c r="N71" s="308"/>
      <c r="O71" s="309"/>
      <c r="P71" s="389"/>
      <c r="Q71" s="192"/>
      <c r="R71" s="149"/>
      <c r="S71" s="392"/>
      <c r="T71" s="393"/>
      <c r="U71" s="192"/>
      <c r="V71" s="149"/>
      <c r="W71" s="392"/>
      <c r="X71" s="393"/>
      <c r="Y71" s="192"/>
      <c r="Z71" s="149"/>
      <c r="AA71" s="392"/>
      <c r="AB71" s="393"/>
      <c r="AC71" s="192"/>
      <c r="AD71" s="149"/>
      <c r="AE71" s="392"/>
      <c r="AF71" s="393"/>
      <c r="AG71" s="192"/>
      <c r="AH71" s="149"/>
      <c r="AI71" s="392"/>
      <c r="AJ71" s="393"/>
      <c r="AK71" s="389"/>
      <c r="AL71" s="389"/>
      <c r="AM71" s="389"/>
    </row>
    <row r="72">
      <c r="A72" s="307"/>
      <c r="B72" s="308"/>
      <c r="C72" s="309"/>
      <c r="D72" s="389"/>
      <c r="E72" s="307"/>
      <c r="F72" s="308"/>
      <c r="G72" s="309"/>
      <c r="H72" s="389"/>
      <c r="I72" s="307"/>
      <c r="J72" s="308"/>
      <c r="K72" s="309"/>
      <c r="L72" s="389"/>
      <c r="M72" s="307"/>
      <c r="N72" s="308"/>
      <c r="O72" s="309"/>
      <c r="P72" s="389"/>
      <c r="Q72" s="192"/>
      <c r="R72" s="149"/>
      <c r="S72" s="392"/>
      <c r="T72" s="393"/>
      <c r="U72" s="192"/>
      <c r="V72" s="149"/>
      <c r="W72" s="392"/>
      <c r="X72" s="393"/>
      <c r="Y72" s="192"/>
      <c r="Z72" s="149"/>
      <c r="AA72" s="392"/>
      <c r="AB72" s="393"/>
      <c r="AC72" s="192"/>
      <c r="AD72" s="149"/>
      <c r="AE72" s="392"/>
      <c r="AF72" s="393"/>
      <c r="AG72" s="192"/>
      <c r="AH72" s="149"/>
      <c r="AI72" s="392"/>
      <c r="AJ72" s="393"/>
      <c r="AK72" s="389"/>
      <c r="AL72" s="389"/>
      <c r="AM72" s="389"/>
    </row>
    <row r="73">
      <c r="A73" s="307"/>
      <c r="B73" s="308"/>
      <c r="C73" s="309"/>
      <c r="D73" s="389"/>
      <c r="E73" s="307"/>
      <c r="F73" s="308"/>
      <c r="G73" s="309"/>
      <c r="H73" s="389"/>
      <c r="I73" s="307"/>
      <c r="J73" s="308"/>
      <c r="K73" s="309"/>
      <c r="L73" s="389"/>
      <c r="M73" s="307"/>
      <c r="N73" s="308"/>
      <c r="O73" s="309"/>
      <c r="P73" s="389"/>
      <c r="Q73" s="192"/>
      <c r="R73" s="149"/>
      <c r="S73" s="392"/>
      <c r="T73" s="393"/>
      <c r="U73" s="192"/>
      <c r="V73" s="149"/>
      <c r="W73" s="392"/>
      <c r="X73" s="393"/>
      <c r="Y73" s="192"/>
      <c r="Z73" s="149"/>
      <c r="AA73" s="392"/>
      <c r="AB73" s="393"/>
      <c r="AC73" s="192"/>
      <c r="AD73" s="149"/>
      <c r="AE73" s="392"/>
      <c r="AF73" s="393"/>
      <c r="AG73" s="192"/>
      <c r="AH73" s="149"/>
      <c r="AI73" s="392"/>
      <c r="AJ73" s="393"/>
      <c r="AK73" s="389"/>
      <c r="AL73" s="389"/>
      <c r="AM73" s="389"/>
    </row>
    <row r="74">
      <c r="A74" s="307"/>
      <c r="B74" s="308"/>
      <c r="C74" s="309"/>
      <c r="D74" s="389"/>
      <c r="E74" s="307"/>
      <c r="F74" s="308"/>
      <c r="G74" s="309"/>
      <c r="H74" s="389"/>
      <c r="I74" s="307"/>
      <c r="J74" s="308"/>
      <c r="K74" s="309"/>
      <c r="L74" s="389"/>
      <c r="M74" s="307"/>
      <c r="N74" s="308"/>
      <c r="O74" s="309"/>
      <c r="P74" s="389"/>
      <c r="Q74" s="192"/>
      <c r="R74" s="149"/>
      <c r="S74" s="392"/>
      <c r="T74" s="393"/>
      <c r="U74" s="192"/>
      <c r="V74" s="149"/>
      <c r="W74" s="392"/>
      <c r="X74" s="393"/>
      <c r="Y74" s="192"/>
      <c r="Z74" s="149"/>
      <c r="AA74" s="392"/>
      <c r="AB74" s="393"/>
      <c r="AC74" s="192"/>
      <c r="AD74" s="149"/>
      <c r="AE74" s="392"/>
      <c r="AF74" s="393"/>
      <c r="AG74" s="192"/>
      <c r="AH74" s="149"/>
      <c r="AI74" s="392"/>
      <c r="AJ74" s="393"/>
      <c r="AK74" s="389"/>
      <c r="AL74" s="389"/>
      <c r="AM74" s="389"/>
    </row>
    <row r="75">
      <c r="A75" s="307"/>
      <c r="B75" s="308"/>
      <c r="C75" s="309"/>
      <c r="D75" s="389"/>
      <c r="E75" s="307"/>
      <c r="F75" s="308"/>
      <c r="G75" s="309"/>
      <c r="H75" s="389"/>
      <c r="I75" s="307"/>
      <c r="J75" s="308"/>
      <c r="K75" s="309"/>
      <c r="L75" s="389"/>
      <c r="M75" s="307"/>
      <c r="N75" s="308"/>
      <c r="O75" s="309"/>
      <c r="P75" s="389"/>
      <c r="Q75" s="192"/>
      <c r="R75" s="149"/>
      <c r="S75" s="392"/>
      <c r="T75" s="393"/>
      <c r="U75" s="192"/>
      <c r="V75" s="149"/>
      <c r="W75" s="392"/>
      <c r="X75" s="393"/>
      <c r="Y75" s="192"/>
      <c r="Z75" s="149"/>
      <c r="AA75" s="392"/>
      <c r="AB75" s="393"/>
      <c r="AC75" s="192"/>
      <c r="AD75" s="149"/>
      <c r="AE75" s="392"/>
      <c r="AF75" s="393"/>
      <c r="AG75" s="192"/>
      <c r="AH75" s="149"/>
      <c r="AI75" s="392"/>
      <c r="AJ75" s="393"/>
      <c r="AK75" s="389"/>
      <c r="AL75" s="389"/>
      <c r="AM75" s="389"/>
    </row>
    <row r="76">
      <c r="A76" s="307"/>
      <c r="B76" s="308"/>
      <c r="C76" s="309"/>
      <c r="D76" s="389"/>
      <c r="E76" s="307"/>
      <c r="F76" s="308"/>
      <c r="G76" s="309"/>
      <c r="H76" s="389"/>
      <c r="I76" s="307"/>
      <c r="J76" s="308"/>
      <c r="K76" s="309"/>
      <c r="L76" s="389"/>
      <c r="M76" s="307"/>
      <c r="N76" s="308"/>
      <c r="O76" s="309"/>
      <c r="P76" s="389"/>
      <c r="Q76" s="192"/>
      <c r="R76" s="149"/>
      <c r="S76" s="392"/>
      <c r="T76" s="393"/>
      <c r="U76" s="192"/>
      <c r="V76" s="149"/>
      <c r="W76" s="392"/>
      <c r="X76" s="393"/>
      <c r="Y76" s="192"/>
      <c r="Z76" s="149"/>
      <c r="AA76" s="392"/>
      <c r="AB76" s="393"/>
      <c r="AC76" s="192"/>
      <c r="AD76" s="149"/>
      <c r="AE76" s="392"/>
      <c r="AF76" s="393"/>
      <c r="AG76" s="192"/>
      <c r="AH76" s="149"/>
      <c r="AI76" s="392"/>
      <c r="AJ76" s="393"/>
      <c r="AK76" s="389"/>
      <c r="AL76" s="389"/>
      <c r="AM76" s="389"/>
    </row>
    <row r="77">
      <c r="A77" s="307"/>
      <c r="B77" s="308"/>
      <c r="C77" s="309"/>
      <c r="D77" s="389"/>
      <c r="E77" s="307"/>
      <c r="F77" s="308"/>
      <c r="G77" s="309"/>
      <c r="H77" s="389"/>
      <c r="I77" s="307"/>
      <c r="J77" s="308"/>
      <c r="K77" s="309"/>
      <c r="L77" s="389"/>
      <c r="M77" s="307"/>
      <c r="N77" s="308"/>
      <c r="O77" s="309"/>
      <c r="P77" s="389"/>
      <c r="Q77" s="192"/>
      <c r="R77" s="149"/>
      <c r="S77" s="392"/>
      <c r="T77" s="393"/>
      <c r="U77" s="192"/>
      <c r="V77" s="149"/>
      <c r="W77" s="392"/>
      <c r="X77" s="393"/>
      <c r="Y77" s="192"/>
      <c r="Z77" s="149"/>
      <c r="AA77" s="392"/>
      <c r="AB77" s="393"/>
      <c r="AC77" s="192"/>
      <c r="AD77" s="149"/>
      <c r="AE77" s="392"/>
      <c r="AF77" s="393"/>
      <c r="AG77" s="192"/>
      <c r="AH77" s="149"/>
      <c r="AI77" s="392"/>
      <c r="AJ77" s="393"/>
      <c r="AK77" s="389"/>
      <c r="AL77" s="389"/>
      <c r="AM77" s="389"/>
    </row>
    <row r="78">
      <c r="A78" s="307"/>
      <c r="B78" s="308"/>
      <c r="C78" s="309"/>
      <c r="D78" s="389"/>
      <c r="E78" s="307"/>
      <c r="F78" s="308"/>
      <c r="G78" s="309"/>
      <c r="H78" s="389"/>
      <c r="I78" s="307"/>
      <c r="J78" s="308"/>
      <c r="K78" s="309"/>
      <c r="L78" s="389"/>
      <c r="M78" s="307"/>
      <c r="N78" s="308"/>
      <c r="O78" s="309"/>
      <c r="P78" s="389"/>
      <c r="Q78" s="192"/>
      <c r="R78" s="149"/>
      <c r="S78" s="392"/>
      <c r="T78" s="393"/>
      <c r="U78" s="192"/>
      <c r="V78" s="149"/>
      <c r="W78" s="392"/>
      <c r="X78" s="393"/>
      <c r="Y78" s="192"/>
      <c r="Z78" s="149"/>
      <c r="AA78" s="392"/>
      <c r="AB78" s="393"/>
      <c r="AC78" s="192"/>
      <c r="AD78" s="149"/>
      <c r="AE78" s="392"/>
      <c r="AF78" s="393"/>
      <c r="AG78" s="192"/>
      <c r="AH78" s="149"/>
      <c r="AI78" s="392"/>
      <c r="AJ78" s="393"/>
      <c r="AK78" s="389"/>
      <c r="AL78" s="389"/>
      <c r="AM78" s="389"/>
    </row>
    <row r="79">
      <c r="A79" s="307"/>
      <c r="B79" s="308"/>
      <c r="C79" s="309"/>
      <c r="D79" s="389"/>
      <c r="E79" s="307"/>
      <c r="F79" s="308"/>
      <c r="G79" s="309"/>
      <c r="H79" s="389"/>
      <c r="I79" s="307"/>
      <c r="J79" s="308"/>
      <c r="K79" s="309"/>
      <c r="L79" s="389"/>
      <c r="M79" s="307"/>
      <c r="N79" s="308"/>
      <c r="O79" s="309"/>
      <c r="P79" s="389"/>
      <c r="Q79" s="192"/>
      <c r="R79" s="149"/>
      <c r="S79" s="392"/>
      <c r="T79" s="393"/>
      <c r="U79" s="192"/>
      <c r="V79" s="149"/>
      <c r="W79" s="392"/>
      <c r="X79" s="393"/>
      <c r="Y79" s="192"/>
      <c r="Z79" s="149"/>
      <c r="AA79" s="392"/>
      <c r="AB79" s="393"/>
      <c r="AC79" s="192"/>
      <c r="AD79" s="149"/>
      <c r="AE79" s="392"/>
      <c r="AF79" s="393"/>
      <c r="AG79" s="192"/>
      <c r="AH79" s="149"/>
      <c r="AI79" s="392"/>
      <c r="AJ79" s="393"/>
      <c r="AK79" s="389"/>
      <c r="AL79" s="389"/>
      <c r="AM79" s="389"/>
    </row>
    <row r="80">
      <c r="A80" s="307"/>
      <c r="B80" s="308"/>
      <c r="C80" s="309"/>
      <c r="D80" s="389"/>
      <c r="E80" s="307"/>
      <c r="F80" s="308"/>
      <c r="G80" s="309"/>
      <c r="H80" s="389"/>
      <c r="I80" s="307"/>
      <c r="J80" s="308"/>
      <c r="K80" s="309"/>
      <c r="L80" s="389"/>
      <c r="M80" s="307"/>
      <c r="N80" s="308"/>
      <c r="O80" s="309"/>
      <c r="P80" s="389"/>
      <c r="Q80" s="192"/>
      <c r="R80" s="149"/>
      <c r="S80" s="392"/>
      <c r="T80" s="393"/>
      <c r="U80" s="192"/>
      <c r="V80" s="149"/>
      <c r="W80" s="392"/>
      <c r="X80" s="393"/>
      <c r="Y80" s="192"/>
      <c r="Z80" s="149"/>
      <c r="AA80" s="392"/>
      <c r="AB80" s="393"/>
      <c r="AC80" s="192"/>
      <c r="AD80" s="149"/>
      <c r="AE80" s="392"/>
      <c r="AF80" s="393"/>
      <c r="AG80" s="192"/>
      <c r="AH80" s="149"/>
      <c r="AI80" s="392"/>
      <c r="AJ80" s="393"/>
      <c r="AK80" s="389"/>
      <c r="AL80" s="389"/>
      <c r="AM80" s="389"/>
    </row>
    <row r="81">
      <c r="A81" s="307"/>
      <c r="B81" s="308"/>
      <c r="C81" s="309"/>
      <c r="D81" s="389"/>
      <c r="E81" s="307"/>
      <c r="F81" s="308"/>
      <c r="G81" s="309"/>
      <c r="H81" s="389"/>
      <c r="I81" s="307"/>
      <c r="J81" s="308"/>
      <c r="K81" s="309"/>
      <c r="L81" s="389"/>
      <c r="M81" s="307"/>
      <c r="N81" s="308"/>
      <c r="O81" s="309"/>
      <c r="P81" s="389"/>
      <c r="Q81" s="192"/>
      <c r="R81" s="149"/>
      <c r="S81" s="392"/>
      <c r="T81" s="393"/>
      <c r="U81" s="192"/>
      <c r="V81" s="149"/>
      <c r="W81" s="392"/>
      <c r="X81" s="393"/>
      <c r="Y81" s="192"/>
      <c r="Z81" s="149"/>
      <c r="AA81" s="392"/>
      <c r="AB81" s="393"/>
      <c r="AC81" s="192"/>
      <c r="AD81" s="149"/>
      <c r="AE81" s="392"/>
      <c r="AF81" s="393"/>
      <c r="AG81" s="192"/>
      <c r="AH81" s="149"/>
      <c r="AI81" s="392"/>
      <c r="AJ81" s="393"/>
      <c r="AK81" s="389"/>
      <c r="AL81" s="389"/>
      <c r="AM81" s="389"/>
    </row>
    <row r="82">
      <c r="A82" s="307"/>
      <c r="B82" s="308"/>
      <c r="C82" s="309"/>
      <c r="D82" s="389"/>
      <c r="E82" s="307"/>
      <c r="F82" s="308"/>
      <c r="G82" s="309"/>
      <c r="H82" s="389"/>
      <c r="I82" s="307"/>
      <c r="J82" s="308"/>
      <c r="K82" s="309"/>
      <c r="L82" s="389"/>
      <c r="M82" s="307"/>
      <c r="N82" s="308"/>
      <c r="O82" s="309"/>
      <c r="P82" s="389"/>
      <c r="Q82" s="192"/>
      <c r="R82" s="149"/>
      <c r="S82" s="392"/>
      <c r="T82" s="393"/>
      <c r="U82" s="192"/>
      <c r="V82" s="149"/>
      <c r="W82" s="392"/>
      <c r="X82" s="393"/>
      <c r="Y82" s="192"/>
      <c r="Z82" s="149"/>
      <c r="AA82" s="392"/>
      <c r="AB82" s="393"/>
      <c r="AC82" s="192"/>
      <c r="AD82" s="149"/>
      <c r="AE82" s="392"/>
      <c r="AF82" s="393"/>
      <c r="AG82" s="192"/>
      <c r="AH82" s="149"/>
      <c r="AI82" s="392"/>
      <c r="AJ82" s="393"/>
      <c r="AK82" s="389"/>
      <c r="AL82" s="389"/>
      <c r="AM82" s="389"/>
    </row>
    <row r="83">
      <c r="A83" s="307"/>
      <c r="B83" s="308"/>
      <c r="C83" s="309"/>
      <c r="D83" s="389"/>
      <c r="E83" s="307"/>
      <c r="F83" s="308"/>
      <c r="G83" s="309"/>
      <c r="H83" s="389"/>
      <c r="I83" s="307"/>
      <c r="J83" s="308"/>
      <c r="K83" s="309"/>
      <c r="L83" s="389"/>
      <c r="M83" s="307"/>
      <c r="N83" s="308"/>
      <c r="O83" s="309"/>
      <c r="P83" s="389"/>
      <c r="Q83" s="192"/>
      <c r="R83" s="149"/>
      <c r="S83" s="392"/>
      <c r="T83" s="393"/>
      <c r="U83" s="192"/>
      <c r="V83" s="149"/>
      <c r="W83" s="392"/>
      <c r="X83" s="393"/>
      <c r="Y83" s="192"/>
      <c r="Z83" s="149"/>
      <c r="AA83" s="392"/>
      <c r="AB83" s="393"/>
      <c r="AC83" s="192"/>
      <c r="AD83" s="149"/>
      <c r="AE83" s="392"/>
      <c r="AF83" s="393"/>
      <c r="AG83" s="192"/>
      <c r="AH83" s="149"/>
      <c r="AI83" s="392"/>
      <c r="AJ83" s="393"/>
      <c r="AK83" s="389"/>
      <c r="AL83" s="389"/>
      <c r="AM83" s="389"/>
    </row>
    <row r="84">
      <c r="A84" s="307"/>
      <c r="B84" s="308"/>
      <c r="C84" s="309"/>
      <c r="D84" s="389"/>
      <c r="E84" s="307"/>
      <c r="F84" s="308"/>
      <c r="G84" s="309"/>
      <c r="H84" s="389"/>
      <c r="I84" s="307"/>
      <c r="J84" s="308"/>
      <c r="K84" s="309"/>
      <c r="L84" s="389"/>
      <c r="M84" s="307"/>
      <c r="N84" s="308"/>
      <c r="O84" s="309"/>
      <c r="P84" s="389"/>
      <c r="Q84" s="192"/>
      <c r="R84" s="149"/>
      <c r="S84" s="392"/>
      <c r="T84" s="393"/>
      <c r="U84" s="192"/>
      <c r="V84" s="149"/>
      <c r="W84" s="392"/>
      <c r="X84" s="393"/>
      <c r="Y84" s="192"/>
      <c r="Z84" s="149"/>
      <c r="AA84" s="392"/>
      <c r="AB84" s="393"/>
      <c r="AC84" s="192"/>
      <c r="AD84" s="149"/>
      <c r="AE84" s="392"/>
      <c r="AF84" s="393"/>
      <c r="AG84" s="192"/>
      <c r="AH84" s="149"/>
      <c r="AI84" s="392"/>
      <c r="AJ84" s="393"/>
      <c r="AK84" s="389"/>
      <c r="AL84" s="389"/>
      <c r="AM84" s="389"/>
    </row>
    <row r="85">
      <c r="A85" s="307"/>
      <c r="B85" s="308"/>
      <c r="C85" s="309"/>
      <c r="D85" s="389"/>
      <c r="E85" s="307"/>
      <c r="F85" s="308"/>
      <c r="G85" s="309"/>
      <c r="H85" s="389"/>
      <c r="I85" s="307"/>
      <c r="J85" s="308"/>
      <c r="K85" s="309"/>
      <c r="L85" s="389"/>
      <c r="M85" s="307"/>
      <c r="N85" s="308"/>
      <c r="O85" s="309"/>
      <c r="P85" s="389"/>
      <c r="Q85" s="192"/>
      <c r="R85" s="149"/>
      <c r="S85" s="392"/>
      <c r="T85" s="393"/>
      <c r="U85" s="192"/>
      <c r="V85" s="149"/>
      <c r="W85" s="392"/>
      <c r="X85" s="393"/>
      <c r="Y85" s="192"/>
      <c r="Z85" s="149"/>
      <c r="AA85" s="392"/>
      <c r="AB85" s="393"/>
      <c r="AC85" s="192"/>
      <c r="AD85" s="149"/>
      <c r="AE85" s="392"/>
      <c r="AF85" s="393"/>
      <c r="AG85" s="192"/>
      <c r="AH85" s="149"/>
      <c r="AI85" s="392"/>
      <c r="AJ85" s="393"/>
      <c r="AK85" s="389"/>
      <c r="AL85" s="389"/>
      <c r="AM85" s="389"/>
    </row>
    <row r="86">
      <c r="A86" s="307"/>
      <c r="B86" s="308"/>
      <c r="C86" s="309"/>
      <c r="D86" s="389"/>
      <c r="E86" s="307"/>
      <c r="F86" s="308"/>
      <c r="G86" s="309"/>
      <c r="H86" s="389"/>
      <c r="I86" s="307"/>
      <c r="J86" s="308"/>
      <c r="K86" s="309"/>
      <c r="L86" s="389"/>
      <c r="M86" s="307"/>
      <c r="N86" s="308"/>
      <c r="O86" s="309"/>
      <c r="P86" s="389"/>
      <c r="Q86" s="192"/>
      <c r="R86" s="149"/>
      <c r="S86" s="392"/>
      <c r="T86" s="393"/>
      <c r="U86" s="192"/>
      <c r="V86" s="149"/>
      <c r="W86" s="392"/>
      <c r="X86" s="393"/>
      <c r="Y86" s="192"/>
      <c r="Z86" s="149"/>
      <c r="AA86" s="392"/>
      <c r="AB86" s="393"/>
      <c r="AC86" s="192"/>
      <c r="AD86" s="149"/>
      <c r="AE86" s="392"/>
      <c r="AF86" s="393"/>
      <c r="AG86" s="192"/>
      <c r="AH86" s="149"/>
      <c r="AI86" s="392"/>
      <c r="AJ86" s="393"/>
      <c r="AK86" s="389"/>
      <c r="AL86" s="389"/>
      <c r="AM86" s="389"/>
    </row>
    <row r="87">
      <c r="A87" s="307"/>
      <c r="B87" s="308"/>
      <c r="C87" s="309"/>
      <c r="D87" s="389"/>
      <c r="E87" s="307"/>
      <c r="F87" s="308"/>
      <c r="G87" s="309"/>
      <c r="H87" s="389"/>
      <c r="I87" s="307"/>
      <c r="J87" s="308"/>
      <c r="K87" s="309"/>
      <c r="L87" s="389"/>
      <c r="M87" s="307"/>
      <c r="N87" s="308"/>
      <c r="O87" s="309"/>
      <c r="P87" s="389"/>
      <c r="Q87" s="192"/>
      <c r="R87" s="149"/>
      <c r="S87" s="392"/>
      <c r="T87" s="393"/>
      <c r="U87" s="192"/>
      <c r="V87" s="149"/>
      <c r="W87" s="392"/>
      <c r="X87" s="393"/>
      <c r="Y87" s="192"/>
      <c r="Z87" s="149"/>
      <c r="AA87" s="392"/>
      <c r="AB87" s="393"/>
      <c r="AC87" s="192"/>
      <c r="AD87" s="149"/>
      <c r="AE87" s="392"/>
      <c r="AF87" s="393"/>
      <c r="AG87" s="192"/>
      <c r="AH87" s="149"/>
      <c r="AI87" s="392"/>
      <c r="AJ87" s="393"/>
      <c r="AK87" s="389"/>
      <c r="AL87" s="389"/>
      <c r="AM87" s="389"/>
    </row>
    <row r="88">
      <c r="A88" s="307"/>
      <c r="B88" s="308"/>
      <c r="C88" s="309"/>
      <c r="D88" s="389"/>
      <c r="E88" s="307"/>
      <c r="F88" s="308"/>
      <c r="G88" s="309"/>
      <c r="H88" s="389"/>
      <c r="I88" s="307"/>
      <c r="J88" s="308"/>
      <c r="K88" s="309"/>
      <c r="L88" s="389"/>
      <c r="M88" s="307"/>
      <c r="N88" s="308"/>
      <c r="O88" s="309"/>
      <c r="P88" s="389"/>
      <c r="Q88" s="192"/>
      <c r="R88" s="149"/>
      <c r="S88" s="392"/>
      <c r="T88" s="393"/>
      <c r="U88" s="192"/>
      <c r="V88" s="149"/>
      <c r="W88" s="392"/>
      <c r="X88" s="393"/>
      <c r="Y88" s="192"/>
      <c r="Z88" s="149"/>
      <c r="AA88" s="392"/>
      <c r="AB88" s="393"/>
      <c r="AC88" s="192"/>
      <c r="AD88" s="149"/>
      <c r="AE88" s="392"/>
      <c r="AF88" s="393"/>
      <c r="AG88" s="192"/>
      <c r="AH88" s="149"/>
      <c r="AI88" s="392"/>
      <c r="AJ88" s="393"/>
      <c r="AK88" s="389"/>
      <c r="AL88" s="389"/>
      <c r="AM88" s="389"/>
    </row>
    <row r="89">
      <c r="A89" s="307"/>
      <c r="B89" s="308"/>
      <c r="C89" s="309"/>
      <c r="D89" s="389"/>
      <c r="E89" s="307"/>
      <c r="F89" s="308"/>
      <c r="G89" s="309"/>
      <c r="H89" s="389"/>
      <c r="I89" s="307"/>
      <c r="J89" s="308"/>
      <c r="K89" s="309"/>
      <c r="L89" s="389"/>
      <c r="M89" s="307"/>
      <c r="N89" s="308"/>
      <c r="O89" s="309"/>
      <c r="P89" s="389"/>
      <c r="Q89" s="192"/>
      <c r="R89" s="149"/>
      <c r="S89" s="392"/>
      <c r="T89" s="393"/>
      <c r="U89" s="192"/>
      <c r="V89" s="149"/>
      <c r="W89" s="392"/>
      <c r="X89" s="393"/>
      <c r="Y89" s="192"/>
      <c r="Z89" s="149"/>
      <c r="AA89" s="392"/>
      <c r="AB89" s="393"/>
      <c r="AC89" s="192"/>
      <c r="AD89" s="149"/>
      <c r="AE89" s="392"/>
      <c r="AF89" s="393"/>
      <c r="AG89" s="192"/>
      <c r="AH89" s="149"/>
      <c r="AI89" s="392"/>
      <c r="AJ89" s="393"/>
      <c r="AK89" s="389"/>
      <c r="AL89" s="389"/>
      <c r="AM89" s="389"/>
    </row>
    <row r="90">
      <c r="A90" s="307"/>
      <c r="B90" s="308"/>
      <c r="C90" s="309"/>
      <c r="D90" s="389"/>
      <c r="E90" s="307"/>
      <c r="F90" s="308"/>
      <c r="G90" s="309"/>
      <c r="H90" s="389"/>
      <c r="I90" s="307"/>
      <c r="J90" s="308"/>
      <c r="K90" s="309"/>
      <c r="L90" s="389"/>
      <c r="M90" s="307"/>
      <c r="N90" s="308"/>
      <c r="O90" s="309"/>
      <c r="P90" s="389"/>
      <c r="Q90" s="192"/>
      <c r="R90" s="149"/>
      <c r="S90" s="392"/>
      <c r="T90" s="393"/>
      <c r="U90" s="192"/>
      <c r="V90" s="149"/>
      <c r="W90" s="392"/>
      <c r="X90" s="393"/>
      <c r="Y90" s="192"/>
      <c r="Z90" s="149"/>
      <c r="AA90" s="392"/>
      <c r="AB90" s="393"/>
      <c r="AC90" s="192"/>
      <c r="AD90" s="149"/>
      <c r="AE90" s="392"/>
      <c r="AF90" s="393"/>
      <c r="AG90" s="192"/>
      <c r="AH90" s="149"/>
      <c r="AI90" s="392"/>
      <c r="AJ90" s="393"/>
      <c r="AK90" s="389"/>
      <c r="AL90" s="389"/>
      <c r="AM90" s="389"/>
    </row>
    <row r="91">
      <c r="A91" s="307"/>
      <c r="B91" s="308"/>
      <c r="C91" s="309"/>
      <c r="D91" s="389"/>
      <c r="E91" s="307"/>
      <c r="F91" s="308"/>
      <c r="G91" s="309"/>
      <c r="H91" s="389"/>
      <c r="I91" s="307"/>
      <c r="J91" s="308"/>
      <c r="K91" s="309"/>
      <c r="L91" s="389"/>
      <c r="M91" s="307"/>
      <c r="N91" s="308"/>
      <c r="O91" s="309"/>
      <c r="P91" s="389"/>
      <c r="Q91" s="192"/>
      <c r="R91" s="149"/>
      <c r="S91" s="392"/>
      <c r="T91" s="393"/>
      <c r="U91" s="192"/>
      <c r="V91" s="149"/>
      <c r="W91" s="392"/>
      <c r="X91" s="393"/>
      <c r="Y91" s="192"/>
      <c r="Z91" s="149"/>
      <c r="AA91" s="392"/>
      <c r="AB91" s="393"/>
      <c r="AC91" s="192"/>
      <c r="AD91" s="149"/>
      <c r="AE91" s="392"/>
      <c r="AF91" s="393"/>
      <c r="AG91" s="192"/>
      <c r="AH91" s="149"/>
      <c r="AI91" s="392"/>
      <c r="AJ91" s="393"/>
      <c r="AK91" s="389"/>
      <c r="AL91" s="389"/>
      <c r="AM91" s="389"/>
    </row>
    <row r="92">
      <c r="A92" s="307"/>
      <c r="B92" s="308"/>
      <c r="C92" s="309"/>
      <c r="D92" s="389"/>
      <c r="E92" s="307"/>
      <c r="F92" s="308"/>
      <c r="G92" s="309"/>
      <c r="H92" s="389"/>
      <c r="I92" s="307"/>
      <c r="J92" s="308"/>
      <c r="K92" s="309"/>
      <c r="L92" s="389"/>
      <c r="M92" s="307"/>
      <c r="N92" s="308"/>
      <c r="O92" s="309"/>
      <c r="P92" s="389"/>
      <c r="Q92" s="192"/>
      <c r="R92" s="149"/>
      <c r="S92" s="392"/>
      <c r="T92" s="393"/>
      <c r="U92" s="192"/>
      <c r="V92" s="149"/>
      <c r="W92" s="392"/>
      <c r="X92" s="393"/>
      <c r="Y92" s="192"/>
      <c r="Z92" s="149"/>
      <c r="AA92" s="392"/>
      <c r="AB92" s="393"/>
      <c r="AC92" s="192"/>
      <c r="AD92" s="149"/>
      <c r="AE92" s="392"/>
      <c r="AF92" s="393"/>
      <c r="AG92" s="192"/>
      <c r="AH92" s="149"/>
      <c r="AI92" s="392"/>
      <c r="AJ92" s="393"/>
      <c r="AK92" s="389"/>
      <c r="AL92" s="389"/>
      <c r="AM92" s="389"/>
    </row>
    <row r="93">
      <c r="A93" s="307"/>
      <c r="B93" s="308"/>
      <c r="C93" s="309"/>
      <c r="D93" s="389"/>
      <c r="E93" s="307"/>
      <c r="F93" s="308"/>
      <c r="G93" s="309"/>
      <c r="H93" s="389"/>
      <c r="I93" s="307"/>
      <c r="J93" s="308"/>
      <c r="K93" s="309"/>
      <c r="L93" s="389"/>
      <c r="M93" s="307"/>
      <c r="N93" s="308"/>
      <c r="O93" s="309"/>
      <c r="P93" s="389"/>
      <c r="Q93" s="192"/>
      <c r="R93" s="149"/>
      <c r="S93" s="392"/>
      <c r="T93" s="393"/>
      <c r="U93" s="192"/>
      <c r="V93" s="149"/>
      <c r="W93" s="392"/>
      <c r="X93" s="393"/>
      <c r="Y93" s="192"/>
      <c r="Z93" s="149"/>
      <c r="AA93" s="392"/>
      <c r="AB93" s="393"/>
      <c r="AC93" s="192"/>
      <c r="AD93" s="149"/>
      <c r="AE93" s="392"/>
      <c r="AF93" s="393"/>
      <c r="AG93" s="192"/>
      <c r="AH93" s="149"/>
      <c r="AI93" s="392"/>
      <c r="AJ93" s="393"/>
      <c r="AK93" s="389"/>
      <c r="AL93" s="389"/>
      <c r="AM93" s="389"/>
    </row>
    <row r="94">
      <c r="A94" s="307"/>
      <c r="B94" s="308"/>
      <c r="C94" s="309"/>
      <c r="D94" s="389"/>
      <c r="E94" s="307"/>
      <c r="F94" s="308"/>
      <c r="G94" s="309"/>
      <c r="H94" s="389"/>
      <c r="I94" s="307"/>
      <c r="J94" s="308"/>
      <c r="K94" s="309"/>
      <c r="L94" s="389"/>
      <c r="M94" s="307"/>
      <c r="N94" s="308"/>
      <c r="O94" s="309"/>
      <c r="P94" s="389"/>
      <c r="Q94" s="192"/>
      <c r="R94" s="149"/>
      <c r="S94" s="392"/>
      <c r="T94" s="393"/>
      <c r="U94" s="192"/>
      <c r="V94" s="149"/>
      <c r="W94" s="392"/>
      <c r="X94" s="393"/>
      <c r="Y94" s="192"/>
      <c r="Z94" s="149"/>
      <c r="AA94" s="392"/>
      <c r="AB94" s="393"/>
      <c r="AC94" s="192"/>
      <c r="AD94" s="149"/>
      <c r="AE94" s="392"/>
      <c r="AF94" s="393"/>
      <c r="AG94" s="192"/>
      <c r="AH94" s="149"/>
      <c r="AI94" s="392"/>
      <c r="AJ94" s="393"/>
      <c r="AK94" s="389"/>
      <c r="AL94" s="389"/>
      <c r="AM94" s="389"/>
    </row>
    <row r="95">
      <c r="A95" s="307"/>
      <c r="B95" s="308"/>
      <c r="C95" s="309"/>
      <c r="D95" s="389"/>
      <c r="E95" s="307"/>
      <c r="F95" s="308"/>
      <c r="G95" s="309"/>
      <c r="H95" s="389"/>
      <c r="I95" s="307"/>
      <c r="J95" s="308"/>
      <c r="K95" s="309"/>
      <c r="L95" s="389"/>
      <c r="M95" s="307"/>
      <c r="N95" s="308"/>
      <c r="O95" s="309"/>
      <c r="P95" s="389"/>
      <c r="Q95" s="192"/>
      <c r="R95" s="149"/>
      <c r="S95" s="392"/>
      <c r="T95" s="393"/>
      <c r="U95" s="192"/>
      <c r="V95" s="149"/>
      <c r="W95" s="392"/>
      <c r="X95" s="393"/>
      <c r="Y95" s="192"/>
      <c r="Z95" s="149"/>
      <c r="AA95" s="392"/>
      <c r="AB95" s="393"/>
      <c r="AC95" s="192"/>
      <c r="AD95" s="149"/>
      <c r="AE95" s="392"/>
      <c r="AF95" s="393"/>
      <c r="AG95" s="192"/>
      <c r="AH95" s="149"/>
      <c r="AI95" s="392"/>
      <c r="AJ95" s="393"/>
      <c r="AK95" s="389"/>
      <c r="AL95" s="389"/>
      <c r="AM95" s="389"/>
    </row>
    <row r="96">
      <c r="A96" s="307"/>
      <c r="B96" s="308"/>
      <c r="C96" s="309"/>
      <c r="D96" s="389"/>
      <c r="E96" s="307"/>
      <c r="F96" s="308"/>
      <c r="G96" s="309"/>
      <c r="H96" s="389"/>
      <c r="I96" s="307"/>
      <c r="J96" s="308"/>
      <c r="K96" s="309"/>
      <c r="L96" s="389"/>
      <c r="M96" s="307"/>
      <c r="N96" s="308"/>
      <c r="O96" s="309"/>
      <c r="P96" s="389"/>
      <c r="Q96" s="192"/>
      <c r="R96" s="149"/>
      <c r="S96" s="392"/>
      <c r="T96" s="393"/>
      <c r="U96" s="192"/>
      <c r="V96" s="149"/>
      <c r="W96" s="392"/>
      <c r="X96" s="393"/>
      <c r="Y96" s="192"/>
      <c r="Z96" s="149"/>
      <c r="AA96" s="392"/>
      <c r="AB96" s="393"/>
      <c r="AC96" s="192"/>
      <c r="AD96" s="149"/>
      <c r="AE96" s="392"/>
      <c r="AF96" s="393"/>
      <c r="AG96" s="192"/>
      <c r="AH96" s="149"/>
      <c r="AI96" s="392"/>
      <c r="AJ96" s="393"/>
      <c r="AK96" s="389"/>
      <c r="AL96" s="389"/>
      <c r="AM96" s="389"/>
    </row>
    <row r="97">
      <c r="A97" s="307"/>
      <c r="B97" s="308"/>
      <c r="C97" s="309"/>
      <c r="D97" s="389"/>
      <c r="E97" s="307"/>
      <c r="F97" s="308"/>
      <c r="G97" s="309"/>
      <c r="H97" s="389"/>
      <c r="I97" s="307"/>
      <c r="J97" s="308"/>
      <c r="K97" s="309"/>
      <c r="L97" s="389"/>
      <c r="M97" s="307"/>
      <c r="N97" s="308"/>
      <c r="O97" s="309"/>
      <c r="P97" s="389"/>
      <c r="Q97" s="192"/>
      <c r="R97" s="149"/>
      <c r="S97" s="392"/>
      <c r="T97" s="393"/>
      <c r="U97" s="192"/>
      <c r="V97" s="149"/>
      <c r="W97" s="392"/>
      <c r="X97" s="393"/>
      <c r="Y97" s="192"/>
      <c r="Z97" s="149"/>
      <c r="AA97" s="392"/>
      <c r="AB97" s="393"/>
      <c r="AC97" s="192"/>
      <c r="AD97" s="149"/>
      <c r="AE97" s="392"/>
      <c r="AF97" s="393"/>
      <c r="AG97" s="192"/>
      <c r="AH97" s="149"/>
      <c r="AI97" s="392"/>
      <c r="AJ97" s="393"/>
      <c r="AK97" s="389"/>
      <c r="AL97" s="389"/>
      <c r="AM97" s="389"/>
    </row>
    <row r="98">
      <c r="A98" s="307"/>
      <c r="B98" s="308"/>
      <c r="C98" s="309"/>
      <c r="D98" s="389"/>
      <c r="E98" s="307"/>
      <c r="F98" s="308"/>
      <c r="G98" s="309"/>
      <c r="H98" s="389"/>
      <c r="I98" s="307"/>
      <c r="J98" s="308"/>
      <c r="K98" s="309"/>
      <c r="L98" s="389"/>
      <c r="M98" s="307"/>
      <c r="N98" s="308"/>
      <c r="O98" s="309"/>
      <c r="P98" s="389"/>
      <c r="Q98" s="192"/>
      <c r="R98" s="149"/>
      <c r="S98" s="392"/>
      <c r="T98" s="393"/>
      <c r="U98" s="192"/>
      <c r="V98" s="149"/>
      <c r="W98" s="392"/>
      <c r="X98" s="393"/>
      <c r="Y98" s="192"/>
      <c r="Z98" s="149"/>
      <c r="AA98" s="392"/>
      <c r="AB98" s="393"/>
      <c r="AC98" s="192"/>
      <c r="AD98" s="149"/>
      <c r="AE98" s="392"/>
      <c r="AF98" s="393"/>
      <c r="AG98" s="192"/>
      <c r="AH98" s="149"/>
      <c r="AI98" s="392"/>
      <c r="AJ98" s="393"/>
      <c r="AK98" s="389"/>
      <c r="AL98" s="389"/>
      <c r="AM98" s="389"/>
    </row>
    <row r="99">
      <c r="A99" s="307"/>
      <c r="B99" s="308"/>
      <c r="C99" s="309"/>
      <c r="D99" s="389"/>
      <c r="E99" s="307"/>
      <c r="F99" s="308"/>
      <c r="G99" s="309"/>
      <c r="H99" s="389"/>
      <c r="I99" s="307"/>
      <c r="J99" s="308"/>
      <c r="K99" s="309"/>
      <c r="L99" s="389"/>
      <c r="M99" s="307"/>
      <c r="N99" s="308"/>
      <c r="O99" s="309"/>
      <c r="P99" s="389"/>
      <c r="Q99" s="192"/>
      <c r="R99" s="149"/>
      <c r="S99" s="392"/>
      <c r="T99" s="393"/>
      <c r="U99" s="192"/>
      <c r="V99" s="149"/>
      <c r="W99" s="392"/>
      <c r="X99" s="393"/>
      <c r="Y99" s="192"/>
      <c r="Z99" s="149"/>
      <c r="AA99" s="392"/>
      <c r="AB99" s="393"/>
      <c r="AC99" s="192"/>
      <c r="AD99" s="149"/>
      <c r="AE99" s="392"/>
      <c r="AF99" s="393"/>
      <c r="AG99" s="192"/>
      <c r="AH99" s="149"/>
      <c r="AI99" s="392"/>
      <c r="AJ99" s="393"/>
      <c r="AK99" s="389"/>
      <c r="AL99" s="389"/>
      <c r="AM99" s="389"/>
    </row>
    <row r="100">
      <c r="A100" s="307"/>
      <c r="B100" s="308"/>
      <c r="C100" s="309"/>
      <c r="D100" s="389"/>
      <c r="E100" s="307"/>
      <c r="F100" s="308"/>
      <c r="G100" s="309"/>
      <c r="H100" s="389"/>
      <c r="I100" s="307"/>
      <c r="J100" s="308"/>
      <c r="K100" s="309"/>
      <c r="L100" s="389"/>
      <c r="M100" s="307"/>
      <c r="N100" s="308"/>
      <c r="O100" s="309"/>
      <c r="P100" s="389"/>
      <c r="Q100" s="192"/>
      <c r="R100" s="149"/>
      <c r="S100" s="392"/>
      <c r="T100" s="393"/>
      <c r="U100" s="192"/>
      <c r="V100" s="149"/>
      <c r="W100" s="392"/>
      <c r="X100" s="393"/>
      <c r="Y100" s="192"/>
      <c r="Z100" s="149"/>
      <c r="AA100" s="392"/>
      <c r="AB100" s="393"/>
      <c r="AC100" s="192"/>
      <c r="AD100" s="149"/>
      <c r="AE100" s="392"/>
      <c r="AF100" s="393"/>
      <c r="AG100" s="192"/>
      <c r="AH100" s="149"/>
      <c r="AI100" s="392"/>
      <c r="AJ100" s="393"/>
      <c r="AK100" s="389"/>
      <c r="AL100" s="389"/>
      <c r="AM100" s="389"/>
    </row>
    <row r="101">
      <c r="A101" s="307"/>
      <c r="B101" s="308"/>
      <c r="C101" s="309"/>
      <c r="D101" s="389"/>
      <c r="E101" s="307"/>
      <c r="F101" s="308"/>
      <c r="G101" s="309"/>
      <c r="H101" s="389"/>
      <c r="I101" s="307"/>
      <c r="J101" s="308"/>
      <c r="K101" s="309"/>
      <c r="L101" s="389"/>
      <c r="M101" s="307"/>
      <c r="N101" s="308"/>
      <c r="O101" s="309"/>
      <c r="P101" s="389"/>
      <c r="Q101" s="192"/>
      <c r="R101" s="149"/>
      <c r="S101" s="392"/>
      <c r="T101" s="393"/>
      <c r="U101" s="192"/>
      <c r="V101" s="149"/>
      <c r="W101" s="392"/>
      <c r="X101" s="393"/>
      <c r="Y101" s="192"/>
      <c r="Z101" s="149"/>
      <c r="AA101" s="392"/>
      <c r="AB101" s="393"/>
      <c r="AC101" s="192"/>
      <c r="AD101" s="149"/>
      <c r="AE101" s="392"/>
      <c r="AF101" s="393"/>
      <c r="AG101" s="192"/>
      <c r="AH101" s="149"/>
      <c r="AI101" s="392"/>
      <c r="AJ101" s="393"/>
      <c r="AK101" s="389"/>
      <c r="AL101" s="389"/>
      <c r="AM101" s="389"/>
    </row>
    <row r="102">
      <c r="A102" s="307"/>
      <c r="B102" s="308"/>
      <c r="C102" s="309"/>
      <c r="D102" s="389"/>
      <c r="E102" s="307"/>
      <c r="F102" s="308"/>
      <c r="G102" s="309"/>
      <c r="H102" s="389"/>
      <c r="I102" s="307"/>
      <c r="J102" s="308"/>
      <c r="K102" s="309"/>
      <c r="L102" s="389"/>
      <c r="M102" s="307"/>
      <c r="N102" s="308"/>
      <c r="O102" s="309"/>
      <c r="P102" s="389"/>
      <c r="Q102" s="192"/>
      <c r="R102" s="149"/>
      <c r="S102" s="392"/>
      <c r="T102" s="393"/>
      <c r="U102" s="192"/>
      <c r="V102" s="149"/>
      <c r="W102" s="392"/>
      <c r="X102" s="393"/>
      <c r="Y102" s="192"/>
      <c r="Z102" s="149"/>
      <c r="AA102" s="392"/>
      <c r="AB102" s="393"/>
      <c r="AC102" s="192"/>
      <c r="AD102" s="149"/>
      <c r="AE102" s="392"/>
      <c r="AF102" s="393"/>
      <c r="AG102" s="192"/>
      <c r="AH102" s="149"/>
      <c r="AI102" s="392"/>
      <c r="AJ102" s="393"/>
      <c r="AK102" s="389"/>
      <c r="AL102" s="389"/>
      <c r="AM102" s="389"/>
    </row>
    <row r="103">
      <c r="A103" s="307"/>
      <c r="B103" s="308"/>
      <c r="C103" s="309"/>
      <c r="D103" s="389"/>
      <c r="E103" s="307"/>
      <c r="F103" s="308"/>
      <c r="G103" s="309"/>
      <c r="H103" s="389"/>
      <c r="I103" s="307"/>
      <c r="J103" s="308"/>
      <c r="K103" s="309"/>
      <c r="L103" s="389"/>
      <c r="M103" s="307"/>
      <c r="N103" s="308"/>
      <c r="O103" s="309"/>
      <c r="P103" s="389"/>
      <c r="Q103" s="192"/>
      <c r="R103" s="149"/>
      <c r="S103" s="392"/>
      <c r="T103" s="393"/>
      <c r="U103" s="192"/>
      <c r="V103" s="149"/>
      <c r="W103" s="392"/>
      <c r="X103" s="393"/>
      <c r="Y103" s="192"/>
      <c r="Z103" s="149"/>
      <c r="AA103" s="392"/>
      <c r="AB103" s="393"/>
      <c r="AC103" s="192"/>
      <c r="AD103" s="149"/>
      <c r="AE103" s="392"/>
      <c r="AF103" s="393"/>
      <c r="AG103" s="192"/>
      <c r="AH103" s="149"/>
      <c r="AI103" s="392"/>
      <c r="AJ103" s="393"/>
      <c r="AK103" s="389"/>
      <c r="AL103" s="389"/>
      <c r="AM103" s="389"/>
    </row>
    <row r="104">
      <c r="A104" s="307"/>
      <c r="B104" s="308"/>
      <c r="C104" s="309"/>
      <c r="D104" s="389"/>
      <c r="E104" s="307"/>
      <c r="F104" s="308"/>
      <c r="G104" s="309"/>
      <c r="H104" s="389"/>
      <c r="I104" s="307"/>
      <c r="J104" s="308"/>
      <c r="K104" s="309"/>
      <c r="L104" s="389"/>
      <c r="M104" s="307"/>
      <c r="N104" s="308"/>
      <c r="O104" s="309"/>
      <c r="P104" s="389"/>
      <c r="Q104" s="192"/>
      <c r="R104" s="149"/>
      <c r="S104" s="392"/>
      <c r="T104" s="393"/>
      <c r="U104" s="192"/>
      <c r="V104" s="149"/>
      <c r="W104" s="392"/>
      <c r="X104" s="393"/>
      <c r="Y104" s="192"/>
      <c r="Z104" s="149"/>
      <c r="AA104" s="392"/>
      <c r="AB104" s="393"/>
      <c r="AC104" s="192"/>
      <c r="AD104" s="149"/>
      <c r="AE104" s="392"/>
      <c r="AF104" s="393"/>
      <c r="AG104" s="192"/>
      <c r="AH104" s="149"/>
      <c r="AI104" s="392"/>
      <c r="AJ104" s="393"/>
      <c r="AK104" s="389"/>
      <c r="AL104" s="389"/>
      <c r="AM104" s="389"/>
    </row>
    <row r="105">
      <c r="A105" s="307"/>
      <c r="B105" s="308"/>
      <c r="C105" s="309"/>
      <c r="D105" s="389"/>
      <c r="E105" s="307"/>
      <c r="F105" s="308"/>
      <c r="G105" s="309"/>
      <c r="H105" s="389"/>
      <c r="I105" s="307"/>
      <c r="J105" s="308"/>
      <c r="K105" s="309"/>
      <c r="L105" s="389"/>
      <c r="M105" s="307"/>
      <c r="N105" s="308"/>
      <c r="O105" s="309"/>
      <c r="P105" s="389"/>
      <c r="Q105" s="192"/>
      <c r="R105" s="149"/>
      <c r="S105" s="392"/>
      <c r="T105" s="393"/>
      <c r="U105" s="192"/>
      <c r="V105" s="149"/>
      <c r="W105" s="392"/>
      <c r="X105" s="393"/>
      <c r="Y105" s="192"/>
      <c r="Z105" s="149"/>
      <c r="AA105" s="392"/>
      <c r="AB105" s="393"/>
      <c r="AC105" s="192"/>
      <c r="AD105" s="149"/>
      <c r="AE105" s="392"/>
      <c r="AF105" s="393"/>
      <c r="AG105" s="192"/>
      <c r="AH105" s="149"/>
      <c r="AI105" s="392"/>
      <c r="AJ105" s="393"/>
      <c r="AK105" s="389"/>
      <c r="AL105" s="389"/>
      <c r="AM105" s="389"/>
    </row>
    <row r="106">
      <c r="A106" s="307"/>
      <c r="B106" s="308"/>
      <c r="C106" s="309"/>
      <c r="D106" s="389"/>
      <c r="E106" s="307"/>
      <c r="F106" s="308"/>
      <c r="G106" s="309"/>
      <c r="H106" s="389"/>
      <c r="I106" s="307"/>
      <c r="J106" s="308"/>
      <c r="K106" s="309"/>
      <c r="L106" s="389"/>
      <c r="M106" s="307"/>
      <c r="N106" s="308"/>
      <c r="O106" s="309"/>
      <c r="P106" s="389"/>
      <c r="Q106" s="192"/>
      <c r="R106" s="149"/>
      <c r="S106" s="392"/>
      <c r="T106" s="393"/>
      <c r="U106" s="192"/>
      <c r="V106" s="149"/>
      <c r="W106" s="392"/>
      <c r="X106" s="393"/>
      <c r="Y106" s="192"/>
      <c r="Z106" s="149"/>
      <c r="AA106" s="392"/>
      <c r="AB106" s="393"/>
      <c r="AC106" s="192"/>
      <c r="AD106" s="149"/>
      <c r="AE106" s="392"/>
      <c r="AF106" s="393"/>
      <c r="AG106" s="192"/>
      <c r="AH106" s="149"/>
      <c r="AI106" s="392"/>
      <c r="AJ106" s="393"/>
      <c r="AK106" s="389"/>
      <c r="AL106" s="389"/>
      <c r="AM106" s="389"/>
    </row>
    <row r="107">
      <c r="A107" s="307"/>
      <c r="B107" s="308"/>
      <c r="C107" s="309"/>
      <c r="D107" s="389"/>
      <c r="E107" s="307"/>
      <c r="F107" s="308"/>
      <c r="G107" s="309"/>
      <c r="H107" s="389"/>
      <c r="I107" s="307"/>
      <c r="J107" s="308"/>
      <c r="K107" s="309"/>
      <c r="L107" s="389"/>
      <c r="M107" s="307"/>
      <c r="N107" s="308"/>
      <c r="O107" s="309"/>
      <c r="P107" s="389"/>
      <c r="Q107" s="192"/>
      <c r="R107" s="149"/>
      <c r="S107" s="392"/>
      <c r="T107" s="393"/>
      <c r="U107" s="192"/>
      <c r="V107" s="149"/>
      <c r="W107" s="392"/>
      <c r="X107" s="393"/>
      <c r="Y107" s="192"/>
      <c r="Z107" s="149"/>
      <c r="AA107" s="392"/>
      <c r="AB107" s="393"/>
      <c r="AC107" s="192"/>
      <c r="AD107" s="149"/>
      <c r="AE107" s="392"/>
      <c r="AF107" s="393"/>
      <c r="AG107" s="192"/>
      <c r="AH107" s="149"/>
      <c r="AI107" s="392"/>
      <c r="AJ107" s="393"/>
      <c r="AK107" s="389"/>
      <c r="AL107" s="389"/>
      <c r="AM107" s="389"/>
    </row>
    <row r="108">
      <c r="A108" s="307"/>
      <c r="B108" s="308"/>
      <c r="C108" s="309"/>
      <c r="D108" s="389"/>
      <c r="E108" s="307"/>
      <c r="F108" s="308"/>
      <c r="G108" s="309"/>
      <c r="H108" s="389"/>
      <c r="I108" s="307"/>
      <c r="J108" s="308"/>
      <c r="K108" s="309"/>
      <c r="L108" s="389"/>
      <c r="M108" s="307"/>
      <c r="N108" s="308"/>
      <c r="O108" s="309"/>
      <c r="P108" s="389"/>
      <c r="Q108" s="192"/>
      <c r="R108" s="149"/>
      <c r="S108" s="392"/>
      <c r="T108" s="393"/>
      <c r="U108" s="192"/>
      <c r="V108" s="149"/>
      <c r="W108" s="392"/>
      <c r="X108" s="393"/>
      <c r="Y108" s="192"/>
      <c r="Z108" s="149"/>
      <c r="AA108" s="392"/>
      <c r="AB108" s="393"/>
      <c r="AC108" s="192"/>
      <c r="AD108" s="149"/>
      <c r="AE108" s="392"/>
      <c r="AF108" s="393"/>
      <c r="AG108" s="192"/>
      <c r="AH108" s="149"/>
      <c r="AI108" s="392"/>
      <c r="AJ108" s="393"/>
      <c r="AK108" s="389"/>
      <c r="AL108" s="389"/>
      <c r="AM108" s="389"/>
    </row>
    <row r="109">
      <c r="A109" s="307"/>
      <c r="B109" s="308"/>
      <c r="C109" s="309"/>
      <c r="D109" s="389"/>
      <c r="E109" s="307"/>
      <c r="F109" s="308"/>
      <c r="G109" s="309"/>
      <c r="H109" s="389"/>
      <c r="I109" s="307"/>
      <c r="J109" s="308"/>
      <c r="K109" s="309"/>
      <c r="L109" s="389"/>
      <c r="M109" s="307"/>
      <c r="N109" s="308"/>
      <c r="O109" s="309"/>
      <c r="P109" s="389"/>
      <c r="Q109" s="192"/>
      <c r="R109" s="149"/>
      <c r="S109" s="392"/>
      <c r="T109" s="393"/>
      <c r="U109" s="192"/>
      <c r="V109" s="149"/>
      <c r="W109" s="392"/>
      <c r="X109" s="393"/>
      <c r="Y109" s="192"/>
      <c r="Z109" s="149"/>
      <c r="AA109" s="392"/>
      <c r="AB109" s="393"/>
      <c r="AC109" s="192"/>
      <c r="AD109" s="149"/>
      <c r="AE109" s="392"/>
      <c r="AF109" s="393"/>
      <c r="AG109" s="192"/>
      <c r="AH109" s="149"/>
      <c r="AI109" s="392"/>
      <c r="AJ109" s="393"/>
      <c r="AK109" s="389"/>
      <c r="AL109" s="389"/>
      <c r="AM109" s="389"/>
    </row>
    <row r="110">
      <c r="A110" s="307"/>
      <c r="B110" s="308"/>
      <c r="C110" s="309"/>
      <c r="D110" s="389"/>
      <c r="E110" s="307"/>
      <c r="F110" s="308"/>
      <c r="G110" s="309"/>
      <c r="H110" s="389"/>
      <c r="I110" s="307"/>
      <c r="J110" s="308"/>
      <c r="K110" s="309"/>
      <c r="L110" s="389"/>
      <c r="M110" s="307"/>
      <c r="N110" s="308"/>
      <c r="O110" s="309"/>
      <c r="P110" s="389"/>
      <c r="Q110" s="192"/>
      <c r="R110" s="149"/>
      <c r="S110" s="392"/>
      <c r="T110" s="393"/>
      <c r="U110" s="192"/>
      <c r="V110" s="149"/>
      <c r="W110" s="392"/>
      <c r="X110" s="393"/>
      <c r="Y110" s="192"/>
      <c r="Z110" s="149"/>
      <c r="AA110" s="392"/>
      <c r="AB110" s="393"/>
      <c r="AC110" s="192"/>
      <c r="AD110" s="149"/>
      <c r="AE110" s="392"/>
      <c r="AF110" s="393"/>
      <c r="AG110" s="192"/>
      <c r="AH110" s="149"/>
      <c r="AI110" s="392"/>
      <c r="AJ110" s="393"/>
      <c r="AK110" s="389"/>
      <c r="AL110" s="389"/>
      <c r="AM110" s="389"/>
    </row>
    <row r="111">
      <c r="A111" s="307"/>
      <c r="B111" s="308"/>
      <c r="C111" s="309"/>
      <c r="D111" s="389"/>
      <c r="E111" s="307"/>
      <c r="F111" s="308"/>
      <c r="G111" s="309"/>
      <c r="H111" s="389"/>
      <c r="I111" s="307"/>
      <c r="J111" s="308"/>
      <c r="K111" s="309"/>
      <c r="L111" s="389"/>
      <c r="M111" s="307"/>
      <c r="N111" s="308"/>
      <c r="O111" s="309"/>
      <c r="P111" s="389"/>
      <c r="Q111" s="192"/>
      <c r="R111" s="149"/>
      <c r="S111" s="392"/>
      <c r="T111" s="393"/>
      <c r="U111" s="192"/>
      <c r="V111" s="149"/>
      <c r="W111" s="392"/>
      <c r="X111" s="393"/>
      <c r="Y111" s="192"/>
      <c r="Z111" s="149"/>
      <c r="AA111" s="392"/>
      <c r="AB111" s="393"/>
      <c r="AC111" s="192"/>
      <c r="AD111" s="149"/>
      <c r="AE111" s="392"/>
      <c r="AF111" s="393"/>
      <c r="AG111" s="192"/>
      <c r="AH111" s="149"/>
      <c r="AI111" s="392"/>
      <c r="AJ111" s="393"/>
      <c r="AK111" s="389"/>
      <c r="AL111" s="389"/>
      <c r="AM111" s="389"/>
    </row>
    <row r="112">
      <c r="A112" s="307"/>
      <c r="B112" s="308"/>
      <c r="C112" s="309"/>
      <c r="D112" s="389"/>
      <c r="E112" s="307"/>
      <c r="F112" s="308"/>
      <c r="G112" s="309"/>
      <c r="H112" s="389"/>
      <c r="I112" s="307"/>
      <c r="J112" s="308"/>
      <c r="K112" s="309"/>
      <c r="L112" s="389"/>
      <c r="M112" s="307"/>
      <c r="N112" s="308"/>
      <c r="O112" s="309"/>
      <c r="P112" s="389"/>
      <c r="Q112" s="192"/>
      <c r="R112" s="149"/>
      <c r="S112" s="392"/>
      <c r="T112" s="393"/>
      <c r="U112" s="192"/>
      <c r="V112" s="149"/>
      <c r="W112" s="392"/>
      <c r="X112" s="393"/>
      <c r="Y112" s="192"/>
      <c r="Z112" s="149"/>
      <c r="AA112" s="392"/>
      <c r="AB112" s="393"/>
      <c r="AC112" s="192"/>
      <c r="AD112" s="149"/>
      <c r="AE112" s="392"/>
      <c r="AF112" s="393"/>
      <c r="AG112" s="192"/>
      <c r="AH112" s="149"/>
      <c r="AI112" s="392"/>
      <c r="AJ112" s="393"/>
      <c r="AK112" s="389"/>
      <c r="AL112" s="389"/>
      <c r="AM112" s="389"/>
    </row>
    <row r="113">
      <c r="A113" s="307"/>
      <c r="B113" s="308"/>
      <c r="C113" s="309"/>
      <c r="D113" s="389"/>
      <c r="E113" s="307"/>
      <c r="F113" s="308"/>
      <c r="G113" s="309"/>
      <c r="H113" s="389"/>
      <c r="I113" s="307"/>
      <c r="J113" s="308"/>
      <c r="K113" s="309"/>
      <c r="L113" s="389"/>
      <c r="M113" s="307"/>
      <c r="N113" s="308"/>
      <c r="O113" s="309"/>
      <c r="P113" s="389"/>
      <c r="Q113" s="192"/>
      <c r="R113" s="149"/>
      <c r="S113" s="392"/>
      <c r="T113" s="393"/>
      <c r="U113" s="192"/>
      <c r="V113" s="149"/>
      <c r="W113" s="392"/>
      <c r="X113" s="393"/>
      <c r="Y113" s="192"/>
      <c r="Z113" s="149"/>
      <c r="AA113" s="392"/>
      <c r="AB113" s="393"/>
      <c r="AC113" s="192"/>
      <c r="AD113" s="149"/>
      <c r="AE113" s="392"/>
      <c r="AF113" s="393"/>
      <c r="AG113" s="192"/>
      <c r="AH113" s="149"/>
      <c r="AI113" s="392"/>
      <c r="AJ113" s="393"/>
      <c r="AK113" s="389"/>
      <c r="AL113" s="389"/>
      <c r="AM113" s="389"/>
    </row>
    <row r="114">
      <c r="A114" s="307"/>
      <c r="B114" s="308"/>
      <c r="C114" s="309"/>
      <c r="D114" s="389"/>
      <c r="E114" s="307"/>
      <c r="F114" s="308"/>
      <c r="G114" s="309"/>
      <c r="H114" s="389"/>
      <c r="I114" s="307"/>
      <c r="J114" s="308"/>
      <c r="K114" s="309"/>
      <c r="L114" s="389"/>
      <c r="M114" s="307"/>
      <c r="N114" s="308"/>
      <c r="O114" s="309"/>
      <c r="P114" s="389"/>
      <c r="Q114" s="192"/>
      <c r="R114" s="149"/>
      <c r="S114" s="392"/>
      <c r="T114" s="393"/>
      <c r="U114" s="192"/>
      <c r="V114" s="149"/>
      <c r="W114" s="392"/>
      <c r="X114" s="393"/>
      <c r="Y114" s="192"/>
      <c r="Z114" s="149"/>
      <c r="AA114" s="392"/>
      <c r="AB114" s="393"/>
      <c r="AC114" s="192"/>
      <c r="AD114" s="149"/>
      <c r="AE114" s="392"/>
      <c r="AF114" s="393"/>
      <c r="AG114" s="192"/>
      <c r="AH114" s="149"/>
      <c r="AI114" s="392"/>
      <c r="AJ114" s="393"/>
      <c r="AK114" s="389"/>
      <c r="AL114" s="389"/>
      <c r="AM114" s="389"/>
    </row>
    <row r="115">
      <c r="A115" s="307"/>
      <c r="B115" s="308"/>
      <c r="C115" s="309"/>
      <c r="D115" s="389"/>
      <c r="E115" s="307"/>
      <c r="F115" s="308"/>
      <c r="G115" s="309"/>
      <c r="H115" s="389"/>
      <c r="I115" s="307"/>
      <c r="J115" s="308"/>
      <c r="K115" s="309"/>
      <c r="L115" s="389"/>
      <c r="M115" s="307"/>
      <c r="N115" s="308"/>
      <c r="O115" s="309"/>
      <c r="P115" s="389"/>
      <c r="Q115" s="192"/>
      <c r="R115" s="149"/>
      <c r="S115" s="392"/>
      <c r="T115" s="393"/>
      <c r="U115" s="192"/>
      <c r="V115" s="149"/>
      <c r="W115" s="392"/>
      <c r="X115" s="393"/>
      <c r="Y115" s="192"/>
      <c r="Z115" s="149"/>
      <c r="AA115" s="392"/>
      <c r="AB115" s="393"/>
      <c r="AC115" s="192"/>
      <c r="AD115" s="149"/>
      <c r="AE115" s="392"/>
      <c r="AF115" s="393"/>
      <c r="AG115" s="192"/>
      <c r="AH115" s="149"/>
      <c r="AI115" s="392"/>
      <c r="AJ115" s="393"/>
      <c r="AK115" s="389"/>
      <c r="AL115" s="389"/>
      <c r="AM115" s="389"/>
    </row>
    <row r="116">
      <c r="A116" s="307"/>
      <c r="B116" s="308"/>
      <c r="C116" s="309"/>
      <c r="D116" s="389"/>
      <c r="E116" s="307"/>
      <c r="F116" s="308"/>
      <c r="G116" s="309"/>
      <c r="H116" s="389"/>
      <c r="I116" s="307"/>
      <c r="J116" s="308"/>
      <c r="K116" s="309"/>
      <c r="L116" s="389"/>
      <c r="M116" s="307"/>
      <c r="N116" s="308"/>
      <c r="O116" s="309"/>
      <c r="P116" s="389"/>
      <c r="Q116" s="192"/>
      <c r="R116" s="149"/>
      <c r="S116" s="392"/>
      <c r="T116" s="393"/>
      <c r="U116" s="192"/>
      <c r="V116" s="149"/>
      <c r="W116" s="392"/>
      <c r="X116" s="393"/>
      <c r="Y116" s="192"/>
      <c r="Z116" s="149"/>
      <c r="AA116" s="392"/>
      <c r="AB116" s="393"/>
      <c r="AC116" s="192"/>
      <c r="AD116" s="149"/>
      <c r="AE116" s="392"/>
      <c r="AF116" s="393"/>
      <c r="AG116" s="192"/>
      <c r="AH116" s="149"/>
      <c r="AI116" s="392"/>
      <c r="AJ116" s="393"/>
      <c r="AK116" s="389"/>
      <c r="AL116" s="389"/>
      <c r="AM116" s="389"/>
    </row>
    <row r="117">
      <c r="A117" s="307"/>
      <c r="B117" s="308"/>
      <c r="C117" s="309"/>
      <c r="D117" s="389"/>
      <c r="E117" s="307"/>
      <c r="F117" s="308"/>
      <c r="G117" s="309"/>
      <c r="H117" s="389"/>
      <c r="I117" s="307"/>
      <c r="J117" s="308"/>
      <c r="K117" s="309"/>
      <c r="L117" s="389"/>
      <c r="M117" s="307"/>
      <c r="N117" s="308"/>
      <c r="O117" s="309"/>
      <c r="P117" s="389"/>
      <c r="Q117" s="192"/>
      <c r="R117" s="149"/>
      <c r="S117" s="392"/>
      <c r="T117" s="393"/>
      <c r="U117" s="192"/>
      <c r="V117" s="149"/>
      <c r="W117" s="392"/>
      <c r="X117" s="393"/>
      <c r="Y117" s="192"/>
      <c r="Z117" s="149"/>
      <c r="AA117" s="392"/>
      <c r="AB117" s="393"/>
      <c r="AC117" s="192"/>
      <c r="AD117" s="149"/>
      <c r="AE117" s="392"/>
      <c r="AF117" s="393"/>
      <c r="AG117" s="192"/>
      <c r="AH117" s="149"/>
      <c r="AI117" s="392"/>
      <c r="AJ117" s="393"/>
      <c r="AK117" s="389"/>
      <c r="AL117" s="389"/>
      <c r="AM117" s="389"/>
    </row>
    <row r="118">
      <c r="A118" s="307"/>
      <c r="B118" s="308"/>
      <c r="C118" s="309"/>
      <c r="D118" s="389"/>
      <c r="E118" s="307"/>
      <c r="F118" s="308"/>
      <c r="G118" s="309"/>
      <c r="H118" s="389"/>
      <c r="I118" s="307"/>
      <c r="J118" s="308"/>
      <c r="K118" s="309"/>
      <c r="L118" s="389"/>
      <c r="M118" s="307"/>
      <c r="N118" s="308"/>
      <c r="O118" s="309"/>
      <c r="P118" s="389"/>
      <c r="Q118" s="192"/>
      <c r="R118" s="149"/>
      <c r="S118" s="392"/>
      <c r="T118" s="393"/>
      <c r="U118" s="192"/>
      <c r="V118" s="149"/>
      <c r="W118" s="392"/>
      <c r="X118" s="393"/>
      <c r="Y118" s="192"/>
      <c r="Z118" s="149"/>
      <c r="AA118" s="392"/>
      <c r="AB118" s="393"/>
      <c r="AC118" s="192"/>
      <c r="AD118" s="149"/>
      <c r="AE118" s="392"/>
      <c r="AF118" s="393"/>
      <c r="AG118" s="192"/>
      <c r="AH118" s="149"/>
      <c r="AI118" s="392"/>
      <c r="AJ118" s="393"/>
      <c r="AK118" s="389"/>
      <c r="AL118" s="389"/>
      <c r="AM118" s="389"/>
    </row>
    <row r="119">
      <c r="A119" s="307"/>
      <c r="B119" s="308"/>
      <c r="C119" s="309"/>
      <c r="D119" s="389"/>
      <c r="E119" s="307"/>
      <c r="F119" s="308"/>
      <c r="G119" s="309"/>
      <c r="H119" s="389"/>
      <c r="I119" s="307"/>
      <c r="J119" s="308"/>
      <c r="K119" s="309"/>
      <c r="L119" s="389"/>
      <c r="M119" s="307"/>
      <c r="N119" s="308"/>
      <c r="O119" s="309"/>
      <c r="P119" s="389"/>
      <c r="Q119" s="192"/>
      <c r="R119" s="149"/>
      <c r="S119" s="392"/>
      <c r="T119" s="393"/>
      <c r="U119" s="192"/>
      <c r="V119" s="149"/>
      <c r="W119" s="392"/>
      <c r="X119" s="393"/>
      <c r="Y119" s="192"/>
      <c r="Z119" s="149"/>
      <c r="AA119" s="392"/>
      <c r="AB119" s="393"/>
      <c r="AC119" s="192"/>
      <c r="AD119" s="149"/>
      <c r="AE119" s="392"/>
      <c r="AF119" s="393"/>
      <c r="AG119" s="192"/>
      <c r="AH119" s="149"/>
      <c r="AI119" s="392"/>
      <c r="AJ119" s="393"/>
      <c r="AK119" s="389"/>
      <c r="AL119" s="389"/>
      <c r="AM119" s="389"/>
    </row>
    <row r="120">
      <c r="A120" s="307"/>
      <c r="B120" s="308"/>
      <c r="C120" s="309"/>
      <c r="D120" s="389"/>
      <c r="E120" s="307"/>
      <c r="F120" s="308"/>
      <c r="G120" s="309"/>
      <c r="H120" s="389"/>
      <c r="I120" s="307"/>
      <c r="J120" s="308"/>
      <c r="K120" s="309"/>
      <c r="L120" s="389"/>
      <c r="M120" s="307"/>
      <c r="N120" s="308"/>
      <c r="O120" s="309"/>
      <c r="P120" s="389"/>
      <c r="Q120" s="192"/>
      <c r="R120" s="149"/>
      <c r="S120" s="392"/>
      <c r="T120" s="393"/>
      <c r="U120" s="192"/>
      <c r="V120" s="149"/>
      <c r="W120" s="392"/>
      <c r="X120" s="393"/>
      <c r="Y120" s="192"/>
      <c r="Z120" s="149"/>
      <c r="AA120" s="392"/>
      <c r="AB120" s="393"/>
      <c r="AC120" s="192"/>
      <c r="AD120" s="149"/>
      <c r="AE120" s="392"/>
      <c r="AF120" s="393"/>
      <c r="AG120" s="192"/>
      <c r="AH120" s="149"/>
      <c r="AI120" s="392"/>
      <c r="AJ120" s="393"/>
      <c r="AK120" s="389"/>
      <c r="AL120" s="389"/>
      <c r="AM120" s="389"/>
    </row>
    <row r="121">
      <c r="A121" s="307"/>
      <c r="B121" s="308"/>
      <c r="C121" s="309"/>
      <c r="D121" s="389"/>
      <c r="E121" s="307"/>
      <c r="F121" s="308"/>
      <c r="G121" s="309"/>
      <c r="H121" s="389"/>
      <c r="I121" s="307"/>
      <c r="J121" s="308"/>
      <c r="K121" s="309"/>
      <c r="L121" s="389"/>
      <c r="M121" s="307"/>
      <c r="N121" s="308"/>
      <c r="O121" s="309"/>
      <c r="P121" s="389"/>
      <c r="Q121" s="192"/>
      <c r="R121" s="149"/>
      <c r="S121" s="392"/>
      <c r="T121" s="393"/>
      <c r="U121" s="192"/>
      <c r="V121" s="149"/>
      <c r="W121" s="392"/>
      <c r="X121" s="393"/>
      <c r="Y121" s="192"/>
      <c r="Z121" s="149"/>
      <c r="AA121" s="392"/>
      <c r="AB121" s="393"/>
      <c r="AC121" s="192"/>
      <c r="AD121" s="149"/>
      <c r="AE121" s="392"/>
      <c r="AF121" s="393"/>
      <c r="AG121" s="192"/>
      <c r="AH121" s="149"/>
      <c r="AI121" s="392"/>
      <c r="AJ121" s="393"/>
      <c r="AK121" s="389"/>
      <c r="AL121" s="389"/>
      <c r="AM121" s="389"/>
    </row>
    <row r="122">
      <c r="A122" s="307"/>
      <c r="B122" s="308"/>
      <c r="C122" s="309"/>
      <c r="D122" s="389"/>
      <c r="E122" s="307"/>
      <c r="F122" s="308"/>
      <c r="G122" s="309"/>
      <c r="H122" s="389"/>
      <c r="I122" s="307"/>
      <c r="J122" s="308"/>
      <c r="K122" s="309"/>
      <c r="L122" s="389"/>
      <c r="M122" s="307"/>
      <c r="N122" s="308"/>
      <c r="O122" s="309"/>
      <c r="P122" s="389"/>
      <c r="Q122" s="192"/>
      <c r="R122" s="149"/>
      <c r="S122" s="392"/>
      <c r="T122" s="393"/>
      <c r="U122" s="192"/>
      <c r="V122" s="149"/>
      <c r="W122" s="392"/>
      <c r="X122" s="393"/>
      <c r="Y122" s="192"/>
      <c r="Z122" s="149"/>
      <c r="AA122" s="392"/>
      <c r="AB122" s="393"/>
      <c r="AC122" s="192"/>
      <c r="AD122" s="149"/>
      <c r="AE122" s="392"/>
      <c r="AF122" s="393"/>
      <c r="AG122" s="192"/>
      <c r="AH122" s="149"/>
      <c r="AI122" s="392"/>
      <c r="AJ122" s="393"/>
      <c r="AK122" s="389"/>
      <c r="AL122" s="389"/>
      <c r="AM122" s="389"/>
    </row>
    <row r="123">
      <c r="A123" s="307"/>
      <c r="B123" s="308"/>
      <c r="C123" s="309"/>
      <c r="D123" s="389"/>
      <c r="E123" s="307"/>
      <c r="F123" s="308"/>
      <c r="G123" s="309"/>
      <c r="H123" s="389"/>
      <c r="I123" s="307"/>
      <c r="J123" s="308"/>
      <c r="K123" s="309"/>
      <c r="L123" s="389"/>
      <c r="M123" s="307"/>
      <c r="N123" s="308"/>
      <c r="O123" s="309"/>
      <c r="P123" s="389"/>
      <c r="Q123" s="192"/>
      <c r="R123" s="149"/>
      <c r="S123" s="392"/>
      <c r="T123" s="393"/>
      <c r="U123" s="192"/>
      <c r="V123" s="149"/>
      <c r="W123" s="392"/>
      <c r="X123" s="393"/>
      <c r="Y123" s="192"/>
      <c r="Z123" s="149"/>
      <c r="AA123" s="392"/>
      <c r="AB123" s="393"/>
      <c r="AC123" s="192"/>
      <c r="AD123" s="149"/>
      <c r="AE123" s="392"/>
      <c r="AF123" s="393"/>
      <c r="AG123" s="192"/>
      <c r="AH123" s="149"/>
      <c r="AI123" s="392"/>
      <c r="AJ123" s="393"/>
      <c r="AK123" s="389"/>
      <c r="AL123" s="389"/>
      <c r="AM123" s="389"/>
    </row>
    <row r="124">
      <c r="A124" s="307"/>
      <c r="B124" s="308"/>
      <c r="C124" s="309"/>
      <c r="D124" s="389"/>
      <c r="E124" s="307"/>
      <c r="F124" s="308"/>
      <c r="G124" s="309"/>
      <c r="H124" s="389"/>
      <c r="I124" s="307"/>
      <c r="J124" s="308"/>
      <c r="K124" s="309"/>
      <c r="L124" s="389"/>
      <c r="M124" s="307"/>
      <c r="N124" s="308"/>
      <c r="O124" s="309"/>
      <c r="P124" s="389"/>
      <c r="Q124" s="192"/>
      <c r="R124" s="149"/>
      <c r="S124" s="392"/>
      <c r="T124" s="393"/>
      <c r="U124" s="192"/>
      <c r="V124" s="149"/>
      <c r="W124" s="392"/>
      <c r="X124" s="393"/>
      <c r="Y124" s="192"/>
      <c r="Z124" s="149"/>
      <c r="AA124" s="392"/>
      <c r="AB124" s="393"/>
      <c r="AC124" s="192"/>
      <c r="AD124" s="149"/>
      <c r="AE124" s="392"/>
      <c r="AF124" s="393"/>
      <c r="AG124" s="192"/>
      <c r="AH124" s="149"/>
      <c r="AI124" s="392"/>
      <c r="AJ124" s="393"/>
      <c r="AK124" s="389"/>
      <c r="AL124" s="389"/>
      <c r="AM124" s="389"/>
    </row>
    <row r="125">
      <c r="A125" s="307"/>
      <c r="B125" s="308"/>
      <c r="C125" s="309"/>
      <c r="D125" s="389"/>
      <c r="E125" s="307"/>
      <c r="F125" s="308"/>
      <c r="G125" s="309"/>
      <c r="H125" s="389"/>
      <c r="I125" s="307"/>
      <c r="J125" s="308"/>
      <c r="K125" s="309"/>
      <c r="L125" s="389"/>
      <c r="M125" s="307"/>
      <c r="N125" s="308"/>
      <c r="O125" s="309"/>
      <c r="P125" s="389"/>
      <c r="Q125" s="192"/>
      <c r="R125" s="149"/>
      <c r="S125" s="392"/>
      <c r="T125" s="393"/>
      <c r="U125" s="192"/>
      <c r="V125" s="149"/>
      <c r="W125" s="392"/>
      <c r="X125" s="393"/>
      <c r="Y125" s="192"/>
      <c r="Z125" s="149"/>
      <c r="AA125" s="392"/>
      <c r="AB125" s="393"/>
      <c r="AC125" s="192"/>
      <c r="AD125" s="149"/>
      <c r="AE125" s="392"/>
      <c r="AF125" s="393"/>
      <c r="AG125" s="192"/>
      <c r="AH125" s="149"/>
      <c r="AI125" s="392"/>
      <c r="AJ125" s="393"/>
      <c r="AK125" s="389"/>
      <c r="AL125" s="389"/>
      <c r="AM125" s="389"/>
    </row>
    <row r="126">
      <c r="A126" s="307"/>
      <c r="B126" s="308"/>
      <c r="C126" s="309"/>
      <c r="D126" s="389"/>
      <c r="E126" s="307"/>
      <c r="F126" s="308"/>
      <c r="G126" s="309"/>
      <c r="H126" s="389"/>
      <c r="I126" s="307"/>
      <c r="J126" s="308"/>
      <c r="K126" s="309"/>
      <c r="L126" s="389"/>
      <c r="M126" s="307"/>
      <c r="N126" s="308"/>
      <c r="O126" s="309"/>
      <c r="P126" s="389"/>
      <c r="Q126" s="192"/>
      <c r="R126" s="149"/>
      <c r="S126" s="392"/>
      <c r="T126" s="393"/>
      <c r="U126" s="192"/>
      <c r="V126" s="149"/>
      <c r="W126" s="392"/>
      <c r="X126" s="393"/>
      <c r="Y126" s="192"/>
      <c r="Z126" s="149"/>
      <c r="AA126" s="392"/>
      <c r="AB126" s="393"/>
      <c r="AC126" s="192"/>
      <c r="AD126" s="149"/>
      <c r="AE126" s="392"/>
      <c r="AF126" s="393"/>
      <c r="AG126" s="192"/>
      <c r="AH126" s="149"/>
      <c r="AI126" s="392"/>
      <c r="AJ126" s="393"/>
      <c r="AK126" s="389"/>
      <c r="AL126" s="389"/>
      <c r="AM126" s="389"/>
    </row>
    <row r="127">
      <c r="A127" s="307"/>
      <c r="B127" s="308"/>
      <c r="C127" s="309"/>
      <c r="D127" s="389"/>
      <c r="E127" s="307"/>
      <c r="F127" s="308"/>
      <c r="G127" s="309"/>
      <c r="H127" s="389"/>
      <c r="I127" s="307"/>
      <c r="J127" s="308"/>
      <c r="K127" s="309"/>
      <c r="L127" s="389"/>
      <c r="M127" s="307"/>
      <c r="N127" s="308"/>
      <c r="O127" s="309"/>
      <c r="P127" s="389"/>
      <c r="Q127" s="192"/>
      <c r="R127" s="149"/>
      <c r="S127" s="392"/>
      <c r="T127" s="393"/>
      <c r="U127" s="192"/>
      <c r="V127" s="149"/>
      <c r="W127" s="392"/>
      <c r="X127" s="393"/>
      <c r="Y127" s="192"/>
      <c r="Z127" s="149"/>
      <c r="AA127" s="392"/>
      <c r="AB127" s="393"/>
      <c r="AC127" s="192"/>
      <c r="AD127" s="149"/>
      <c r="AE127" s="392"/>
      <c r="AF127" s="393"/>
      <c r="AG127" s="192"/>
      <c r="AH127" s="149"/>
      <c r="AI127" s="392"/>
      <c r="AJ127" s="393"/>
      <c r="AK127" s="389"/>
      <c r="AL127" s="389"/>
      <c r="AM127" s="389"/>
    </row>
    <row r="128">
      <c r="A128" s="307"/>
      <c r="B128" s="308"/>
      <c r="C128" s="309"/>
      <c r="D128" s="389"/>
      <c r="E128" s="307"/>
      <c r="F128" s="308"/>
      <c r="G128" s="309"/>
      <c r="H128" s="389"/>
      <c r="I128" s="307"/>
      <c r="J128" s="308"/>
      <c r="K128" s="309"/>
      <c r="L128" s="389"/>
      <c r="M128" s="307"/>
      <c r="N128" s="308"/>
      <c r="O128" s="309"/>
      <c r="P128" s="389"/>
      <c r="Q128" s="192"/>
      <c r="R128" s="149"/>
      <c r="S128" s="392"/>
      <c r="T128" s="393"/>
      <c r="U128" s="192"/>
      <c r="V128" s="149"/>
      <c r="W128" s="392"/>
      <c r="X128" s="393"/>
      <c r="Y128" s="192"/>
      <c r="Z128" s="149"/>
      <c r="AA128" s="392"/>
      <c r="AB128" s="393"/>
      <c r="AC128" s="192"/>
      <c r="AD128" s="149"/>
      <c r="AE128" s="392"/>
      <c r="AF128" s="393"/>
      <c r="AG128" s="192"/>
      <c r="AH128" s="149"/>
      <c r="AI128" s="392"/>
      <c r="AJ128" s="393"/>
      <c r="AK128" s="389"/>
      <c r="AL128" s="389"/>
      <c r="AM128" s="389"/>
    </row>
    <row r="129">
      <c r="A129" s="307"/>
      <c r="B129" s="308"/>
      <c r="C129" s="309"/>
      <c r="D129" s="389"/>
      <c r="E129" s="307"/>
      <c r="F129" s="308"/>
      <c r="G129" s="309"/>
      <c r="H129" s="389"/>
      <c r="I129" s="307"/>
      <c r="J129" s="308"/>
      <c r="K129" s="309"/>
      <c r="L129" s="389"/>
      <c r="M129" s="307"/>
      <c r="N129" s="308"/>
      <c r="O129" s="309"/>
      <c r="P129" s="389"/>
      <c r="Q129" s="192"/>
      <c r="R129" s="149"/>
      <c r="S129" s="392"/>
      <c r="T129" s="393"/>
      <c r="U129" s="192"/>
      <c r="V129" s="149"/>
      <c r="W129" s="392"/>
      <c r="X129" s="393"/>
      <c r="Y129" s="192"/>
      <c r="Z129" s="149"/>
      <c r="AA129" s="392"/>
      <c r="AB129" s="393"/>
      <c r="AC129" s="192"/>
      <c r="AD129" s="149"/>
      <c r="AE129" s="392"/>
      <c r="AF129" s="393"/>
      <c r="AG129" s="192"/>
      <c r="AH129" s="149"/>
      <c r="AI129" s="392"/>
      <c r="AJ129" s="393"/>
      <c r="AK129" s="389"/>
      <c r="AL129" s="389"/>
      <c r="AM129" s="389"/>
    </row>
    <row r="130">
      <c r="A130" s="307"/>
      <c r="B130" s="308"/>
      <c r="C130" s="309"/>
      <c r="D130" s="389"/>
      <c r="E130" s="307"/>
      <c r="F130" s="308"/>
      <c r="G130" s="309"/>
      <c r="H130" s="389"/>
      <c r="I130" s="307"/>
      <c r="J130" s="308"/>
      <c r="K130" s="309"/>
      <c r="L130" s="389"/>
      <c r="M130" s="307"/>
      <c r="N130" s="308"/>
      <c r="O130" s="309"/>
      <c r="P130" s="389"/>
      <c r="Q130" s="192"/>
      <c r="R130" s="149"/>
      <c r="S130" s="392"/>
      <c r="T130" s="393"/>
      <c r="U130" s="192"/>
      <c r="V130" s="149"/>
      <c r="W130" s="392"/>
      <c r="X130" s="393"/>
      <c r="Y130" s="192"/>
      <c r="Z130" s="149"/>
      <c r="AA130" s="392"/>
      <c r="AB130" s="393"/>
      <c r="AC130" s="192"/>
      <c r="AD130" s="149"/>
      <c r="AE130" s="392"/>
      <c r="AF130" s="393"/>
      <c r="AG130" s="192"/>
      <c r="AH130" s="149"/>
      <c r="AI130" s="392"/>
      <c r="AJ130" s="393"/>
      <c r="AK130" s="389"/>
      <c r="AL130" s="389"/>
      <c r="AM130" s="389"/>
    </row>
    <row r="131">
      <c r="A131" s="307"/>
      <c r="B131" s="308"/>
      <c r="C131" s="309"/>
      <c r="D131" s="389"/>
      <c r="E131" s="307"/>
      <c r="F131" s="308"/>
      <c r="G131" s="309"/>
      <c r="H131" s="389"/>
      <c r="I131" s="307"/>
      <c r="J131" s="308"/>
      <c r="K131" s="309"/>
      <c r="L131" s="389"/>
      <c r="M131" s="307"/>
      <c r="N131" s="308"/>
      <c r="O131" s="309"/>
      <c r="P131" s="389"/>
      <c r="Q131" s="192"/>
      <c r="R131" s="149"/>
      <c r="S131" s="392"/>
      <c r="T131" s="393"/>
      <c r="U131" s="192"/>
      <c r="V131" s="149"/>
      <c r="W131" s="392"/>
      <c r="X131" s="393"/>
      <c r="Y131" s="192"/>
      <c r="Z131" s="149"/>
      <c r="AA131" s="392"/>
      <c r="AB131" s="393"/>
      <c r="AC131" s="192"/>
      <c r="AD131" s="149"/>
      <c r="AE131" s="392"/>
      <c r="AF131" s="393"/>
      <c r="AG131" s="192"/>
      <c r="AH131" s="149"/>
      <c r="AI131" s="392"/>
      <c r="AJ131" s="393"/>
      <c r="AK131" s="389"/>
      <c r="AL131" s="389"/>
      <c r="AM131" s="389"/>
    </row>
    <row r="132">
      <c r="A132" s="307"/>
      <c r="B132" s="308"/>
      <c r="C132" s="309"/>
      <c r="D132" s="389"/>
      <c r="E132" s="307"/>
      <c r="F132" s="308"/>
      <c r="G132" s="309"/>
      <c r="H132" s="389"/>
      <c r="I132" s="307"/>
      <c r="J132" s="308"/>
      <c r="K132" s="309"/>
      <c r="L132" s="389"/>
      <c r="M132" s="307"/>
      <c r="N132" s="308"/>
      <c r="O132" s="309"/>
      <c r="P132" s="389"/>
      <c r="Q132" s="192"/>
      <c r="R132" s="149"/>
      <c r="S132" s="392"/>
      <c r="T132" s="393"/>
      <c r="U132" s="192"/>
      <c r="V132" s="149"/>
      <c r="W132" s="392"/>
      <c r="X132" s="393"/>
      <c r="Y132" s="192"/>
      <c r="Z132" s="149"/>
      <c r="AA132" s="392"/>
      <c r="AB132" s="393"/>
      <c r="AC132" s="192"/>
      <c r="AD132" s="149"/>
      <c r="AE132" s="392"/>
      <c r="AF132" s="393"/>
      <c r="AG132" s="192"/>
      <c r="AH132" s="149"/>
      <c r="AI132" s="392"/>
      <c r="AJ132" s="393"/>
      <c r="AK132" s="389"/>
      <c r="AL132" s="389"/>
      <c r="AM132" s="389"/>
    </row>
    <row r="133">
      <c r="A133" s="307"/>
      <c r="B133" s="308"/>
      <c r="C133" s="309"/>
      <c r="D133" s="389"/>
      <c r="E133" s="307"/>
      <c r="F133" s="308"/>
      <c r="G133" s="309"/>
      <c r="H133" s="389"/>
      <c r="I133" s="307"/>
      <c r="J133" s="308"/>
      <c r="K133" s="309"/>
      <c r="L133" s="389"/>
      <c r="M133" s="307"/>
      <c r="N133" s="308"/>
      <c r="O133" s="309"/>
      <c r="P133" s="389"/>
      <c r="Q133" s="192"/>
      <c r="R133" s="149"/>
      <c r="S133" s="392"/>
      <c r="T133" s="393"/>
      <c r="U133" s="192"/>
      <c r="V133" s="149"/>
      <c r="W133" s="392"/>
      <c r="X133" s="393"/>
      <c r="Y133" s="192"/>
      <c r="Z133" s="149"/>
      <c r="AA133" s="392"/>
      <c r="AB133" s="393"/>
      <c r="AC133" s="192"/>
      <c r="AD133" s="149"/>
      <c r="AE133" s="392"/>
      <c r="AF133" s="393"/>
      <c r="AG133" s="192"/>
      <c r="AH133" s="149"/>
      <c r="AI133" s="392"/>
      <c r="AJ133" s="393"/>
      <c r="AK133" s="389"/>
      <c r="AL133" s="389"/>
      <c r="AM133" s="389"/>
    </row>
    <row r="134">
      <c r="A134" s="307"/>
      <c r="B134" s="308"/>
      <c r="C134" s="309"/>
      <c r="D134" s="389"/>
      <c r="E134" s="307"/>
      <c r="F134" s="308"/>
      <c r="G134" s="309"/>
      <c r="H134" s="389"/>
      <c r="I134" s="307"/>
      <c r="J134" s="308"/>
      <c r="K134" s="309"/>
      <c r="L134" s="389"/>
      <c r="M134" s="307"/>
      <c r="N134" s="308"/>
      <c r="O134" s="309"/>
      <c r="P134" s="389"/>
      <c r="Q134" s="192"/>
      <c r="R134" s="149"/>
      <c r="S134" s="392"/>
      <c r="T134" s="393"/>
      <c r="U134" s="192"/>
      <c r="V134" s="149"/>
      <c r="W134" s="392"/>
      <c r="X134" s="393"/>
      <c r="Y134" s="192"/>
      <c r="Z134" s="149"/>
      <c r="AA134" s="392"/>
      <c r="AB134" s="393"/>
      <c r="AC134" s="192"/>
      <c r="AD134" s="149"/>
      <c r="AE134" s="392"/>
      <c r="AF134" s="393"/>
      <c r="AG134" s="192"/>
      <c r="AH134" s="149"/>
      <c r="AI134" s="392"/>
      <c r="AJ134" s="393"/>
      <c r="AK134" s="389"/>
      <c r="AL134" s="389"/>
      <c r="AM134" s="389"/>
    </row>
    <row r="135">
      <c r="A135" s="307"/>
      <c r="B135" s="308"/>
      <c r="C135" s="309"/>
      <c r="D135" s="389"/>
      <c r="E135" s="307"/>
      <c r="F135" s="308"/>
      <c r="G135" s="309"/>
      <c r="H135" s="389"/>
      <c r="I135" s="307"/>
      <c r="J135" s="308"/>
      <c r="K135" s="309"/>
      <c r="L135" s="389"/>
      <c r="M135" s="307"/>
      <c r="N135" s="308"/>
      <c r="O135" s="309"/>
      <c r="P135" s="389"/>
      <c r="Q135" s="192"/>
      <c r="R135" s="149"/>
      <c r="S135" s="392"/>
      <c r="T135" s="393"/>
      <c r="U135" s="192"/>
      <c r="V135" s="149"/>
      <c r="W135" s="392"/>
      <c r="X135" s="393"/>
      <c r="Y135" s="192"/>
      <c r="Z135" s="149"/>
      <c r="AA135" s="392"/>
      <c r="AB135" s="393"/>
      <c r="AC135" s="192"/>
      <c r="AD135" s="149"/>
      <c r="AE135" s="392"/>
      <c r="AF135" s="393"/>
      <c r="AG135" s="192"/>
      <c r="AH135" s="149"/>
      <c r="AI135" s="392"/>
      <c r="AJ135" s="393"/>
      <c r="AK135" s="389"/>
      <c r="AL135" s="389"/>
      <c r="AM135" s="389"/>
    </row>
    <row r="136">
      <c r="A136" s="307"/>
      <c r="B136" s="308"/>
      <c r="C136" s="309"/>
      <c r="D136" s="389"/>
      <c r="E136" s="307"/>
      <c r="F136" s="308"/>
      <c r="G136" s="309"/>
      <c r="H136" s="389"/>
      <c r="I136" s="307"/>
      <c r="J136" s="308"/>
      <c r="K136" s="309"/>
      <c r="L136" s="389"/>
      <c r="M136" s="307"/>
      <c r="N136" s="308"/>
      <c r="O136" s="309"/>
      <c r="P136" s="389"/>
      <c r="Q136" s="192"/>
      <c r="R136" s="149"/>
      <c r="S136" s="392"/>
      <c r="T136" s="393"/>
      <c r="U136" s="192"/>
      <c r="V136" s="149"/>
      <c r="W136" s="392"/>
      <c r="X136" s="393"/>
      <c r="Y136" s="192"/>
      <c r="Z136" s="149"/>
      <c r="AA136" s="392"/>
      <c r="AB136" s="393"/>
      <c r="AC136" s="192"/>
      <c r="AD136" s="149"/>
      <c r="AE136" s="392"/>
      <c r="AF136" s="393"/>
      <c r="AG136" s="192"/>
      <c r="AH136" s="149"/>
      <c r="AI136" s="392"/>
      <c r="AJ136" s="393"/>
      <c r="AK136" s="389"/>
      <c r="AL136" s="389"/>
      <c r="AM136" s="389"/>
    </row>
    <row r="137">
      <c r="A137" s="307"/>
      <c r="B137" s="308"/>
      <c r="C137" s="309"/>
      <c r="D137" s="389"/>
      <c r="E137" s="307"/>
      <c r="F137" s="308"/>
      <c r="G137" s="309"/>
      <c r="H137" s="389"/>
      <c r="I137" s="307"/>
      <c r="J137" s="308"/>
      <c r="K137" s="309"/>
      <c r="L137" s="389"/>
      <c r="M137" s="307"/>
      <c r="N137" s="308"/>
      <c r="O137" s="309"/>
      <c r="P137" s="389"/>
      <c r="Q137" s="192"/>
      <c r="R137" s="149"/>
      <c r="S137" s="392"/>
      <c r="T137" s="393"/>
      <c r="U137" s="192"/>
      <c r="V137" s="149"/>
      <c r="W137" s="392"/>
      <c r="X137" s="393"/>
      <c r="Y137" s="192"/>
      <c r="Z137" s="149"/>
      <c r="AA137" s="392"/>
      <c r="AB137" s="393"/>
      <c r="AC137" s="192"/>
      <c r="AD137" s="149"/>
      <c r="AE137" s="392"/>
      <c r="AF137" s="393"/>
      <c r="AG137" s="192"/>
      <c r="AH137" s="149"/>
      <c r="AI137" s="392"/>
      <c r="AJ137" s="393"/>
      <c r="AK137" s="389"/>
      <c r="AL137" s="389"/>
      <c r="AM137" s="389"/>
    </row>
    <row r="138">
      <c r="A138" s="307"/>
      <c r="B138" s="308"/>
      <c r="C138" s="309"/>
      <c r="D138" s="389"/>
      <c r="E138" s="307"/>
      <c r="F138" s="308"/>
      <c r="G138" s="309"/>
      <c r="H138" s="389"/>
      <c r="I138" s="307"/>
      <c r="J138" s="308"/>
      <c r="K138" s="309"/>
      <c r="L138" s="389"/>
      <c r="M138" s="307"/>
      <c r="N138" s="308"/>
      <c r="O138" s="309"/>
      <c r="P138" s="389"/>
      <c r="Q138" s="192"/>
      <c r="R138" s="149"/>
      <c r="S138" s="392"/>
      <c r="T138" s="393"/>
      <c r="U138" s="192"/>
      <c r="V138" s="149"/>
      <c r="W138" s="392"/>
      <c r="X138" s="393"/>
      <c r="Y138" s="192"/>
      <c r="Z138" s="149"/>
      <c r="AA138" s="392"/>
      <c r="AB138" s="393"/>
      <c r="AC138" s="192"/>
      <c r="AD138" s="149"/>
      <c r="AE138" s="392"/>
      <c r="AF138" s="393"/>
      <c r="AG138" s="192"/>
      <c r="AH138" s="149"/>
      <c r="AI138" s="392"/>
      <c r="AJ138" s="393"/>
      <c r="AK138" s="389"/>
      <c r="AL138" s="389"/>
      <c r="AM138" s="389"/>
    </row>
    <row r="139">
      <c r="A139" s="307"/>
      <c r="B139" s="308"/>
      <c r="C139" s="309"/>
      <c r="D139" s="389"/>
      <c r="E139" s="307"/>
      <c r="F139" s="308"/>
      <c r="G139" s="309"/>
      <c r="H139" s="389"/>
      <c r="I139" s="307"/>
      <c r="J139" s="308"/>
      <c r="K139" s="309"/>
      <c r="L139" s="389"/>
      <c r="M139" s="307"/>
      <c r="N139" s="308"/>
      <c r="O139" s="309"/>
      <c r="P139" s="389"/>
      <c r="Q139" s="192"/>
      <c r="R139" s="149"/>
      <c r="S139" s="392"/>
      <c r="T139" s="393"/>
      <c r="U139" s="192"/>
      <c r="V139" s="149"/>
      <c r="W139" s="392"/>
      <c r="X139" s="393"/>
      <c r="Y139" s="192"/>
      <c r="Z139" s="149"/>
      <c r="AA139" s="392"/>
      <c r="AB139" s="393"/>
      <c r="AC139" s="192"/>
      <c r="AD139" s="149"/>
      <c r="AE139" s="392"/>
      <c r="AF139" s="393"/>
      <c r="AG139" s="192"/>
      <c r="AH139" s="149"/>
      <c r="AI139" s="392"/>
      <c r="AJ139" s="393"/>
      <c r="AK139" s="389"/>
      <c r="AL139" s="389"/>
      <c r="AM139" s="389"/>
    </row>
    <row r="140">
      <c r="A140" s="307"/>
      <c r="B140" s="308"/>
      <c r="C140" s="309"/>
      <c r="D140" s="389"/>
      <c r="E140" s="307"/>
      <c r="F140" s="308"/>
      <c r="G140" s="309"/>
      <c r="H140" s="389"/>
      <c r="I140" s="307"/>
      <c r="J140" s="308"/>
      <c r="K140" s="309"/>
      <c r="L140" s="389"/>
      <c r="M140" s="307"/>
      <c r="N140" s="308"/>
      <c r="O140" s="309"/>
      <c r="P140" s="389"/>
      <c r="Q140" s="192"/>
      <c r="R140" s="149"/>
      <c r="S140" s="392"/>
      <c r="T140" s="393"/>
      <c r="U140" s="192"/>
      <c r="V140" s="149"/>
      <c r="W140" s="392"/>
      <c r="X140" s="393"/>
      <c r="Y140" s="192"/>
      <c r="Z140" s="149"/>
      <c r="AA140" s="392"/>
      <c r="AB140" s="393"/>
      <c r="AC140" s="192"/>
      <c r="AD140" s="149"/>
      <c r="AE140" s="392"/>
      <c r="AF140" s="393"/>
      <c r="AG140" s="192"/>
      <c r="AH140" s="149"/>
      <c r="AI140" s="392"/>
      <c r="AJ140" s="393"/>
      <c r="AK140" s="389"/>
      <c r="AL140" s="389"/>
      <c r="AM140" s="389"/>
    </row>
    <row r="141">
      <c r="A141" s="307"/>
      <c r="B141" s="308"/>
      <c r="C141" s="309"/>
      <c r="D141" s="389"/>
      <c r="E141" s="307"/>
      <c r="F141" s="308"/>
      <c r="G141" s="309"/>
      <c r="H141" s="389"/>
      <c r="I141" s="307"/>
      <c r="J141" s="308"/>
      <c r="K141" s="309"/>
      <c r="L141" s="389"/>
      <c r="M141" s="307"/>
      <c r="N141" s="308"/>
      <c r="O141" s="309"/>
      <c r="P141" s="389"/>
      <c r="Q141" s="192"/>
      <c r="R141" s="149"/>
      <c r="S141" s="392"/>
      <c r="T141" s="393"/>
      <c r="U141" s="192"/>
      <c r="V141" s="149"/>
      <c r="W141" s="392"/>
      <c r="X141" s="393"/>
      <c r="Y141" s="192"/>
      <c r="Z141" s="149"/>
      <c r="AA141" s="392"/>
      <c r="AB141" s="393"/>
      <c r="AC141" s="192"/>
      <c r="AD141" s="149"/>
      <c r="AE141" s="392"/>
      <c r="AF141" s="393"/>
      <c r="AG141" s="192"/>
      <c r="AH141" s="149"/>
      <c r="AI141" s="392"/>
      <c r="AJ141" s="393"/>
      <c r="AK141" s="389"/>
      <c r="AL141" s="389"/>
      <c r="AM141" s="389"/>
    </row>
    <row r="142">
      <c r="A142" s="307"/>
      <c r="B142" s="308"/>
      <c r="C142" s="309"/>
      <c r="D142" s="389"/>
      <c r="E142" s="307"/>
      <c r="F142" s="308"/>
      <c r="G142" s="309"/>
      <c r="H142" s="389"/>
      <c r="I142" s="307"/>
      <c r="J142" s="308"/>
      <c r="K142" s="309"/>
      <c r="L142" s="389"/>
      <c r="M142" s="307"/>
      <c r="N142" s="308"/>
      <c r="O142" s="309"/>
      <c r="P142" s="389"/>
      <c r="Q142" s="192"/>
      <c r="R142" s="149"/>
      <c r="S142" s="392"/>
      <c r="T142" s="393"/>
      <c r="U142" s="192"/>
      <c r="V142" s="149"/>
      <c r="W142" s="392"/>
      <c r="X142" s="393"/>
      <c r="Y142" s="192"/>
      <c r="Z142" s="149"/>
      <c r="AA142" s="392"/>
      <c r="AB142" s="393"/>
      <c r="AC142" s="192"/>
      <c r="AD142" s="149"/>
      <c r="AE142" s="392"/>
      <c r="AF142" s="393"/>
      <c r="AG142" s="192"/>
      <c r="AH142" s="149"/>
      <c r="AI142" s="392"/>
      <c r="AJ142" s="393"/>
      <c r="AK142" s="389"/>
      <c r="AL142" s="389"/>
      <c r="AM142" s="389"/>
    </row>
    <row r="143">
      <c r="A143" s="307"/>
      <c r="B143" s="308"/>
      <c r="C143" s="309"/>
      <c r="D143" s="389"/>
      <c r="E143" s="307"/>
      <c r="F143" s="308"/>
      <c r="G143" s="309"/>
      <c r="H143" s="389"/>
      <c r="I143" s="307"/>
      <c r="J143" s="308"/>
      <c r="K143" s="309"/>
      <c r="L143" s="389"/>
      <c r="M143" s="307"/>
      <c r="N143" s="308"/>
      <c r="O143" s="309"/>
      <c r="P143" s="389"/>
      <c r="Q143" s="192"/>
      <c r="R143" s="149"/>
      <c r="S143" s="392"/>
      <c r="T143" s="393"/>
      <c r="U143" s="192"/>
      <c r="V143" s="149"/>
      <c r="W143" s="392"/>
      <c r="X143" s="393"/>
      <c r="Y143" s="192"/>
      <c r="Z143" s="149"/>
      <c r="AA143" s="392"/>
      <c r="AB143" s="393"/>
      <c r="AC143" s="192"/>
      <c r="AD143" s="149"/>
      <c r="AE143" s="392"/>
      <c r="AF143" s="393"/>
      <c r="AG143" s="192"/>
      <c r="AH143" s="149"/>
      <c r="AI143" s="392"/>
      <c r="AJ143" s="393"/>
      <c r="AK143" s="389"/>
      <c r="AL143" s="389"/>
      <c r="AM143" s="389"/>
    </row>
    <row r="144">
      <c r="A144" s="307"/>
      <c r="B144" s="308"/>
      <c r="C144" s="309"/>
      <c r="D144" s="389"/>
      <c r="E144" s="307"/>
      <c r="F144" s="308"/>
      <c r="G144" s="309"/>
      <c r="H144" s="389"/>
      <c r="I144" s="307"/>
      <c r="J144" s="308"/>
      <c r="K144" s="309"/>
      <c r="L144" s="389"/>
      <c r="M144" s="307"/>
      <c r="N144" s="308"/>
      <c r="O144" s="309"/>
      <c r="P144" s="389"/>
      <c r="Q144" s="192"/>
      <c r="R144" s="149"/>
      <c r="S144" s="392"/>
      <c r="T144" s="393"/>
      <c r="U144" s="192"/>
      <c r="V144" s="149"/>
      <c r="W144" s="392"/>
      <c r="X144" s="393"/>
      <c r="Y144" s="192"/>
      <c r="Z144" s="149"/>
      <c r="AA144" s="392"/>
      <c r="AB144" s="393"/>
      <c r="AC144" s="192"/>
      <c r="AD144" s="149"/>
      <c r="AE144" s="392"/>
      <c r="AF144" s="393"/>
      <c r="AG144" s="192"/>
      <c r="AH144" s="149"/>
      <c r="AI144" s="392"/>
      <c r="AJ144" s="393"/>
      <c r="AK144" s="389"/>
      <c r="AL144" s="389"/>
      <c r="AM144" s="389"/>
    </row>
    <row r="145">
      <c r="A145" s="307"/>
      <c r="B145" s="308"/>
      <c r="C145" s="309"/>
      <c r="D145" s="389"/>
      <c r="E145" s="307"/>
      <c r="F145" s="308"/>
      <c r="G145" s="309"/>
      <c r="H145" s="389"/>
      <c r="I145" s="307"/>
      <c r="J145" s="308"/>
      <c r="K145" s="309"/>
      <c r="L145" s="389"/>
      <c r="M145" s="307"/>
      <c r="N145" s="308"/>
      <c r="O145" s="309"/>
      <c r="P145" s="389"/>
      <c r="Q145" s="192"/>
      <c r="R145" s="149"/>
      <c r="S145" s="392"/>
      <c r="T145" s="393"/>
      <c r="U145" s="192"/>
      <c r="V145" s="149"/>
      <c r="W145" s="392"/>
      <c r="X145" s="393"/>
      <c r="Y145" s="192"/>
      <c r="Z145" s="149"/>
      <c r="AA145" s="392"/>
      <c r="AB145" s="393"/>
      <c r="AC145" s="192"/>
      <c r="AD145" s="149"/>
      <c r="AE145" s="392"/>
      <c r="AF145" s="393"/>
      <c r="AG145" s="192"/>
      <c r="AH145" s="149"/>
      <c r="AI145" s="392"/>
      <c r="AJ145" s="393"/>
      <c r="AK145" s="389"/>
      <c r="AL145" s="389"/>
      <c r="AM145" s="389"/>
    </row>
    <row r="146">
      <c r="A146" s="307"/>
      <c r="B146" s="308"/>
      <c r="C146" s="309"/>
      <c r="D146" s="389"/>
      <c r="E146" s="307"/>
      <c r="F146" s="308"/>
      <c r="G146" s="309"/>
      <c r="H146" s="389"/>
      <c r="I146" s="307"/>
      <c r="J146" s="308"/>
      <c r="K146" s="309"/>
      <c r="L146" s="389"/>
      <c r="M146" s="307"/>
      <c r="N146" s="308"/>
      <c r="O146" s="309"/>
      <c r="P146" s="389"/>
      <c r="Q146" s="192"/>
      <c r="R146" s="149"/>
      <c r="S146" s="392"/>
      <c r="T146" s="393"/>
      <c r="U146" s="192"/>
      <c r="V146" s="149"/>
      <c r="W146" s="392"/>
      <c r="X146" s="393"/>
      <c r="Y146" s="192"/>
      <c r="Z146" s="149"/>
      <c r="AA146" s="392"/>
      <c r="AB146" s="393"/>
      <c r="AC146" s="192"/>
      <c r="AD146" s="149"/>
      <c r="AE146" s="392"/>
      <c r="AF146" s="393"/>
      <c r="AG146" s="192"/>
      <c r="AH146" s="149"/>
      <c r="AI146" s="392"/>
      <c r="AJ146" s="393"/>
      <c r="AK146" s="389"/>
      <c r="AL146" s="389"/>
      <c r="AM146" s="389"/>
    </row>
    <row r="147">
      <c r="A147" s="307"/>
      <c r="B147" s="308"/>
      <c r="C147" s="309"/>
      <c r="D147" s="389"/>
      <c r="E147" s="307"/>
      <c r="F147" s="308"/>
      <c r="G147" s="309"/>
      <c r="H147" s="389"/>
      <c r="I147" s="307"/>
      <c r="J147" s="308"/>
      <c r="K147" s="309"/>
      <c r="L147" s="389"/>
      <c r="M147" s="307"/>
      <c r="N147" s="308"/>
      <c r="O147" s="309"/>
      <c r="P147" s="389"/>
      <c r="Q147" s="192"/>
      <c r="R147" s="149"/>
      <c r="S147" s="392"/>
      <c r="T147" s="393"/>
      <c r="U147" s="192"/>
      <c r="V147" s="149"/>
      <c r="W147" s="392"/>
      <c r="X147" s="393"/>
      <c r="Y147" s="192"/>
      <c r="Z147" s="149"/>
      <c r="AA147" s="392"/>
      <c r="AB147" s="393"/>
      <c r="AC147" s="192"/>
      <c r="AD147" s="149"/>
      <c r="AE147" s="392"/>
      <c r="AF147" s="393"/>
      <c r="AG147" s="192"/>
      <c r="AH147" s="149"/>
      <c r="AI147" s="392"/>
      <c r="AJ147" s="393"/>
      <c r="AK147" s="389"/>
      <c r="AL147" s="389"/>
      <c r="AM147" s="389"/>
    </row>
    <row r="148">
      <c r="A148" s="307"/>
      <c r="B148" s="308"/>
      <c r="C148" s="309"/>
      <c r="D148" s="389"/>
      <c r="E148" s="307"/>
      <c r="F148" s="308"/>
      <c r="G148" s="309"/>
      <c r="H148" s="389"/>
      <c r="I148" s="307"/>
      <c r="J148" s="308"/>
      <c r="K148" s="309"/>
      <c r="L148" s="389"/>
      <c r="M148" s="307"/>
      <c r="N148" s="308"/>
      <c r="O148" s="309"/>
      <c r="P148" s="389"/>
      <c r="Q148" s="192"/>
      <c r="R148" s="149"/>
      <c r="S148" s="392"/>
      <c r="T148" s="393"/>
      <c r="U148" s="192"/>
      <c r="V148" s="149"/>
      <c r="W148" s="392"/>
      <c r="X148" s="393"/>
      <c r="Y148" s="192"/>
      <c r="Z148" s="149"/>
      <c r="AA148" s="392"/>
      <c r="AB148" s="393"/>
      <c r="AC148" s="192"/>
      <c r="AD148" s="149"/>
      <c r="AE148" s="392"/>
      <c r="AF148" s="393"/>
      <c r="AG148" s="192"/>
      <c r="AH148" s="149"/>
      <c r="AI148" s="392"/>
      <c r="AJ148" s="393"/>
      <c r="AK148" s="389"/>
      <c r="AL148" s="389"/>
      <c r="AM148" s="389"/>
    </row>
    <row r="149">
      <c r="A149" s="307"/>
      <c r="B149" s="308"/>
      <c r="C149" s="309"/>
      <c r="D149" s="389"/>
      <c r="E149" s="307"/>
      <c r="F149" s="308"/>
      <c r="G149" s="309"/>
      <c r="H149" s="389"/>
      <c r="I149" s="307"/>
      <c r="J149" s="308"/>
      <c r="K149" s="309"/>
      <c r="L149" s="389"/>
      <c r="M149" s="307"/>
      <c r="N149" s="308"/>
      <c r="O149" s="309"/>
      <c r="P149" s="389"/>
      <c r="Q149" s="192"/>
      <c r="R149" s="149"/>
      <c r="S149" s="392"/>
      <c r="T149" s="393"/>
      <c r="U149" s="192"/>
      <c r="V149" s="149"/>
      <c r="W149" s="392"/>
      <c r="X149" s="393"/>
      <c r="Y149" s="192"/>
      <c r="Z149" s="149"/>
      <c r="AA149" s="392"/>
      <c r="AB149" s="393"/>
      <c r="AC149" s="192"/>
      <c r="AD149" s="149"/>
      <c r="AE149" s="392"/>
      <c r="AF149" s="393"/>
      <c r="AG149" s="192"/>
      <c r="AH149" s="149"/>
      <c r="AI149" s="392"/>
      <c r="AJ149" s="393"/>
      <c r="AK149" s="389"/>
      <c r="AL149" s="389"/>
      <c r="AM149" s="389"/>
    </row>
    <row r="150">
      <c r="A150" s="307"/>
      <c r="B150" s="308"/>
      <c r="C150" s="309"/>
      <c r="D150" s="389"/>
      <c r="E150" s="307"/>
      <c r="F150" s="308"/>
      <c r="G150" s="309"/>
      <c r="H150" s="389"/>
      <c r="I150" s="307"/>
      <c r="J150" s="308"/>
      <c r="K150" s="309"/>
      <c r="L150" s="389"/>
      <c r="M150" s="307"/>
      <c r="N150" s="308"/>
      <c r="O150" s="309"/>
      <c r="P150" s="389"/>
      <c r="Q150" s="192"/>
      <c r="R150" s="149"/>
      <c r="S150" s="392"/>
      <c r="T150" s="393"/>
      <c r="U150" s="192"/>
      <c r="V150" s="149"/>
      <c r="W150" s="392"/>
      <c r="X150" s="393"/>
      <c r="Y150" s="192"/>
      <c r="Z150" s="149"/>
      <c r="AA150" s="392"/>
      <c r="AB150" s="393"/>
      <c r="AC150" s="192"/>
      <c r="AD150" s="149"/>
      <c r="AE150" s="392"/>
      <c r="AF150" s="393"/>
      <c r="AG150" s="192"/>
      <c r="AH150" s="149"/>
      <c r="AI150" s="392"/>
      <c r="AJ150" s="393"/>
      <c r="AK150" s="389"/>
      <c r="AL150" s="389"/>
      <c r="AM150" s="389"/>
    </row>
    <row r="151">
      <c r="A151" s="307"/>
      <c r="B151" s="308"/>
      <c r="C151" s="309"/>
      <c r="D151" s="389"/>
      <c r="E151" s="307"/>
      <c r="F151" s="308"/>
      <c r="G151" s="309"/>
      <c r="H151" s="389"/>
      <c r="I151" s="307"/>
      <c r="J151" s="308"/>
      <c r="K151" s="309"/>
      <c r="L151" s="389"/>
      <c r="M151" s="307"/>
      <c r="N151" s="308"/>
      <c r="O151" s="309"/>
      <c r="P151" s="389"/>
      <c r="Q151" s="192"/>
      <c r="R151" s="149"/>
      <c r="S151" s="392"/>
      <c r="T151" s="393"/>
      <c r="U151" s="192"/>
      <c r="V151" s="149"/>
      <c r="W151" s="392"/>
      <c r="X151" s="393"/>
      <c r="Y151" s="192"/>
      <c r="Z151" s="149"/>
      <c r="AA151" s="392"/>
      <c r="AB151" s="393"/>
      <c r="AC151" s="192"/>
      <c r="AD151" s="149"/>
      <c r="AE151" s="392"/>
      <c r="AF151" s="393"/>
      <c r="AG151" s="192"/>
      <c r="AH151" s="149"/>
      <c r="AI151" s="392"/>
      <c r="AJ151" s="393"/>
      <c r="AK151" s="389"/>
      <c r="AL151" s="389"/>
      <c r="AM151" s="389"/>
    </row>
    <row r="152">
      <c r="A152" s="307"/>
      <c r="B152" s="308"/>
      <c r="C152" s="309"/>
      <c r="D152" s="389"/>
      <c r="E152" s="307"/>
      <c r="F152" s="308"/>
      <c r="G152" s="309"/>
      <c r="H152" s="389"/>
      <c r="I152" s="307"/>
      <c r="J152" s="308"/>
      <c r="K152" s="309"/>
      <c r="L152" s="389"/>
      <c r="M152" s="307"/>
      <c r="N152" s="308"/>
      <c r="O152" s="309"/>
      <c r="P152" s="389"/>
      <c r="Q152" s="192"/>
      <c r="R152" s="149"/>
      <c r="S152" s="392"/>
      <c r="T152" s="393"/>
      <c r="U152" s="192"/>
      <c r="V152" s="149"/>
      <c r="W152" s="392"/>
      <c r="X152" s="393"/>
      <c r="Y152" s="192"/>
      <c r="Z152" s="149"/>
      <c r="AA152" s="392"/>
      <c r="AB152" s="393"/>
      <c r="AC152" s="192"/>
      <c r="AD152" s="149"/>
      <c r="AE152" s="392"/>
      <c r="AF152" s="393"/>
      <c r="AG152" s="192"/>
      <c r="AH152" s="149"/>
      <c r="AI152" s="392"/>
      <c r="AJ152" s="393"/>
      <c r="AK152" s="389"/>
      <c r="AL152" s="389"/>
      <c r="AM152" s="389"/>
    </row>
    <row r="153">
      <c r="A153" s="307"/>
      <c r="B153" s="308"/>
      <c r="C153" s="309"/>
      <c r="D153" s="389"/>
      <c r="E153" s="307"/>
      <c r="F153" s="308"/>
      <c r="G153" s="309"/>
      <c r="H153" s="389"/>
      <c r="I153" s="307"/>
      <c r="J153" s="308"/>
      <c r="K153" s="309"/>
      <c r="L153" s="389"/>
      <c r="M153" s="307"/>
      <c r="N153" s="308"/>
      <c r="O153" s="309"/>
      <c r="P153" s="389"/>
      <c r="Q153" s="192"/>
      <c r="R153" s="149"/>
      <c r="S153" s="392"/>
      <c r="T153" s="393"/>
      <c r="U153" s="192"/>
      <c r="V153" s="149"/>
      <c r="W153" s="392"/>
      <c r="X153" s="393"/>
      <c r="Y153" s="192"/>
      <c r="Z153" s="149"/>
      <c r="AA153" s="392"/>
      <c r="AB153" s="393"/>
      <c r="AC153" s="192"/>
      <c r="AD153" s="149"/>
      <c r="AE153" s="392"/>
      <c r="AF153" s="393"/>
      <c r="AG153" s="192"/>
      <c r="AH153" s="149"/>
      <c r="AI153" s="392"/>
      <c r="AJ153" s="393"/>
      <c r="AK153" s="389"/>
      <c r="AL153" s="389"/>
      <c r="AM153" s="389"/>
    </row>
    <row r="154">
      <c r="A154" s="307"/>
      <c r="B154" s="308"/>
      <c r="C154" s="309"/>
      <c r="D154" s="389"/>
      <c r="E154" s="307"/>
      <c r="F154" s="308"/>
      <c r="G154" s="309"/>
      <c r="H154" s="389"/>
      <c r="I154" s="307"/>
      <c r="J154" s="308"/>
      <c r="K154" s="309"/>
      <c r="L154" s="389"/>
      <c r="M154" s="307"/>
      <c r="N154" s="308"/>
      <c r="O154" s="309"/>
      <c r="P154" s="389"/>
      <c r="Q154" s="192"/>
      <c r="R154" s="149"/>
      <c r="S154" s="392"/>
      <c r="T154" s="393"/>
      <c r="U154" s="192"/>
      <c r="V154" s="149"/>
      <c r="W154" s="392"/>
      <c r="X154" s="393"/>
      <c r="Y154" s="192"/>
      <c r="Z154" s="149"/>
      <c r="AA154" s="392"/>
      <c r="AB154" s="393"/>
      <c r="AC154" s="192"/>
      <c r="AD154" s="149"/>
      <c r="AE154" s="392"/>
      <c r="AF154" s="393"/>
      <c r="AG154" s="192"/>
      <c r="AH154" s="149"/>
      <c r="AI154" s="392"/>
      <c r="AJ154" s="393"/>
      <c r="AK154" s="389"/>
      <c r="AL154" s="389"/>
      <c r="AM154" s="389"/>
    </row>
    <row r="155">
      <c r="A155" s="307"/>
      <c r="B155" s="308"/>
      <c r="C155" s="309"/>
      <c r="D155" s="389"/>
      <c r="E155" s="307"/>
      <c r="F155" s="308"/>
      <c r="G155" s="309"/>
      <c r="H155" s="389"/>
      <c r="I155" s="307"/>
      <c r="J155" s="308"/>
      <c r="K155" s="309"/>
      <c r="L155" s="389"/>
      <c r="M155" s="307"/>
      <c r="N155" s="308"/>
      <c r="O155" s="309"/>
      <c r="P155" s="389"/>
      <c r="Q155" s="192"/>
      <c r="R155" s="149"/>
      <c r="S155" s="392"/>
      <c r="T155" s="393"/>
      <c r="U155" s="192"/>
      <c r="V155" s="149"/>
      <c r="W155" s="392"/>
      <c r="X155" s="393"/>
      <c r="Y155" s="192"/>
      <c r="Z155" s="149"/>
      <c r="AA155" s="392"/>
      <c r="AB155" s="393"/>
      <c r="AC155" s="192"/>
      <c r="AD155" s="149"/>
      <c r="AE155" s="392"/>
      <c r="AF155" s="393"/>
      <c r="AG155" s="192"/>
      <c r="AH155" s="149"/>
      <c r="AI155" s="392"/>
      <c r="AJ155" s="393"/>
      <c r="AK155" s="389"/>
      <c r="AL155" s="389"/>
      <c r="AM155" s="389"/>
    </row>
    <row r="156">
      <c r="A156" s="307"/>
      <c r="B156" s="308"/>
      <c r="C156" s="309"/>
      <c r="D156" s="389"/>
      <c r="E156" s="307"/>
      <c r="F156" s="308"/>
      <c r="G156" s="309"/>
      <c r="H156" s="389"/>
      <c r="I156" s="307"/>
      <c r="J156" s="308"/>
      <c r="K156" s="309"/>
      <c r="L156" s="389"/>
      <c r="M156" s="307"/>
      <c r="N156" s="308"/>
      <c r="O156" s="309"/>
      <c r="P156" s="389"/>
      <c r="Q156" s="192"/>
      <c r="R156" s="149"/>
      <c r="S156" s="392"/>
      <c r="T156" s="393"/>
      <c r="U156" s="192"/>
      <c r="V156" s="149"/>
      <c r="W156" s="392"/>
      <c r="X156" s="393"/>
      <c r="Y156" s="192"/>
      <c r="Z156" s="149"/>
      <c r="AA156" s="392"/>
      <c r="AB156" s="393"/>
      <c r="AC156" s="192"/>
      <c r="AD156" s="149"/>
      <c r="AE156" s="392"/>
      <c r="AF156" s="393"/>
      <c r="AG156" s="192"/>
      <c r="AH156" s="149"/>
      <c r="AI156" s="392"/>
      <c r="AJ156" s="393"/>
      <c r="AK156" s="389"/>
      <c r="AL156" s="389"/>
      <c r="AM156" s="389"/>
    </row>
    <row r="157">
      <c r="A157" s="307"/>
      <c r="B157" s="308"/>
      <c r="C157" s="309"/>
      <c r="D157" s="389"/>
      <c r="E157" s="307"/>
      <c r="F157" s="308"/>
      <c r="G157" s="309"/>
      <c r="H157" s="389"/>
      <c r="I157" s="307"/>
      <c r="J157" s="308"/>
      <c r="K157" s="309"/>
      <c r="L157" s="389"/>
      <c r="M157" s="307"/>
      <c r="N157" s="308"/>
      <c r="O157" s="309"/>
      <c r="P157" s="389"/>
      <c r="Q157" s="192"/>
      <c r="R157" s="149"/>
      <c r="S157" s="392"/>
      <c r="T157" s="393"/>
      <c r="U157" s="192"/>
      <c r="V157" s="149"/>
      <c r="W157" s="392"/>
      <c r="X157" s="393"/>
      <c r="Y157" s="192"/>
      <c r="Z157" s="149"/>
      <c r="AA157" s="392"/>
      <c r="AB157" s="393"/>
      <c r="AC157" s="192"/>
      <c r="AD157" s="149"/>
      <c r="AE157" s="392"/>
      <c r="AF157" s="393"/>
      <c r="AG157" s="192"/>
      <c r="AH157" s="149"/>
      <c r="AI157" s="392"/>
      <c r="AJ157" s="393"/>
      <c r="AK157" s="389"/>
      <c r="AL157" s="389"/>
      <c r="AM157" s="389"/>
    </row>
    <row r="158">
      <c r="A158" s="307"/>
      <c r="B158" s="308"/>
      <c r="C158" s="309"/>
      <c r="D158" s="389"/>
      <c r="E158" s="307"/>
      <c r="F158" s="308"/>
      <c r="G158" s="309"/>
      <c r="H158" s="389"/>
      <c r="I158" s="307"/>
      <c r="J158" s="308"/>
      <c r="K158" s="309"/>
      <c r="L158" s="389"/>
      <c r="M158" s="307"/>
      <c r="N158" s="308"/>
      <c r="O158" s="309"/>
      <c r="P158" s="389"/>
      <c r="Q158" s="192"/>
      <c r="R158" s="149"/>
      <c r="S158" s="392"/>
      <c r="T158" s="393"/>
      <c r="U158" s="192"/>
      <c r="V158" s="149"/>
      <c r="W158" s="392"/>
      <c r="X158" s="393"/>
      <c r="Y158" s="192"/>
      <c r="Z158" s="149"/>
      <c r="AA158" s="392"/>
      <c r="AB158" s="393"/>
      <c r="AC158" s="192"/>
      <c r="AD158" s="149"/>
      <c r="AE158" s="392"/>
      <c r="AF158" s="393"/>
      <c r="AG158" s="192"/>
      <c r="AH158" s="149"/>
      <c r="AI158" s="392"/>
      <c r="AJ158" s="393"/>
      <c r="AK158" s="389"/>
      <c r="AL158" s="389"/>
      <c r="AM158" s="389"/>
    </row>
    <row r="159">
      <c r="A159" s="307"/>
      <c r="B159" s="308"/>
      <c r="C159" s="309"/>
      <c r="D159" s="389"/>
      <c r="E159" s="307"/>
      <c r="F159" s="308"/>
      <c r="G159" s="309"/>
      <c r="H159" s="389"/>
      <c r="I159" s="307"/>
      <c r="J159" s="308"/>
      <c r="K159" s="309"/>
      <c r="L159" s="389"/>
      <c r="M159" s="307"/>
      <c r="N159" s="308"/>
      <c r="O159" s="309"/>
      <c r="P159" s="389"/>
      <c r="Q159" s="192"/>
      <c r="R159" s="149"/>
      <c r="S159" s="392"/>
      <c r="T159" s="393"/>
      <c r="U159" s="192"/>
      <c r="V159" s="149"/>
      <c r="W159" s="392"/>
      <c r="X159" s="393"/>
      <c r="Y159" s="192"/>
      <c r="Z159" s="149"/>
      <c r="AA159" s="392"/>
      <c r="AB159" s="393"/>
      <c r="AC159" s="192"/>
      <c r="AD159" s="149"/>
      <c r="AE159" s="392"/>
      <c r="AF159" s="393"/>
      <c r="AG159" s="192"/>
      <c r="AH159" s="149"/>
      <c r="AI159" s="392"/>
      <c r="AJ159" s="393"/>
      <c r="AK159" s="389"/>
      <c r="AL159" s="389"/>
      <c r="AM159" s="389"/>
    </row>
    <row r="160">
      <c r="A160" s="307"/>
      <c r="B160" s="308"/>
      <c r="C160" s="309"/>
      <c r="D160" s="389"/>
      <c r="E160" s="307"/>
      <c r="F160" s="308"/>
      <c r="G160" s="309"/>
      <c r="H160" s="389"/>
      <c r="I160" s="307"/>
      <c r="J160" s="308"/>
      <c r="K160" s="309"/>
      <c r="L160" s="389"/>
      <c r="M160" s="307"/>
      <c r="N160" s="308"/>
      <c r="O160" s="309"/>
      <c r="P160" s="389"/>
      <c r="Q160" s="192"/>
      <c r="R160" s="149"/>
      <c r="S160" s="392"/>
      <c r="T160" s="393"/>
      <c r="U160" s="192"/>
      <c r="V160" s="149"/>
      <c r="W160" s="392"/>
      <c r="X160" s="393"/>
      <c r="Y160" s="192"/>
      <c r="Z160" s="149"/>
      <c r="AA160" s="392"/>
      <c r="AB160" s="393"/>
      <c r="AC160" s="192"/>
      <c r="AD160" s="149"/>
      <c r="AE160" s="392"/>
      <c r="AF160" s="393"/>
      <c r="AG160" s="192"/>
      <c r="AH160" s="149"/>
      <c r="AI160" s="392"/>
      <c r="AJ160" s="393"/>
      <c r="AK160" s="389"/>
      <c r="AL160" s="389"/>
      <c r="AM160" s="389"/>
    </row>
    <row r="161">
      <c r="A161" s="307"/>
      <c r="B161" s="308"/>
      <c r="C161" s="309"/>
      <c r="D161" s="389"/>
      <c r="E161" s="307"/>
      <c r="F161" s="308"/>
      <c r="G161" s="309"/>
      <c r="H161" s="389"/>
      <c r="I161" s="307"/>
      <c r="J161" s="308"/>
      <c r="K161" s="309"/>
      <c r="L161" s="389"/>
      <c r="M161" s="307"/>
      <c r="N161" s="308"/>
      <c r="O161" s="309"/>
      <c r="P161" s="389"/>
      <c r="Q161" s="192"/>
      <c r="R161" s="149"/>
      <c r="S161" s="392"/>
      <c r="T161" s="393"/>
      <c r="U161" s="192"/>
      <c r="V161" s="149"/>
      <c r="W161" s="392"/>
      <c r="X161" s="393"/>
      <c r="Y161" s="192"/>
      <c r="Z161" s="149"/>
      <c r="AA161" s="392"/>
      <c r="AB161" s="393"/>
      <c r="AC161" s="192"/>
      <c r="AD161" s="149"/>
      <c r="AE161" s="392"/>
      <c r="AF161" s="393"/>
      <c r="AG161" s="192"/>
      <c r="AH161" s="149"/>
      <c r="AI161" s="392"/>
      <c r="AJ161" s="393"/>
      <c r="AK161" s="389"/>
      <c r="AL161" s="389"/>
      <c r="AM161" s="389"/>
    </row>
    <row r="162">
      <c r="A162" s="307"/>
      <c r="B162" s="308"/>
      <c r="C162" s="309"/>
      <c r="D162" s="389"/>
      <c r="E162" s="307"/>
      <c r="F162" s="308"/>
      <c r="G162" s="309"/>
      <c r="H162" s="389"/>
      <c r="I162" s="307"/>
      <c r="J162" s="308"/>
      <c r="K162" s="309"/>
      <c r="L162" s="389"/>
      <c r="M162" s="307"/>
      <c r="N162" s="308"/>
      <c r="O162" s="309"/>
      <c r="P162" s="389"/>
      <c r="Q162" s="192"/>
      <c r="R162" s="149"/>
      <c r="S162" s="392"/>
      <c r="T162" s="393"/>
      <c r="U162" s="192"/>
      <c r="V162" s="149"/>
      <c r="W162" s="392"/>
      <c r="X162" s="393"/>
      <c r="Y162" s="192"/>
      <c r="Z162" s="149"/>
      <c r="AA162" s="392"/>
      <c r="AB162" s="393"/>
      <c r="AC162" s="192"/>
      <c r="AD162" s="149"/>
      <c r="AE162" s="392"/>
      <c r="AF162" s="393"/>
      <c r="AG162" s="192"/>
      <c r="AH162" s="149"/>
      <c r="AI162" s="392"/>
      <c r="AJ162" s="393"/>
      <c r="AK162" s="389"/>
      <c r="AL162" s="389"/>
      <c r="AM162" s="389"/>
    </row>
    <row r="163">
      <c r="A163" s="307"/>
      <c r="B163" s="308"/>
      <c r="C163" s="309"/>
      <c r="D163" s="389"/>
      <c r="E163" s="307"/>
      <c r="F163" s="308"/>
      <c r="G163" s="309"/>
      <c r="H163" s="389"/>
      <c r="I163" s="307"/>
      <c r="J163" s="308"/>
      <c r="K163" s="309"/>
      <c r="L163" s="389"/>
      <c r="M163" s="307"/>
      <c r="N163" s="308"/>
      <c r="O163" s="309"/>
      <c r="P163" s="389"/>
      <c r="Q163" s="192"/>
      <c r="R163" s="149"/>
      <c r="S163" s="392"/>
      <c r="T163" s="393"/>
      <c r="U163" s="192"/>
      <c r="V163" s="149"/>
      <c r="W163" s="392"/>
      <c r="X163" s="393"/>
      <c r="Y163" s="192"/>
      <c r="Z163" s="149"/>
      <c r="AA163" s="392"/>
      <c r="AB163" s="393"/>
      <c r="AC163" s="192"/>
      <c r="AD163" s="149"/>
      <c r="AE163" s="392"/>
      <c r="AF163" s="393"/>
      <c r="AG163" s="192"/>
      <c r="AH163" s="149"/>
      <c r="AI163" s="392"/>
      <c r="AJ163" s="393"/>
      <c r="AK163" s="389"/>
      <c r="AL163" s="389"/>
      <c r="AM163" s="389"/>
    </row>
    <row r="164">
      <c r="A164" s="307"/>
      <c r="B164" s="308"/>
      <c r="C164" s="309"/>
      <c r="D164" s="389"/>
      <c r="E164" s="307"/>
      <c r="F164" s="308"/>
      <c r="G164" s="309"/>
      <c r="H164" s="389"/>
      <c r="I164" s="307"/>
      <c r="J164" s="308"/>
      <c r="K164" s="309"/>
      <c r="L164" s="389"/>
      <c r="M164" s="307"/>
      <c r="N164" s="308"/>
      <c r="O164" s="309"/>
      <c r="P164" s="389"/>
      <c r="Q164" s="192"/>
      <c r="R164" s="149"/>
      <c r="S164" s="392"/>
      <c r="T164" s="393"/>
      <c r="U164" s="192"/>
      <c r="V164" s="149"/>
      <c r="W164" s="392"/>
      <c r="X164" s="393"/>
      <c r="Y164" s="192"/>
      <c r="Z164" s="149"/>
      <c r="AA164" s="392"/>
      <c r="AB164" s="393"/>
      <c r="AC164" s="192"/>
      <c r="AD164" s="149"/>
      <c r="AE164" s="392"/>
      <c r="AF164" s="393"/>
      <c r="AG164" s="192"/>
      <c r="AH164" s="149"/>
      <c r="AI164" s="392"/>
      <c r="AJ164" s="393"/>
      <c r="AK164" s="389"/>
      <c r="AL164" s="389"/>
      <c r="AM164" s="389"/>
    </row>
    <row r="165">
      <c r="A165" s="307"/>
      <c r="B165" s="308"/>
      <c r="C165" s="309"/>
      <c r="D165" s="389"/>
      <c r="E165" s="307"/>
      <c r="F165" s="308"/>
      <c r="G165" s="309"/>
      <c r="H165" s="389"/>
      <c r="I165" s="307"/>
      <c r="J165" s="308"/>
      <c r="K165" s="309"/>
      <c r="L165" s="389"/>
      <c r="M165" s="307"/>
      <c r="N165" s="308"/>
      <c r="O165" s="309"/>
      <c r="P165" s="389"/>
      <c r="Q165" s="192"/>
      <c r="R165" s="149"/>
      <c r="S165" s="392"/>
      <c r="T165" s="393"/>
      <c r="U165" s="192"/>
      <c r="V165" s="149"/>
      <c r="W165" s="392"/>
      <c r="X165" s="393"/>
      <c r="Y165" s="192"/>
      <c r="Z165" s="149"/>
      <c r="AA165" s="392"/>
      <c r="AB165" s="393"/>
      <c r="AC165" s="192"/>
      <c r="AD165" s="149"/>
      <c r="AE165" s="392"/>
      <c r="AF165" s="393"/>
      <c r="AG165" s="192"/>
      <c r="AH165" s="149"/>
      <c r="AI165" s="392"/>
      <c r="AJ165" s="393"/>
      <c r="AK165" s="389"/>
      <c r="AL165" s="389"/>
      <c r="AM165" s="389"/>
    </row>
    <row r="166">
      <c r="A166" s="307"/>
      <c r="B166" s="308"/>
      <c r="C166" s="309"/>
      <c r="D166" s="389"/>
      <c r="E166" s="307"/>
      <c r="F166" s="308"/>
      <c r="G166" s="309"/>
      <c r="H166" s="389"/>
      <c r="I166" s="307"/>
      <c r="J166" s="308"/>
      <c r="K166" s="309"/>
      <c r="L166" s="389"/>
      <c r="M166" s="307"/>
      <c r="N166" s="308"/>
      <c r="O166" s="309"/>
      <c r="P166" s="389"/>
      <c r="Q166" s="192"/>
      <c r="R166" s="149"/>
      <c r="S166" s="392"/>
      <c r="T166" s="393"/>
      <c r="U166" s="192"/>
      <c r="V166" s="149"/>
      <c r="W166" s="392"/>
      <c r="X166" s="393"/>
      <c r="Y166" s="192"/>
      <c r="Z166" s="149"/>
      <c r="AA166" s="392"/>
      <c r="AB166" s="393"/>
      <c r="AC166" s="192"/>
      <c r="AD166" s="149"/>
      <c r="AE166" s="392"/>
      <c r="AF166" s="393"/>
      <c r="AG166" s="192"/>
      <c r="AH166" s="149"/>
      <c r="AI166" s="392"/>
      <c r="AJ166" s="393"/>
      <c r="AK166" s="389"/>
      <c r="AL166" s="389"/>
      <c r="AM166" s="389"/>
    </row>
    <row r="167">
      <c r="A167" s="307"/>
      <c r="B167" s="308"/>
      <c r="C167" s="309"/>
      <c r="D167" s="389"/>
      <c r="E167" s="307"/>
      <c r="F167" s="308"/>
      <c r="G167" s="309"/>
      <c r="H167" s="389"/>
      <c r="I167" s="307"/>
      <c r="J167" s="308"/>
      <c r="K167" s="309"/>
      <c r="L167" s="389"/>
      <c r="M167" s="307"/>
      <c r="N167" s="308"/>
      <c r="O167" s="309"/>
      <c r="P167" s="389"/>
      <c r="Q167" s="192"/>
      <c r="R167" s="149"/>
      <c r="S167" s="392"/>
      <c r="T167" s="393"/>
      <c r="U167" s="192"/>
      <c r="V167" s="149"/>
      <c r="W167" s="392"/>
      <c r="X167" s="393"/>
      <c r="Y167" s="192"/>
      <c r="Z167" s="149"/>
      <c r="AA167" s="392"/>
      <c r="AB167" s="393"/>
      <c r="AC167" s="192"/>
      <c r="AD167" s="149"/>
      <c r="AE167" s="392"/>
      <c r="AF167" s="393"/>
      <c r="AG167" s="192"/>
      <c r="AH167" s="149"/>
      <c r="AI167" s="392"/>
      <c r="AJ167" s="393"/>
      <c r="AK167" s="389"/>
      <c r="AL167" s="389"/>
      <c r="AM167" s="389"/>
    </row>
    <row r="168">
      <c r="A168" s="307"/>
      <c r="B168" s="308"/>
      <c r="C168" s="309"/>
      <c r="D168" s="389"/>
      <c r="E168" s="307"/>
      <c r="F168" s="308"/>
      <c r="G168" s="309"/>
      <c r="H168" s="389"/>
      <c r="I168" s="307"/>
      <c r="J168" s="308"/>
      <c r="K168" s="309"/>
      <c r="L168" s="389"/>
      <c r="M168" s="307"/>
      <c r="N168" s="308"/>
      <c r="O168" s="309"/>
      <c r="P168" s="389"/>
      <c r="Q168" s="192"/>
      <c r="R168" s="149"/>
      <c r="S168" s="392"/>
      <c r="T168" s="393"/>
      <c r="U168" s="192"/>
      <c r="V168" s="149"/>
      <c r="W168" s="392"/>
      <c r="X168" s="393"/>
      <c r="Y168" s="192"/>
      <c r="Z168" s="149"/>
      <c r="AA168" s="392"/>
      <c r="AB168" s="393"/>
      <c r="AC168" s="192"/>
      <c r="AD168" s="149"/>
      <c r="AE168" s="392"/>
      <c r="AF168" s="393"/>
      <c r="AG168" s="192"/>
      <c r="AH168" s="149"/>
      <c r="AI168" s="392"/>
      <c r="AJ168" s="393"/>
      <c r="AK168" s="389"/>
      <c r="AL168" s="389"/>
      <c r="AM168" s="389"/>
    </row>
    <row r="169">
      <c r="A169" s="307"/>
      <c r="B169" s="308"/>
      <c r="C169" s="309"/>
      <c r="D169" s="389"/>
      <c r="E169" s="307"/>
      <c r="F169" s="308"/>
      <c r="G169" s="309"/>
      <c r="H169" s="389"/>
      <c r="I169" s="307"/>
      <c r="J169" s="308"/>
      <c r="K169" s="309"/>
      <c r="L169" s="389"/>
      <c r="M169" s="307"/>
      <c r="N169" s="308"/>
      <c r="O169" s="309"/>
      <c r="P169" s="389"/>
      <c r="Q169" s="192"/>
      <c r="R169" s="149"/>
      <c r="S169" s="392"/>
      <c r="T169" s="393"/>
      <c r="U169" s="192"/>
      <c r="V169" s="149"/>
      <c r="W169" s="392"/>
      <c r="X169" s="393"/>
      <c r="Y169" s="192"/>
      <c r="Z169" s="149"/>
      <c r="AA169" s="392"/>
      <c r="AB169" s="393"/>
      <c r="AC169" s="192"/>
      <c r="AD169" s="149"/>
      <c r="AE169" s="392"/>
      <c r="AF169" s="393"/>
      <c r="AG169" s="192"/>
      <c r="AH169" s="149"/>
      <c r="AI169" s="392"/>
      <c r="AJ169" s="393"/>
      <c r="AK169" s="389"/>
      <c r="AL169" s="389"/>
      <c r="AM169" s="389"/>
    </row>
    <row r="170">
      <c r="A170" s="307"/>
      <c r="B170" s="308"/>
      <c r="C170" s="309"/>
      <c r="D170" s="389"/>
      <c r="E170" s="307"/>
      <c r="F170" s="308"/>
      <c r="G170" s="309"/>
      <c r="H170" s="389"/>
      <c r="I170" s="307"/>
      <c r="J170" s="308"/>
      <c r="K170" s="309"/>
      <c r="L170" s="389"/>
      <c r="M170" s="307"/>
      <c r="N170" s="308"/>
      <c r="O170" s="309"/>
      <c r="P170" s="389"/>
      <c r="Q170" s="192"/>
      <c r="R170" s="149"/>
      <c r="S170" s="392"/>
      <c r="T170" s="393"/>
      <c r="U170" s="192"/>
      <c r="V170" s="149"/>
      <c r="W170" s="392"/>
      <c r="X170" s="393"/>
      <c r="Y170" s="192"/>
      <c r="Z170" s="149"/>
      <c r="AA170" s="392"/>
      <c r="AB170" s="393"/>
      <c r="AC170" s="192"/>
      <c r="AD170" s="149"/>
      <c r="AE170" s="392"/>
      <c r="AF170" s="393"/>
      <c r="AG170" s="192"/>
      <c r="AH170" s="149"/>
      <c r="AI170" s="392"/>
      <c r="AJ170" s="393"/>
      <c r="AK170" s="389"/>
      <c r="AL170" s="389"/>
      <c r="AM170" s="389"/>
    </row>
    <row r="171">
      <c r="A171" s="307"/>
      <c r="B171" s="308"/>
      <c r="C171" s="309"/>
      <c r="D171" s="389"/>
      <c r="E171" s="307"/>
      <c r="F171" s="308"/>
      <c r="G171" s="309"/>
      <c r="H171" s="389"/>
      <c r="I171" s="307"/>
      <c r="J171" s="308"/>
      <c r="K171" s="309"/>
      <c r="L171" s="389"/>
      <c r="M171" s="307"/>
      <c r="N171" s="308"/>
      <c r="O171" s="309"/>
      <c r="P171" s="389"/>
      <c r="Q171" s="192"/>
      <c r="R171" s="149"/>
      <c r="S171" s="392"/>
      <c r="T171" s="393"/>
      <c r="U171" s="192"/>
      <c r="V171" s="149"/>
      <c r="W171" s="392"/>
      <c r="X171" s="393"/>
      <c r="Y171" s="192"/>
      <c r="Z171" s="149"/>
      <c r="AA171" s="392"/>
      <c r="AB171" s="393"/>
      <c r="AC171" s="192"/>
      <c r="AD171" s="149"/>
      <c r="AE171" s="392"/>
      <c r="AF171" s="393"/>
      <c r="AG171" s="192"/>
      <c r="AH171" s="149"/>
      <c r="AI171" s="392"/>
      <c r="AJ171" s="393"/>
      <c r="AK171" s="389"/>
      <c r="AL171" s="389"/>
      <c r="AM171" s="389"/>
    </row>
    <row r="172">
      <c r="A172" s="307"/>
      <c r="B172" s="308"/>
      <c r="C172" s="309"/>
      <c r="D172" s="389"/>
      <c r="E172" s="307"/>
      <c r="F172" s="308"/>
      <c r="G172" s="309"/>
      <c r="H172" s="389"/>
      <c r="I172" s="307"/>
      <c r="J172" s="308"/>
      <c r="K172" s="309"/>
      <c r="L172" s="389"/>
      <c r="M172" s="307"/>
      <c r="N172" s="308"/>
      <c r="O172" s="309"/>
      <c r="P172" s="389"/>
      <c r="Q172" s="192"/>
      <c r="R172" s="149"/>
      <c r="S172" s="392"/>
      <c r="T172" s="393"/>
      <c r="U172" s="192"/>
      <c r="V172" s="149"/>
      <c r="W172" s="392"/>
      <c r="X172" s="393"/>
      <c r="Y172" s="192"/>
      <c r="Z172" s="149"/>
      <c r="AA172" s="392"/>
      <c r="AB172" s="393"/>
      <c r="AC172" s="192"/>
      <c r="AD172" s="149"/>
      <c r="AE172" s="392"/>
      <c r="AF172" s="393"/>
      <c r="AG172" s="192"/>
      <c r="AH172" s="149"/>
      <c r="AI172" s="392"/>
      <c r="AJ172" s="393"/>
      <c r="AK172" s="389"/>
      <c r="AL172" s="389"/>
      <c r="AM172" s="389"/>
    </row>
    <row r="173">
      <c r="A173" s="307"/>
      <c r="B173" s="308"/>
      <c r="C173" s="309"/>
      <c r="D173" s="389"/>
      <c r="E173" s="307"/>
      <c r="F173" s="308"/>
      <c r="G173" s="309"/>
      <c r="H173" s="389"/>
      <c r="I173" s="307"/>
      <c r="J173" s="308"/>
      <c r="K173" s="309"/>
      <c r="L173" s="389"/>
      <c r="M173" s="307"/>
      <c r="N173" s="308"/>
      <c r="O173" s="309"/>
      <c r="P173" s="389"/>
      <c r="Q173" s="192"/>
      <c r="R173" s="149"/>
      <c r="S173" s="392"/>
      <c r="T173" s="393"/>
      <c r="U173" s="192"/>
      <c r="V173" s="149"/>
      <c r="W173" s="392"/>
      <c r="X173" s="393"/>
      <c r="Y173" s="192"/>
      <c r="Z173" s="149"/>
      <c r="AA173" s="392"/>
      <c r="AB173" s="393"/>
      <c r="AC173" s="192"/>
      <c r="AD173" s="149"/>
      <c r="AE173" s="392"/>
      <c r="AF173" s="393"/>
      <c r="AG173" s="192"/>
      <c r="AH173" s="149"/>
      <c r="AI173" s="392"/>
      <c r="AJ173" s="393"/>
      <c r="AK173" s="389"/>
      <c r="AL173" s="389"/>
      <c r="AM173" s="389"/>
    </row>
    <row r="174">
      <c r="A174" s="307"/>
      <c r="B174" s="308"/>
      <c r="C174" s="309"/>
      <c r="D174" s="389"/>
      <c r="E174" s="307"/>
      <c r="F174" s="308"/>
      <c r="G174" s="309"/>
      <c r="H174" s="389"/>
      <c r="I174" s="307"/>
      <c r="J174" s="308"/>
      <c r="K174" s="309"/>
      <c r="L174" s="389"/>
      <c r="M174" s="307"/>
      <c r="N174" s="308"/>
      <c r="O174" s="309"/>
      <c r="P174" s="389"/>
      <c r="Q174" s="192"/>
      <c r="R174" s="149"/>
      <c r="S174" s="392"/>
      <c r="T174" s="393"/>
      <c r="U174" s="192"/>
      <c r="V174" s="149"/>
      <c r="W174" s="392"/>
      <c r="X174" s="393"/>
      <c r="Y174" s="192"/>
      <c r="Z174" s="149"/>
      <c r="AA174" s="392"/>
      <c r="AB174" s="393"/>
      <c r="AC174" s="192"/>
      <c r="AD174" s="149"/>
      <c r="AE174" s="392"/>
      <c r="AF174" s="393"/>
      <c r="AG174" s="192"/>
      <c r="AH174" s="149"/>
      <c r="AI174" s="392"/>
      <c r="AJ174" s="393"/>
      <c r="AK174" s="389"/>
      <c r="AL174" s="389"/>
      <c r="AM174" s="389"/>
    </row>
    <row r="175">
      <c r="A175" s="307"/>
      <c r="B175" s="308"/>
      <c r="C175" s="309"/>
      <c r="D175" s="389"/>
      <c r="E175" s="307"/>
      <c r="F175" s="308"/>
      <c r="G175" s="309"/>
      <c r="H175" s="389"/>
      <c r="I175" s="307"/>
      <c r="J175" s="308"/>
      <c r="K175" s="309"/>
      <c r="L175" s="389"/>
      <c r="M175" s="307"/>
      <c r="N175" s="308"/>
      <c r="O175" s="309"/>
      <c r="P175" s="389"/>
      <c r="Q175" s="192"/>
      <c r="R175" s="149"/>
      <c r="S175" s="392"/>
      <c r="T175" s="393"/>
      <c r="U175" s="192"/>
      <c r="V175" s="149"/>
      <c r="W175" s="392"/>
      <c r="X175" s="393"/>
      <c r="Y175" s="192"/>
      <c r="Z175" s="149"/>
      <c r="AA175" s="392"/>
      <c r="AB175" s="393"/>
      <c r="AC175" s="192"/>
      <c r="AD175" s="149"/>
      <c r="AE175" s="392"/>
      <c r="AF175" s="393"/>
      <c r="AG175" s="192"/>
      <c r="AH175" s="149"/>
      <c r="AI175" s="392"/>
      <c r="AJ175" s="393"/>
      <c r="AK175" s="389"/>
      <c r="AL175" s="389"/>
      <c r="AM175" s="389"/>
    </row>
    <row r="176">
      <c r="A176" s="307"/>
      <c r="B176" s="308"/>
      <c r="C176" s="309"/>
      <c r="D176" s="389"/>
      <c r="E176" s="307"/>
      <c r="F176" s="308"/>
      <c r="G176" s="309"/>
      <c r="H176" s="389"/>
      <c r="I176" s="307"/>
      <c r="J176" s="308"/>
      <c r="K176" s="309"/>
      <c r="L176" s="389"/>
      <c r="M176" s="307"/>
      <c r="N176" s="308"/>
      <c r="O176" s="309"/>
      <c r="P176" s="389"/>
      <c r="Q176" s="192"/>
      <c r="R176" s="149"/>
      <c r="S176" s="392"/>
      <c r="T176" s="393"/>
      <c r="U176" s="192"/>
      <c r="V176" s="149"/>
      <c r="W176" s="392"/>
      <c r="X176" s="393"/>
      <c r="Y176" s="192"/>
      <c r="Z176" s="149"/>
      <c r="AA176" s="392"/>
      <c r="AB176" s="393"/>
      <c r="AC176" s="192"/>
      <c r="AD176" s="149"/>
      <c r="AE176" s="392"/>
      <c r="AF176" s="393"/>
      <c r="AG176" s="192"/>
      <c r="AH176" s="149"/>
      <c r="AI176" s="392"/>
      <c r="AJ176" s="393"/>
      <c r="AK176" s="389"/>
      <c r="AL176" s="389"/>
      <c r="AM176" s="389"/>
    </row>
    <row r="177">
      <c r="A177" s="307"/>
      <c r="B177" s="308"/>
      <c r="C177" s="309"/>
      <c r="D177" s="389"/>
      <c r="E177" s="307"/>
      <c r="F177" s="308"/>
      <c r="G177" s="309"/>
      <c r="H177" s="389"/>
      <c r="I177" s="307"/>
      <c r="J177" s="308"/>
      <c r="K177" s="309"/>
      <c r="L177" s="389"/>
      <c r="M177" s="307"/>
      <c r="N177" s="308"/>
      <c r="O177" s="309"/>
      <c r="P177" s="389"/>
      <c r="Q177" s="192"/>
      <c r="R177" s="149"/>
      <c r="S177" s="392"/>
      <c r="T177" s="393"/>
      <c r="U177" s="192"/>
      <c r="V177" s="149"/>
      <c r="W177" s="392"/>
      <c r="X177" s="393"/>
      <c r="Y177" s="192"/>
      <c r="Z177" s="149"/>
      <c r="AA177" s="392"/>
      <c r="AB177" s="393"/>
      <c r="AC177" s="192"/>
      <c r="AD177" s="149"/>
      <c r="AE177" s="392"/>
      <c r="AF177" s="393"/>
      <c r="AG177" s="192"/>
      <c r="AH177" s="149"/>
      <c r="AI177" s="392"/>
      <c r="AJ177" s="393"/>
      <c r="AK177" s="389"/>
      <c r="AL177" s="389"/>
      <c r="AM177" s="389"/>
    </row>
    <row r="178">
      <c r="A178" s="307"/>
      <c r="B178" s="308"/>
      <c r="C178" s="309"/>
      <c r="D178" s="389"/>
      <c r="E178" s="307"/>
      <c r="F178" s="308"/>
      <c r="G178" s="309"/>
      <c r="H178" s="389"/>
      <c r="I178" s="307"/>
      <c r="J178" s="308"/>
      <c r="K178" s="309"/>
      <c r="L178" s="389"/>
      <c r="M178" s="307"/>
      <c r="N178" s="308"/>
      <c r="O178" s="309"/>
      <c r="P178" s="389"/>
      <c r="Q178" s="192"/>
      <c r="R178" s="149"/>
      <c r="S178" s="392"/>
      <c r="T178" s="393"/>
      <c r="U178" s="192"/>
      <c r="V178" s="149"/>
      <c r="W178" s="392"/>
      <c r="X178" s="393"/>
      <c r="Y178" s="192"/>
      <c r="Z178" s="149"/>
      <c r="AA178" s="392"/>
      <c r="AB178" s="393"/>
      <c r="AC178" s="192"/>
      <c r="AD178" s="149"/>
      <c r="AE178" s="392"/>
      <c r="AF178" s="393"/>
      <c r="AG178" s="192"/>
      <c r="AH178" s="149"/>
      <c r="AI178" s="392"/>
      <c r="AJ178" s="393"/>
      <c r="AK178" s="389"/>
      <c r="AL178" s="389"/>
      <c r="AM178" s="389"/>
    </row>
    <row r="179">
      <c r="A179" s="307"/>
      <c r="B179" s="308"/>
      <c r="C179" s="309"/>
      <c r="D179" s="389"/>
      <c r="E179" s="307"/>
      <c r="F179" s="308"/>
      <c r="G179" s="309"/>
      <c r="H179" s="389"/>
      <c r="I179" s="307"/>
      <c r="J179" s="308"/>
      <c r="K179" s="309"/>
      <c r="L179" s="389"/>
      <c r="M179" s="307"/>
      <c r="N179" s="308"/>
      <c r="O179" s="309"/>
      <c r="P179" s="389"/>
      <c r="Q179" s="192"/>
      <c r="R179" s="149"/>
      <c r="S179" s="392"/>
      <c r="T179" s="393"/>
      <c r="U179" s="192"/>
      <c r="V179" s="149"/>
      <c r="W179" s="392"/>
      <c r="X179" s="393"/>
      <c r="Y179" s="192"/>
      <c r="Z179" s="149"/>
      <c r="AA179" s="392"/>
      <c r="AB179" s="393"/>
      <c r="AC179" s="192"/>
      <c r="AD179" s="149"/>
      <c r="AE179" s="392"/>
      <c r="AF179" s="393"/>
      <c r="AG179" s="192"/>
      <c r="AH179" s="149"/>
      <c r="AI179" s="392"/>
      <c r="AJ179" s="393"/>
      <c r="AK179" s="389"/>
      <c r="AL179" s="389"/>
      <c r="AM179" s="389"/>
    </row>
    <row r="180">
      <c r="A180" s="307"/>
      <c r="B180" s="308"/>
      <c r="C180" s="309"/>
      <c r="D180" s="389"/>
      <c r="E180" s="307"/>
      <c r="F180" s="308"/>
      <c r="G180" s="309"/>
      <c r="H180" s="389"/>
      <c r="I180" s="307"/>
      <c r="J180" s="308"/>
      <c r="K180" s="309"/>
      <c r="L180" s="389"/>
      <c r="M180" s="307"/>
      <c r="N180" s="308"/>
      <c r="O180" s="309"/>
      <c r="P180" s="389"/>
      <c r="Q180" s="192"/>
      <c r="R180" s="149"/>
      <c r="S180" s="392"/>
      <c r="T180" s="393"/>
      <c r="U180" s="192"/>
      <c r="V180" s="149"/>
      <c r="W180" s="392"/>
      <c r="X180" s="393"/>
      <c r="Y180" s="192"/>
      <c r="Z180" s="149"/>
      <c r="AA180" s="392"/>
      <c r="AB180" s="393"/>
      <c r="AC180" s="192"/>
      <c r="AD180" s="149"/>
      <c r="AE180" s="392"/>
      <c r="AF180" s="393"/>
      <c r="AG180" s="192"/>
      <c r="AH180" s="149"/>
      <c r="AI180" s="392"/>
      <c r="AJ180" s="393"/>
      <c r="AK180" s="389"/>
      <c r="AL180" s="389"/>
      <c r="AM180" s="389"/>
    </row>
    <row r="181">
      <c r="A181" s="307"/>
      <c r="B181" s="308"/>
      <c r="C181" s="309"/>
      <c r="D181" s="389"/>
      <c r="E181" s="307"/>
      <c r="F181" s="308"/>
      <c r="G181" s="309"/>
      <c r="H181" s="389"/>
      <c r="I181" s="307"/>
      <c r="J181" s="308"/>
      <c r="K181" s="309"/>
      <c r="L181" s="389"/>
      <c r="M181" s="307"/>
      <c r="N181" s="308"/>
      <c r="O181" s="309"/>
      <c r="P181" s="389"/>
      <c r="Q181" s="192"/>
      <c r="R181" s="149"/>
      <c r="S181" s="392"/>
      <c r="T181" s="393"/>
      <c r="U181" s="192"/>
      <c r="V181" s="149"/>
      <c r="W181" s="392"/>
      <c r="X181" s="393"/>
      <c r="Y181" s="192"/>
      <c r="Z181" s="149"/>
      <c r="AA181" s="392"/>
      <c r="AB181" s="393"/>
      <c r="AC181" s="192"/>
      <c r="AD181" s="149"/>
      <c r="AE181" s="392"/>
      <c r="AF181" s="393"/>
      <c r="AG181" s="192"/>
      <c r="AH181" s="149"/>
      <c r="AI181" s="392"/>
      <c r="AJ181" s="393"/>
      <c r="AK181" s="389"/>
      <c r="AL181" s="389"/>
      <c r="AM181" s="389"/>
    </row>
    <row r="182">
      <c r="A182" s="307"/>
      <c r="B182" s="308"/>
      <c r="C182" s="309"/>
      <c r="D182" s="389"/>
      <c r="E182" s="307"/>
      <c r="F182" s="308"/>
      <c r="G182" s="309"/>
      <c r="H182" s="389"/>
      <c r="I182" s="307"/>
      <c r="J182" s="308"/>
      <c r="K182" s="309"/>
      <c r="L182" s="389"/>
      <c r="M182" s="307"/>
      <c r="N182" s="308"/>
      <c r="O182" s="309"/>
      <c r="P182" s="389"/>
      <c r="Q182" s="192"/>
      <c r="R182" s="149"/>
      <c r="S182" s="392"/>
      <c r="T182" s="393"/>
      <c r="U182" s="192"/>
      <c r="V182" s="149"/>
      <c r="W182" s="392"/>
      <c r="X182" s="393"/>
      <c r="Y182" s="192"/>
      <c r="Z182" s="149"/>
      <c r="AA182" s="392"/>
      <c r="AB182" s="393"/>
      <c r="AC182" s="192"/>
      <c r="AD182" s="149"/>
      <c r="AE182" s="392"/>
      <c r="AF182" s="393"/>
      <c r="AG182" s="192"/>
      <c r="AH182" s="149"/>
      <c r="AI182" s="392"/>
      <c r="AJ182" s="393"/>
      <c r="AK182" s="389"/>
      <c r="AL182" s="389"/>
      <c r="AM182" s="389"/>
    </row>
    <row r="183">
      <c r="A183" s="307"/>
      <c r="B183" s="308"/>
      <c r="C183" s="309"/>
      <c r="D183" s="389"/>
      <c r="E183" s="307"/>
      <c r="F183" s="308"/>
      <c r="G183" s="309"/>
      <c r="H183" s="389"/>
      <c r="I183" s="307"/>
      <c r="J183" s="308"/>
      <c r="K183" s="309"/>
      <c r="L183" s="389"/>
      <c r="M183" s="307"/>
      <c r="N183" s="308"/>
      <c r="O183" s="309"/>
      <c r="P183" s="389"/>
      <c r="Q183" s="192"/>
      <c r="R183" s="149"/>
      <c r="S183" s="392"/>
      <c r="T183" s="393"/>
      <c r="U183" s="192"/>
      <c r="V183" s="149"/>
      <c r="W183" s="392"/>
      <c r="X183" s="393"/>
      <c r="Y183" s="192"/>
      <c r="Z183" s="149"/>
      <c r="AA183" s="392"/>
      <c r="AB183" s="393"/>
      <c r="AC183" s="192"/>
      <c r="AD183" s="149"/>
      <c r="AE183" s="392"/>
      <c r="AF183" s="393"/>
      <c r="AG183" s="192"/>
      <c r="AH183" s="149"/>
      <c r="AI183" s="392"/>
      <c r="AJ183" s="393"/>
      <c r="AK183" s="389"/>
      <c r="AL183" s="389"/>
      <c r="AM183" s="389"/>
    </row>
    <row r="184">
      <c r="A184" s="307"/>
      <c r="B184" s="308"/>
      <c r="C184" s="309"/>
      <c r="D184" s="389"/>
      <c r="E184" s="307"/>
      <c r="F184" s="308"/>
      <c r="G184" s="309"/>
      <c r="H184" s="389"/>
      <c r="I184" s="307"/>
      <c r="J184" s="308"/>
      <c r="K184" s="309"/>
      <c r="L184" s="389"/>
      <c r="M184" s="307"/>
      <c r="N184" s="308"/>
      <c r="O184" s="309"/>
      <c r="P184" s="389"/>
      <c r="Q184" s="192"/>
      <c r="R184" s="149"/>
      <c r="S184" s="392"/>
      <c r="T184" s="393"/>
      <c r="U184" s="192"/>
      <c r="V184" s="149"/>
      <c r="W184" s="392"/>
      <c r="X184" s="393"/>
      <c r="Y184" s="192"/>
      <c r="Z184" s="149"/>
      <c r="AA184" s="392"/>
      <c r="AB184" s="393"/>
      <c r="AC184" s="192"/>
      <c r="AD184" s="149"/>
      <c r="AE184" s="392"/>
      <c r="AF184" s="393"/>
      <c r="AG184" s="192"/>
      <c r="AH184" s="149"/>
      <c r="AI184" s="392"/>
      <c r="AJ184" s="393"/>
      <c r="AK184" s="389"/>
      <c r="AL184" s="389"/>
      <c r="AM184" s="389"/>
    </row>
    <row r="185">
      <c r="A185" s="307"/>
      <c r="B185" s="308"/>
      <c r="C185" s="309"/>
      <c r="D185" s="389"/>
      <c r="E185" s="307"/>
      <c r="F185" s="308"/>
      <c r="G185" s="309"/>
      <c r="H185" s="389"/>
      <c r="I185" s="307"/>
      <c r="J185" s="308"/>
      <c r="K185" s="309"/>
      <c r="L185" s="389"/>
      <c r="M185" s="307"/>
      <c r="N185" s="308"/>
      <c r="O185" s="309"/>
      <c r="P185" s="389"/>
      <c r="Q185" s="192"/>
      <c r="R185" s="149"/>
      <c r="S185" s="392"/>
      <c r="T185" s="393"/>
      <c r="U185" s="192"/>
      <c r="V185" s="149"/>
      <c r="W185" s="392"/>
      <c r="X185" s="393"/>
      <c r="Y185" s="192"/>
      <c r="Z185" s="149"/>
      <c r="AA185" s="392"/>
      <c r="AB185" s="393"/>
      <c r="AC185" s="192"/>
      <c r="AD185" s="149"/>
      <c r="AE185" s="392"/>
      <c r="AF185" s="393"/>
      <c r="AG185" s="192"/>
      <c r="AH185" s="149"/>
      <c r="AI185" s="392"/>
      <c r="AJ185" s="393"/>
      <c r="AK185" s="389"/>
      <c r="AL185" s="389"/>
      <c r="AM185" s="389"/>
    </row>
    <row r="186">
      <c r="A186" s="307"/>
      <c r="B186" s="308"/>
      <c r="C186" s="309"/>
      <c r="D186" s="389"/>
      <c r="E186" s="307"/>
      <c r="F186" s="308"/>
      <c r="G186" s="309"/>
      <c r="H186" s="389"/>
      <c r="I186" s="307"/>
      <c r="J186" s="308"/>
      <c r="K186" s="309"/>
      <c r="L186" s="389"/>
      <c r="M186" s="307"/>
      <c r="N186" s="308"/>
      <c r="O186" s="309"/>
      <c r="P186" s="389"/>
      <c r="Q186" s="192"/>
      <c r="R186" s="149"/>
      <c r="S186" s="392"/>
      <c r="T186" s="393"/>
      <c r="U186" s="192"/>
      <c r="V186" s="149"/>
      <c r="W186" s="392"/>
      <c r="X186" s="393"/>
      <c r="Y186" s="192"/>
      <c r="Z186" s="149"/>
      <c r="AA186" s="392"/>
      <c r="AB186" s="393"/>
      <c r="AC186" s="192"/>
      <c r="AD186" s="149"/>
      <c r="AE186" s="392"/>
      <c r="AF186" s="393"/>
      <c r="AG186" s="192"/>
      <c r="AH186" s="149"/>
      <c r="AI186" s="392"/>
      <c r="AJ186" s="393"/>
      <c r="AK186" s="389"/>
      <c r="AL186" s="389"/>
      <c r="AM186" s="389"/>
    </row>
    <row r="187">
      <c r="A187" s="307"/>
      <c r="B187" s="308"/>
      <c r="C187" s="309"/>
      <c r="D187" s="389"/>
      <c r="E187" s="307"/>
      <c r="F187" s="308"/>
      <c r="G187" s="309"/>
      <c r="H187" s="389"/>
      <c r="I187" s="307"/>
      <c r="J187" s="308"/>
      <c r="K187" s="309"/>
      <c r="L187" s="389"/>
      <c r="M187" s="307"/>
      <c r="N187" s="308"/>
      <c r="O187" s="309"/>
      <c r="P187" s="389"/>
      <c r="Q187" s="192"/>
      <c r="R187" s="149"/>
      <c r="S187" s="392"/>
      <c r="T187" s="393"/>
      <c r="U187" s="192"/>
      <c r="V187" s="149"/>
      <c r="W187" s="392"/>
      <c r="X187" s="393"/>
      <c r="Y187" s="192"/>
      <c r="Z187" s="149"/>
      <c r="AA187" s="392"/>
      <c r="AB187" s="393"/>
      <c r="AC187" s="192"/>
      <c r="AD187" s="149"/>
      <c r="AE187" s="392"/>
      <c r="AF187" s="393"/>
      <c r="AG187" s="192"/>
      <c r="AH187" s="149"/>
      <c r="AI187" s="392"/>
      <c r="AJ187" s="393"/>
      <c r="AK187" s="389"/>
      <c r="AL187" s="389"/>
      <c r="AM187" s="389"/>
    </row>
    <row r="188">
      <c r="A188" s="307"/>
      <c r="B188" s="308"/>
      <c r="C188" s="309"/>
      <c r="D188" s="389"/>
      <c r="E188" s="307"/>
      <c r="F188" s="308"/>
      <c r="G188" s="309"/>
      <c r="H188" s="389"/>
      <c r="I188" s="307"/>
      <c r="J188" s="308"/>
      <c r="K188" s="309"/>
      <c r="L188" s="389"/>
      <c r="M188" s="307"/>
      <c r="N188" s="308"/>
      <c r="O188" s="309"/>
      <c r="P188" s="389"/>
      <c r="Q188" s="192"/>
      <c r="R188" s="149"/>
      <c r="S188" s="392"/>
      <c r="T188" s="393"/>
      <c r="U188" s="192"/>
      <c r="V188" s="149"/>
      <c r="W188" s="392"/>
      <c r="X188" s="393"/>
      <c r="Y188" s="192"/>
      <c r="Z188" s="149"/>
      <c r="AA188" s="392"/>
      <c r="AB188" s="393"/>
      <c r="AC188" s="192"/>
      <c r="AD188" s="149"/>
      <c r="AE188" s="392"/>
      <c r="AF188" s="393"/>
      <c r="AG188" s="192"/>
      <c r="AH188" s="149"/>
      <c r="AI188" s="392"/>
      <c r="AJ188" s="393"/>
      <c r="AK188" s="389"/>
      <c r="AL188" s="389"/>
      <c r="AM188" s="389"/>
    </row>
    <row r="189">
      <c r="A189" s="307"/>
      <c r="B189" s="308"/>
      <c r="C189" s="309"/>
      <c r="D189" s="389"/>
      <c r="E189" s="307"/>
      <c r="F189" s="308"/>
      <c r="G189" s="309"/>
      <c r="H189" s="389"/>
      <c r="I189" s="307"/>
      <c r="J189" s="308"/>
      <c r="K189" s="309"/>
      <c r="L189" s="389"/>
      <c r="M189" s="307"/>
      <c r="N189" s="308"/>
      <c r="O189" s="309"/>
      <c r="P189" s="389"/>
      <c r="Q189" s="192"/>
      <c r="R189" s="149"/>
      <c r="S189" s="392"/>
      <c r="T189" s="393"/>
      <c r="U189" s="192"/>
      <c r="V189" s="149"/>
      <c r="W189" s="392"/>
      <c r="X189" s="393"/>
      <c r="Y189" s="192"/>
      <c r="Z189" s="149"/>
      <c r="AA189" s="392"/>
      <c r="AB189" s="393"/>
      <c r="AC189" s="192"/>
      <c r="AD189" s="149"/>
      <c r="AE189" s="392"/>
      <c r="AF189" s="393"/>
      <c r="AG189" s="192"/>
      <c r="AH189" s="149"/>
      <c r="AI189" s="392"/>
      <c r="AJ189" s="393"/>
      <c r="AK189" s="389"/>
      <c r="AL189" s="389"/>
      <c r="AM189" s="389"/>
    </row>
    <row r="190">
      <c r="A190" s="307"/>
      <c r="B190" s="308"/>
      <c r="C190" s="309"/>
      <c r="D190" s="389"/>
      <c r="E190" s="307"/>
      <c r="F190" s="308"/>
      <c r="G190" s="309"/>
      <c r="H190" s="389"/>
      <c r="I190" s="307"/>
      <c r="J190" s="308"/>
      <c r="K190" s="309"/>
      <c r="L190" s="389"/>
      <c r="M190" s="307"/>
      <c r="N190" s="308"/>
      <c r="O190" s="309"/>
      <c r="P190" s="389"/>
      <c r="Q190" s="192"/>
      <c r="R190" s="149"/>
      <c r="S190" s="392"/>
      <c r="T190" s="393"/>
      <c r="U190" s="192"/>
      <c r="V190" s="149"/>
      <c r="W190" s="392"/>
      <c r="X190" s="393"/>
      <c r="Y190" s="192"/>
      <c r="Z190" s="149"/>
      <c r="AA190" s="392"/>
      <c r="AB190" s="393"/>
      <c r="AC190" s="192"/>
      <c r="AD190" s="149"/>
      <c r="AE190" s="392"/>
      <c r="AF190" s="393"/>
      <c r="AG190" s="192"/>
      <c r="AH190" s="149"/>
      <c r="AI190" s="392"/>
      <c r="AJ190" s="393"/>
      <c r="AK190" s="389"/>
      <c r="AL190" s="389"/>
      <c r="AM190" s="389"/>
    </row>
    <row r="191">
      <c r="A191" s="307"/>
      <c r="B191" s="308"/>
      <c r="C191" s="309"/>
      <c r="D191" s="389"/>
      <c r="E191" s="307"/>
      <c r="F191" s="308"/>
      <c r="G191" s="309"/>
      <c r="H191" s="389"/>
      <c r="I191" s="307"/>
      <c r="J191" s="308"/>
      <c r="K191" s="309"/>
      <c r="L191" s="389"/>
      <c r="M191" s="307"/>
      <c r="N191" s="308"/>
      <c r="O191" s="309"/>
      <c r="P191" s="389"/>
      <c r="Q191" s="192"/>
      <c r="R191" s="149"/>
      <c r="S191" s="392"/>
      <c r="T191" s="393"/>
      <c r="U191" s="192"/>
      <c r="V191" s="149"/>
      <c r="W191" s="392"/>
      <c r="X191" s="393"/>
      <c r="Y191" s="192"/>
      <c r="Z191" s="149"/>
      <c r="AA191" s="392"/>
      <c r="AB191" s="393"/>
      <c r="AC191" s="192"/>
      <c r="AD191" s="149"/>
      <c r="AE191" s="392"/>
      <c r="AF191" s="393"/>
      <c r="AG191" s="192"/>
      <c r="AH191" s="149"/>
      <c r="AI191" s="392"/>
      <c r="AJ191" s="393"/>
      <c r="AK191" s="389"/>
      <c r="AL191" s="389"/>
      <c r="AM191" s="389"/>
    </row>
    <row r="192">
      <c r="A192" s="307"/>
      <c r="B192" s="308"/>
      <c r="C192" s="309"/>
      <c r="D192" s="389"/>
      <c r="E192" s="307"/>
      <c r="F192" s="308"/>
      <c r="G192" s="309"/>
      <c r="H192" s="389"/>
      <c r="I192" s="307"/>
      <c r="J192" s="308"/>
      <c r="K192" s="309"/>
      <c r="L192" s="389"/>
      <c r="M192" s="307"/>
      <c r="N192" s="308"/>
      <c r="O192" s="309"/>
      <c r="P192" s="389"/>
      <c r="Q192" s="192"/>
      <c r="R192" s="149"/>
      <c r="S192" s="392"/>
      <c r="T192" s="393"/>
      <c r="U192" s="192"/>
      <c r="V192" s="149"/>
      <c r="W192" s="392"/>
      <c r="X192" s="393"/>
      <c r="Y192" s="192"/>
      <c r="Z192" s="149"/>
      <c r="AA192" s="392"/>
      <c r="AB192" s="393"/>
      <c r="AC192" s="192"/>
      <c r="AD192" s="149"/>
      <c r="AE192" s="392"/>
      <c r="AF192" s="393"/>
      <c r="AG192" s="192"/>
      <c r="AH192" s="149"/>
      <c r="AI192" s="392"/>
      <c r="AJ192" s="393"/>
      <c r="AK192" s="389"/>
      <c r="AL192" s="389"/>
      <c r="AM192" s="389"/>
    </row>
    <row r="193">
      <c r="A193" s="307"/>
      <c r="B193" s="308"/>
      <c r="C193" s="309"/>
      <c r="D193" s="389"/>
      <c r="E193" s="307"/>
      <c r="F193" s="308"/>
      <c r="G193" s="309"/>
      <c r="H193" s="389"/>
      <c r="I193" s="307"/>
      <c r="J193" s="308"/>
      <c r="K193" s="309"/>
      <c r="L193" s="389"/>
      <c r="M193" s="307"/>
      <c r="N193" s="308"/>
      <c r="O193" s="309"/>
      <c r="P193" s="389"/>
      <c r="Q193" s="192"/>
      <c r="R193" s="149"/>
      <c r="S193" s="392"/>
      <c r="T193" s="393"/>
      <c r="U193" s="192"/>
      <c r="V193" s="149"/>
      <c r="W193" s="392"/>
      <c r="X193" s="393"/>
      <c r="Y193" s="192"/>
      <c r="Z193" s="149"/>
      <c r="AA193" s="392"/>
      <c r="AB193" s="393"/>
      <c r="AC193" s="192"/>
      <c r="AD193" s="149"/>
      <c r="AE193" s="392"/>
      <c r="AF193" s="393"/>
      <c r="AG193" s="192"/>
      <c r="AH193" s="149"/>
      <c r="AI193" s="392"/>
      <c r="AJ193" s="393"/>
      <c r="AK193" s="389"/>
      <c r="AL193" s="389"/>
      <c r="AM193" s="389"/>
    </row>
    <row r="194">
      <c r="A194" s="307"/>
      <c r="B194" s="308"/>
      <c r="C194" s="309"/>
      <c r="D194" s="389"/>
      <c r="E194" s="307"/>
      <c r="F194" s="308"/>
      <c r="G194" s="309"/>
      <c r="H194" s="389"/>
      <c r="I194" s="307"/>
      <c r="J194" s="308"/>
      <c r="K194" s="309"/>
      <c r="L194" s="389"/>
      <c r="M194" s="307"/>
      <c r="N194" s="308"/>
      <c r="O194" s="309"/>
      <c r="P194" s="389"/>
      <c r="Q194" s="192"/>
      <c r="R194" s="149"/>
      <c r="S194" s="392"/>
      <c r="T194" s="393"/>
      <c r="U194" s="192"/>
      <c r="V194" s="149"/>
      <c r="W194" s="392"/>
      <c r="X194" s="393"/>
      <c r="Y194" s="192"/>
      <c r="Z194" s="149"/>
      <c r="AA194" s="392"/>
      <c r="AB194" s="393"/>
      <c r="AC194" s="192"/>
      <c r="AD194" s="149"/>
      <c r="AE194" s="392"/>
      <c r="AF194" s="393"/>
      <c r="AG194" s="192"/>
      <c r="AH194" s="149"/>
      <c r="AI194" s="392"/>
      <c r="AJ194" s="393"/>
      <c r="AK194" s="389"/>
      <c r="AL194" s="389"/>
      <c r="AM194" s="389"/>
    </row>
    <row r="195">
      <c r="A195" s="307"/>
      <c r="B195" s="308"/>
      <c r="C195" s="309"/>
      <c r="D195" s="389"/>
      <c r="E195" s="307"/>
      <c r="F195" s="308"/>
      <c r="G195" s="309"/>
      <c r="H195" s="389"/>
      <c r="I195" s="307"/>
      <c r="J195" s="308"/>
      <c r="K195" s="309"/>
      <c r="L195" s="389"/>
      <c r="M195" s="307"/>
      <c r="N195" s="308"/>
      <c r="O195" s="309"/>
      <c r="P195" s="389"/>
      <c r="Q195" s="192"/>
      <c r="R195" s="149"/>
      <c r="S195" s="392"/>
      <c r="T195" s="393"/>
      <c r="U195" s="192"/>
      <c r="V195" s="149"/>
      <c r="W195" s="392"/>
      <c r="X195" s="393"/>
      <c r="Y195" s="192"/>
      <c r="Z195" s="149"/>
      <c r="AA195" s="392"/>
      <c r="AB195" s="393"/>
      <c r="AC195" s="192"/>
      <c r="AD195" s="149"/>
      <c r="AE195" s="392"/>
      <c r="AF195" s="393"/>
      <c r="AG195" s="192"/>
      <c r="AH195" s="149"/>
      <c r="AI195" s="392"/>
      <c r="AJ195" s="393"/>
      <c r="AK195" s="389"/>
      <c r="AL195" s="389"/>
      <c r="AM195" s="389"/>
    </row>
    <row r="196">
      <c r="A196" s="307"/>
      <c r="B196" s="308"/>
      <c r="C196" s="309"/>
      <c r="D196" s="389"/>
      <c r="E196" s="307"/>
      <c r="F196" s="308"/>
      <c r="G196" s="309"/>
      <c r="H196" s="389"/>
      <c r="I196" s="307"/>
      <c r="J196" s="308"/>
      <c r="K196" s="309"/>
      <c r="L196" s="389"/>
      <c r="M196" s="307"/>
      <c r="N196" s="308"/>
      <c r="O196" s="309"/>
      <c r="P196" s="389"/>
      <c r="Q196" s="192"/>
      <c r="R196" s="149"/>
      <c r="S196" s="392"/>
      <c r="T196" s="393"/>
      <c r="U196" s="192"/>
      <c r="V196" s="149"/>
      <c r="W196" s="392"/>
      <c r="X196" s="393"/>
      <c r="Y196" s="192"/>
      <c r="Z196" s="149"/>
      <c r="AA196" s="392"/>
      <c r="AB196" s="393"/>
      <c r="AC196" s="192"/>
      <c r="AD196" s="149"/>
      <c r="AE196" s="392"/>
      <c r="AF196" s="393"/>
      <c r="AG196" s="192"/>
      <c r="AH196" s="149"/>
      <c r="AI196" s="392"/>
      <c r="AJ196" s="393"/>
      <c r="AK196" s="389"/>
      <c r="AL196" s="389"/>
      <c r="AM196" s="389"/>
    </row>
    <row r="197">
      <c r="A197" s="307"/>
      <c r="B197" s="308"/>
      <c r="C197" s="309"/>
      <c r="D197" s="389"/>
      <c r="E197" s="307"/>
      <c r="F197" s="308"/>
      <c r="G197" s="309"/>
      <c r="H197" s="389"/>
      <c r="I197" s="307"/>
      <c r="J197" s="308"/>
      <c r="K197" s="309"/>
      <c r="L197" s="389"/>
      <c r="M197" s="307"/>
      <c r="N197" s="308"/>
      <c r="O197" s="309"/>
      <c r="P197" s="389"/>
      <c r="Q197" s="192"/>
      <c r="R197" s="149"/>
      <c r="S197" s="392"/>
      <c r="T197" s="393"/>
      <c r="U197" s="192"/>
      <c r="V197" s="149"/>
      <c r="W197" s="392"/>
      <c r="X197" s="393"/>
      <c r="Y197" s="192"/>
      <c r="Z197" s="149"/>
      <c r="AA197" s="392"/>
      <c r="AB197" s="393"/>
      <c r="AC197" s="192"/>
      <c r="AD197" s="149"/>
      <c r="AE197" s="392"/>
      <c r="AF197" s="393"/>
      <c r="AG197" s="192"/>
      <c r="AH197" s="149"/>
      <c r="AI197" s="392"/>
      <c r="AJ197" s="393"/>
      <c r="AK197" s="389"/>
      <c r="AL197" s="389"/>
      <c r="AM197" s="389"/>
    </row>
    <row r="198">
      <c r="A198" s="307"/>
      <c r="B198" s="308"/>
      <c r="C198" s="309"/>
      <c r="D198" s="389"/>
      <c r="E198" s="307"/>
      <c r="F198" s="308"/>
      <c r="G198" s="309"/>
      <c r="H198" s="389"/>
      <c r="I198" s="307"/>
      <c r="J198" s="308"/>
      <c r="K198" s="309"/>
      <c r="L198" s="389"/>
      <c r="M198" s="307"/>
      <c r="N198" s="308"/>
      <c r="O198" s="309"/>
      <c r="P198" s="389"/>
      <c r="Q198" s="192"/>
      <c r="R198" s="149"/>
      <c r="S198" s="392"/>
      <c r="T198" s="393"/>
      <c r="U198" s="192"/>
      <c r="V198" s="149"/>
      <c r="W198" s="392"/>
      <c r="X198" s="393"/>
      <c r="Y198" s="192"/>
      <c r="Z198" s="149"/>
      <c r="AA198" s="392"/>
      <c r="AB198" s="393"/>
      <c r="AC198" s="192"/>
      <c r="AD198" s="149"/>
      <c r="AE198" s="392"/>
      <c r="AF198" s="393"/>
      <c r="AG198" s="192"/>
      <c r="AH198" s="149"/>
      <c r="AI198" s="392"/>
      <c r="AJ198" s="393"/>
      <c r="AK198" s="389"/>
      <c r="AL198" s="389"/>
      <c r="AM198" s="389"/>
    </row>
    <row r="199">
      <c r="A199" s="307"/>
      <c r="B199" s="308"/>
      <c r="C199" s="309"/>
      <c r="D199" s="389"/>
      <c r="E199" s="307"/>
      <c r="F199" s="308"/>
      <c r="G199" s="309"/>
      <c r="H199" s="389"/>
      <c r="I199" s="307"/>
      <c r="J199" s="308"/>
      <c r="K199" s="309"/>
      <c r="L199" s="389"/>
      <c r="M199" s="307"/>
      <c r="N199" s="308"/>
      <c r="O199" s="309"/>
      <c r="P199" s="389"/>
      <c r="Q199" s="192"/>
      <c r="R199" s="149"/>
      <c r="S199" s="392"/>
      <c r="T199" s="393"/>
      <c r="U199" s="192"/>
      <c r="V199" s="149"/>
      <c r="W199" s="392"/>
      <c r="X199" s="393"/>
      <c r="Y199" s="192"/>
      <c r="Z199" s="149"/>
      <c r="AA199" s="392"/>
      <c r="AB199" s="393"/>
      <c r="AC199" s="192"/>
      <c r="AD199" s="149"/>
      <c r="AE199" s="392"/>
      <c r="AF199" s="393"/>
      <c r="AG199" s="192"/>
      <c r="AH199" s="149"/>
      <c r="AI199" s="392"/>
      <c r="AJ199" s="393"/>
      <c r="AK199" s="389"/>
      <c r="AL199" s="389"/>
      <c r="AM199" s="389"/>
    </row>
    <row r="200">
      <c r="A200" s="307"/>
      <c r="B200" s="308"/>
      <c r="C200" s="309"/>
      <c r="D200" s="389"/>
      <c r="E200" s="307"/>
      <c r="F200" s="308"/>
      <c r="G200" s="309"/>
      <c r="H200" s="389"/>
      <c r="I200" s="307"/>
      <c r="J200" s="308"/>
      <c r="K200" s="309"/>
      <c r="L200" s="389"/>
      <c r="M200" s="307"/>
      <c r="N200" s="308"/>
      <c r="O200" s="309"/>
      <c r="P200" s="389"/>
      <c r="Q200" s="192"/>
      <c r="R200" s="149"/>
      <c r="S200" s="392"/>
      <c r="T200" s="393"/>
      <c r="U200" s="192"/>
      <c r="V200" s="149"/>
      <c r="W200" s="392"/>
      <c r="X200" s="393"/>
      <c r="Y200" s="192"/>
      <c r="Z200" s="149"/>
      <c r="AA200" s="392"/>
      <c r="AB200" s="393"/>
      <c r="AC200" s="192"/>
      <c r="AD200" s="149"/>
      <c r="AE200" s="392"/>
      <c r="AF200" s="393"/>
      <c r="AG200" s="192"/>
      <c r="AH200" s="149"/>
      <c r="AI200" s="392"/>
      <c r="AJ200" s="393"/>
      <c r="AK200" s="389"/>
      <c r="AL200" s="389"/>
      <c r="AM200" s="389"/>
    </row>
    <row r="201">
      <c r="A201" s="307"/>
      <c r="B201" s="308"/>
      <c r="C201" s="309"/>
      <c r="D201" s="389"/>
      <c r="E201" s="307"/>
      <c r="F201" s="308"/>
      <c r="G201" s="309"/>
      <c r="H201" s="389"/>
      <c r="I201" s="307"/>
      <c r="J201" s="308"/>
      <c r="K201" s="309"/>
      <c r="L201" s="389"/>
      <c r="M201" s="307"/>
      <c r="N201" s="308"/>
      <c r="O201" s="309"/>
      <c r="P201" s="389"/>
      <c r="Q201" s="192"/>
      <c r="R201" s="149"/>
      <c r="S201" s="392"/>
      <c r="T201" s="393"/>
      <c r="U201" s="192"/>
      <c r="V201" s="149"/>
      <c r="W201" s="392"/>
      <c r="X201" s="393"/>
      <c r="Y201" s="192"/>
      <c r="Z201" s="149"/>
      <c r="AA201" s="392"/>
      <c r="AB201" s="393"/>
      <c r="AC201" s="192"/>
      <c r="AD201" s="149"/>
      <c r="AE201" s="392"/>
      <c r="AF201" s="393"/>
      <c r="AG201" s="192"/>
      <c r="AH201" s="149"/>
      <c r="AI201" s="392"/>
      <c r="AJ201" s="393"/>
      <c r="AK201" s="389"/>
      <c r="AL201" s="389"/>
      <c r="AM201" s="389"/>
    </row>
    <row r="202">
      <c r="A202" s="307"/>
      <c r="B202" s="308"/>
      <c r="C202" s="309"/>
      <c r="D202" s="389"/>
      <c r="E202" s="307"/>
      <c r="F202" s="308"/>
      <c r="G202" s="309"/>
      <c r="H202" s="389"/>
      <c r="I202" s="307"/>
      <c r="J202" s="308"/>
      <c r="K202" s="309"/>
      <c r="L202" s="389"/>
      <c r="M202" s="307"/>
      <c r="N202" s="308"/>
      <c r="O202" s="309"/>
      <c r="P202" s="389"/>
      <c r="Q202" s="192"/>
      <c r="R202" s="149"/>
      <c r="S202" s="392"/>
      <c r="T202" s="393"/>
      <c r="U202" s="192"/>
      <c r="V202" s="149"/>
      <c r="W202" s="392"/>
      <c r="X202" s="393"/>
      <c r="Y202" s="192"/>
      <c r="Z202" s="149"/>
      <c r="AA202" s="392"/>
      <c r="AB202" s="393"/>
      <c r="AC202" s="192"/>
      <c r="AD202" s="149"/>
      <c r="AE202" s="392"/>
      <c r="AF202" s="393"/>
      <c r="AG202" s="192"/>
      <c r="AH202" s="149"/>
      <c r="AI202" s="392"/>
      <c r="AJ202" s="393"/>
      <c r="AK202" s="389"/>
      <c r="AL202" s="389"/>
      <c r="AM202" s="389"/>
    </row>
    <row r="203">
      <c r="A203" s="307"/>
      <c r="B203" s="308"/>
      <c r="C203" s="309"/>
      <c r="D203" s="389"/>
      <c r="E203" s="307"/>
      <c r="F203" s="308"/>
      <c r="G203" s="309"/>
      <c r="H203" s="389"/>
      <c r="I203" s="307"/>
      <c r="J203" s="308"/>
      <c r="K203" s="309"/>
      <c r="L203" s="389"/>
      <c r="M203" s="307"/>
      <c r="N203" s="308"/>
      <c r="O203" s="309"/>
      <c r="P203" s="389"/>
      <c r="Q203" s="192"/>
      <c r="R203" s="149"/>
      <c r="S203" s="392"/>
      <c r="T203" s="393"/>
      <c r="U203" s="192"/>
      <c r="V203" s="149"/>
      <c r="W203" s="392"/>
      <c r="X203" s="393"/>
      <c r="Y203" s="192"/>
      <c r="Z203" s="149"/>
      <c r="AA203" s="392"/>
      <c r="AB203" s="393"/>
      <c r="AC203" s="192"/>
      <c r="AD203" s="149"/>
      <c r="AE203" s="392"/>
      <c r="AF203" s="393"/>
      <c r="AG203" s="192"/>
      <c r="AH203" s="149"/>
      <c r="AI203" s="392"/>
      <c r="AJ203" s="393"/>
      <c r="AK203" s="389"/>
      <c r="AL203" s="389"/>
      <c r="AM203" s="389"/>
    </row>
    <row r="204">
      <c r="A204" s="307"/>
      <c r="B204" s="308"/>
      <c r="C204" s="309"/>
      <c r="D204" s="389"/>
      <c r="E204" s="307"/>
      <c r="F204" s="308"/>
      <c r="G204" s="309"/>
      <c r="H204" s="389"/>
      <c r="I204" s="307"/>
      <c r="J204" s="308"/>
      <c r="K204" s="309"/>
      <c r="L204" s="389"/>
      <c r="M204" s="307"/>
      <c r="N204" s="308"/>
      <c r="O204" s="309"/>
      <c r="P204" s="389"/>
      <c r="Q204" s="192"/>
      <c r="R204" s="149"/>
      <c r="S204" s="392"/>
      <c r="T204" s="393"/>
      <c r="U204" s="192"/>
      <c r="V204" s="149"/>
      <c r="W204" s="392"/>
      <c r="X204" s="393"/>
      <c r="Y204" s="192"/>
      <c r="Z204" s="149"/>
      <c r="AA204" s="392"/>
      <c r="AB204" s="393"/>
      <c r="AC204" s="192"/>
      <c r="AD204" s="149"/>
      <c r="AE204" s="392"/>
      <c r="AF204" s="393"/>
      <c r="AG204" s="192"/>
      <c r="AH204" s="149"/>
      <c r="AI204" s="392"/>
      <c r="AJ204" s="393"/>
      <c r="AK204" s="389"/>
      <c r="AL204" s="389"/>
      <c r="AM204" s="389"/>
    </row>
    <row r="205">
      <c r="A205" s="307"/>
      <c r="B205" s="308"/>
      <c r="C205" s="309"/>
      <c r="D205" s="389"/>
      <c r="E205" s="307"/>
      <c r="F205" s="308"/>
      <c r="G205" s="309"/>
      <c r="H205" s="389"/>
      <c r="I205" s="307"/>
      <c r="J205" s="308"/>
      <c r="K205" s="309"/>
      <c r="L205" s="389"/>
      <c r="M205" s="307"/>
      <c r="N205" s="308"/>
      <c r="O205" s="309"/>
      <c r="P205" s="389"/>
      <c r="Q205" s="192"/>
      <c r="R205" s="149"/>
      <c r="S205" s="392"/>
      <c r="T205" s="393"/>
      <c r="U205" s="192"/>
      <c r="V205" s="149"/>
      <c r="W205" s="392"/>
      <c r="X205" s="393"/>
      <c r="Y205" s="192"/>
      <c r="Z205" s="149"/>
      <c r="AA205" s="392"/>
      <c r="AB205" s="393"/>
      <c r="AC205" s="192"/>
      <c r="AD205" s="149"/>
      <c r="AE205" s="392"/>
      <c r="AF205" s="393"/>
      <c r="AG205" s="192"/>
      <c r="AH205" s="149"/>
      <c r="AI205" s="392"/>
      <c r="AJ205" s="393"/>
      <c r="AK205" s="389"/>
      <c r="AL205" s="389"/>
      <c r="AM205" s="389"/>
    </row>
    <row r="206">
      <c r="A206" s="307"/>
      <c r="B206" s="308"/>
      <c r="C206" s="309"/>
      <c r="D206" s="389"/>
      <c r="E206" s="307"/>
      <c r="F206" s="308"/>
      <c r="G206" s="309"/>
      <c r="H206" s="389"/>
      <c r="I206" s="307"/>
      <c r="J206" s="308"/>
      <c r="K206" s="309"/>
      <c r="L206" s="389"/>
      <c r="M206" s="307"/>
      <c r="N206" s="308"/>
      <c r="O206" s="309"/>
      <c r="P206" s="389"/>
      <c r="Q206" s="192"/>
      <c r="R206" s="149"/>
      <c r="S206" s="392"/>
      <c r="T206" s="393"/>
      <c r="U206" s="192"/>
      <c r="V206" s="149"/>
      <c r="W206" s="392"/>
      <c r="X206" s="393"/>
      <c r="Y206" s="192"/>
      <c r="Z206" s="149"/>
      <c r="AA206" s="392"/>
      <c r="AB206" s="393"/>
      <c r="AC206" s="192"/>
      <c r="AD206" s="149"/>
      <c r="AE206" s="392"/>
      <c r="AF206" s="393"/>
      <c r="AG206" s="192"/>
      <c r="AH206" s="149"/>
      <c r="AI206" s="392"/>
      <c r="AJ206" s="393"/>
      <c r="AK206" s="389"/>
      <c r="AL206" s="389"/>
      <c r="AM206" s="389"/>
    </row>
    <row r="207">
      <c r="A207" s="307"/>
      <c r="B207" s="308"/>
      <c r="C207" s="309"/>
      <c r="D207" s="389"/>
      <c r="E207" s="307"/>
      <c r="F207" s="308"/>
      <c r="G207" s="309"/>
      <c r="H207" s="389"/>
      <c r="I207" s="307"/>
      <c r="J207" s="308"/>
      <c r="K207" s="309"/>
      <c r="L207" s="389"/>
      <c r="M207" s="307"/>
      <c r="N207" s="308"/>
      <c r="O207" s="309"/>
      <c r="P207" s="389"/>
      <c r="Q207" s="192"/>
      <c r="R207" s="149"/>
      <c r="S207" s="392"/>
      <c r="T207" s="393"/>
      <c r="U207" s="192"/>
      <c r="V207" s="149"/>
      <c r="W207" s="392"/>
      <c r="X207" s="393"/>
      <c r="Y207" s="192"/>
      <c r="Z207" s="149"/>
      <c r="AA207" s="392"/>
      <c r="AB207" s="393"/>
      <c r="AC207" s="192"/>
      <c r="AD207" s="149"/>
      <c r="AE207" s="392"/>
      <c r="AF207" s="393"/>
      <c r="AG207" s="192"/>
      <c r="AH207" s="149"/>
      <c r="AI207" s="392"/>
      <c r="AJ207" s="393"/>
      <c r="AK207" s="389"/>
      <c r="AL207" s="389"/>
      <c r="AM207" s="389"/>
    </row>
    <row r="208">
      <c r="A208" s="307"/>
      <c r="B208" s="308"/>
      <c r="C208" s="309"/>
      <c r="D208" s="389"/>
      <c r="E208" s="307"/>
      <c r="F208" s="308"/>
      <c r="G208" s="309"/>
      <c r="H208" s="389"/>
      <c r="I208" s="307"/>
      <c r="J208" s="308"/>
      <c r="K208" s="309"/>
      <c r="L208" s="389"/>
      <c r="M208" s="307"/>
      <c r="N208" s="308"/>
      <c r="O208" s="309"/>
      <c r="P208" s="389"/>
      <c r="Q208" s="192"/>
      <c r="R208" s="149"/>
      <c r="S208" s="392"/>
      <c r="T208" s="393"/>
      <c r="U208" s="192"/>
      <c r="V208" s="149"/>
      <c r="W208" s="392"/>
      <c r="X208" s="393"/>
      <c r="Y208" s="192"/>
      <c r="Z208" s="149"/>
      <c r="AA208" s="392"/>
      <c r="AB208" s="393"/>
      <c r="AC208" s="192"/>
      <c r="AD208" s="149"/>
      <c r="AE208" s="392"/>
      <c r="AF208" s="393"/>
      <c r="AG208" s="192"/>
      <c r="AH208" s="149"/>
      <c r="AI208" s="392"/>
      <c r="AJ208" s="393"/>
      <c r="AK208" s="389"/>
      <c r="AL208" s="389"/>
      <c r="AM208" s="389"/>
    </row>
    <row r="209">
      <c r="A209" s="307"/>
      <c r="B209" s="308"/>
      <c r="C209" s="309"/>
      <c r="D209" s="389"/>
      <c r="E209" s="307"/>
      <c r="F209" s="308"/>
      <c r="G209" s="309"/>
      <c r="H209" s="389"/>
      <c r="I209" s="307"/>
      <c r="J209" s="308"/>
      <c r="K209" s="309"/>
      <c r="L209" s="389"/>
      <c r="M209" s="307"/>
      <c r="N209" s="308"/>
      <c r="O209" s="309"/>
      <c r="P209" s="389"/>
      <c r="Q209" s="192"/>
      <c r="R209" s="149"/>
      <c r="S209" s="392"/>
      <c r="T209" s="393"/>
      <c r="U209" s="192"/>
      <c r="V209" s="149"/>
      <c r="W209" s="392"/>
      <c r="X209" s="393"/>
      <c r="Y209" s="192"/>
      <c r="Z209" s="149"/>
      <c r="AA209" s="392"/>
      <c r="AB209" s="393"/>
      <c r="AC209" s="192"/>
      <c r="AD209" s="149"/>
      <c r="AE209" s="392"/>
      <c r="AF209" s="393"/>
      <c r="AG209" s="192"/>
      <c r="AH209" s="149"/>
      <c r="AI209" s="392"/>
      <c r="AJ209" s="393"/>
      <c r="AK209" s="389"/>
      <c r="AL209" s="389"/>
      <c r="AM209" s="389"/>
    </row>
    <row r="210">
      <c r="A210" s="307"/>
      <c r="B210" s="308"/>
      <c r="C210" s="309"/>
      <c r="D210" s="389"/>
      <c r="E210" s="307"/>
      <c r="F210" s="308"/>
      <c r="G210" s="309"/>
      <c r="H210" s="389"/>
      <c r="I210" s="307"/>
      <c r="J210" s="308"/>
      <c r="K210" s="309"/>
      <c r="L210" s="389"/>
      <c r="M210" s="307"/>
      <c r="N210" s="308"/>
      <c r="O210" s="309"/>
      <c r="P210" s="389"/>
      <c r="Q210" s="192"/>
      <c r="R210" s="149"/>
      <c r="S210" s="392"/>
      <c r="T210" s="393"/>
      <c r="U210" s="192"/>
      <c r="V210" s="149"/>
      <c r="W210" s="392"/>
      <c r="X210" s="393"/>
      <c r="Y210" s="192"/>
      <c r="Z210" s="149"/>
      <c r="AA210" s="392"/>
      <c r="AB210" s="393"/>
      <c r="AC210" s="192"/>
      <c r="AD210" s="149"/>
      <c r="AE210" s="392"/>
      <c r="AF210" s="393"/>
      <c r="AG210" s="192"/>
      <c r="AH210" s="149"/>
      <c r="AI210" s="392"/>
      <c r="AJ210" s="393"/>
      <c r="AK210" s="389"/>
      <c r="AL210" s="389"/>
      <c r="AM210" s="389"/>
    </row>
    <row r="211">
      <c r="A211" s="307"/>
      <c r="B211" s="308"/>
      <c r="C211" s="309"/>
      <c r="D211" s="389"/>
      <c r="E211" s="307"/>
      <c r="F211" s="308"/>
      <c r="G211" s="309"/>
      <c r="H211" s="389"/>
      <c r="I211" s="307"/>
      <c r="J211" s="308"/>
      <c r="K211" s="309"/>
      <c r="L211" s="389"/>
      <c r="M211" s="307"/>
      <c r="N211" s="308"/>
      <c r="O211" s="309"/>
      <c r="P211" s="389"/>
      <c r="Q211" s="192"/>
      <c r="R211" s="149"/>
      <c r="S211" s="392"/>
      <c r="T211" s="393"/>
      <c r="U211" s="192"/>
      <c r="V211" s="149"/>
      <c r="W211" s="392"/>
      <c r="X211" s="393"/>
      <c r="Y211" s="192"/>
      <c r="Z211" s="149"/>
      <c r="AA211" s="392"/>
      <c r="AB211" s="393"/>
      <c r="AC211" s="192"/>
      <c r="AD211" s="149"/>
      <c r="AE211" s="392"/>
      <c r="AF211" s="393"/>
      <c r="AG211" s="192"/>
      <c r="AH211" s="149"/>
      <c r="AI211" s="392"/>
      <c r="AJ211" s="393"/>
      <c r="AK211" s="389"/>
      <c r="AL211" s="389"/>
      <c r="AM211" s="389"/>
    </row>
    <row r="212">
      <c r="A212" s="307"/>
      <c r="B212" s="308"/>
      <c r="C212" s="309"/>
      <c r="D212" s="389"/>
      <c r="E212" s="307"/>
      <c r="F212" s="308"/>
      <c r="G212" s="309"/>
      <c r="H212" s="389"/>
      <c r="I212" s="307"/>
      <c r="J212" s="308"/>
      <c r="K212" s="309"/>
      <c r="L212" s="389"/>
      <c r="M212" s="307"/>
      <c r="N212" s="308"/>
      <c r="O212" s="309"/>
      <c r="P212" s="389"/>
      <c r="Q212" s="192"/>
      <c r="R212" s="149"/>
      <c r="S212" s="392"/>
      <c r="T212" s="393"/>
      <c r="U212" s="192"/>
      <c r="V212" s="149"/>
      <c r="W212" s="392"/>
      <c r="X212" s="393"/>
      <c r="Y212" s="192"/>
      <c r="Z212" s="149"/>
      <c r="AA212" s="392"/>
      <c r="AB212" s="393"/>
      <c r="AC212" s="192"/>
      <c r="AD212" s="149"/>
      <c r="AE212" s="392"/>
      <c r="AF212" s="393"/>
      <c r="AG212" s="192"/>
      <c r="AH212" s="149"/>
      <c r="AI212" s="392"/>
      <c r="AJ212" s="393"/>
      <c r="AK212" s="389"/>
      <c r="AL212" s="389"/>
      <c r="AM212" s="389"/>
    </row>
    <row r="213">
      <c r="A213" s="307"/>
      <c r="B213" s="308"/>
      <c r="C213" s="309"/>
      <c r="D213" s="389"/>
      <c r="E213" s="307"/>
      <c r="F213" s="308"/>
      <c r="G213" s="309"/>
      <c r="H213" s="389"/>
      <c r="I213" s="307"/>
      <c r="J213" s="308"/>
      <c r="K213" s="309"/>
      <c r="L213" s="389"/>
      <c r="M213" s="307"/>
      <c r="N213" s="308"/>
      <c r="O213" s="309"/>
      <c r="P213" s="389"/>
      <c r="Q213" s="192"/>
      <c r="R213" s="149"/>
      <c r="S213" s="392"/>
      <c r="T213" s="393"/>
      <c r="U213" s="192"/>
      <c r="V213" s="149"/>
      <c r="W213" s="392"/>
      <c r="X213" s="393"/>
      <c r="Y213" s="192"/>
      <c r="Z213" s="149"/>
      <c r="AA213" s="392"/>
      <c r="AB213" s="393"/>
      <c r="AC213" s="192"/>
      <c r="AD213" s="149"/>
      <c r="AE213" s="392"/>
      <c r="AF213" s="393"/>
      <c r="AG213" s="192"/>
      <c r="AH213" s="149"/>
      <c r="AI213" s="392"/>
      <c r="AJ213" s="393"/>
      <c r="AK213" s="389"/>
      <c r="AL213" s="389"/>
      <c r="AM213" s="389"/>
    </row>
    <row r="214">
      <c r="A214" s="307"/>
      <c r="B214" s="308"/>
      <c r="C214" s="309"/>
      <c r="D214" s="389"/>
      <c r="E214" s="307"/>
      <c r="F214" s="308"/>
      <c r="G214" s="309"/>
      <c r="H214" s="389"/>
      <c r="I214" s="307"/>
      <c r="J214" s="308"/>
      <c r="K214" s="309"/>
      <c r="L214" s="389"/>
      <c r="M214" s="307"/>
      <c r="N214" s="308"/>
      <c r="O214" s="309"/>
      <c r="P214" s="389"/>
      <c r="Q214" s="192"/>
      <c r="R214" s="149"/>
      <c r="S214" s="392"/>
      <c r="T214" s="393"/>
      <c r="U214" s="192"/>
      <c r="V214" s="149"/>
      <c r="W214" s="392"/>
      <c r="X214" s="393"/>
      <c r="Y214" s="192"/>
      <c r="Z214" s="149"/>
      <c r="AA214" s="392"/>
      <c r="AB214" s="393"/>
      <c r="AC214" s="192"/>
      <c r="AD214" s="149"/>
      <c r="AE214" s="392"/>
      <c r="AF214" s="393"/>
      <c r="AG214" s="192"/>
      <c r="AH214" s="149"/>
      <c r="AI214" s="392"/>
      <c r="AJ214" s="393"/>
      <c r="AK214" s="389"/>
      <c r="AL214" s="389"/>
      <c r="AM214" s="389"/>
    </row>
    <row r="215">
      <c r="A215" s="307"/>
      <c r="B215" s="308"/>
      <c r="C215" s="309"/>
      <c r="D215" s="389"/>
      <c r="E215" s="307"/>
      <c r="F215" s="308"/>
      <c r="G215" s="309"/>
      <c r="H215" s="389"/>
      <c r="I215" s="307"/>
      <c r="J215" s="308"/>
      <c r="K215" s="309"/>
      <c r="L215" s="389"/>
      <c r="M215" s="307"/>
      <c r="N215" s="308"/>
      <c r="O215" s="309"/>
      <c r="P215" s="389"/>
      <c r="Q215" s="192"/>
      <c r="R215" s="149"/>
      <c r="S215" s="392"/>
      <c r="T215" s="393"/>
      <c r="U215" s="192"/>
      <c r="V215" s="149"/>
      <c r="W215" s="392"/>
      <c r="X215" s="393"/>
      <c r="Y215" s="192"/>
      <c r="Z215" s="149"/>
      <c r="AA215" s="392"/>
      <c r="AB215" s="393"/>
      <c r="AC215" s="192"/>
      <c r="AD215" s="149"/>
      <c r="AE215" s="392"/>
      <c r="AF215" s="393"/>
      <c r="AG215" s="192"/>
      <c r="AH215" s="149"/>
      <c r="AI215" s="392"/>
      <c r="AJ215" s="393"/>
      <c r="AK215" s="389"/>
      <c r="AL215" s="389"/>
      <c r="AM215" s="389"/>
    </row>
    <row r="216">
      <c r="A216" s="307"/>
      <c r="B216" s="308"/>
      <c r="C216" s="309"/>
      <c r="D216" s="389"/>
      <c r="E216" s="307"/>
      <c r="F216" s="308"/>
      <c r="G216" s="309"/>
      <c r="H216" s="389"/>
      <c r="I216" s="307"/>
      <c r="J216" s="308"/>
      <c r="K216" s="309"/>
      <c r="L216" s="389"/>
      <c r="M216" s="307"/>
      <c r="N216" s="308"/>
      <c r="O216" s="309"/>
      <c r="P216" s="389"/>
      <c r="Q216" s="192"/>
      <c r="R216" s="149"/>
      <c r="S216" s="392"/>
      <c r="T216" s="393"/>
      <c r="U216" s="192"/>
      <c r="V216" s="149"/>
      <c r="W216" s="392"/>
      <c r="X216" s="393"/>
      <c r="Y216" s="192"/>
      <c r="Z216" s="149"/>
      <c r="AA216" s="392"/>
      <c r="AB216" s="393"/>
      <c r="AC216" s="192"/>
      <c r="AD216" s="149"/>
      <c r="AE216" s="392"/>
      <c r="AF216" s="393"/>
      <c r="AG216" s="192"/>
      <c r="AH216" s="149"/>
      <c r="AI216" s="392"/>
      <c r="AJ216" s="393"/>
      <c r="AK216" s="389"/>
      <c r="AL216" s="389"/>
      <c r="AM216" s="389"/>
    </row>
    <row r="217">
      <c r="A217" s="307"/>
      <c r="B217" s="308"/>
      <c r="C217" s="309"/>
      <c r="D217" s="389"/>
      <c r="E217" s="307"/>
      <c r="F217" s="308"/>
      <c r="G217" s="309"/>
      <c r="H217" s="389"/>
      <c r="I217" s="307"/>
      <c r="J217" s="308"/>
      <c r="K217" s="309"/>
      <c r="L217" s="389"/>
      <c r="M217" s="307"/>
      <c r="N217" s="308"/>
      <c r="O217" s="309"/>
      <c r="P217" s="389"/>
      <c r="Q217" s="192"/>
      <c r="R217" s="149"/>
      <c r="S217" s="392"/>
      <c r="T217" s="393"/>
      <c r="U217" s="192"/>
      <c r="V217" s="149"/>
      <c r="W217" s="392"/>
      <c r="X217" s="393"/>
      <c r="Y217" s="192"/>
      <c r="Z217" s="149"/>
      <c r="AA217" s="392"/>
      <c r="AB217" s="393"/>
      <c r="AC217" s="192"/>
      <c r="AD217" s="149"/>
      <c r="AE217" s="392"/>
      <c r="AF217" s="393"/>
      <c r="AG217" s="192"/>
      <c r="AH217" s="149"/>
      <c r="AI217" s="392"/>
      <c r="AJ217" s="393"/>
      <c r="AK217" s="389"/>
      <c r="AL217" s="389"/>
      <c r="AM217" s="389"/>
    </row>
    <row r="218">
      <c r="A218" s="307"/>
      <c r="B218" s="308"/>
      <c r="C218" s="309"/>
      <c r="D218" s="389"/>
      <c r="E218" s="307"/>
      <c r="F218" s="308"/>
      <c r="G218" s="309"/>
      <c r="H218" s="389"/>
      <c r="I218" s="307"/>
      <c r="J218" s="308"/>
      <c r="K218" s="309"/>
      <c r="L218" s="389"/>
      <c r="M218" s="307"/>
      <c r="N218" s="308"/>
      <c r="O218" s="309"/>
      <c r="P218" s="389"/>
      <c r="Q218" s="192"/>
      <c r="R218" s="149"/>
      <c r="S218" s="392"/>
      <c r="T218" s="393"/>
      <c r="U218" s="192"/>
      <c r="V218" s="149"/>
      <c r="W218" s="392"/>
      <c r="X218" s="393"/>
      <c r="Y218" s="192"/>
      <c r="Z218" s="149"/>
      <c r="AA218" s="392"/>
      <c r="AB218" s="393"/>
      <c r="AC218" s="192"/>
      <c r="AD218" s="149"/>
      <c r="AE218" s="392"/>
      <c r="AF218" s="393"/>
      <c r="AG218" s="192"/>
      <c r="AH218" s="149"/>
      <c r="AI218" s="392"/>
      <c r="AJ218" s="393"/>
      <c r="AK218" s="389"/>
      <c r="AL218" s="389"/>
      <c r="AM218" s="389"/>
    </row>
    <row r="219">
      <c r="A219" s="307"/>
      <c r="B219" s="308"/>
      <c r="C219" s="309"/>
      <c r="D219" s="389"/>
      <c r="E219" s="307"/>
      <c r="F219" s="308"/>
      <c r="G219" s="309"/>
      <c r="H219" s="389"/>
      <c r="I219" s="307"/>
      <c r="J219" s="308"/>
      <c r="K219" s="309"/>
      <c r="L219" s="389"/>
      <c r="M219" s="307"/>
      <c r="N219" s="308"/>
      <c r="O219" s="309"/>
      <c r="P219" s="389"/>
      <c r="Q219" s="192"/>
      <c r="R219" s="149"/>
      <c r="S219" s="392"/>
      <c r="T219" s="393"/>
      <c r="U219" s="192"/>
      <c r="V219" s="149"/>
      <c r="W219" s="392"/>
      <c r="X219" s="393"/>
      <c r="Y219" s="192"/>
      <c r="Z219" s="149"/>
      <c r="AA219" s="392"/>
      <c r="AB219" s="393"/>
      <c r="AC219" s="192"/>
      <c r="AD219" s="149"/>
      <c r="AE219" s="392"/>
      <c r="AF219" s="393"/>
      <c r="AG219" s="192"/>
      <c r="AH219" s="149"/>
      <c r="AI219" s="392"/>
      <c r="AJ219" s="393"/>
      <c r="AK219" s="389"/>
      <c r="AL219" s="389"/>
      <c r="AM219" s="389"/>
    </row>
    <row r="220">
      <c r="A220" s="307"/>
      <c r="B220" s="308"/>
      <c r="C220" s="309"/>
      <c r="D220" s="389"/>
      <c r="E220" s="307"/>
      <c r="F220" s="308"/>
      <c r="G220" s="309"/>
      <c r="H220" s="389"/>
      <c r="I220" s="307"/>
      <c r="J220" s="308"/>
      <c r="K220" s="309"/>
      <c r="L220" s="389"/>
      <c r="M220" s="307"/>
      <c r="N220" s="308"/>
      <c r="O220" s="309"/>
      <c r="P220" s="389"/>
      <c r="Q220" s="192"/>
      <c r="R220" s="149"/>
      <c r="S220" s="392"/>
      <c r="T220" s="393"/>
      <c r="U220" s="192"/>
      <c r="V220" s="149"/>
      <c r="W220" s="392"/>
      <c r="X220" s="393"/>
      <c r="Y220" s="192"/>
      <c r="Z220" s="149"/>
      <c r="AA220" s="392"/>
      <c r="AB220" s="393"/>
      <c r="AC220" s="192"/>
      <c r="AD220" s="149"/>
      <c r="AE220" s="392"/>
      <c r="AF220" s="393"/>
      <c r="AG220" s="192"/>
      <c r="AH220" s="149"/>
      <c r="AI220" s="392"/>
      <c r="AJ220" s="393"/>
      <c r="AK220" s="389"/>
      <c r="AL220" s="389"/>
      <c r="AM220" s="389"/>
    </row>
    <row r="221">
      <c r="A221" s="307"/>
      <c r="B221" s="308"/>
      <c r="C221" s="309"/>
      <c r="D221" s="389"/>
      <c r="E221" s="307"/>
      <c r="F221" s="308"/>
      <c r="G221" s="309"/>
      <c r="H221" s="389"/>
      <c r="I221" s="307"/>
      <c r="J221" s="308"/>
      <c r="K221" s="309"/>
      <c r="L221" s="389"/>
      <c r="M221" s="307"/>
      <c r="N221" s="308"/>
      <c r="O221" s="309"/>
      <c r="P221" s="389"/>
      <c r="Q221" s="192"/>
      <c r="R221" s="149"/>
      <c r="S221" s="392"/>
      <c r="T221" s="393"/>
      <c r="U221" s="192"/>
      <c r="V221" s="149"/>
      <c r="W221" s="392"/>
      <c r="X221" s="393"/>
      <c r="Y221" s="192"/>
      <c r="Z221" s="149"/>
      <c r="AA221" s="392"/>
      <c r="AB221" s="393"/>
      <c r="AC221" s="192"/>
      <c r="AD221" s="149"/>
      <c r="AE221" s="392"/>
      <c r="AF221" s="393"/>
      <c r="AG221" s="192"/>
      <c r="AH221" s="149"/>
      <c r="AI221" s="392"/>
      <c r="AJ221" s="393"/>
      <c r="AK221" s="389"/>
      <c r="AL221" s="389"/>
      <c r="AM221" s="389"/>
    </row>
    <row r="222">
      <c r="A222" s="307"/>
      <c r="B222" s="308"/>
      <c r="C222" s="309"/>
      <c r="D222" s="389"/>
      <c r="E222" s="307"/>
      <c r="F222" s="308"/>
      <c r="G222" s="309"/>
      <c r="H222" s="389"/>
      <c r="I222" s="307"/>
      <c r="J222" s="308"/>
      <c r="K222" s="309"/>
      <c r="L222" s="389"/>
      <c r="M222" s="307"/>
      <c r="N222" s="308"/>
      <c r="O222" s="309"/>
      <c r="P222" s="389"/>
      <c r="Q222" s="192"/>
      <c r="R222" s="149"/>
      <c r="S222" s="392"/>
      <c r="T222" s="393"/>
      <c r="U222" s="192"/>
      <c r="V222" s="149"/>
      <c r="W222" s="392"/>
      <c r="X222" s="393"/>
      <c r="Y222" s="192"/>
      <c r="Z222" s="149"/>
      <c r="AA222" s="392"/>
      <c r="AB222" s="393"/>
      <c r="AC222" s="192"/>
      <c r="AD222" s="149"/>
      <c r="AE222" s="392"/>
      <c r="AF222" s="393"/>
      <c r="AG222" s="192"/>
      <c r="AH222" s="149"/>
      <c r="AI222" s="392"/>
      <c r="AJ222" s="393"/>
      <c r="AK222" s="389"/>
      <c r="AL222" s="389"/>
      <c r="AM222" s="389"/>
    </row>
    <row r="223">
      <c r="A223" s="307"/>
      <c r="B223" s="308"/>
      <c r="C223" s="309"/>
      <c r="D223" s="389"/>
      <c r="E223" s="307"/>
      <c r="F223" s="308"/>
      <c r="G223" s="309"/>
      <c r="H223" s="389"/>
      <c r="I223" s="307"/>
      <c r="J223" s="308"/>
      <c r="K223" s="309"/>
      <c r="L223" s="389"/>
      <c r="M223" s="307"/>
      <c r="N223" s="308"/>
      <c r="O223" s="309"/>
      <c r="P223" s="389"/>
      <c r="Q223" s="192"/>
      <c r="R223" s="149"/>
      <c r="S223" s="392"/>
      <c r="T223" s="393"/>
      <c r="U223" s="192"/>
      <c r="V223" s="149"/>
      <c r="W223" s="392"/>
      <c r="X223" s="393"/>
      <c r="Y223" s="192"/>
      <c r="Z223" s="149"/>
      <c r="AA223" s="392"/>
      <c r="AB223" s="393"/>
      <c r="AC223" s="192"/>
      <c r="AD223" s="149"/>
      <c r="AE223" s="392"/>
      <c r="AF223" s="393"/>
      <c r="AG223" s="192"/>
      <c r="AH223" s="149"/>
      <c r="AI223" s="392"/>
      <c r="AJ223" s="393"/>
      <c r="AK223" s="389"/>
      <c r="AL223" s="389"/>
      <c r="AM223" s="389"/>
    </row>
    <row r="224">
      <c r="A224" s="307"/>
      <c r="B224" s="308"/>
      <c r="C224" s="309"/>
      <c r="D224" s="389"/>
      <c r="E224" s="307"/>
      <c r="F224" s="308"/>
      <c r="G224" s="309"/>
      <c r="H224" s="389"/>
      <c r="I224" s="307"/>
      <c r="J224" s="308"/>
      <c r="K224" s="309"/>
      <c r="L224" s="389"/>
      <c r="M224" s="307"/>
      <c r="N224" s="308"/>
      <c r="O224" s="309"/>
      <c r="P224" s="389"/>
      <c r="Q224" s="192"/>
      <c r="R224" s="149"/>
      <c r="S224" s="392"/>
      <c r="T224" s="393"/>
      <c r="U224" s="192"/>
      <c r="V224" s="149"/>
      <c r="W224" s="392"/>
      <c r="X224" s="393"/>
      <c r="Y224" s="192"/>
      <c r="Z224" s="149"/>
      <c r="AA224" s="392"/>
      <c r="AB224" s="393"/>
      <c r="AC224" s="192"/>
      <c r="AD224" s="149"/>
      <c r="AE224" s="392"/>
      <c r="AF224" s="393"/>
      <c r="AG224" s="192"/>
      <c r="AH224" s="149"/>
      <c r="AI224" s="392"/>
      <c r="AJ224" s="393"/>
      <c r="AK224" s="389"/>
      <c r="AL224" s="389"/>
      <c r="AM224" s="389"/>
    </row>
    <row r="225">
      <c r="A225" s="307"/>
      <c r="B225" s="308"/>
      <c r="C225" s="309"/>
      <c r="D225" s="389"/>
      <c r="E225" s="307"/>
      <c r="F225" s="308"/>
      <c r="G225" s="309"/>
      <c r="H225" s="389"/>
      <c r="I225" s="307"/>
      <c r="J225" s="308"/>
      <c r="K225" s="309"/>
      <c r="L225" s="389"/>
      <c r="M225" s="307"/>
      <c r="N225" s="308"/>
      <c r="O225" s="309"/>
      <c r="P225" s="389"/>
      <c r="Q225" s="192"/>
      <c r="R225" s="149"/>
      <c r="S225" s="392"/>
      <c r="T225" s="393"/>
      <c r="U225" s="192"/>
      <c r="V225" s="149"/>
      <c r="W225" s="392"/>
      <c r="X225" s="393"/>
      <c r="Y225" s="192"/>
      <c r="Z225" s="149"/>
      <c r="AA225" s="392"/>
      <c r="AB225" s="393"/>
      <c r="AC225" s="192"/>
      <c r="AD225" s="149"/>
      <c r="AE225" s="392"/>
      <c r="AF225" s="393"/>
      <c r="AG225" s="192"/>
      <c r="AH225" s="149"/>
      <c r="AI225" s="392"/>
      <c r="AJ225" s="393"/>
      <c r="AK225" s="389"/>
      <c r="AL225" s="389"/>
      <c r="AM225" s="389"/>
    </row>
    <row r="226">
      <c r="A226" s="307"/>
      <c r="B226" s="308"/>
      <c r="C226" s="309"/>
      <c r="D226" s="389"/>
      <c r="E226" s="307"/>
      <c r="F226" s="308"/>
      <c r="G226" s="309"/>
      <c r="H226" s="389"/>
      <c r="I226" s="307"/>
      <c r="J226" s="308"/>
      <c r="K226" s="309"/>
      <c r="L226" s="389"/>
      <c r="M226" s="307"/>
      <c r="N226" s="308"/>
      <c r="O226" s="309"/>
      <c r="P226" s="389"/>
      <c r="Q226" s="192"/>
      <c r="R226" s="149"/>
      <c r="S226" s="392"/>
      <c r="T226" s="393"/>
      <c r="U226" s="192"/>
      <c r="V226" s="149"/>
      <c r="W226" s="392"/>
      <c r="X226" s="393"/>
      <c r="Y226" s="192"/>
      <c r="Z226" s="149"/>
      <c r="AA226" s="392"/>
      <c r="AB226" s="393"/>
      <c r="AC226" s="192"/>
      <c r="AD226" s="149"/>
      <c r="AE226" s="392"/>
      <c r="AF226" s="393"/>
      <c r="AG226" s="192"/>
      <c r="AH226" s="149"/>
      <c r="AI226" s="392"/>
      <c r="AJ226" s="393"/>
      <c r="AK226" s="389"/>
      <c r="AL226" s="389"/>
      <c r="AM226" s="389"/>
    </row>
    <row r="227">
      <c r="A227" s="307"/>
      <c r="B227" s="308"/>
      <c r="C227" s="309"/>
      <c r="D227" s="389"/>
      <c r="E227" s="307"/>
      <c r="F227" s="308"/>
      <c r="G227" s="309"/>
      <c r="H227" s="389"/>
      <c r="I227" s="307"/>
      <c r="J227" s="308"/>
      <c r="K227" s="309"/>
      <c r="L227" s="389"/>
      <c r="M227" s="307"/>
      <c r="N227" s="308"/>
      <c r="O227" s="309"/>
      <c r="P227" s="389"/>
      <c r="Q227" s="192"/>
      <c r="R227" s="149"/>
      <c r="S227" s="392"/>
      <c r="T227" s="393"/>
      <c r="U227" s="192"/>
      <c r="V227" s="149"/>
      <c r="W227" s="392"/>
      <c r="X227" s="393"/>
      <c r="Y227" s="192"/>
      <c r="Z227" s="149"/>
      <c r="AA227" s="392"/>
      <c r="AB227" s="393"/>
      <c r="AC227" s="192"/>
      <c r="AD227" s="149"/>
      <c r="AE227" s="392"/>
      <c r="AF227" s="393"/>
      <c r="AG227" s="192"/>
      <c r="AH227" s="149"/>
      <c r="AI227" s="392"/>
      <c r="AJ227" s="393"/>
      <c r="AK227" s="389"/>
      <c r="AL227" s="389"/>
      <c r="AM227" s="389"/>
    </row>
    <row r="228">
      <c r="A228" s="307"/>
      <c r="B228" s="308"/>
      <c r="C228" s="309"/>
      <c r="D228" s="389"/>
      <c r="E228" s="307"/>
      <c r="F228" s="308"/>
      <c r="G228" s="309"/>
      <c r="H228" s="389"/>
      <c r="I228" s="307"/>
      <c r="J228" s="308"/>
      <c r="K228" s="309"/>
      <c r="L228" s="389"/>
      <c r="M228" s="307"/>
      <c r="N228" s="308"/>
      <c r="O228" s="309"/>
      <c r="P228" s="389"/>
      <c r="Q228" s="192"/>
      <c r="R228" s="149"/>
      <c r="S228" s="392"/>
      <c r="T228" s="393"/>
      <c r="U228" s="192"/>
      <c r="V228" s="149"/>
      <c r="W228" s="392"/>
      <c r="X228" s="393"/>
      <c r="Y228" s="192"/>
      <c r="Z228" s="149"/>
      <c r="AA228" s="392"/>
      <c r="AB228" s="393"/>
      <c r="AC228" s="192"/>
      <c r="AD228" s="149"/>
      <c r="AE228" s="392"/>
      <c r="AF228" s="393"/>
      <c r="AG228" s="192"/>
      <c r="AH228" s="149"/>
      <c r="AI228" s="392"/>
      <c r="AJ228" s="393"/>
      <c r="AK228" s="389"/>
      <c r="AL228" s="389"/>
      <c r="AM228" s="389"/>
    </row>
    <row r="229">
      <c r="A229" s="307"/>
      <c r="B229" s="308"/>
      <c r="C229" s="309"/>
      <c r="D229" s="389"/>
      <c r="E229" s="307"/>
      <c r="F229" s="308"/>
      <c r="G229" s="309"/>
      <c r="H229" s="389"/>
      <c r="I229" s="307"/>
      <c r="J229" s="308"/>
      <c r="K229" s="309"/>
      <c r="L229" s="389"/>
      <c r="M229" s="307"/>
      <c r="N229" s="308"/>
      <c r="O229" s="309"/>
      <c r="P229" s="389"/>
      <c r="Q229" s="192"/>
      <c r="R229" s="149"/>
      <c r="S229" s="392"/>
      <c r="T229" s="393"/>
      <c r="U229" s="192"/>
      <c r="V229" s="149"/>
      <c r="W229" s="392"/>
      <c r="X229" s="393"/>
      <c r="Y229" s="192"/>
      <c r="Z229" s="149"/>
      <c r="AA229" s="392"/>
      <c r="AB229" s="393"/>
      <c r="AC229" s="192"/>
      <c r="AD229" s="149"/>
      <c r="AE229" s="392"/>
      <c r="AF229" s="393"/>
      <c r="AG229" s="192"/>
      <c r="AH229" s="149"/>
      <c r="AI229" s="392"/>
      <c r="AJ229" s="393"/>
      <c r="AK229" s="389"/>
      <c r="AL229" s="389"/>
      <c r="AM229" s="389"/>
    </row>
    <row r="230">
      <c r="A230" s="307"/>
      <c r="B230" s="308"/>
      <c r="C230" s="309"/>
      <c r="D230" s="389"/>
      <c r="E230" s="307"/>
      <c r="F230" s="308"/>
      <c r="G230" s="309"/>
      <c r="H230" s="389"/>
      <c r="I230" s="307"/>
      <c r="J230" s="308"/>
      <c r="K230" s="309"/>
      <c r="L230" s="389"/>
      <c r="M230" s="307"/>
      <c r="N230" s="308"/>
      <c r="O230" s="309"/>
      <c r="P230" s="389"/>
      <c r="Q230" s="192"/>
      <c r="R230" s="149"/>
      <c r="S230" s="392"/>
      <c r="T230" s="393"/>
      <c r="U230" s="192"/>
      <c r="V230" s="149"/>
      <c r="W230" s="392"/>
      <c r="X230" s="393"/>
      <c r="Y230" s="192"/>
      <c r="Z230" s="149"/>
      <c r="AA230" s="392"/>
      <c r="AB230" s="393"/>
      <c r="AC230" s="192"/>
      <c r="AD230" s="149"/>
      <c r="AE230" s="392"/>
      <c r="AF230" s="393"/>
      <c r="AG230" s="192"/>
      <c r="AH230" s="149"/>
      <c r="AI230" s="392"/>
      <c r="AJ230" s="393"/>
      <c r="AK230" s="389"/>
      <c r="AL230" s="389"/>
      <c r="AM230" s="389"/>
    </row>
    <row r="231">
      <c r="A231" s="307"/>
      <c r="B231" s="308"/>
      <c r="C231" s="309"/>
      <c r="D231" s="389"/>
      <c r="E231" s="307"/>
      <c r="F231" s="308"/>
      <c r="G231" s="309"/>
      <c r="H231" s="389"/>
      <c r="I231" s="307"/>
      <c r="J231" s="308"/>
      <c r="K231" s="309"/>
      <c r="L231" s="389"/>
      <c r="M231" s="307"/>
      <c r="N231" s="308"/>
      <c r="O231" s="309"/>
      <c r="P231" s="389"/>
      <c r="Q231" s="192"/>
      <c r="R231" s="149"/>
      <c r="S231" s="392"/>
      <c r="T231" s="393"/>
      <c r="U231" s="192"/>
      <c r="V231" s="149"/>
      <c r="W231" s="392"/>
      <c r="X231" s="393"/>
      <c r="Y231" s="192"/>
      <c r="Z231" s="149"/>
      <c r="AA231" s="392"/>
      <c r="AB231" s="393"/>
      <c r="AC231" s="192"/>
      <c r="AD231" s="149"/>
      <c r="AE231" s="392"/>
      <c r="AF231" s="393"/>
      <c r="AG231" s="192"/>
      <c r="AH231" s="149"/>
      <c r="AI231" s="392"/>
      <c r="AJ231" s="393"/>
      <c r="AK231" s="389"/>
      <c r="AL231" s="389"/>
      <c r="AM231" s="389"/>
    </row>
    <row r="232">
      <c r="A232" s="307"/>
      <c r="B232" s="308"/>
      <c r="C232" s="309"/>
      <c r="D232" s="389"/>
      <c r="E232" s="307"/>
      <c r="F232" s="308"/>
      <c r="G232" s="309"/>
      <c r="H232" s="389"/>
      <c r="I232" s="307"/>
      <c r="J232" s="308"/>
      <c r="K232" s="309"/>
      <c r="L232" s="389"/>
      <c r="M232" s="307"/>
      <c r="N232" s="308"/>
      <c r="O232" s="309"/>
      <c r="P232" s="389"/>
      <c r="Q232" s="192"/>
      <c r="R232" s="149"/>
      <c r="S232" s="392"/>
      <c r="T232" s="393"/>
      <c r="U232" s="192"/>
      <c r="V232" s="149"/>
      <c r="W232" s="392"/>
      <c r="X232" s="393"/>
      <c r="Y232" s="192"/>
      <c r="Z232" s="149"/>
      <c r="AA232" s="392"/>
      <c r="AB232" s="393"/>
      <c r="AC232" s="192"/>
      <c r="AD232" s="149"/>
      <c r="AE232" s="392"/>
      <c r="AF232" s="393"/>
      <c r="AG232" s="192"/>
      <c r="AH232" s="149"/>
      <c r="AI232" s="392"/>
      <c r="AJ232" s="393"/>
      <c r="AK232" s="389"/>
      <c r="AL232" s="389"/>
      <c r="AM232" s="389"/>
    </row>
    <row r="233">
      <c r="A233" s="307"/>
      <c r="B233" s="308"/>
      <c r="C233" s="309"/>
      <c r="D233" s="389"/>
      <c r="E233" s="307"/>
      <c r="F233" s="308"/>
      <c r="G233" s="309"/>
      <c r="H233" s="389"/>
      <c r="I233" s="307"/>
      <c r="J233" s="308"/>
      <c r="K233" s="309"/>
      <c r="L233" s="389"/>
      <c r="M233" s="307"/>
      <c r="N233" s="308"/>
      <c r="O233" s="309"/>
      <c r="P233" s="389"/>
      <c r="Q233" s="192"/>
      <c r="R233" s="149"/>
      <c r="S233" s="392"/>
      <c r="T233" s="393"/>
      <c r="U233" s="192"/>
      <c r="V233" s="149"/>
      <c r="W233" s="392"/>
      <c r="X233" s="393"/>
      <c r="Y233" s="192"/>
      <c r="Z233" s="149"/>
      <c r="AA233" s="392"/>
      <c r="AB233" s="393"/>
      <c r="AC233" s="192"/>
      <c r="AD233" s="149"/>
      <c r="AE233" s="392"/>
      <c r="AF233" s="393"/>
      <c r="AG233" s="192"/>
      <c r="AH233" s="149"/>
      <c r="AI233" s="392"/>
      <c r="AJ233" s="393"/>
      <c r="AK233" s="389"/>
      <c r="AL233" s="389"/>
      <c r="AM233" s="389"/>
    </row>
    <row r="234">
      <c r="A234" s="307"/>
      <c r="B234" s="308"/>
      <c r="C234" s="309"/>
      <c r="D234" s="389"/>
      <c r="E234" s="307"/>
      <c r="F234" s="308"/>
      <c r="G234" s="309"/>
      <c r="H234" s="389"/>
      <c r="I234" s="307"/>
      <c r="J234" s="308"/>
      <c r="K234" s="309"/>
      <c r="L234" s="389"/>
      <c r="M234" s="307"/>
      <c r="N234" s="308"/>
      <c r="O234" s="309"/>
      <c r="P234" s="389"/>
      <c r="Q234" s="192"/>
      <c r="R234" s="149"/>
      <c r="S234" s="392"/>
      <c r="T234" s="393"/>
      <c r="U234" s="192"/>
      <c r="V234" s="149"/>
      <c r="W234" s="392"/>
      <c r="X234" s="393"/>
      <c r="Y234" s="192"/>
      <c r="Z234" s="149"/>
      <c r="AA234" s="392"/>
      <c r="AB234" s="393"/>
      <c r="AC234" s="192"/>
      <c r="AD234" s="149"/>
      <c r="AE234" s="392"/>
      <c r="AF234" s="393"/>
      <c r="AG234" s="192"/>
      <c r="AH234" s="149"/>
      <c r="AI234" s="392"/>
      <c r="AJ234" s="393"/>
      <c r="AK234" s="389"/>
      <c r="AL234" s="389"/>
      <c r="AM234" s="389"/>
    </row>
    <row r="235">
      <c r="A235" s="307"/>
      <c r="B235" s="308"/>
      <c r="C235" s="309"/>
      <c r="D235" s="389"/>
      <c r="E235" s="307"/>
      <c r="F235" s="308"/>
      <c r="G235" s="309"/>
      <c r="H235" s="389"/>
      <c r="I235" s="307"/>
      <c r="J235" s="308"/>
      <c r="K235" s="309"/>
      <c r="L235" s="389"/>
      <c r="M235" s="307"/>
      <c r="N235" s="308"/>
      <c r="O235" s="309"/>
      <c r="P235" s="389"/>
      <c r="Q235" s="192"/>
      <c r="R235" s="149"/>
      <c r="S235" s="392"/>
      <c r="T235" s="393"/>
      <c r="U235" s="192"/>
      <c r="V235" s="149"/>
      <c r="W235" s="392"/>
      <c r="X235" s="393"/>
      <c r="Y235" s="192"/>
      <c r="Z235" s="149"/>
      <c r="AA235" s="392"/>
      <c r="AB235" s="393"/>
      <c r="AC235" s="192"/>
      <c r="AD235" s="149"/>
      <c r="AE235" s="392"/>
      <c r="AF235" s="393"/>
      <c r="AG235" s="192"/>
      <c r="AH235" s="149"/>
      <c r="AI235" s="392"/>
      <c r="AJ235" s="393"/>
      <c r="AK235" s="389"/>
      <c r="AL235" s="389"/>
      <c r="AM235" s="389"/>
    </row>
    <row r="236">
      <c r="A236" s="307"/>
      <c r="B236" s="308"/>
      <c r="C236" s="309"/>
      <c r="D236" s="389"/>
      <c r="E236" s="307"/>
      <c r="F236" s="308"/>
      <c r="G236" s="309"/>
      <c r="H236" s="389"/>
      <c r="I236" s="307"/>
      <c r="J236" s="308"/>
      <c r="K236" s="309"/>
      <c r="L236" s="389"/>
      <c r="M236" s="307"/>
      <c r="N236" s="308"/>
      <c r="O236" s="309"/>
      <c r="P236" s="389"/>
      <c r="Q236" s="192"/>
      <c r="R236" s="149"/>
      <c r="S236" s="392"/>
      <c r="T236" s="393"/>
      <c r="U236" s="192"/>
      <c r="V236" s="149"/>
      <c r="W236" s="392"/>
      <c r="X236" s="393"/>
      <c r="Y236" s="192"/>
      <c r="Z236" s="149"/>
      <c r="AA236" s="392"/>
      <c r="AB236" s="393"/>
      <c r="AC236" s="192"/>
      <c r="AD236" s="149"/>
      <c r="AE236" s="392"/>
      <c r="AF236" s="393"/>
      <c r="AG236" s="192"/>
      <c r="AH236" s="149"/>
      <c r="AI236" s="392"/>
      <c r="AJ236" s="393"/>
      <c r="AK236" s="389"/>
      <c r="AL236" s="389"/>
      <c r="AM236" s="389"/>
    </row>
    <row r="237">
      <c r="A237" s="307"/>
      <c r="B237" s="308"/>
      <c r="C237" s="309"/>
      <c r="D237" s="389"/>
      <c r="E237" s="307"/>
      <c r="F237" s="308"/>
      <c r="G237" s="309"/>
      <c r="H237" s="389"/>
      <c r="I237" s="307"/>
      <c r="J237" s="308"/>
      <c r="K237" s="309"/>
      <c r="L237" s="389"/>
      <c r="M237" s="307"/>
      <c r="N237" s="308"/>
      <c r="O237" s="309"/>
      <c r="P237" s="389"/>
      <c r="Q237" s="192"/>
      <c r="R237" s="149"/>
      <c r="S237" s="392"/>
      <c r="T237" s="393"/>
      <c r="U237" s="192"/>
      <c r="V237" s="149"/>
      <c r="W237" s="392"/>
      <c r="X237" s="393"/>
      <c r="Y237" s="192"/>
      <c r="Z237" s="149"/>
      <c r="AA237" s="392"/>
      <c r="AB237" s="393"/>
      <c r="AC237" s="192"/>
      <c r="AD237" s="149"/>
      <c r="AE237" s="392"/>
      <c r="AF237" s="393"/>
      <c r="AG237" s="192"/>
      <c r="AH237" s="149"/>
      <c r="AI237" s="392"/>
      <c r="AJ237" s="393"/>
      <c r="AK237" s="389"/>
      <c r="AL237" s="389"/>
      <c r="AM237" s="389"/>
    </row>
    <row r="238">
      <c r="A238" s="307"/>
      <c r="B238" s="308"/>
      <c r="C238" s="309"/>
      <c r="D238" s="389"/>
      <c r="E238" s="307"/>
      <c r="F238" s="308"/>
      <c r="G238" s="309"/>
      <c r="H238" s="389"/>
      <c r="I238" s="307"/>
      <c r="J238" s="308"/>
      <c r="K238" s="309"/>
      <c r="L238" s="389"/>
      <c r="M238" s="307"/>
      <c r="N238" s="308"/>
      <c r="O238" s="309"/>
      <c r="P238" s="389"/>
      <c r="Q238" s="192"/>
      <c r="R238" s="149"/>
      <c r="S238" s="392"/>
      <c r="T238" s="393"/>
      <c r="U238" s="192"/>
      <c r="V238" s="149"/>
      <c r="W238" s="392"/>
      <c r="X238" s="393"/>
      <c r="Y238" s="192"/>
      <c r="Z238" s="149"/>
      <c r="AA238" s="392"/>
      <c r="AB238" s="393"/>
      <c r="AC238" s="192"/>
      <c r="AD238" s="149"/>
      <c r="AE238" s="392"/>
      <c r="AF238" s="393"/>
      <c r="AG238" s="192"/>
      <c r="AH238" s="149"/>
      <c r="AI238" s="392"/>
      <c r="AJ238" s="393"/>
      <c r="AK238" s="389"/>
      <c r="AL238" s="389"/>
      <c r="AM238" s="389"/>
    </row>
    <row r="239">
      <c r="A239" s="307"/>
      <c r="B239" s="308"/>
      <c r="C239" s="309"/>
      <c r="D239" s="389"/>
      <c r="E239" s="307"/>
      <c r="F239" s="308"/>
      <c r="G239" s="309"/>
      <c r="H239" s="389"/>
      <c r="I239" s="307"/>
      <c r="J239" s="308"/>
      <c r="K239" s="309"/>
      <c r="L239" s="389"/>
      <c r="M239" s="307"/>
      <c r="N239" s="308"/>
      <c r="O239" s="309"/>
      <c r="P239" s="389"/>
      <c r="Q239" s="192"/>
      <c r="R239" s="149"/>
      <c r="S239" s="392"/>
      <c r="T239" s="393"/>
      <c r="U239" s="192"/>
      <c r="V239" s="149"/>
      <c r="W239" s="392"/>
      <c r="X239" s="393"/>
      <c r="Y239" s="192"/>
      <c r="Z239" s="149"/>
      <c r="AA239" s="392"/>
      <c r="AB239" s="393"/>
      <c r="AC239" s="192"/>
      <c r="AD239" s="149"/>
      <c r="AE239" s="392"/>
      <c r="AF239" s="393"/>
      <c r="AG239" s="192"/>
      <c r="AH239" s="149"/>
      <c r="AI239" s="392"/>
      <c r="AJ239" s="393"/>
      <c r="AK239" s="389"/>
      <c r="AL239" s="389"/>
      <c r="AM239" s="389"/>
    </row>
    <row r="240">
      <c r="A240" s="307"/>
      <c r="B240" s="308"/>
      <c r="C240" s="309"/>
      <c r="D240" s="389"/>
      <c r="E240" s="307"/>
      <c r="F240" s="308"/>
      <c r="G240" s="309"/>
      <c r="H240" s="389"/>
      <c r="I240" s="307"/>
      <c r="J240" s="308"/>
      <c r="K240" s="309"/>
      <c r="L240" s="389"/>
      <c r="M240" s="307"/>
      <c r="N240" s="308"/>
      <c r="O240" s="309"/>
      <c r="P240" s="389"/>
      <c r="Q240" s="192"/>
      <c r="R240" s="149"/>
      <c r="S240" s="392"/>
      <c r="T240" s="393"/>
      <c r="U240" s="192"/>
      <c r="V240" s="149"/>
      <c r="W240" s="392"/>
      <c r="X240" s="393"/>
      <c r="Y240" s="192"/>
      <c r="Z240" s="149"/>
      <c r="AA240" s="392"/>
      <c r="AB240" s="393"/>
      <c r="AC240" s="192"/>
      <c r="AD240" s="149"/>
      <c r="AE240" s="392"/>
      <c r="AF240" s="393"/>
      <c r="AG240" s="192"/>
      <c r="AH240" s="149"/>
      <c r="AI240" s="392"/>
      <c r="AJ240" s="393"/>
      <c r="AK240" s="389"/>
      <c r="AL240" s="389"/>
      <c r="AM240" s="389"/>
    </row>
    <row r="241">
      <c r="A241" s="307"/>
      <c r="B241" s="308"/>
      <c r="C241" s="309"/>
      <c r="D241" s="389"/>
      <c r="E241" s="307"/>
      <c r="F241" s="308"/>
      <c r="G241" s="309"/>
      <c r="H241" s="389"/>
      <c r="I241" s="307"/>
      <c r="J241" s="308"/>
      <c r="K241" s="309"/>
      <c r="L241" s="389"/>
      <c r="M241" s="307"/>
      <c r="N241" s="308"/>
      <c r="O241" s="309"/>
      <c r="P241" s="389"/>
      <c r="Q241" s="192"/>
      <c r="R241" s="149"/>
      <c r="S241" s="392"/>
      <c r="T241" s="393"/>
      <c r="U241" s="192"/>
      <c r="V241" s="149"/>
      <c r="W241" s="392"/>
      <c r="X241" s="393"/>
      <c r="Y241" s="192"/>
      <c r="Z241" s="149"/>
      <c r="AA241" s="392"/>
      <c r="AB241" s="393"/>
      <c r="AC241" s="192"/>
      <c r="AD241" s="149"/>
      <c r="AE241" s="392"/>
      <c r="AF241" s="393"/>
      <c r="AG241" s="192"/>
      <c r="AH241" s="149"/>
      <c r="AI241" s="392"/>
      <c r="AJ241" s="393"/>
      <c r="AK241" s="389"/>
      <c r="AL241" s="389"/>
      <c r="AM241" s="389"/>
    </row>
    <row r="242">
      <c r="A242" s="307"/>
      <c r="B242" s="308"/>
      <c r="C242" s="309"/>
      <c r="D242" s="389"/>
      <c r="E242" s="307"/>
      <c r="F242" s="308"/>
      <c r="G242" s="309"/>
      <c r="H242" s="389"/>
      <c r="I242" s="307"/>
      <c r="J242" s="308"/>
      <c r="K242" s="309"/>
      <c r="L242" s="389"/>
      <c r="M242" s="307"/>
      <c r="N242" s="308"/>
      <c r="O242" s="309"/>
      <c r="P242" s="389"/>
      <c r="Q242" s="192"/>
      <c r="R242" s="149"/>
      <c r="S242" s="392"/>
      <c r="T242" s="393"/>
      <c r="U242" s="192"/>
      <c r="V242" s="149"/>
      <c r="W242" s="392"/>
      <c r="X242" s="393"/>
      <c r="Y242" s="192"/>
      <c r="Z242" s="149"/>
      <c r="AA242" s="392"/>
      <c r="AB242" s="393"/>
      <c r="AC242" s="192"/>
      <c r="AD242" s="149"/>
      <c r="AE242" s="392"/>
      <c r="AF242" s="393"/>
      <c r="AG242" s="192"/>
      <c r="AH242" s="149"/>
      <c r="AI242" s="392"/>
      <c r="AJ242" s="393"/>
      <c r="AK242" s="389"/>
      <c r="AL242" s="389"/>
      <c r="AM242" s="389"/>
    </row>
    <row r="243">
      <c r="A243" s="307"/>
      <c r="B243" s="308"/>
      <c r="C243" s="309"/>
      <c r="D243" s="389"/>
      <c r="E243" s="307"/>
      <c r="F243" s="308"/>
      <c r="G243" s="309"/>
      <c r="H243" s="389"/>
      <c r="I243" s="307"/>
      <c r="J243" s="308"/>
      <c r="K243" s="309"/>
      <c r="L243" s="389"/>
      <c r="M243" s="307"/>
      <c r="N243" s="308"/>
      <c r="O243" s="309"/>
      <c r="P243" s="389"/>
      <c r="Q243" s="192"/>
      <c r="R243" s="149"/>
      <c r="S243" s="392"/>
      <c r="T243" s="393"/>
      <c r="U243" s="192"/>
      <c r="V243" s="149"/>
      <c r="W243" s="392"/>
      <c r="X243" s="393"/>
      <c r="Y243" s="192"/>
      <c r="Z243" s="149"/>
      <c r="AA243" s="392"/>
      <c r="AB243" s="393"/>
      <c r="AC243" s="192"/>
      <c r="AD243" s="149"/>
      <c r="AE243" s="392"/>
      <c r="AF243" s="393"/>
      <c r="AG243" s="192"/>
      <c r="AH243" s="149"/>
      <c r="AI243" s="392"/>
      <c r="AJ243" s="393"/>
      <c r="AK243" s="389"/>
      <c r="AL243" s="389"/>
      <c r="AM243" s="389"/>
    </row>
    <row r="244">
      <c r="A244" s="307"/>
      <c r="B244" s="308"/>
      <c r="C244" s="309"/>
      <c r="D244" s="389"/>
      <c r="E244" s="307"/>
      <c r="F244" s="308"/>
      <c r="G244" s="309"/>
      <c r="H244" s="389"/>
      <c r="I244" s="307"/>
      <c r="J244" s="308"/>
      <c r="K244" s="309"/>
      <c r="L244" s="389"/>
      <c r="M244" s="307"/>
      <c r="N244" s="308"/>
      <c r="O244" s="309"/>
      <c r="P244" s="389"/>
      <c r="Q244" s="192"/>
      <c r="R244" s="149"/>
      <c r="S244" s="392"/>
      <c r="T244" s="393"/>
      <c r="U244" s="192"/>
      <c r="V244" s="149"/>
      <c r="W244" s="392"/>
      <c r="X244" s="393"/>
      <c r="Y244" s="192"/>
      <c r="Z244" s="149"/>
      <c r="AA244" s="392"/>
      <c r="AB244" s="393"/>
      <c r="AC244" s="192"/>
      <c r="AD244" s="149"/>
      <c r="AE244" s="392"/>
      <c r="AF244" s="393"/>
      <c r="AG244" s="192"/>
      <c r="AH244" s="149"/>
      <c r="AI244" s="392"/>
      <c r="AJ244" s="393"/>
      <c r="AK244" s="389"/>
      <c r="AL244" s="389"/>
      <c r="AM244" s="389"/>
    </row>
    <row r="245">
      <c r="A245" s="307"/>
      <c r="B245" s="308"/>
      <c r="C245" s="309"/>
      <c r="D245" s="389"/>
      <c r="E245" s="307"/>
      <c r="F245" s="308"/>
      <c r="G245" s="309"/>
      <c r="H245" s="389"/>
      <c r="I245" s="307"/>
      <c r="J245" s="308"/>
      <c r="K245" s="309"/>
      <c r="L245" s="389"/>
      <c r="M245" s="307"/>
      <c r="N245" s="308"/>
      <c r="O245" s="309"/>
      <c r="P245" s="389"/>
      <c r="Q245" s="192"/>
      <c r="R245" s="149"/>
      <c r="S245" s="392"/>
      <c r="T245" s="393"/>
      <c r="U245" s="192"/>
      <c r="V245" s="149"/>
      <c r="W245" s="392"/>
      <c r="X245" s="393"/>
      <c r="Y245" s="192"/>
      <c r="Z245" s="149"/>
      <c r="AA245" s="392"/>
      <c r="AB245" s="393"/>
      <c r="AC245" s="192"/>
      <c r="AD245" s="149"/>
      <c r="AE245" s="392"/>
      <c r="AF245" s="393"/>
      <c r="AG245" s="192"/>
      <c r="AH245" s="149"/>
      <c r="AI245" s="392"/>
      <c r="AJ245" s="393"/>
      <c r="AK245" s="389"/>
      <c r="AL245" s="389"/>
      <c r="AM245" s="389"/>
    </row>
    <row r="246">
      <c r="A246" s="307"/>
      <c r="B246" s="308"/>
      <c r="C246" s="309"/>
      <c r="D246" s="389"/>
      <c r="E246" s="307"/>
      <c r="F246" s="308"/>
      <c r="G246" s="309"/>
      <c r="H246" s="389"/>
      <c r="I246" s="307"/>
      <c r="J246" s="308"/>
      <c r="K246" s="309"/>
      <c r="L246" s="389"/>
      <c r="M246" s="307"/>
      <c r="N246" s="308"/>
      <c r="O246" s="309"/>
      <c r="P246" s="389"/>
      <c r="Q246" s="192"/>
      <c r="R246" s="149"/>
      <c r="S246" s="392"/>
      <c r="T246" s="393"/>
      <c r="U246" s="192"/>
      <c r="V246" s="149"/>
      <c r="W246" s="392"/>
      <c r="X246" s="393"/>
      <c r="Y246" s="192"/>
      <c r="Z246" s="149"/>
      <c r="AA246" s="392"/>
      <c r="AB246" s="393"/>
      <c r="AC246" s="192"/>
      <c r="AD246" s="149"/>
      <c r="AE246" s="392"/>
      <c r="AF246" s="393"/>
      <c r="AG246" s="192"/>
      <c r="AH246" s="149"/>
      <c r="AI246" s="392"/>
      <c r="AJ246" s="393"/>
      <c r="AK246" s="389"/>
      <c r="AL246" s="389"/>
      <c r="AM246" s="389"/>
    </row>
    <row r="247">
      <c r="A247" s="307"/>
      <c r="B247" s="308"/>
      <c r="C247" s="309"/>
      <c r="D247" s="389"/>
      <c r="E247" s="307"/>
      <c r="F247" s="308"/>
      <c r="G247" s="309"/>
      <c r="H247" s="389"/>
      <c r="I247" s="307"/>
      <c r="J247" s="308"/>
      <c r="K247" s="309"/>
      <c r="L247" s="389"/>
      <c r="M247" s="307"/>
      <c r="N247" s="308"/>
      <c r="O247" s="309"/>
      <c r="P247" s="389"/>
      <c r="Q247" s="192"/>
      <c r="R247" s="149"/>
      <c r="S247" s="392"/>
      <c r="T247" s="393"/>
      <c r="U247" s="192"/>
      <c r="V247" s="149"/>
      <c r="W247" s="392"/>
      <c r="X247" s="393"/>
      <c r="Y247" s="192"/>
      <c r="Z247" s="149"/>
      <c r="AA247" s="392"/>
      <c r="AB247" s="393"/>
      <c r="AC247" s="192"/>
      <c r="AD247" s="149"/>
      <c r="AE247" s="392"/>
      <c r="AF247" s="393"/>
      <c r="AG247" s="192"/>
      <c r="AH247" s="149"/>
      <c r="AI247" s="392"/>
      <c r="AJ247" s="393"/>
      <c r="AK247" s="389"/>
      <c r="AL247" s="389"/>
      <c r="AM247" s="389"/>
    </row>
    <row r="248">
      <c r="A248" s="307"/>
      <c r="B248" s="308"/>
      <c r="C248" s="309"/>
      <c r="D248" s="389"/>
      <c r="E248" s="307"/>
      <c r="F248" s="308"/>
      <c r="G248" s="309"/>
      <c r="H248" s="389"/>
      <c r="I248" s="307"/>
      <c r="J248" s="308"/>
      <c r="K248" s="309"/>
      <c r="L248" s="389"/>
      <c r="M248" s="307"/>
      <c r="N248" s="308"/>
      <c r="O248" s="309"/>
      <c r="P248" s="389"/>
      <c r="Q248" s="192"/>
      <c r="R248" s="149"/>
      <c r="S248" s="392"/>
      <c r="T248" s="393"/>
      <c r="U248" s="192"/>
      <c r="V248" s="149"/>
      <c r="W248" s="392"/>
      <c r="X248" s="393"/>
      <c r="Y248" s="192"/>
      <c r="Z248" s="149"/>
      <c r="AA248" s="392"/>
      <c r="AB248" s="393"/>
      <c r="AC248" s="192"/>
      <c r="AD248" s="149"/>
      <c r="AE248" s="392"/>
      <c r="AF248" s="393"/>
      <c r="AG248" s="192"/>
      <c r="AH248" s="149"/>
      <c r="AI248" s="392"/>
      <c r="AJ248" s="393"/>
      <c r="AK248" s="389"/>
      <c r="AL248" s="389"/>
      <c r="AM248" s="389"/>
    </row>
    <row r="249">
      <c r="A249" s="307"/>
      <c r="B249" s="308"/>
      <c r="C249" s="309"/>
      <c r="D249" s="389"/>
      <c r="E249" s="307"/>
      <c r="F249" s="308"/>
      <c r="G249" s="309"/>
      <c r="H249" s="389"/>
      <c r="I249" s="307"/>
      <c r="J249" s="308"/>
      <c r="K249" s="309"/>
      <c r="L249" s="389"/>
      <c r="M249" s="307"/>
      <c r="N249" s="308"/>
      <c r="O249" s="309"/>
      <c r="P249" s="389"/>
      <c r="Q249" s="192"/>
      <c r="R249" s="149"/>
      <c r="S249" s="392"/>
      <c r="T249" s="393"/>
      <c r="U249" s="192"/>
      <c r="V249" s="149"/>
      <c r="W249" s="392"/>
      <c r="X249" s="393"/>
      <c r="Y249" s="192"/>
      <c r="Z249" s="149"/>
      <c r="AA249" s="392"/>
      <c r="AB249" s="393"/>
      <c r="AC249" s="192"/>
      <c r="AD249" s="149"/>
      <c r="AE249" s="392"/>
      <c r="AF249" s="393"/>
      <c r="AG249" s="192"/>
      <c r="AH249" s="149"/>
      <c r="AI249" s="392"/>
      <c r="AJ249" s="393"/>
      <c r="AK249" s="389"/>
      <c r="AL249" s="389"/>
      <c r="AM249" s="389"/>
    </row>
    <row r="250">
      <c r="A250" s="307"/>
      <c r="B250" s="308"/>
      <c r="C250" s="309"/>
      <c r="D250" s="389"/>
      <c r="E250" s="307"/>
      <c r="F250" s="308"/>
      <c r="G250" s="309"/>
      <c r="H250" s="389"/>
      <c r="I250" s="307"/>
      <c r="J250" s="308"/>
      <c r="K250" s="309"/>
      <c r="L250" s="389"/>
      <c r="M250" s="307"/>
      <c r="N250" s="308"/>
      <c r="O250" s="309"/>
      <c r="P250" s="389"/>
      <c r="Q250" s="192"/>
      <c r="R250" s="149"/>
      <c r="S250" s="392"/>
      <c r="T250" s="393"/>
      <c r="U250" s="192"/>
      <c r="V250" s="149"/>
      <c r="W250" s="392"/>
      <c r="X250" s="393"/>
      <c r="Y250" s="192"/>
      <c r="Z250" s="149"/>
      <c r="AA250" s="392"/>
      <c r="AB250" s="393"/>
      <c r="AC250" s="192"/>
      <c r="AD250" s="149"/>
      <c r="AE250" s="392"/>
      <c r="AF250" s="393"/>
      <c r="AG250" s="192"/>
      <c r="AH250" s="149"/>
      <c r="AI250" s="392"/>
      <c r="AJ250" s="393"/>
      <c r="AK250" s="389"/>
      <c r="AL250" s="389"/>
      <c r="AM250" s="389"/>
    </row>
    <row r="251">
      <c r="A251" s="307"/>
      <c r="B251" s="308"/>
      <c r="C251" s="309"/>
      <c r="D251" s="389"/>
      <c r="E251" s="307"/>
      <c r="F251" s="308"/>
      <c r="G251" s="309"/>
      <c r="H251" s="389"/>
      <c r="I251" s="307"/>
      <c r="J251" s="308"/>
      <c r="K251" s="309"/>
      <c r="L251" s="389"/>
      <c r="M251" s="307"/>
      <c r="N251" s="308"/>
      <c r="O251" s="309"/>
      <c r="P251" s="389"/>
      <c r="Q251" s="192"/>
      <c r="R251" s="149"/>
      <c r="S251" s="392"/>
      <c r="T251" s="393"/>
      <c r="U251" s="192"/>
      <c r="V251" s="149"/>
      <c r="W251" s="392"/>
      <c r="X251" s="393"/>
      <c r="Y251" s="192"/>
      <c r="Z251" s="149"/>
      <c r="AA251" s="392"/>
      <c r="AB251" s="393"/>
      <c r="AC251" s="192"/>
      <c r="AD251" s="149"/>
      <c r="AE251" s="392"/>
      <c r="AF251" s="393"/>
      <c r="AG251" s="192"/>
      <c r="AH251" s="149"/>
      <c r="AI251" s="392"/>
      <c r="AJ251" s="393"/>
      <c r="AK251" s="389"/>
      <c r="AL251" s="389"/>
      <c r="AM251" s="389"/>
    </row>
    <row r="252">
      <c r="A252" s="307"/>
      <c r="B252" s="308"/>
      <c r="C252" s="309"/>
      <c r="D252" s="389"/>
      <c r="E252" s="307"/>
      <c r="F252" s="308"/>
      <c r="G252" s="309"/>
      <c r="H252" s="389"/>
      <c r="I252" s="307"/>
      <c r="J252" s="308"/>
      <c r="K252" s="309"/>
      <c r="L252" s="389"/>
      <c r="M252" s="307"/>
      <c r="N252" s="308"/>
      <c r="O252" s="309"/>
      <c r="P252" s="389"/>
      <c r="Q252" s="192"/>
      <c r="R252" s="149"/>
      <c r="S252" s="392"/>
      <c r="T252" s="393"/>
      <c r="U252" s="192"/>
      <c r="V252" s="149"/>
      <c r="W252" s="392"/>
      <c r="X252" s="393"/>
      <c r="Y252" s="192"/>
      <c r="Z252" s="149"/>
      <c r="AA252" s="392"/>
      <c r="AB252" s="393"/>
      <c r="AC252" s="192"/>
      <c r="AD252" s="149"/>
      <c r="AE252" s="392"/>
      <c r="AF252" s="393"/>
      <c r="AG252" s="192"/>
      <c r="AH252" s="149"/>
      <c r="AI252" s="392"/>
      <c r="AJ252" s="393"/>
      <c r="AK252" s="389"/>
      <c r="AL252" s="389"/>
      <c r="AM252" s="389"/>
    </row>
    <row r="253">
      <c r="A253" s="307"/>
      <c r="B253" s="308"/>
      <c r="C253" s="309"/>
      <c r="D253" s="389"/>
      <c r="E253" s="307"/>
      <c r="F253" s="308"/>
      <c r="G253" s="309"/>
      <c r="H253" s="389"/>
      <c r="I253" s="307"/>
      <c r="J253" s="308"/>
      <c r="K253" s="309"/>
      <c r="L253" s="389"/>
      <c r="M253" s="307"/>
      <c r="N253" s="308"/>
      <c r="O253" s="309"/>
      <c r="P253" s="389"/>
      <c r="Q253" s="192"/>
      <c r="R253" s="149"/>
      <c r="S253" s="392"/>
      <c r="T253" s="393"/>
      <c r="U253" s="192"/>
      <c r="V253" s="149"/>
      <c r="W253" s="392"/>
      <c r="X253" s="393"/>
      <c r="Y253" s="192"/>
      <c r="Z253" s="149"/>
      <c r="AA253" s="392"/>
      <c r="AB253" s="393"/>
      <c r="AC253" s="192"/>
      <c r="AD253" s="149"/>
      <c r="AE253" s="392"/>
      <c r="AF253" s="393"/>
      <c r="AG253" s="192"/>
      <c r="AH253" s="149"/>
      <c r="AI253" s="392"/>
      <c r="AJ253" s="393"/>
      <c r="AK253" s="389"/>
      <c r="AL253" s="389"/>
      <c r="AM253" s="389"/>
    </row>
    <row r="254">
      <c r="A254" s="307"/>
      <c r="B254" s="308"/>
      <c r="C254" s="309"/>
      <c r="D254" s="389"/>
      <c r="E254" s="307"/>
      <c r="F254" s="308"/>
      <c r="G254" s="309"/>
      <c r="H254" s="389"/>
      <c r="I254" s="307"/>
      <c r="J254" s="308"/>
      <c r="K254" s="309"/>
      <c r="L254" s="389"/>
      <c r="M254" s="307"/>
      <c r="N254" s="308"/>
      <c r="O254" s="309"/>
      <c r="P254" s="389"/>
      <c r="Q254" s="192"/>
      <c r="R254" s="149"/>
      <c r="S254" s="392"/>
      <c r="T254" s="393"/>
      <c r="U254" s="192"/>
      <c r="V254" s="149"/>
      <c r="W254" s="392"/>
      <c r="X254" s="393"/>
      <c r="Y254" s="192"/>
      <c r="Z254" s="149"/>
      <c r="AA254" s="392"/>
      <c r="AB254" s="393"/>
      <c r="AC254" s="192"/>
      <c r="AD254" s="149"/>
      <c r="AE254" s="392"/>
      <c r="AF254" s="393"/>
      <c r="AG254" s="192"/>
      <c r="AH254" s="149"/>
      <c r="AI254" s="392"/>
      <c r="AJ254" s="393"/>
      <c r="AK254" s="389"/>
      <c r="AL254" s="389"/>
      <c r="AM254" s="389"/>
    </row>
    <row r="255">
      <c r="A255" s="307"/>
      <c r="B255" s="308"/>
      <c r="C255" s="309"/>
      <c r="D255" s="389"/>
      <c r="E255" s="307"/>
      <c r="F255" s="308"/>
      <c r="G255" s="309"/>
      <c r="H255" s="389"/>
      <c r="I255" s="307"/>
      <c r="J255" s="308"/>
      <c r="K255" s="309"/>
      <c r="L255" s="389"/>
      <c r="M255" s="307"/>
      <c r="N255" s="308"/>
      <c r="O255" s="309"/>
      <c r="P255" s="389"/>
      <c r="Q255" s="192"/>
      <c r="R255" s="149"/>
      <c r="S255" s="392"/>
      <c r="T255" s="393"/>
      <c r="U255" s="192"/>
      <c r="V255" s="149"/>
      <c r="W255" s="392"/>
      <c r="X255" s="393"/>
      <c r="Y255" s="192"/>
      <c r="Z255" s="149"/>
      <c r="AA255" s="392"/>
      <c r="AB255" s="393"/>
      <c r="AC255" s="192"/>
      <c r="AD255" s="149"/>
      <c r="AE255" s="392"/>
      <c r="AF255" s="393"/>
      <c r="AG255" s="192"/>
      <c r="AH255" s="149"/>
      <c r="AI255" s="392"/>
      <c r="AJ255" s="393"/>
      <c r="AK255" s="389"/>
      <c r="AL255" s="389"/>
      <c r="AM255" s="389"/>
    </row>
    <row r="256">
      <c r="A256" s="307"/>
      <c r="B256" s="308"/>
      <c r="C256" s="309"/>
      <c r="D256" s="389"/>
      <c r="E256" s="307"/>
      <c r="F256" s="308"/>
      <c r="G256" s="309"/>
      <c r="H256" s="389"/>
      <c r="I256" s="307"/>
      <c r="J256" s="308"/>
      <c r="K256" s="309"/>
      <c r="L256" s="389"/>
      <c r="M256" s="307"/>
      <c r="N256" s="308"/>
      <c r="O256" s="309"/>
      <c r="P256" s="389"/>
      <c r="Q256" s="192"/>
      <c r="R256" s="149"/>
      <c r="S256" s="392"/>
      <c r="T256" s="393"/>
      <c r="U256" s="192"/>
      <c r="V256" s="149"/>
      <c r="W256" s="392"/>
      <c r="X256" s="393"/>
      <c r="Y256" s="192"/>
      <c r="Z256" s="149"/>
      <c r="AA256" s="392"/>
      <c r="AB256" s="393"/>
      <c r="AC256" s="192"/>
      <c r="AD256" s="149"/>
      <c r="AE256" s="392"/>
      <c r="AF256" s="393"/>
      <c r="AG256" s="192"/>
      <c r="AH256" s="149"/>
      <c r="AI256" s="392"/>
      <c r="AJ256" s="393"/>
      <c r="AK256" s="389"/>
      <c r="AL256" s="389"/>
      <c r="AM256" s="389"/>
    </row>
    <row r="257">
      <c r="A257" s="307"/>
      <c r="B257" s="308"/>
      <c r="C257" s="309"/>
      <c r="D257" s="389"/>
      <c r="E257" s="307"/>
      <c r="F257" s="308"/>
      <c r="G257" s="309"/>
      <c r="H257" s="389"/>
      <c r="I257" s="307"/>
      <c r="J257" s="308"/>
      <c r="K257" s="309"/>
      <c r="L257" s="389"/>
      <c r="M257" s="307"/>
      <c r="N257" s="308"/>
      <c r="O257" s="309"/>
      <c r="P257" s="389"/>
      <c r="Q257" s="192"/>
      <c r="R257" s="149"/>
      <c r="S257" s="392"/>
      <c r="T257" s="393"/>
      <c r="U257" s="192"/>
      <c r="V257" s="149"/>
      <c r="W257" s="392"/>
      <c r="X257" s="393"/>
      <c r="Y257" s="192"/>
      <c r="Z257" s="149"/>
      <c r="AA257" s="392"/>
      <c r="AB257" s="393"/>
      <c r="AC257" s="192"/>
      <c r="AD257" s="149"/>
      <c r="AE257" s="392"/>
      <c r="AF257" s="393"/>
      <c r="AG257" s="192"/>
      <c r="AH257" s="149"/>
      <c r="AI257" s="392"/>
      <c r="AJ257" s="393"/>
      <c r="AK257" s="389"/>
      <c r="AL257" s="389"/>
      <c r="AM257" s="389"/>
    </row>
    <row r="258">
      <c r="A258" s="307"/>
      <c r="B258" s="308"/>
      <c r="C258" s="309"/>
      <c r="D258" s="389"/>
      <c r="E258" s="307"/>
      <c r="F258" s="308"/>
      <c r="G258" s="309"/>
      <c r="H258" s="389"/>
      <c r="I258" s="307"/>
      <c r="J258" s="308"/>
      <c r="K258" s="309"/>
      <c r="L258" s="389"/>
      <c r="M258" s="307"/>
      <c r="N258" s="308"/>
      <c r="O258" s="309"/>
      <c r="P258" s="389"/>
      <c r="Q258" s="192"/>
      <c r="R258" s="149"/>
      <c r="S258" s="392"/>
      <c r="T258" s="393"/>
      <c r="U258" s="192"/>
      <c r="V258" s="149"/>
      <c r="W258" s="392"/>
      <c r="X258" s="393"/>
      <c r="Y258" s="192"/>
      <c r="Z258" s="149"/>
      <c r="AA258" s="392"/>
      <c r="AB258" s="393"/>
      <c r="AC258" s="192"/>
      <c r="AD258" s="149"/>
      <c r="AE258" s="392"/>
      <c r="AF258" s="393"/>
      <c r="AG258" s="192"/>
      <c r="AH258" s="149"/>
      <c r="AI258" s="392"/>
      <c r="AJ258" s="393"/>
      <c r="AK258" s="389"/>
      <c r="AL258" s="389"/>
      <c r="AM258" s="389"/>
    </row>
    <row r="259">
      <c r="A259" s="307"/>
      <c r="B259" s="308"/>
      <c r="C259" s="309"/>
      <c r="D259" s="389"/>
      <c r="E259" s="307"/>
      <c r="F259" s="308"/>
      <c r="G259" s="309"/>
      <c r="H259" s="389"/>
      <c r="I259" s="307"/>
      <c r="J259" s="308"/>
      <c r="K259" s="309"/>
      <c r="L259" s="389"/>
      <c r="M259" s="307"/>
      <c r="N259" s="308"/>
      <c r="O259" s="309"/>
      <c r="P259" s="389"/>
      <c r="Q259" s="192"/>
      <c r="R259" s="149"/>
      <c r="S259" s="392"/>
      <c r="T259" s="393"/>
      <c r="U259" s="192"/>
      <c r="V259" s="149"/>
      <c r="W259" s="392"/>
      <c r="X259" s="393"/>
      <c r="Y259" s="192"/>
      <c r="Z259" s="149"/>
      <c r="AA259" s="392"/>
      <c r="AB259" s="393"/>
      <c r="AC259" s="192"/>
      <c r="AD259" s="149"/>
      <c r="AE259" s="392"/>
      <c r="AF259" s="393"/>
      <c r="AG259" s="192"/>
      <c r="AH259" s="149"/>
      <c r="AI259" s="392"/>
      <c r="AJ259" s="393"/>
      <c r="AK259" s="389"/>
      <c r="AL259" s="389"/>
      <c r="AM259" s="389"/>
    </row>
    <row r="260">
      <c r="A260" s="307"/>
      <c r="B260" s="308"/>
      <c r="C260" s="309"/>
      <c r="D260" s="389"/>
      <c r="E260" s="307"/>
      <c r="F260" s="308"/>
      <c r="G260" s="309"/>
      <c r="H260" s="389"/>
      <c r="I260" s="307"/>
      <c r="J260" s="308"/>
      <c r="K260" s="309"/>
      <c r="L260" s="389"/>
      <c r="M260" s="307"/>
      <c r="N260" s="308"/>
      <c r="O260" s="309"/>
      <c r="P260" s="389"/>
      <c r="Q260" s="192"/>
      <c r="R260" s="149"/>
      <c r="S260" s="392"/>
      <c r="T260" s="393"/>
      <c r="U260" s="192"/>
      <c r="V260" s="149"/>
      <c r="W260" s="392"/>
      <c r="X260" s="393"/>
      <c r="Y260" s="192"/>
      <c r="Z260" s="149"/>
      <c r="AA260" s="392"/>
      <c r="AB260" s="393"/>
      <c r="AC260" s="192"/>
      <c r="AD260" s="149"/>
      <c r="AE260" s="392"/>
      <c r="AF260" s="393"/>
      <c r="AG260" s="192"/>
      <c r="AH260" s="149"/>
      <c r="AI260" s="392"/>
      <c r="AJ260" s="393"/>
      <c r="AK260" s="389"/>
      <c r="AL260" s="389"/>
      <c r="AM260" s="389"/>
    </row>
    <row r="261">
      <c r="A261" s="307"/>
      <c r="B261" s="308"/>
      <c r="C261" s="309"/>
      <c r="D261" s="389"/>
      <c r="E261" s="307"/>
      <c r="F261" s="308"/>
      <c r="G261" s="309"/>
      <c r="H261" s="389"/>
      <c r="I261" s="307"/>
      <c r="J261" s="308"/>
      <c r="K261" s="309"/>
      <c r="L261" s="389"/>
      <c r="M261" s="307"/>
      <c r="N261" s="308"/>
      <c r="O261" s="309"/>
      <c r="P261" s="389"/>
      <c r="Q261" s="192"/>
      <c r="R261" s="149"/>
      <c r="S261" s="392"/>
      <c r="T261" s="393"/>
      <c r="U261" s="192"/>
      <c r="V261" s="149"/>
      <c r="W261" s="392"/>
      <c r="X261" s="393"/>
      <c r="Y261" s="192"/>
      <c r="Z261" s="149"/>
      <c r="AA261" s="392"/>
      <c r="AB261" s="393"/>
      <c r="AC261" s="192"/>
      <c r="AD261" s="149"/>
      <c r="AE261" s="392"/>
      <c r="AF261" s="393"/>
      <c r="AG261" s="192"/>
      <c r="AH261" s="149"/>
      <c r="AI261" s="392"/>
      <c r="AJ261" s="393"/>
      <c r="AK261" s="389"/>
      <c r="AL261" s="389"/>
      <c r="AM261" s="389"/>
    </row>
    <row r="262">
      <c r="A262" s="307"/>
      <c r="B262" s="308"/>
      <c r="C262" s="309"/>
      <c r="D262" s="389"/>
      <c r="E262" s="307"/>
      <c r="F262" s="308"/>
      <c r="G262" s="309"/>
      <c r="H262" s="389"/>
      <c r="I262" s="307"/>
      <c r="J262" s="308"/>
      <c r="K262" s="309"/>
      <c r="L262" s="389"/>
      <c r="M262" s="307"/>
      <c r="N262" s="308"/>
      <c r="O262" s="309"/>
      <c r="P262" s="389"/>
      <c r="Q262" s="192"/>
      <c r="R262" s="149"/>
      <c r="S262" s="392"/>
      <c r="T262" s="393"/>
      <c r="U262" s="192"/>
      <c r="V262" s="149"/>
      <c r="W262" s="392"/>
      <c r="X262" s="393"/>
      <c r="Y262" s="192"/>
      <c r="Z262" s="149"/>
      <c r="AA262" s="392"/>
      <c r="AB262" s="393"/>
      <c r="AC262" s="192"/>
      <c r="AD262" s="149"/>
      <c r="AE262" s="392"/>
      <c r="AF262" s="393"/>
      <c r="AG262" s="192"/>
      <c r="AH262" s="149"/>
      <c r="AI262" s="392"/>
      <c r="AJ262" s="393"/>
      <c r="AK262" s="389"/>
      <c r="AL262" s="389"/>
      <c r="AM262" s="389"/>
    </row>
    <row r="263">
      <c r="A263" s="307"/>
      <c r="B263" s="308"/>
      <c r="C263" s="309"/>
      <c r="D263" s="389"/>
      <c r="E263" s="307"/>
      <c r="F263" s="308"/>
      <c r="G263" s="309"/>
      <c r="H263" s="389"/>
      <c r="I263" s="307"/>
      <c r="J263" s="308"/>
      <c r="K263" s="309"/>
      <c r="L263" s="389"/>
      <c r="M263" s="307"/>
      <c r="N263" s="308"/>
      <c r="O263" s="309"/>
      <c r="P263" s="389"/>
      <c r="Q263" s="192"/>
      <c r="R263" s="149"/>
      <c r="S263" s="392"/>
      <c r="T263" s="393"/>
      <c r="U263" s="192"/>
      <c r="V263" s="149"/>
      <c r="W263" s="392"/>
      <c r="X263" s="393"/>
      <c r="Y263" s="192"/>
      <c r="Z263" s="149"/>
      <c r="AA263" s="392"/>
      <c r="AB263" s="393"/>
      <c r="AC263" s="192"/>
      <c r="AD263" s="149"/>
      <c r="AE263" s="392"/>
      <c r="AF263" s="393"/>
      <c r="AG263" s="192"/>
      <c r="AH263" s="149"/>
      <c r="AI263" s="392"/>
      <c r="AJ263" s="393"/>
      <c r="AK263" s="389"/>
      <c r="AL263" s="389"/>
      <c r="AM263" s="389"/>
    </row>
    <row r="264">
      <c r="A264" s="307"/>
      <c r="B264" s="308"/>
      <c r="C264" s="309"/>
      <c r="D264" s="389"/>
      <c r="E264" s="307"/>
      <c r="F264" s="308"/>
      <c r="G264" s="309"/>
      <c r="H264" s="389"/>
      <c r="I264" s="307"/>
      <c r="J264" s="308"/>
      <c r="K264" s="309"/>
      <c r="L264" s="389"/>
      <c r="M264" s="307"/>
      <c r="N264" s="308"/>
      <c r="O264" s="309"/>
      <c r="P264" s="389"/>
      <c r="Q264" s="192"/>
      <c r="R264" s="149"/>
      <c r="S264" s="392"/>
      <c r="T264" s="393"/>
      <c r="U264" s="192"/>
      <c r="V264" s="149"/>
      <c r="W264" s="392"/>
      <c r="X264" s="393"/>
      <c r="Y264" s="192"/>
      <c r="Z264" s="149"/>
      <c r="AA264" s="392"/>
      <c r="AB264" s="393"/>
      <c r="AC264" s="192"/>
      <c r="AD264" s="149"/>
      <c r="AE264" s="392"/>
      <c r="AF264" s="393"/>
      <c r="AG264" s="192"/>
      <c r="AH264" s="149"/>
      <c r="AI264" s="392"/>
      <c r="AJ264" s="393"/>
      <c r="AK264" s="389"/>
      <c r="AL264" s="389"/>
      <c r="AM264" s="389"/>
    </row>
    <row r="265">
      <c r="A265" s="307"/>
      <c r="B265" s="308"/>
      <c r="C265" s="309"/>
      <c r="D265" s="389"/>
      <c r="E265" s="307"/>
      <c r="F265" s="308"/>
      <c r="G265" s="309"/>
      <c r="H265" s="389"/>
      <c r="I265" s="307"/>
      <c r="J265" s="308"/>
      <c r="K265" s="309"/>
      <c r="L265" s="389"/>
      <c r="M265" s="307"/>
      <c r="N265" s="308"/>
      <c r="O265" s="309"/>
      <c r="P265" s="389"/>
      <c r="Q265" s="192"/>
      <c r="R265" s="149"/>
      <c r="S265" s="392"/>
      <c r="T265" s="393"/>
      <c r="U265" s="192"/>
      <c r="V265" s="149"/>
      <c r="W265" s="392"/>
      <c r="X265" s="393"/>
      <c r="Y265" s="192"/>
      <c r="Z265" s="149"/>
      <c r="AA265" s="392"/>
      <c r="AB265" s="393"/>
      <c r="AC265" s="192"/>
      <c r="AD265" s="149"/>
      <c r="AE265" s="392"/>
      <c r="AF265" s="393"/>
      <c r="AG265" s="192"/>
      <c r="AH265" s="149"/>
      <c r="AI265" s="392"/>
      <c r="AJ265" s="393"/>
      <c r="AK265" s="389"/>
      <c r="AL265" s="389"/>
      <c r="AM265" s="389"/>
    </row>
    <row r="266">
      <c r="A266" s="307"/>
      <c r="B266" s="308"/>
      <c r="C266" s="309"/>
      <c r="D266" s="389"/>
      <c r="E266" s="307"/>
      <c r="F266" s="308"/>
      <c r="G266" s="309"/>
      <c r="H266" s="389"/>
      <c r="I266" s="307"/>
      <c r="J266" s="308"/>
      <c r="K266" s="309"/>
      <c r="L266" s="389"/>
      <c r="M266" s="307"/>
      <c r="N266" s="308"/>
      <c r="O266" s="309"/>
      <c r="P266" s="389"/>
      <c r="Q266" s="192"/>
      <c r="R266" s="149"/>
      <c r="S266" s="392"/>
      <c r="T266" s="393"/>
      <c r="U266" s="192"/>
      <c r="V266" s="149"/>
      <c r="W266" s="392"/>
      <c r="X266" s="393"/>
      <c r="Y266" s="192"/>
      <c r="Z266" s="149"/>
      <c r="AA266" s="392"/>
      <c r="AB266" s="393"/>
      <c r="AC266" s="192"/>
      <c r="AD266" s="149"/>
      <c r="AE266" s="392"/>
      <c r="AF266" s="393"/>
      <c r="AG266" s="192"/>
      <c r="AH266" s="149"/>
      <c r="AI266" s="392"/>
      <c r="AJ266" s="393"/>
      <c r="AK266" s="389"/>
      <c r="AL266" s="389"/>
      <c r="AM266" s="389"/>
    </row>
    <row r="267">
      <c r="A267" s="307"/>
      <c r="B267" s="308"/>
      <c r="C267" s="309"/>
      <c r="D267" s="389"/>
      <c r="E267" s="307"/>
      <c r="F267" s="308"/>
      <c r="G267" s="309"/>
      <c r="H267" s="389"/>
      <c r="I267" s="307"/>
      <c r="J267" s="308"/>
      <c r="K267" s="309"/>
      <c r="L267" s="389"/>
      <c r="M267" s="307"/>
      <c r="N267" s="308"/>
      <c r="O267" s="309"/>
      <c r="P267" s="389"/>
      <c r="Q267" s="192"/>
      <c r="R267" s="149"/>
      <c r="S267" s="392"/>
      <c r="T267" s="393"/>
      <c r="U267" s="192"/>
      <c r="V267" s="149"/>
      <c r="W267" s="392"/>
      <c r="X267" s="393"/>
      <c r="Y267" s="192"/>
      <c r="Z267" s="149"/>
      <c r="AA267" s="392"/>
      <c r="AB267" s="393"/>
      <c r="AC267" s="192"/>
      <c r="AD267" s="149"/>
      <c r="AE267" s="392"/>
      <c r="AF267" s="393"/>
      <c r="AG267" s="192"/>
      <c r="AH267" s="149"/>
      <c r="AI267" s="392"/>
      <c r="AJ267" s="393"/>
      <c r="AK267" s="389"/>
      <c r="AL267" s="389"/>
      <c r="AM267" s="389"/>
    </row>
    <row r="268">
      <c r="A268" s="307"/>
      <c r="B268" s="308"/>
      <c r="C268" s="309"/>
      <c r="D268" s="389"/>
      <c r="E268" s="307"/>
      <c r="F268" s="308"/>
      <c r="G268" s="309"/>
      <c r="H268" s="389"/>
      <c r="I268" s="307"/>
      <c r="J268" s="308"/>
      <c r="K268" s="309"/>
      <c r="L268" s="389"/>
      <c r="M268" s="307"/>
      <c r="N268" s="308"/>
      <c r="O268" s="309"/>
      <c r="P268" s="389"/>
      <c r="Q268" s="192"/>
      <c r="R268" s="149"/>
      <c r="S268" s="392"/>
      <c r="T268" s="393"/>
      <c r="U268" s="192"/>
      <c r="V268" s="149"/>
      <c r="W268" s="392"/>
      <c r="X268" s="393"/>
      <c r="Y268" s="192"/>
      <c r="Z268" s="149"/>
      <c r="AA268" s="392"/>
      <c r="AB268" s="393"/>
      <c r="AC268" s="192"/>
      <c r="AD268" s="149"/>
      <c r="AE268" s="392"/>
      <c r="AF268" s="393"/>
      <c r="AG268" s="192"/>
      <c r="AH268" s="149"/>
      <c r="AI268" s="392"/>
      <c r="AJ268" s="393"/>
      <c r="AK268" s="389"/>
      <c r="AL268" s="389"/>
      <c r="AM268" s="389"/>
    </row>
    <row r="269">
      <c r="A269" s="307"/>
      <c r="B269" s="308"/>
      <c r="C269" s="309"/>
      <c r="D269" s="389"/>
      <c r="E269" s="307"/>
      <c r="F269" s="308"/>
      <c r="G269" s="309"/>
      <c r="H269" s="389"/>
      <c r="I269" s="307"/>
      <c r="J269" s="308"/>
      <c r="K269" s="309"/>
      <c r="L269" s="389"/>
      <c r="M269" s="307"/>
      <c r="N269" s="308"/>
      <c r="O269" s="309"/>
      <c r="P269" s="389"/>
      <c r="Q269" s="192"/>
      <c r="R269" s="149"/>
      <c r="S269" s="392"/>
      <c r="T269" s="393"/>
      <c r="U269" s="192"/>
      <c r="V269" s="149"/>
      <c r="W269" s="392"/>
      <c r="X269" s="393"/>
      <c r="Y269" s="192"/>
      <c r="Z269" s="149"/>
      <c r="AA269" s="392"/>
      <c r="AB269" s="393"/>
      <c r="AC269" s="192"/>
      <c r="AD269" s="149"/>
      <c r="AE269" s="392"/>
      <c r="AF269" s="393"/>
      <c r="AG269" s="192"/>
      <c r="AH269" s="149"/>
      <c r="AI269" s="392"/>
      <c r="AJ269" s="393"/>
      <c r="AK269" s="389"/>
      <c r="AL269" s="389"/>
      <c r="AM269" s="389"/>
    </row>
    <row r="270">
      <c r="A270" s="307"/>
      <c r="B270" s="308"/>
      <c r="C270" s="309"/>
      <c r="D270" s="389"/>
      <c r="E270" s="307"/>
      <c r="F270" s="308"/>
      <c r="G270" s="309"/>
      <c r="H270" s="389"/>
      <c r="I270" s="307"/>
      <c r="J270" s="308"/>
      <c r="K270" s="309"/>
      <c r="L270" s="389"/>
      <c r="M270" s="307"/>
      <c r="N270" s="308"/>
      <c r="O270" s="309"/>
      <c r="P270" s="389"/>
      <c r="Q270" s="192"/>
      <c r="R270" s="149"/>
      <c r="S270" s="392"/>
      <c r="T270" s="393"/>
      <c r="U270" s="192"/>
      <c r="V270" s="149"/>
      <c r="W270" s="392"/>
      <c r="X270" s="393"/>
      <c r="Y270" s="192"/>
      <c r="Z270" s="149"/>
      <c r="AA270" s="392"/>
      <c r="AB270" s="393"/>
      <c r="AC270" s="192"/>
      <c r="AD270" s="149"/>
      <c r="AE270" s="392"/>
      <c r="AF270" s="393"/>
      <c r="AG270" s="192"/>
      <c r="AH270" s="149"/>
      <c r="AI270" s="392"/>
      <c r="AJ270" s="393"/>
      <c r="AK270" s="389"/>
      <c r="AL270" s="389"/>
      <c r="AM270" s="389"/>
    </row>
    <row r="271">
      <c r="A271" s="307"/>
      <c r="B271" s="308"/>
      <c r="C271" s="309"/>
      <c r="D271" s="389"/>
      <c r="E271" s="307"/>
      <c r="F271" s="308"/>
      <c r="G271" s="309"/>
      <c r="H271" s="389"/>
      <c r="I271" s="307"/>
      <c r="J271" s="308"/>
      <c r="K271" s="309"/>
      <c r="L271" s="389"/>
      <c r="M271" s="307"/>
      <c r="N271" s="308"/>
      <c r="O271" s="309"/>
      <c r="P271" s="389"/>
      <c r="Q271" s="192"/>
      <c r="R271" s="149"/>
      <c r="S271" s="392"/>
      <c r="T271" s="393"/>
      <c r="U271" s="192"/>
      <c r="V271" s="149"/>
      <c r="W271" s="392"/>
      <c r="X271" s="393"/>
      <c r="Y271" s="192"/>
      <c r="Z271" s="149"/>
      <c r="AA271" s="392"/>
      <c r="AB271" s="393"/>
      <c r="AC271" s="192"/>
      <c r="AD271" s="149"/>
      <c r="AE271" s="392"/>
      <c r="AF271" s="393"/>
      <c r="AG271" s="192"/>
      <c r="AH271" s="149"/>
      <c r="AI271" s="392"/>
      <c r="AJ271" s="393"/>
      <c r="AK271" s="389"/>
      <c r="AL271" s="389"/>
      <c r="AM271" s="389"/>
    </row>
    <row r="272">
      <c r="A272" s="307"/>
      <c r="B272" s="308"/>
      <c r="C272" s="309"/>
      <c r="D272" s="389"/>
      <c r="E272" s="307"/>
      <c r="F272" s="308"/>
      <c r="G272" s="309"/>
      <c r="H272" s="389"/>
      <c r="I272" s="307"/>
      <c r="J272" s="308"/>
      <c r="K272" s="309"/>
      <c r="L272" s="389"/>
      <c r="M272" s="307"/>
      <c r="N272" s="308"/>
      <c r="O272" s="309"/>
      <c r="P272" s="389"/>
      <c r="Q272" s="192"/>
      <c r="R272" s="149"/>
      <c r="S272" s="392"/>
      <c r="T272" s="393"/>
      <c r="U272" s="192"/>
      <c r="V272" s="149"/>
      <c r="W272" s="392"/>
      <c r="X272" s="393"/>
      <c r="Y272" s="192"/>
      <c r="Z272" s="149"/>
      <c r="AA272" s="392"/>
      <c r="AB272" s="393"/>
      <c r="AC272" s="192"/>
      <c r="AD272" s="149"/>
      <c r="AE272" s="392"/>
      <c r="AF272" s="393"/>
      <c r="AG272" s="192"/>
      <c r="AH272" s="149"/>
      <c r="AI272" s="392"/>
      <c r="AJ272" s="393"/>
      <c r="AK272" s="389"/>
      <c r="AL272" s="389"/>
      <c r="AM272" s="389"/>
    </row>
    <row r="273">
      <c r="A273" s="307"/>
      <c r="B273" s="308"/>
      <c r="C273" s="309"/>
      <c r="D273" s="389"/>
      <c r="E273" s="307"/>
      <c r="F273" s="308"/>
      <c r="G273" s="309"/>
      <c r="H273" s="389"/>
      <c r="I273" s="307"/>
      <c r="J273" s="308"/>
      <c r="K273" s="309"/>
      <c r="L273" s="389"/>
      <c r="M273" s="307"/>
      <c r="N273" s="308"/>
      <c r="O273" s="309"/>
      <c r="P273" s="389"/>
      <c r="Q273" s="192"/>
      <c r="R273" s="149"/>
      <c r="S273" s="392"/>
      <c r="T273" s="393"/>
      <c r="U273" s="192"/>
      <c r="V273" s="149"/>
      <c r="W273" s="392"/>
      <c r="X273" s="393"/>
      <c r="Y273" s="192"/>
      <c r="Z273" s="149"/>
      <c r="AA273" s="392"/>
      <c r="AB273" s="393"/>
      <c r="AC273" s="192"/>
      <c r="AD273" s="149"/>
      <c r="AE273" s="392"/>
      <c r="AF273" s="393"/>
      <c r="AG273" s="192"/>
      <c r="AH273" s="149"/>
      <c r="AI273" s="392"/>
      <c r="AJ273" s="393"/>
      <c r="AK273" s="389"/>
      <c r="AL273" s="389"/>
      <c r="AM273" s="389"/>
    </row>
    <row r="274">
      <c r="A274" s="307"/>
      <c r="B274" s="308"/>
      <c r="C274" s="309"/>
      <c r="D274" s="389"/>
      <c r="E274" s="307"/>
      <c r="F274" s="308"/>
      <c r="G274" s="309"/>
      <c r="H274" s="389"/>
      <c r="I274" s="307"/>
      <c r="J274" s="308"/>
      <c r="K274" s="309"/>
      <c r="L274" s="389"/>
      <c r="M274" s="307"/>
      <c r="N274" s="308"/>
      <c r="O274" s="309"/>
      <c r="P274" s="389"/>
      <c r="Q274" s="192"/>
      <c r="R274" s="149"/>
      <c r="S274" s="392"/>
      <c r="T274" s="393"/>
      <c r="U274" s="192"/>
      <c r="V274" s="149"/>
      <c r="W274" s="392"/>
      <c r="X274" s="393"/>
      <c r="Y274" s="192"/>
      <c r="Z274" s="149"/>
      <c r="AA274" s="392"/>
      <c r="AB274" s="393"/>
      <c r="AC274" s="192"/>
      <c r="AD274" s="149"/>
      <c r="AE274" s="392"/>
      <c r="AF274" s="393"/>
      <c r="AG274" s="192"/>
      <c r="AH274" s="149"/>
      <c r="AI274" s="392"/>
      <c r="AJ274" s="393"/>
      <c r="AK274" s="389"/>
      <c r="AL274" s="389"/>
      <c r="AM274" s="389"/>
    </row>
    <row r="275">
      <c r="A275" s="307"/>
      <c r="B275" s="308"/>
      <c r="C275" s="309"/>
      <c r="D275" s="389"/>
      <c r="E275" s="307"/>
      <c r="F275" s="308"/>
      <c r="G275" s="309"/>
      <c r="H275" s="389"/>
      <c r="I275" s="307"/>
      <c r="J275" s="308"/>
      <c r="K275" s="309"/>
      <c r="L275" s="389"/>
      <c r="M275" s="307"/>
      <c r="N275" s="308"/>
      <c r="O275" s="309"/>
      <c r="P275" s="389"/>
      <c r="Q275" s="192"/>
      <c r="R275" s="149"/>
      <c r="S275" s="392"/>
      <c r="T275" s="393"/>
      <c r="U275" s="192"/>
      <c r="V275" s="149"/>
      <c r="W275" s="392"/>
      <c r="X275" s="393"/>
      <c r="Y275" s="192"/>
      <c r="Z275" s="149"/>
      <c r="AA275" s="392"/>
      <c r="AB275" s="393"/>
      <c r="AC275" s="192"/>
      <c r="AD275" s="149"/>
      <c r="AE275" s="392"/>
      <c r="AF275" s="393"/>
      <c r="AG275" s="192"/>
      <c r="AH275" s="149"/>
      <c r="AI275" s="392"/>
      <c r="AJ275" s="393"/>
      <c r="AK275" s="389"/>
      <c r="AL275" s="389"/>
      <c r="AM275" s="389"/>
    </row>
    <row r="276">
      <c r="A276" s="307"/>
      <c r="B276" s="308"/>
      <c r="C276" s="309"/>
      <c r="D276" s="389"/>
      <c r="E276" s="307"/>
      <c r="F276" s="308"/>
      <c r="G276" s="309"/>
      <c r="H276" s="389"/>
      <c r="I276" s="307"/>
      <c r="J276" s="308"/>
      <c r="K276" s="309"/>
      <c r="L276" s="389"/>
      <c r="M276" s="307"/>
      <c r="N276" s="308"/>
      <c r="O276" s="309"/>
      <c r="P276" s="389"/>
      <c r="Q276" s="192"/>
      <c r="R276" s="149"/>
      <c r="S276" s="392"/>
      <c r="T276" s="393"/>
      <c r="U276" s="192"/>
      <c r="V276" s="149"/>
      <c r="W276" s="392"/>
      <c r="X276" s="393"/>
      <c r="Y276" s="192"/>
      <c r="Z276" s="149"/>
      <c r="AA276" s="392"/>
      <c r="AB276" s="393"/>
      <c r="AC276" s="192"/>
      <c r="AD276" s="149"/>
      <c r="AE276" s="392"/>
      <c r="AF276" s="393"/>
      <c r="AG276" s="192"/>
      <c r="AH276" s="149"/>
      <c r="AI276" s="392"/>
      <c r="AJ276" s="393"/>
      <c r="AK276" s="389"/>
      <c r="AL276" s="389"/>
      <c r="AM276" s="389"/>
    </row>
    <row r="277">
      <c r="A277" s="307"/>
      <c r="B277" s="308"/>
      <c r="C277" s="309"/>
      <c r="D277" s="389"/>
      <c r="E277" s="307"/>
      <c r="F277" s="308"/>
      <c r="G277" s="309"/>
      <c r="H277" s="389"/>
      <c r="I277" s="307"/>
      <c r="J277" s="308"/>
      <c r="K277" s="309"/>
      <c r="L277" s="389"/>
      <c r="M277" s="307"/>
      <c r="N277" s="308"/>
      <c r="O277" s="309"/>
      <c r="P277" s="389"/>
      <c r="Q277" s="192"/>
      <c r="R277" s="149"/>
      <c r="S277" s="392"/>
      <c r="T277" s="393"/>
      <c r="U277" s="192"/>
      <c r="V277" s="149"/>
      <c r="W277" s="392"/>
      <c r="X277" s="393"/>
      <c r="Y277" s="192"/>
      <c r="Z277" s="149"/>
      <c r="AA277" s="392"/>
      <c r="AB277" s="393"/>
      <c r="AC277" s="192"/>
      <c r="AD277" s="149"/>
      <c r="AE277" s="392"/>
      <c r="AF277" s="393"/>
      <c r="AG277" s="192"/>
      <c r="AH277" s="149"/>
      <c r="AI277" s="392"/>
      <c r="AJ277" s="393"/>
      <c r="AK277" s="389"/>
      <c r="AL277" s="389"/>
      <c r="AM277" s="389"/>
    </row>
    <row r="278">
      <c r="A278" s="307"/>
      <c r="B278" s="308"/>
      <c r="C278" s="309"/>
      <c r="D278" s="389"/>
      <c r="E278" s="307"/>
      <c r="F278" s="308"/>
      <c r="G278" s="309"/>
      <c r="H278" s="389"/>
      <c r="I278" s="307"/>
      <c r="J278" s="308"/>
      <c r="K278" s="309"/>
      <c r="L278" s="389"/>
      <c r="M278" s="307"/>
      <c r="N278" s="308"/>
      <c r="O278" s="309"/>
      <c r="P278" s="389"/>
      <c r="Q278" s="192"/>
      <c r="R278" s="149"/>
      <c r="S278" s="392"/>
      <c r="T278" s="393"/>
      <c r="U278" s="192"/>
      <c r="V278" s="149"/>
      <c r="W278" s="392"/>
      <c r="X278" s="393"/>
      <c r="Y278" s="192"/>
      <c r="Z278" s="149"/>
      <c r="AA278" s="392"/>
      <c r="AB278" s="393"/>
      <c r="AC278" s="192"/>
      <c r="AD278" s="149"/>
      <c r="AE278" s="392"/>
      <c r="AF278" s="393"/>
      <c r="AG278" s="192"/>
      <c r="AH278" s="149"/>
      <c r="AI278" s="392"/>
      <c r="AJ278" s="393"/>
      <c r="AK278" s="389"/>
      <c r="AL278" s="389"/>
      <c r="AM278" s="389"/>
    </row>
    <row r="279">
      <c r="A279" s="307"/>
      <c r="B279" s="308"/>
      <c r="C279" s="309"/>
      <c r="D279" s="389"/>
      <c r="E279" s="307"/>
      <c r="F279" s="308"/>
      <c r="G279" s="309"/>
      <c r="H279" s="389"/>
      <c r="I279" s="307"/>
      <c r="J279" s="308"/>
      <c r="K279" s="309"/>
      <c r="L279" s="389"/>
      <c r="M279" s="307"/>
      <c r="N279" s="308"/>
      <c r="O279" s="309"/>
      <c r="P279" s="389"/>
      <c r="Q279" s="192"/>
      <c r="R279" s="149"/>
      <c r="S279" s="392"/>
      <c r="T279" s="393"/>
      <c r="U279" s="192"/>
      <c r="V279" s="149"/>
      <c r="W279" s="392"/>
      <c r="X279" s="393"/>
      <c r="Y279" s="192"/>
      <c r="Z279" s="149"/>
      <c r="AA279" s="392"/>
      <c r="AB279" s="393"/>
      <c r="AC279" s="192"/>
      <c r="AD279" s="149"/>
      <c r="AE279" s="392"/>
      <c r="AF279" s="393"/>
      <c r="AG279" s="192"/>
      <c r="AH279" s="149"/>
      <c r="AI279" s="392"/>
      <c r="AJ279" s="393"/>
      <c r="AK279" s="389"/>
      <c r="AL279" s="389"/>
      <c r="AM279" s="389"/>
    </row>
    <row r="280">
      <c r="A280" s="307"/>
      <c r="B280" s="308"/>
      <c r="C280" s="309"/>
      <c r="D280" s="389"/>
      <c r="E280" s="307"/>
      <c r="F280" s="308"/>
      <c r="G280" s="309"/>
      <c r="H280" s="389"/>
      <c r="I280" s="307"/>
      <c r="J280" s="308"/>
      <c r="K280" s="309"/>
      <c r="L280" s="389"/>
      <c r="M280" s="307"/>
      <c r="N280" s="308"/>
      <c r="O280" s="309"/>
      <c r="P280" s="389"/>
      <c r="Q280" s="192"/>
      <c r="R280" s="149"/>
      <c r="S280" s="392"/>
      <c r="T280" s="393"/>
      <c r="U280" s="192"/>
      <c r="V280" s="149"/>
      <c r="W280" s="392"/>
      <c r="X280" s="393"/>
      <c r="Y280" s="192"/>
      <c r="Z280" s="149"/>
      <c r="AA280" s="392"/>
      <c r="AB280" s="393"/>
      <c r="AC280" s="192"/>
      <c r="AD280" s="149"/>
      <c r="AE280" s="392"/>
      <c r="AF280" s="393"/>
      <c r="AG280" s="192"/>
      <c r="AH280" s="149"/>
      <c r="AI280" s="392"/>
      <c r="AJ280" s="393"/>
      <c r="AK280" s="389"/>
      <c r="AL280" s="389"/>
      <c r="AM280" s="389"/>
    </row>
    <row r="281">
      <c r="A281" s="307"/>
      <c r="B281" s="308"/>
      <c r="C281" s="309"/>
      <c r="D281" s="389"/>
      <c r="E281" s="307"/>
      <c r="F281" s="308"/>
      <c r="G281" s="309"/>
      <c r="H281" s="389"/>
      <c r="I281" s="307"/>
      <c r="J281" s="308"/>
      <c r="K281" s="309"/>
      <c r="L281" s="389"/>
      <c r="M281" s="307"/>
      <c r="N281" s="308"/>
      <c r="O281" s="309"/>
      <c r="P281" s="389"/>
      <c r="Q281" s="192"/>
      <c r="R281" s="149"/>
      <c r="S281" s="392"/>
      <c r="T281" s="393"/>
      <c r="U281" s="192"/>
      <c r="V281" s="149"/>
      <c r="W281" s="392"/>
      <c r="X281" s="393"/>
      <c r="Y281" s="192"/>
      <c r="Z281" s="149"/>
      <c r="AA281" s="392"/>
      <c r="AB281" s="393"/>
      <c r="AC281" s="192"/>
      <c r="AD281" s="149"/>
      <c r="AE281" s="392"/>
      <c r="AF281" s="393"/>
      <c r="AG281" s="192"/>
      <c r="AH281" s="149"/>
      <c r="AI281" s="392"/>
      <c r="AJ281" s="393"/>
      <c r="AK281" s="389"/>
      <c r="AL281" s="389"/>
      <c r="AM281" s="389"/>
    </row>
    <row r="282">
      <c r="A282" s="307"/>
      <c r="B282" s="308"/>
      <c r="C282" s="309"/>
      <c r="D282" s="389"/>
      <c r="E282" s="307"/>
      <c r="F282" s="308"/>
      <c r="G282" s="309"/>
      <c r="H282" s="389"/>
      <c r="I282" s="307"/>
      <c r="J282" s="308"/>
      <c r="K282" s="309"/>
      <c r="L282" s="389"/>
      <c r="M282" s="307"/>
      <c r="N282" s="308"/>
      <c r="O282" s="309"/>
      <c r="P282" s="389"/>
      <c r="Q282" s="192"/>
      <c r="R282" s="149"/>
      <c r="S282" s="392"/>
      <c r="T282" s="393"/>
      <c r="U282" s="192"/>
      <c r="V282" s="149"/>
      <c r="W282" s="392"/>
      <c r="X282" s="393"/>
      <c r="Y282" s="192"/>
      <c r="Z282" s="149"/>
      <c r="AA282" s="392"/>
      <c r="AB282" s="393"/>
      <c r="AC282" s="192"/>
      <c r="AD282" s="149"/>
      <c r="AE282" s="392"/>
      <c r="AF282" s="393"/>
      <c r="AG282" s="192"/>
      <c r="AH282" s="149"/>
      <c r="AI282" s="392"/>
      <c r="AJ282" s="393"/>
      <c r="AK282" s="389"/>
      <c r="AL282" s="389"/>
      <c r="AM282" s="389"/>
    </row>
    <row r="283">
      <c r="A283" s="307"/>
      <c r="B283" s="308"/>
      <c r="C283" s="309"/>
      <c r="D283" s="389"/>
      <c r="E283" s="307"/>
      <c r="F283" s="308"/>
      <c r="G283" s="309"/>
      <c r="H283" s="389"/>
      <c r="I283" s="307"/>
      <c r="J283" s="308"/>
      <c r="K283" s="309"/>
      <c r="L283" s="389"/>
      <c r="M283" s="307"/>
      <c r="N283" s="308"/>
      <c r="O283" s="309"/>
      <c r="P283" s="389"/>
      <c r="Q283" s="192"/>
      <c r="R283" s="149"/>
      <c r="S283" s="392"/>
      <c r="T283" s="393"/>
      <c r="U283" s="192"/>
      <c r="V283" s="149"/>
      <c r="W283" s="392"/>
      <c r="X283" s="393"/>
      <c r="Y283" s="192"/>
      <c r="Z283" s="149"/>
      <c r="AA283" s="392"/>
      <c r="AB283" s="393"/>
      <c r="AC283" s="192"/>
      <c r="AD283" s="149"/>
      <c r="AE283" s="392"/>
      <c r="AF283" s="393"/>
      <c r="AG283" s="143"/>
      <c r="AH283" s="149"/>
      <c r="AI283" s="392"/>
      <c r="AJ283" s="393"/>
      <c r="AK283" s="389"/>
      <c r="AL283" s="389"/>
      <c r="AM283" s="389"/>
    </row>
    <row r="284">
      <c r="A284" s="307"/>
      <c r="B284" s="308"/>
      <c r="C284" s="309"/>
      <c r="D284" s="389"/>
      <c r="E284" s="307"/>
      <c r="F284" s="308"/>
      <c r="G284" s="309"/>
      <c r="H284" s="389"/>
      <c r="I284" s="307"/>
      <c r="J284" s="308"/>
      <c r="K284" s="309"/>
      <c r="L284" s="389"/>
      <c r="M284" s="307"/>
      <c r="N284" s="308"/>
      <c r="O284" s="309"/>
      <c r="P284" s="389"/>
      <c r="Q284" s="192"/>
      <c r="R284" s="149"/>
      <c r="S284" s="392"/>
      <c r="T284" s="393"/>
      <c r="U284" s="192"/>
      <c r="V284" s="149"/>
      <c r="W284" s="392"/>
      <c r="X284" s="393"/>
      <c r="Y284" s="192"/>
      <c r="Z284" s="149"/>
      <c r="AA284" s="392"/>
      <c r="AB284" s="393"/>
      <c r="AC284" s="192"/>
      <c r="AD284" s="149"/>
      <c r="AE284" s="392"/>
      <c r="AF284" s="393"/>
      <c r="AG284" s="143"/>
      <c r="AH284" s="149"/>
      <c r="AI284" s="392"/>
      <c r="AJ284" s="393"/>
      <c r="AK284" s="389"/>
      <c r="AL284" s="389"/>
      <c r="AM284" s="389"/>
    </row>
    <row r="285">
      <c r="A285" s="307"/>
      <c r="B285" s="308"/>
      <c r="C285" s="309"/>
      <c r="D285" s="389"/>
      <c r="E285" s="307"/>
      <c r="F285" s="308"/>
      <c r="G285" s="309"/>
      <c r="H285" s="389"/>
      <c r="I285" s="307"/>
      <c r="J285" s="308"/>
      <c r="K285" s="309"/>
      <c r="L285" s="389"/>
      <c r="M285" s="307"/>
      <c r="N285" s="308"/>
      <c r="O285" s="309"/>
      <c r="P285" s="389"/>
      <c r="Q285" s="192"/>
      <c r="R285" s="149"/>
      <c r="S285" s="392"/>
      <c r="T285" s="393"/>
      <c r="U285" s="192"/>
      <c r="V285" s="149"/>
      <c r="W285" s="392"/>
      <c r="X285" s="393"/>
      <c r="Y285" s="192"/>
      <c r="Z285" s="149"/>
      <c r="AA285" s="392"/>
      <c r="AB285" s="393"/>
      <c r="AC285" s="192"/>
      <c r="AD285" s="149"/>
      <c r="AE285" s="392"/>
      <c r="AF285" s="393"/>
      <c r="AG285" s="143"/>
      <c r="AH285" s="149"/>
      <c r="AI285" s="392"/>
      <c r="AJ285" s="393"/>
      <c r="AK285" s="389"/>
      <c r="AL285" s="389"/>
      <c r="AM285" s="389"/>
    </row>
    <row r="286">
      <c r="A286" s="307"/>
      <c r="B286" s="308"/>
      <c r="C286" s="309"/>
      <c r="D286" s="389"/>
      <c r="E286" s="307"/>
      <c r="F286" s="308"/>
      <c r="G286" s="309"/>
      <c r="H286" s="389"/>
      <c r="I286" s="307"/>
      <c r="J286" s="308"/>
      <c r="K286" s="309"/>
      <c r="L286" s="389"/>
      <c r="M286" s="307"/>
      <c r="N286" s="308"/>
      <c r="O286" s="309"/>
      <c r="P286" s="389"/>
      <c r="Q286" s="192"/>
      <c r="R286" s="149"/>
      <c r="S286" s="392"/>
      <c r="T286" s="393"/>
      <c r="U286" s="192"/>
      <c r="V286" s="149"/>
      <c r="W286" s="392"/>
      <c r="X286" s="393"/>
      <c r="Y286" s="192"/>
      <c r="Z286" s="149"/>
      <c r="AA286" s="392"/>
      <c r="AB286" s="393"/>
      <c r="AC286" s="192"/>
      <c r="AD286" s="149"/>
      <c r="AE286" s="392"/>
      <c r="AF286" s="393"/>
      <c r="AG286" s="143"/>
      <c r="AH286" s="149"/>
      <c r="AI286" s="392"/>
      <c r="AJ286" s="393"/>
      <c r="AK286" s="389"/>
      <c r="AL286" s="389"/>
      <c r="AM286" s="389"/>
    </row>
    <row r="287">
      <c r="A287" s="307"/>
      <c r="B287" s="308"/>
      <c r="C287" s="309"/>
      <c r="D287" s="389"/>
      <c r="E287" s="307"/>
      <c r="F287" s="308"/>
      <c r="G287" s="309"/>
      <c r="H287" s="389"/>
      <c r="I287" s="307"/>
      <c r="J287" s="308"/>
      <c r="K287" s="309"/>
      <c r="L287" s="389"/>
      <c r="M287" s="307"/>
      <c r="N287" s="308"/>
      <c r="O287" s="309"/>
      <c r="P287" s="389"/>
      <c r="Q287" s="192"/>
      <c r="R287" s="149"/>
      <c r="S287" s="392"/>
      <c r="T287" s="393"/>
      <c r="U287" s="192"/>
      <c r="V287" s="149"/>
      <c r="W287" s="392"/>
      <c r="X287" s="393"/>
      <c r="Y287" s="192"/>
      <c r="Z287" s="149"/>
      <c r="AA287" s="392"/>
      <c r="AB287" s="393"/>
      <c r="AC287" s="192"/>
      <c r="AD287" s="149"/>
      <c r="AE287" s="392"/>
      <c r="AF287" s="393"/>
      <c r="AG287" s="143"/>
      <c r="AH287" s="149"/>
      <c r="AI287" s="392"/>
      <c r="AJ287" s="393"/>
      <c r="AK287" s="389"/>
      <c r="AL287" s="389"/>
      <c r="AM287" s="389"/>
    </row>
    <row r="288">
      <c r="A288" s="307"/>
      <c r="B288" s="308"/>
      <c r="C288" s="309"/>
      <c r="D288" s="389"/>
      <c r="E288" s="307"/>
      <c r="F288" s="308"/>
      <c r="G288" s="309"/>
      <c r="H288" s="389"/>
      <c r="I288" s="307"/>
      <c r="J288" s="308"/>
      <c r="K288" s="309"/>
      <c r="L288" s="389"/>
      <c r="M288" s="307"/>
      <c r="N288" s="308"/>
      <c r="O288" s="309"/>
      <c r="P288" s="389"/>
      <c r="Q288" s="192"/>
      <c r="R288" s="149"/>
      <c r="S288" s="392"/>
      <c r="T288" s="393"/>
      <c r="U288" s="192"/>
      <c r="V288" s="149"/>
      <c r="W288" s="392"/>
      <c r="X288" s="393"/>
      <c r="Y288" s="192"/>
      <c r="Z288" s="149"/>
      <c r="AA288" s="392"/>
      <c r="AB288" s="393"/>
      <c r="AC288" s="192"/>
      <c r="AD288" s="149"/>
      <c r="AE288" s="392"/>
      <c r="AF288" s="393"/>
      <c r="AG288" s="143"/>
      <c r="AH288" s="149"/>
      <c r="AI288" s="392"/>
      <c r="AJ288" s="393"/>
      <c r="AK288" s="389"/>
      <c r="AL288" s="389"/>
      <c r="AM288" s="389"/>
    </row>
    <row r="289">
      <c r="A289" s="307"/>
      <c r="B289" s="308"/>
      <c r="C289" s="309"/>
      <c r="D289" s="389"/>
      <c r="E289" s="307"/>
      <c r="F289" s="308"/>
      <c r="G289" s="309"/>
      <c r="H289" s="389"/>
      <c r="I289" s="307"/>
      <c r="J289" s="308"/>
      <c r="K289" s="309"/>
      <c r="L289" s="389"/>
      <c r="M289" s="307"/>
      <c r="N289" s="308"/>
      <c r="O289" s="309"/>
      <c r="P289" s="389"/>
      <c r="Q289" s="192"/>
      <c r="R289" s="149"/>
      <c r="S289" s="392"/>
      <c r="T289" s="393"/>
      <c r="U289" s="192"/>
      <c r="V289" s="149"/>
      <c r="W289" s="392"/>
      <c r="X289" s="393"/>
      <c r="Y289" s="192"/>
      <c r="Z289" s="149"/>
      <c r="AA289" s="392"/>
      <c r="AB289" s="393"/>
      <c r="AC289" s="192"/>
      <c r="AD289" s="149"/>
      <c r="AE289" s="392"/>
      <c r="AF289" s="393"/>
      <c r="AG289" s="143"/>
      <c r="AH289" s="149"/>
      <c r="AI289" s="392"/>
      <c r="AJ289" s="393"/>
      <c r="AK289" s="389"/>
      <c r="AL289" s="389"/>
      <c r="AM289" s="389"/>
    </row>
    <row r="290">
      <c r="A290" s="307"/>
      <c r="B290" s="308"/>
      <c r="C290" s="309"/>
      <c r="D290" s="389"/>
      <c r="E290" s="307"/>
      <c r="F290" s="308"/>
      <c r="G290" s="309"/>
      <c r="H290" s="389"/>
      <c r="I290" s="307"/>
      <c r="J290" s="308"/>
      <c r="K290" s="309"/>
      <c r="L290" s="389"/>
      <c r="M290" s="307"/>
      <c r="N290" s="308"/>
      <c r="O290" s="309"/>
      <c r="P290" s="389"/>
      <c r="Q290" s="192"/>
      <c r="R290" s="149"/>
      <c r="S290" s="392"/>
      <c r="T290" s="393"/>
      <c r="U290" s="192"/>
      <c r="V290" s="149"/>
      <c r="W290" s="392"/>
      <c r="X290" s="393"/>
      <c r="Y290" s="192"/>
      <c r="Z290" s="149"/>
      <c r="AA290" s="392"/>
      <c r="AB290" s="393"/>
      <c r="AC290" s="192"/>
      <c r="AD290" s="149"/>
      <c r="AE290" s="392"/>
      <c r="AF290" s="393"/>
      <c r="AG290" s="143"/>
      <c r="AH290" s="149"/>
      <c r="AI290" s="392"/>
      <c r="AJ290" s="393"/>
      <c r="AK290" s="389"/>
      <c r="AL290" s="389"/>
      <c r="AM290" s="389"/>
    </row>
    <row r="291">
      <c r="A291" s="307"/>
      <c r="B291" s="308"/>
      <c r="C291" s="309"/>
      <c r="D291" s="389"/>
      <c r="E291" s="307"/>
      <c r="F291" s="308"/>
      <c r="G291" s="309"/>
      <c r="H291" s="389"/>
      <c r="I291" s="307"/>
      <c r="J291" s="308"/>
      <c r="K291" s="309"/>
      <c r="L291" s="389"/>
      <c r="M291" s="307"/>
      <c r="N291" s="308"/>
      <c r="O291" s="309"/>
      <c r="P291" s="389"/>
      <c r="Q291" s="192"/>
      <c r="R291" s="149"/>
      <c r="S291" s="392"/>
      <c r="T291" s="393"/>
      <c r="U291" s="192"/>
      <c r="V291" s="149"/>
      <c r="W291" s="392"/>
      <c r="X291" s="393"/>
      <c r="Y291" s="192"/>
      <c r="Z291" s="149"/>
      <c r="AA291" s="392"/>
      <c r="AB291" s="393"/>
      <c r="AC291" s="192"/>
      <c r="AD291" s="149"/>
      <c r="AE291" s="392"/>
      <c r="AF291" s="393"/>
      <c r="AG291" s="143"/>
      <c r="AH291" s="149"/>
      <c r="AI291" s="392"/>
      <c r="AJ291" s="393"/>
      <c r="AK291" s="389"/>
      <c r="AL291" s="389"/>
      <c r="AM291" s="389"/>
    </row>
    <row r="292">
      <c r="A292" s="307"/>
      <c r="B292" s="308"/>
      <c r="C292" s="309"/>
      <c r="D292" s="389"/>
      <c r="E292" s="307"/>
      <c r="F292" s="308"/>
      <c r="G292" s="309"/>
      <c r="H292" s="389"/>
      <c r="I292" s="307"/>
      <c r="J292" s="308"/>
      <c r="K292" s="309"/>
      <c r="L292" s="389"/>
      <c r="M292" s="307"/>
      <c r="N292" s="308"/>
      <c r="O292" s="309"/>
      <c r="P292" s="389"/>
      <c r="Q292" s="192"/>
      <c r="R292" s="149"/>
      <c r="S292" s="392"/>
      <c r="T292" s="393"/>
      <c r="U292" s="192"/>
      <c r="V292" s="149"/>
      <c r="W292" s="392"/>
      <c r="X292" s="393"/>
      <c r="Y292" s="192"/>
      <c r="Z292" s="149"/>
      <c r="AA292" s="392"/>
      <c r="AB292" s="393"/>
      <c r="AC292" s="192"/>
      <c r="AD292" s="149"/>
      <c r="AE292" s="392"/>
      <c r="AF292" s="393"/>
      <c r="AG292" s="143"/>
      <c r="AH292" s="149"/>
      <c r="AI292" s="392"/>
      <c r="AJ292" s="393"/>
      <c r="AK292" s="389"/>
      <c r="AL292" s="389"/>
      <c r="AM292" s="389"/>
    </row>
    <row r="293">
      <c r="A293" s="307"/>
      <c r="B293" s="308"/>
      <c r="C293" s="309"/>
      <c r="D293" s="389"/>
      <c r="E293" s="307"/>
      <c r="F293" s="308"/>
      <c r="G293" s="309"/>
      <c r="H293" s="389"/>
      <c r="I293" s="307"/>
      <c r="J293" s="308"/>
      <c r="K293" s="309"/>
      <c r="L293" s="389"/>
      <c r="M293" s="307"/>
      <c r="N293" s="308"/>
      <c r="O293" s="309"/>
      <c r="P293" s="389"/>
      <c r="Q293" s="192"/>
      <c r="R293" s="149"/>
      <c r="S293" s="392"/>
      <c r="T293" s="393"/>
      <c r="U293" s="192"/>
      <c r="V293" s="149"/>
      <c r="W293" s="392"/>
      <c r="X293" s="393"/>
      <c r="Y293" s="192"/>
      <c r="Z293" s="149"/>
      <c r="AA293" s="392"/>
      <c r="AB293" s="393"/>
      <c r="AC293" s="192"/>
      <c r="AD293" s="149"/>
      <c r="AE293" s="392"/>
      <c r="AF293" s="393"/>
      <c r="AG293" s="143"/>
      <c r="AH293" s="149"/>
      <c r="AI293" s="392"/>
      <c r="AJ293" s="393"/>
      <c r="AK293" s="389"/>
      <c r="AL293" s="389"/>
      <c r="AM293" s="389"/>
    </row>
    <row r="294">
      <c r="A294" s="307"/>
      <c r="B294" s="308"/>
      <c r="C294" s="309"/>
      <c r="D294" s="389"/>
      <c r="E294" s="307"/>
      <c r="F294" s="308"/>
      <c r="G294" s="309"/>
      <c r="H294" s="389"/>
      <c r="I294" s="307"/>
      <c r="J294" s="308"/>
      <c r="K294" s="309"/>
      <c r="L294" s="389"/>
      <c r="M294" s="307"/>
      <c r="N294" s="308"/>
      <c r="O294" s="309"/>
      <c r="P294" s="389"/>
      <c r="Q294" s="192"/>
      <c r="R294" s="149"/>
      <c r="S294" s="392"/>
      <c r="T294" s="393"/>
      <c r="U294" s="192"/>
      <c r="V294" s="149"/>
      <c r="W294" s="392"/>
      <c r="X294" s="393"/>
      <c r="Y294" s="192"/>
      <c r="Z294" s="149"/>
      <c r="AA294" s="392"/>
      <c r="AB294" s="393"/>
      <c r="AC294" s="192"/>
      <c r="AD294" s="149"/>
      <c r="AE294" s="392"/>
      <c r="AF294" s="393"/>
      <c r="AG294" s="143"/>
      <c r="AH294" s="143"/>
      <c r="AI294" s="143"/>
      <c r="AJ294" s="143"/>
      <c r="AK294" s="389"/>
      <c r="AL294" s="389"/>
      <c r="AM294" s="389"/>
    </row>
    <row r="295">
      <c r="A295" s="307"/>
      <c r="B295" s="308"/>
      <c r="C295" s="309"/>
      <c r="D295" s="389"/>
      <c r="E295" s="307"/>
      <c r="F295" s="308"/>
      <c r="G295" s="309"/>
      <c r="H295" s="389"/>
      <c r="I295" s="307"/>
      <c r="J295" s="308"/>
      <c r="K295" s="309"/>
      <c r="L295" s="389"/>
      <c r="M295" s="307"/>
      <c r="N295" s="308"/>
      <c r="O295" s="309"/>
      <c r="P295" s="389"/>
      <c r="Q295" s="192"/>
      <c r="R295" s="149"/>
      <c r="S295" s="392"/>
      <c r="T295" s="393"/>
      <c r="U295" s="192"/>
      <c r="V295" s="149"/>
      <c r="W295" s="392"/>
      <c r="X295" s="393"/>
      <c r="Y295" s="192"/>
      <c r="Z295" s="149"/>
      <c r="AA295" s="392"/>
      <c r="AB295" s="393"/>
      <c r="AC295" s="192"/>
      <c r="AD295" s="149"/>
      <c r="AE295" s="392"/>
      <c r="AF295" s="393"/>
      <c r="AG295" s="143"/>
      <c r="AH295" s="143"/>
      <c r="AI295" s="143"/>
      <c r="AJ295" s="143"/>
      <c r="AK295" s="389"/>
      <c r="AL295" s="389"/>
      <c r="AM295" s="389"/>
    </row>
    <row r="296">
      <c r="A296" s="307"/>
      <c r="B296" s="308"/>
      <c r="C296" s="309"/>
      <c r="D296" s="389"/>
      <c r="E296" s="307"/>
      <c r="F296" s="308"/>
      <c r="G296" s="309"/>
      <c r="H296" s="389"/>
      <c r="I296" s="307"/>
      <c r="J296" s="308"/>
      <c r="K296" s="309"/>
      <c r="L296" s="389"/>
      <c r="M296" s="307"/>
      <c r="N296" s="308"/>
      <c r="O296" s="309"/>
      <c r="P296" s="389"/>
      <c r="Q296" s="192"/>
      <c r="R296" s="149"/>
      <c r="S296" s="392"/>
      <c r="T296" s="393"/>
      <c r="U296" s="192"/>
      <c r="V296" s="149"/>
      <c r="W296" s="392"/>
      <c r="X296" s="393"/>
      <c r="Y296" s="192"/>
      <c r="Z296" s="149"/>
      <c r="AA296" s="392"/>
      <c r="AB296" s="393"/>
      <c r="AC296" s="192"/>
      <c r="AD296" s="149"/>
      <c r="AE296" s="392"/>
      <c r="AF296" s="393"/>
      <c r="AG296" s="143"/>
      <c r="AH296" s="143"/>
      <c r="AI296" s="143"/>
      <c r="AJ296" s="143"/>
      <c r="AK296" s="389"/>
      <c r="AL296" s="389"/>
      <c r="AM296" s="389"/>
    </row>
    <row r="297">
      <c r="A297" s="307"/>
      <c r="B297" s="308"/>
      <c r="C297" s="309"/>
      <c r="D297" s="389"/>
      <c r="E297" s="307"/>
      <c r="F297" s="308"/>
      <c r="G297" s="309"/>
      <c r="H297" s="389"/>
      <c r="I297" s="307"/>
      <c r="J297" s="308"/>
      <c r="K297" s="309"/>
      <c r="L297" s="389"/>
      <c r="M297" s="307"/>
      <c r="N297" s="308"/>
      <c r="O297" s="309"/>
      <c r="P297" s="389"/>
      <c r="Q297" s="192"/>
      <c r="R297" s="149"/>
      <c r="S297" s="392"/>
      <c r="T297" s="393"/>
      <c r="U297" s="192"/>
      <c r="V297" s="149"/>
      <c r="W297" s="392"/>
      <c r="X297" s="393"/>
      <c r="Y297" s="192"/>
      <c r="Z297" s="149"/>
      <c r="AA297" s="392"/>
      <c r="AB297" s="393"/>
      <c r="AC297" s="192"/>
      <c r="AD297" s="149"/>
      <c r="AE297" s="392"/>
      <c r="AF297" s="393"/>
      <c r="AG297" s="143"/>
      <c r="AH297" s="143"/>
      <c r="AI297" s="143"/>
      <c r="AJ297" s="143"/>
      <c r="AK297" s="389"/>
      <c r="AL297" s="389"/>
      <c r="AM297" s="389"/>
    </row>
    <row r="298">
      <c r="A298" s="307"/>
      <c r="B298" s="308"/>
      <c r="C298" s="309"/>
      <c r="D298" s="389"/>
      <c r="E298" s="307"/>
      <c r="F298" s="308"/>
      <c r="G298" s="309"/>
      <c r="H298" s="389"/>
      <c r="I298" s="307"/>
      <c r="J298" s="308"/>
      <c r="K298" s="309"/>
      <c r="L298" s="389"/>
      <c r="M298" s="307"/>
      <c r="N298" s="308"/>
      <c r="O298" s="309"/>
      <c r="P298" s="389"/>
      <c r="Q298" s="192"/>
      <c r="R298" s="149"/>
      <c r="S298" s="392"/>
      <c r="T298" s="393"/>
      <c r="U298" s="192"/>
      <c r="V298" s="149"/>
      <c r="W298" s="392"/>
      <c r="X298" s="393"/>
      <c r="Y298" s="192"/>
      <c r="Z298" s="149"/>
      <c r="AA298" s="392"/>
      <c r="AB298" s="393"/>
      <c r="AC298" s="192"/>
      <c r="AD298" s="149"/>
      <c r="AE298" s="392"/>
      <c r="AF298" s="393"/>
      <c r="AG298" s="143"/>
      <c r="AH298" s="143"/>
      <c r="AI298" s="143"/>
      <c r="AJ298" s="143"/>
      <c r="AK298" s="389"/>
      <c r="AL298" s="389"/>
      <c r="AM298" s="389"/>
    </row>
    <row r="299">
      <c r="A299" s="307"/>
      <c r="B299" s="308"/>
      <c r="C299" s="309"/>
      <c r="D299" s="389"/>
      <c r="E299" s="307"/>
      <c r="F299" s="308"/>
      <c r="G299" s="309"/>
      <c r="H299" s="389"/>
      <c r="I299" s="307"/>
      <c r="J299" s="308"/>
      <c r="K299" s="309"/>
      <c r="L299" s="389"/>
      <c r="M299" s="307"/>
      <c r="N299" s="308"/>
      <c r="O299" s="309"/>
      <c r="P299" s="389"/>
      <c r="Q299" s="192"/>
      <c r="R299" s="149"/>
      <c r="S299" s="392"/>
      <c r="T299" s="393"/>
      <c r="U299" s="192"/>
      <c r="V299" s="149"/>
      <c r="W299" s="392"/>
      <c r="X299" s="393"/>
      <c r="Y299" s="192"/>
      <c r="Z299" s="149"/>
      <c r="AA299" s="392"/>
      <c r="AB299" s="393"/>
      <c r="AC299" s="192"/>
      <c r="AD299" s="149"/>
      <c r="AE299" s="392"/>
      <c r="AF299" s="393"/>
      <c r="AG299" s="143"/>
      <c r="AH299" s="143"/>
      <c r="AI299" s="143"/>
      <c r="AJ299" s="143"/>
      <c r="AK299" s="389"/>
      <c r="AL299" s="389"/>
      <c r="AM299" s="389"/>
    </row>
    <row r="300">
      <c r="A300" s="307"/>
      <c r="B300" s="308"/>
      <c r="C300" s="309"/>
      <c r="D300" s="389"/>
      <c r="E300" s="307"/>
      <c r="F300" s="308"/>
      <c r="G300" s="309"/>
      <c r="H300" s="389"/>
      <c r="I300" s="307"/>
      <c r="J300" s="308"/>
      <c r="K300" s="309"/>
      <c r="L300" s="389"/>
      <c r="M300" s="307"/>
      <c r="N300" s="308"/>
      <c r="O300" s="309"/>
      <c r="P300" s="389"/>
      <c r="Q300" s="192"/>
      <c r="R300" s="149"/>
      <c r="S300" s="392"/>
      <c r="T300" s="393"/>
      <c r="U300" s="192"/>
      <c r="V300" s="149"/>
      <c r="W300" s="392"/>
      <c r="X300" s="393"/>
      <c r="Y300" s="192"/>
      <c r="Z300" s="149"/>
      <c r="AA300" s="392"/>
      <c r="AB300" s="393"/>
      <c r="AC300" s="192"/>
      <c r="AD300" s="149"/>
      <c r="AE300" s="392"/>
      <c r="AF300" s="393"/>
      <c r="AG300" s="143"/>
      <c r="AH300" s="143"/>
      <c r="AI300" s="143"/>
      <c r="AJ300" s="143"/>
      <c r="AK300" s="389"/>
      <c r="AL300" s="389"/>
      <c r="AM300" s="389"/>
    </row>
    <row r="301">
      <c r="A301" s="307"/>
      <c r="B301" s="308"/>
      <c r="C301" s="309"/>
      <c r="D301" s="389"/>
      <c r="E301" s="307"/>
      <c r="F301" s="308"/>
      <c r="G301" s="309"/>
      <c r="H301" s="389"/>
      <c r="I301" s="307"/>
      <c r="J301" s="308"/>
      <c r="K301" s="309"/>
      <c r="L301" s="389"/>
      <c r="M301" s="307"/>
      <c r="N301" s="308"/>
      <c r="O301" s="309"/>
      <c r="P301" s="389"/>
      <c r="Q301" s="192"/>
      <c r="R301" s="149"/>
      <c r="S301" s="392"/>
      <c r="T301" s="393"/>
      <c r="U301" s="192"/>
      <c r="V301" s="149"/>
      <c r="W301" s="392"/>
      <c r="X301" s="393"/>
      <c r="Y301" s="192"/>
      <c r="Z301" s="149"/>
      <c r="AA301" s="392"/>
      <c r="AB301" s="393"/>
      <c r="AC301" s="192"/>
      <c r="AD301" s="149"/>
      <c r="AE301" s="392"/>
      <c r="AF301" s="393"/>
      <c r="AG301" s="143"/>
      <c r="AH301" s="143"/>
      <c r="AI301" s="143"/>
      <c r="AJ301" s="143"/>
      <c r="AK301" s="389"/>
      <c r="AL301" s="389"/>
      <c r="AM301" s="389"/>
    </row>
    <row r="302">
      <c r="A302" s="307"/>
      <c r="B302" s="308"/>
      <c r="C302" s="309"/>
      <c r="D302" s="389"/>
      <c r="E302" s="307"/>
      <c r="F302" s="308"/>
      <c r="G302" s="309"/>
      <c r="H302" s="389"/>
      <c r="I302" s="307"/>
      <c r="J302" s="308"/>
      <c r="K302" s="309"/>
      <c r="L302" s="389"/>
      <c r="M302" s="307"/>
      <c r="N302" s="308"/>
      <c r="O302" s="309"/>
      <c r="P302" s="389"/>
      <c r="Q302" s="192"/>
      <c r="R302" s="149"/>
      <c r="S302" s="392"/>
      <c r="T302" s="393"/>
      <c r="U302" s="192"/>
      <c r="V302" s="149"/>
      <c r="W302" s="392"/>
      <c r="X302" s="393"/>
      <c r="Y302" s="192"/>
      <c r="Z302" s="149"/>
      <c r="AA302" s="392"/>
      <c r="AB302" s="393"/>
      <c r="AC302" s="192"/>
      <c r="AD302" s="149"/>
      <c r="AE302" s="392"/>
      <c r="AF302" s="393"/>
      <c r="AG302" s="143"/>
      <c r="AH302" s="143"/>
      <c r="AI302" s="143"/>
      <c r="AJ302" s="143"/>
      <c r="AK302" s="389"/>
      <c r="AL302" s="389"/>
      <c r="AM302" s="389"/>
    </row>
    <row r="303">
      <c r="A303" s="307"/>
      <c r="B303" s="308"/>
      <c r="C303" s="309"/>
      <c r="D303" s="389"/>
      <c r="E303" s="307"/>
      <c r="F303" s="308"/>
      <c r="G303" s="309"/>
      <c r="H303" s="389"/>
      <c r="I303" s="307"/>
      <c r="J303" s="308"/>
      <c r="K303" s="309"/>
      <c r="L303" s="389"/>
      <c r="M303" s="307"/>
      <c r="N303" s="308"/>
      <c r="O303" s="309"/>
      <c r="P303" s="389"/>
      <c r="Q303" s="192"/>
      <c r="R303" s="149"/>
      <c r="S303" s="392"/>
      <c r="T303" s="393"/>
      <c r="U303" s="192"/>
      <c r="V303" s="149"/>
      <c r="W303" s="392"/>
      <c r="X303" s="393"/>
      <c r="Y303" s="192"/>
      <c r="Z303" s="149"/>
      <c r="AA303" s="392"/>
      <c r="AB303" s="393"/>
      <c r="AC303" s="192"/>
      <c r="AD303" s="149"/>
      <c r="AE303" s="392"/>
      <c r="AF303" s="393"/>
      <c r="AG303" s="143"/>
      <c r="AH303" s="143"/>
      <c r="AI303" s="143"/>
      <c r="AJ303" s="143"/>
      <c r="AK303" s="389"/>
      <c r="AL303" s="389"/>
      <c r="AM303" s="389"/>
    </row>
    <row r="304">
      <c r="A304" s="307"/>
      <c r="B304" s="308"/>
      <c r="C304" s="309"/>
      <c r="D304" s="389"/>
      <c r="E304" s="307"/>
      <c r="F304" s="308"/>
      <c r="G304" s="309"/>
      <c r="H304" s="389"/>
      <c r="I304" s="307"/>
      <c r="J304" s="308"/>
      <c r="K304" s="309"/>
      <c r="L304" s="389"/>
      <c r="M304" s="307"/>
      <c r="N304" s="308"/>
      <c r="O304" s="309"/>
      <c r="P304" s="389"/>
      <c r="Q304" s="192"/>
      <c r="R304" s="149"/>
      <c r="S304" s="392"/>
      <c r="T304" s="393"/>
      <c r="U304" s="192"/>
      <c r="V304" s="149"/>
      <c r="W304" s="392"/>
      <c r="X304" s="393"/>
      <c r="Y304" s="192"/>
      <c r="Z304" s="149"/>
      <c r="AA304" s="392"/>
      <c r="AB304" s="393"/>
      <c r="AC304" s="192"/>
      <c r="AD304" s="149"/>
      <c r="AE304" s="392"/>
      <c r="AF304" s="393"/>
      <c r="AG304" s="143"/>
      <c r="AH304" s="143"/>
      <c r="AI304" s="143"/>
      <c r="AJ304" s="143"/>
      <c r="AK304" s="389"/>
      <c r="AL304" s="389"/>
      <c r="AM304" s="389"/>
    </row>
    <row r="305">
      <c r="A305" s="307"/>
      <c r="B305" s="308"/>
      <c r="C305" s="309"/>
      <c r="D305" s="389"/>
      <c r="E305" s="307"/>
      <c r="F305" s="308"/>
      <c r="G305" s="309"/>
      <c r="H305" s="389"/>
      <c r="I305" s="307"/>
      <c r="J305" s="308"/>
      <c r="K305" s="309"/>
      <c r="L305" s="389"/>
      <c r="M305" s="307"/>
      <c r="N305" s="308"/>
      <c r="O305" s="309"/>
      <c r="P305" s="389"/>
      <c r="Q305" s="192"/>
      <c r="R305" s="149"/>
      <c r="S305" s="392"/>
      <c r="T305" s="393"/>
      <c r="U305" s="192"/>
      <c r="V305" s="149"/>
      <c r="W305" s="392"/>
      <c r="X305" s="393"/>
      <c r="Y305" s="192"/>
      <c r="Z305" s="149"/>
      <c r="AA305" s="392"/>
      <c r="AB305" s="393"/>
      <c r="AC305" s="192"/>
      <c r="AD305" s="149"/>
      <c r="AE305" s="392"/>
      <c r="AF305" s="393"/>
      <c r="AG305" s="143"/>
      <c r="AH305" s="143"/>
      <c r="AI305" s="143"/>
      <c r="AJ305" s="143"/>
      <c r="AK305" s="389"/>
      <c r="AL305" s="389"/>
      <c r="AM305" s="389"/>
    </row>
    <row r="306">
      <c r="A306" s="307"/>
      <c r="B306" s="308"/>
      <c r="C306" s="309"/>
      <c r="D306" s="389"/>
      <c r="E306" s="307"/>
      <c r="F306" s="308"/>
      <c r="G306" s="309"/>
      <c r="H306" s="389"/>
      <c r="I306" s="307"/>
      <c r="J306" s="308"/>
      <c r="K306" s="309"/>
      <c r="L306" s="389"/>
      <c r="M306" s="307"/>
      <c r="N306" s="308"/>
      <c r="O306" s="309"/>
      <c r="P306" s="389"/>
      <c r="Q306" s="192"/>
      <c r="R306" s="149"/>
      <c r="S306" s="392"/>
      <c r="T306" s="393"/>
      <c r="U306" s="192"/>
      <c r="V306" s="149"/>
      <c r="W306" s="392"/>
      <c r="X306" s="393"/>
      <c r="Y306" s="192"/>
      <c r="Z306" s="149"/>
      <c r="AA306" s="392"/>
      <c r="AB306" s="393"/>
      <c r="AC306" s="192"/>
      <c r="AD306" s="149"/>
      <c r="AE306" s="392"/>
      <c r="AF306" s="393"/>
      <c r="AG306" s="143"/>
      <c r="AH306" s="143"/>
      <c r="AI306" s="143"/>
      <c r="AJ306" s="143"/>
      <c r="AK306" s="389"/>
      <c r="AL306" s="389"/>
      <c r="AM306" s="389"/>
    </row>
    <row r="307">
      <c r="A307" s="307"/>
      <c r="B307" s="308"/>
      <c r="C307" s="309"/>
      <c r="D307" s="389"/>
      <c r="E307" s="307"/>
      <c r="F307" s="308"/>
      <c r="G307" s="309"/>
      <c r="H307" s="389"/>
      <c r="I307" s="307"/>
      <c r="J307" s="308"/>
      <c r="K307" s="309"/>
      <c r="L307" s="389"/>
      <c r="M307" s="307"/>
      <c r="N307" s="308"/>
      <c r="O307" s="309"/>
      <c r="P307" s="389"/>
      <c r="Q307" s="192"/>
      <c r="R307" s="149"/>
      <c r="S307" s="392"/>
      <c r="T307" s="393"/>
      <c r="U307" s="192"/>
      <c r="V307" s="149"/>
      <c r="W307" s="392"/>
      <c r="X307" s="393"/>
      <c r="Y307" s="192"/>
      <c r="Z307" s="149"/>
      <c r="AA307" s="392"/>
      <c r="AB307" s="393"/>
      <c r="AC307" s="192"/>
      <c r="AD307" s="149"/>
      <c r="AE307" s="392"/>
      <c r="AF307" s="393"/>
      <c r="AG307" s="143"/>
      <c r="AH307" s="143"/>
      <c r="AI307" s="143"/>
      <c r="AJ307" s="143"/>
      <c r="AK307" s="389"/>
      <c r="AL307" s="389"/>
      <c r="AM307" s="389"/>
    </row>
    <row r="308">
      <c r="A308" s="307"/>
      <c r="B308" s="308"/>
      <c r="C308" s="309"/>
      <c r="D308" s="389"/>
      <c r="E308" s="307"/>
      <c r="F308" s="308"/>
      <c r="G308" s="309"/>
      <c r="H308" s="389"/>
      <c r="I308" s="307"/>
      <c r="J308" s="308"/>
      <c r="K308" s="309"/>
      <c r="L308" s="389"/>
      <c r="M308" s="307"/>
      <c r="N308" s="308"/>
      <c r="O308" s="309"/>
      <c r="P308" s="389"/>
      <c r="Q308" s="192"/>
      <c r="R308" s="149"/>
      <c r="S308" s="392"/>
      <c r="T308" s="393"/>
      <c r="U308" s="192"/>
      <c r="V308" s="149"/>
      <c r="W308" s="392"/>
      <c r="X308" s="393"/>
      <c r="Y308" s="192"/>
      <c r="Z308" s="149"/>
      <c r="AA308" s="392"/>
      <c r="AB308" s="393"/>
      <c r="AC308" s="192"/>
      <c r="AD308" s="149"/>
      <c r="AE308" s="392"/>
      <c r="AF308" s="393"/>
      <c r="AG308" s="143"/>
      <c r="AH308" s="143"/>
      <c r="AI308" s="143"/>
      <c r="AJ308" s="143"/>
      <c r="AK308" s="389"/>
      <c r="AL308" s="389"/>
      <c r="AM308" s="389"/>
    </row>
    <row r="309">
      <c r="A309" s="307"/>
      <c r="B309" s="308"/>
      <c r="C309" s="309"/>
      <c r="D309" s="389"/>
      <c r="E309" s="307"/>
      <c r="F309" s="308"/>
      <c r="G309" s="309"/>
      <c r="H309" s="389"/>
      <c r="I309" s="307"/>
      <c r="J309" s="308"/>
      <c r="K309" s="309"/>
      <c r="L309" s="389"/>
      <c r="M309" s="307"/>
      <c r="N309" s="308"/>
      <c r="O309" s="309"/>
      <c r="P309" s="389"/>
      <c r="Q309" s="192"/>
      <c r="R309" s="149"/>
      <c r="S309" s="392"/>
      <c r="T309" s="393"/>
      <c r="U309" s="192"/>
      <c r="V309" s="149"/>
      <c r="W309" s="392"/>
      <c r="X309" s="393"/>
      <c r="Y309" s="192"/>
      <c r="Z309" s="149"/>
      <c r="AA309" s="392"/>
      <c r="AB309" s="393"/>
      <c r="AC309" s="192"/>
      <c r="AD309" s="149"/>
      <c r="AE309" s="392"/>
      <c r="AF309" s="393"/>
      <c r="AG309" s="143"/>
      <c r="AH309" s="143"/>
      <c r="AI309" s="143"/>
      <c r="AJ309" s="143"/>
      <c r="AK309" s="389"/>
      <c r="AL309" s="389"/>
      <c r="AM309" s="389"/>
    </row>
    <row r="310">
      <c r="A310" s="307"/>
      <c r="B310" s="308"/>
      <c r="C310" s="309"/>
      <c r="D310" s="389"/>
      <c r="E310" s="307"/>
      <c r="F310" s="308"/>
      <c r="G310" s="309"/>
      <c r="H310" s="389"/>
      <c r="I310" s="307"/>
      <c r="J310" s="308"/>
      <c r="K310" s="309"/>
      <c r="L310" s="389"/>
      <c r="M310" s="307"/>
      <c r="N310" s="308"/>
      <c r="O310" s="309"/>
      <c r="P310" s="389"/>
      <c r="Q310" s="192"/>
      <c r="R310" s="149"/>
      <c r="S310" s="392"/>
      <c r="T310" s="393"/>
      <c r="U310" s="192"/>
      <c r="V310" s="149"/>
      <c r="W310" s="392"/>
      <c r="X310" s="393"/>
      <c r="Y310" s="192"/>
      <c r="Z310" s="149"/>
      <c r="AA310" s="392"/>
      <c r="AB310" s="393"/>
      <c r="AC310" s="192"/>
      <c r="AD310" s="149"/>
      <c r="AE310" s="392"/>
      <c r="AF310" s="393"/>
      <c r="AG310" s="143"/>
      <c r="AH310" s="143"/>
      <c r="AI310" s="143"/>
      <c r="AJ310" s="143"/>
      <c r="AK310" s="389"/>
      <c r="AL310" s="389"/>
      <c r="AM310" s="389"/>
    </row>
    <row r="311">
      <c r="A311" s="307"/>
      <c r="B311" s="308"/>
      <c r="C311" s="309"/>
      <c r="D311" s="389"/>
      <c r="E311" s="307"/>
      <c r="F311" s="308"/>
      <c r="G311" s="309"/>
      <c r="H311" s="389"/>
      <c r="I311" s="307"/>
      <c r="J311" s="308"/>
      <c r="K311" s="309"/>
      <c r="L311" s="389"/>
      <c r="M311" s="307"/>
      <c r="N311" s="308"/>
      <c r="O311" s="309"/>
      <c r="P311" s="389"/>
      <c r="Q311" s="192"/>
      <c r="R311" s="149"/>
      <c r="S311" s="392"/>
      <c r="T311" s="393"/>
      <c r="U311" s="192"/>
      <c r="V311" s="149"/>
      <c r="W311" s="392"/>
      <c r="X311" s="393"/>
      <c r="Y311" s="192"/>
      <c r="Z311" s="149"/>
      <c r="AA311" s="392"/>
      <c r="AB311" s="393"/>
      <c r="AC311" s="192"/>
      <c r="AD311" s="149"/>
      <c r="AE311" s="392"/>
      <c r="AF311" s="393"/>
      <c r="AG311" s="143"/>
      <c r="AH311" s="143"/>
      <c r="AI311" s="143"/>
      <c r="AJ311" s="143"/>
      <c r="AK311" s="389"/>
      <c r="AL311" s="389"/>
      <c r="AM311" s="389"/>
    </row>
    <row r="312">
      <c r="A312" s="307"/>
      <c r="B312" s="308"/>
      <c r="C312" s="309"/>
      <c r="D312" s="389"/>
      <c r="E312" s="307"/>
      <c r="F312" s="308"/>
      <c r="G312" s="309"/>
      <c r="H312" s="389"/>
      <c r="I312" s="307"/>
      <c r="J312" s="308"/>
      <c r="K312" s="309"/>
      <c r="L312" s="389"/>
      <c r="M312" s="307"/>
      <c r="N312" s="308"/>
      <c r="O312" s="309"/>
      <c r="P312" s="389"/>
      <c r="Q312" s="192"/>
      <c r="R312" s="149"/>
      <c r="S312" s="392"/>
      <c r="T312" s="393"/>
      <c r="U312" s="192"/>
      <c r="V312" s="149"/>
      <c r="W312" s="392"/>
      <c r="X312" s="393"/>
      <c r="Y312" s="192"/>
      <c r="Z312" s="149"/>
      <c r="AA312" s="392"/>
      <c r="AB312" s="393"/>
      <c r="AC312" s="192"/>
      <c r="AD312" s="149"/>
      <c r="AE312" s="392"/>
      <c r="AF312" s="393"/>
      <c r="AG312" s="143"/>
      <c r="AH312" s="143"/>
      <c r="AI312" s="143"/>
      <c r="AJ312" s="143"/>
      <c r="AK312" s="389"/>
      <c r="AL312" s="389"/>
      <c r="AM312" s="389"/>
    </row>
    <row r="313">
      <c r="A313" s="307"/>
      <c r="B313" s="308"/>
      <c r="C313" s="309"/>
      <c r="D313" s="389"/>
      <c r="E313" s="307"/>
      <c r="F313" s="308"/>
      <c r="G313" s="309"/>
      <c r="H313" s="389"/>
      <c r="I313" s="307"/>
      <c r="J313" s="308"/>
      <c r="K313" s="309"/>
      <c r="L313" s="389"/>
      <c r="M313" s="307"/>
      <c r="N313" s="308"/>
      <c r="O313" s="309"/>
      <c r="P313" s="389"/>
      <c r="Q313" s="192"/>
      <c r="R313" s="149"/>
      <c r="S313" s="392"/>
      <c r="T313" s="393"/>
      <c r="U313" s="192"/>
      <c r="V313" s="149"/>
      <c r="W313" s="392"/>
      <c r="X313" s="393"/>
      <c r="Y313" s="192"/>
      <c r="Z313" s="149"/>
      <c r="AA313" s="392"/>
      <c r="AB313" s="393"/>
      <c r="AC313" s="192"/>
      <c r="AD313" s="149"/>
      <c r="AE313" s="392"/>
      <c r="AF313" s="393"/>
      <c r="AG313" s="143"/>
      <c r="AH313" s="143"/>
      <c r="AI313" s="143"/>
      <c r="AJ313" s="143"/>
      <c r="AK313" s="389"/>
      <c r="AL313" s="389"/>
      <c r="AM313" s="389"/>
    </row>
    <row r="314">
      <c r="A314" s="307"/>
      <c r="B314" s="308"/>
      <c r="C314" s="309"/>
      <c r="D314" s="389"/>
      <c r="E314" s="307"/>
      <c r="F314" s="308"/>
      <c r="G314" s="309"/>
      <c r="H314" s="389"/>
      <c r="I314" s="307"/>
      <c r="J314" s="308"/>
      <c r="K314" s="309"/>
      <c r="L314" s="389"/>
      <c r="M314" s="307"/>
      <c r="N314" s="308"/>
      <c r="O314" s="309"/>
      <c r="P314" s="389"/>
      <c r="Q314" s="192"/>
      <c r="R314" s="149"/>
      <c r="S314" s="392"/>
      <c r="T314" s="393"/>
      <c r="U314" s="192"/>
      <c r="V314" s="149"/>
      <c r="W314" s="392"/>
      <c r="X314" s="393"/>
      <c r="Y314" s="192"/>
      <c r="Z314" s="149"/>
      <c r="AA314" s="392"/>
      <c r="AB314" s="393"/>
      <c r="AC314" s="192"/>
      <c r="AD314" s="149"/>
      <c r="AE314" s="392"/>
      <c r="AF314" s="393"/>
      <c r="AG314" s="143"/>
      <c r="AH314" s="143"/>
      <c r="AI314" s="143"/>
      <c r="AJ314" s="143"/>
      <c r="AK314" s="389"/>
      <c r="AL314" s="389"/>
      <c r="AM314" s="389"/>
    </row>
    <row r="315">
      <c r="A315" s="307"/>
      <c r="B315" s="308"/>
      <c r="C315" s="309"/>
      <c r="D315" s="389"/>
      <c r="E315" s="307"/>
      <c r="F315" s="308"/>
      <c r="G315" s="309"/>
      <c r="H315" s="389"/>
      <c r="I315" s="307"/>
      <c r="J315" s="308"/>
      <c r="K315" s="309"/>
      <c r="L315" s="389"/>
      <c r="M315" s="307"/>
      <c r="N315" s="308"/>
      <c r="O315" s="309"/>
      <c r="P315" s="389"/>
      <c r="Q315" s="192"/>
      <c r="R315" s="149"/>
      <c r="S315" s="392"/>
      <c r="T315" s="393"/>
      <c r="U315" s="192"/>
      <c r="V315" s="149"/>
      <c r="W315" s="392"/>
      <c r="X315" s="393"/>
      <c r="Y315" s="192"/>
      <c r="Z315" s="149"/>
      <c r="AA315" s="392"/>
      <c r="AB315" s="393"/>
      <c r="AC315" s="192"/>
      <c r="AD315" s="149"/>
      <c r="AE315" s="392"/>
      <c r="AF315" s="393"/>
      <c r="AG315" s="143"/>
      <c r="AH315" s="143"/>
      <c r="AI315" s="143"/>
      <c r="AJ315" s="143"/>
      <c r="AK315" s="389"/>
      <c r="AL315" s="389"/>
      <c r="AM315" s="389"/>
    </row>
    <row r="316">
      <c r="A316" s="307"/>
      <c r="B316" s="308"/>
      <c r="C316" s="309"/>
      <c r="D316" s="389"/>
      <c r="E316" s="307"/>
      <c r="F316" s="308"/>
      <c r="G316" s="309"/>
      <c r="H316" s="389"/>
      <c r="I316" s="307"/>
      <c r="J316" s="308"/>
      <c r="K316" s="309"/>
      <c r="L316" s="389"/>
      <c r="M316" s="307"/>
      <c r="N316" s="308"/>
      <c r="O316" s="309"/>
      <c r="P316" s="389"/>
      <c r="Q316" s="192"/>
      <c r="R316" s="149"/>
      <c r="S316" s="392"/>
      <c r="T316" s="393"/>
      <c r="U316" s="192"/>
      <c r="V316" s="149"/>
      <c r="W316" s="392"/>
      <c r="X316" s="393"/>
      <c r="Y316" s="192"/>
      <c r="Z316" s="149"/>
      <c r="AA316" s="392"/>
      <c r="AB316" s="393"/>
      <c r="AC316" s="192"/>
      <c r="AD316" s="149"/>
      <c r="AE316" s="392"/>
      <c r="AF316" s="393"/>
      <c r="AG316" s="143"/>
      <c r="AH316" s="143"/>
      <c r="AI316" s="143"/>
      <c r="AJ316" s="143"/>
      <c r="AK316" s="389"/>
      <c r="AL316" s="389"/>
      <c r="AM316" s="389"/>
    </row>
    <row r="317">
      <c r="A317" s="307"/>
      <c r="B317" s="308"/>
      <c r="C317" s="309"/>
      <c r="D317" s="389"/>
      <c r="E317" s="307"/>
      <c r="F317" s="308"/>
      <c r="G317" s="309"/>
      <c r="H317" s="389"/>
      <c r="I317" s="307"/>
      <c r="J317" s="308"/>
      <c r="K317" s="309"/>
      <c r="L317" s="389"/>
      <c r="M317" s="307"/>
      <c r="N317" s="308"/>
      <c r="O317" s="309"/>
      <c r="P317" s="389"/>
      <c r="Q317" s="192"/>
      <c r="R317" s="149"/>
      <c r="S317" s="392"/>
      <c r="T317" s="393"/>
      <c r="U317" s="192"/>
      <c r="V317" s="149"/>
      <c r="W317" s="392"/>
      <c r="X317" s="393"/>
      <c r="Y317" s="192"/>
      <c r="Z317" s="149"/>
      <c r="AA317" s="392"/>
      <c r="AB317" s="393"/>
      <c r="AC317" s="192"/>
      <c r="AD317" s="149"/>
      <c r="AE317" s="392"/>
      <c r="AF317" s="393"/>
      <c r="AG317" s="143"/>
      <c r="AH317" s="143"/>
      <c r="AI317" s="143"/>
      <c r="AJ317" s="143"/>
      <c r="AK317" s="389"/>
      <c r="AL317" s="389"/>
      <c r="AM317" s="389"/>
    </row>
    <row r="318">
      <c r="A318" s="307"/>
      <c r="B318" s="308"/>
      <c r="C318" s="309"/>
      <c r="D318" s="389"/>
      <c r="E318" s="307"/>
      <c r="F318" s="308"/>
      <c r="G318" s="309"/>
      <c r="H318" s="389"/>
      <c r="I318" s="307"/>
      <c r="J318" s="308"/>
      <c r="K318" s="309"/>
      <c r="L318" s="389"/>
      <c r="M318" s="307"/>
      <c r="N318" s="308"/>
      <c r="O318" s="309"/>
      <c r="P318" s="389"/>
      <c r="Q318" s="192"/>
      <c r="R318" s="149"/>
      <c r="S318" s="392"/>
      <c r="T318" s="393"/>
      <c r="U318" s="192"/>
      <c r="V318" s="149"/>
      <c r="W318" s="392"/>
      <c r="X318" s="393"/>
      <c r="Y318" s="192"/>
      <c r="Z318" s="149"/>
      <c r="AA318" s="392"/>
      <c r="AB318" s="393"/>
      <c r="AC318" s="192"/>
      <c r="AD318" s="149"/>
      <c r="AE318" s="392"/>
      <c r="AF318" s="393"/>
      <c r="AG318" s="143"/>
      <c r="AH318" s="143"/>
      <c r="AI318" s="143"/>
      <c r="AJ318" s="143"/>
      <c r="AK318" s="389"/>
      <c r="AL318" s="389"/>
      <c r="AM318" s="389"/>
    </row>
    <row r="319">
      <c r="A319" s="307"/>
      <c r="B319" s="308"/>
      <c r="C319" s="309"/>
      <c r="D319" s="389"/>
      <c r="E319" s="307"/>
      <c r="F319" s="308"/>
      <c r="G319" s="309"/>
      <c r="H319" s="389"/>
      <c r="I319" s="307"/>
      <c r="J319" s="308"/>
      <c r="K319" s="309"/>
      <c r="L319" s="389"/>
      <c r="M319" s="307"/>
      <c r="N319" s="308"/>
      <c r="O319" s="309"/>
      <c r="P319" s="389"/>
      <c r="Q319" s="192"/>
      <c r="R319" s="149"/>
      <c r="S319" s="392"/>
      <c r="T319" s="393"/>
      <c r="U319" s="192"/>
      <c r="V319" s="149"/>
      <c r="W319" s="392"/>
      <c r="X319" s="393"/>
      <c r="Y319" s="192"/>
      <c r="Z319" s="149"/>
      <c r="AA319" s="392"/>
      <c r="AB319" s="393"/>
      <c r="AC319" s="192"/>
      <c r="AD319" s="149"/>
      <c r="AE319" s="392"/>
      <c r="AF319" s="393"/>
      <c r="AG319" s="143"/>
      <c r="AH319" s="143"/>
      <c r="AI319" s="143"/>
      <c r="AJ319" s="143"/>
      <c r="AK319" s="389"/>
      <c r="AL319" s="389"/>
      <c r="AM319" s="389"/>
    </row>
    <row r="320">
      <c r="A320" s="307"/>
      <c r="B320" s="308"/>
      <c r="C320" s="309"/>
      <c r="D320" s="389"/>
      <c r="E320" s="307"/>
      <c r="F320" s="308"/>
      <c r="G320" s="309"/>
      <c r="H320" s="389"/>
      <c r="I320" s="307"/>
      <c r="J320" s="308"/>
      <c r="K320" s="309"/>
      <c r="L320" s="389"/>
      <c r="M320" s="307"/>
      <c r="N320" s="308"/>
      <c r="O320" s="309"/>
      <c r="P320" s="389"/>
      <c r="Q320" s="192"/>
      <c r="R320" s="149"/>
      <c r="S320" s="392"/>
      <c r="T320" s="393"/>
      <c r="U320" s="192"/>
      <c r="V320" s="149"/>
      <c r="W320" s="392"/>
      <c r="X320" s="393"/>
      <c r="Y320" s="192"/>
      <c r="Z320" s="149"/>
      <c r="AA320" s="392"/>
      <c r="AB320" s="393"/>
      <c r="AC320" s="192"/>
      <c r="AD320" s="149"/>
      <c r="AE320" s="392"/>
      <c r="AF320" s="393"/>
      <c r="AG320" s="143"/>
      <c r="AH320" s="143"/>
      <c r="AI320" s="143"/>
      <c r="AJ320" s="143"/>
      <c r="AK320" s="389"/>
      <c r="AL320" s="389"/>
      <c r="AM320" s="389"/>
    </row>
    <row r="321">
      <c r="A321" s="307"/>
      <c r="B321" s="308"/>
      <c r="C321" s="309"/>
      <c r="D321" s="389"/>
      <c r="E321" s="307"/>
      <c r="F321" s="308"/>
      <c r="G321" s="309"/>
      <c r="H321" s="389"/>
      <c r="I321" s="307"/>
      <c r="J321" s="308"/>
      <c r="K321" s="309"/>
      <c r="L321" s="389"/>
      <c r="M321" s="307"/>
      <c r="N321" s="308"/>
      <c r="O321" s="309"/>
      <c r="P321" s="389"/>
      <c r="Q321" s="192"/>
      <c r="R321" s="149"/>
      <c r="S321" s="392"/>
      <c r="T321" s="393"/>
      <c r="U321" s="192"/>
      <c r="V321" s="149"/>
      <c r="W321" s="392"/>
      <c r="X321" s="393"/>
      <c r="Y321" s="192"/>
      <c r="Z321" s="149"/>
      <c r="AA321" s="392"/>
      <c r="AB321" s="393"/>
      <c r="AC321" s="192"/>
      <c r="AD321" s="149"/>
      <c r="AE321" s="392"/>
      <c r="AF321" s="393"/>
      <c r="AG321" s="143"/>
      <c r="AH321" s="143"/>
      <c r="AI321" s="143"/>
      <c r="AJ321" s="143"/>
      <c r="AK321" s="389"/>
      <c r="AL321" s="389"/>
      <c r="AM321" s="389"/>
    </row>
    <row r="322">
      <c r="A322" s="307"/>
      <c r="B322" s="308"/>
      <c r="C322" s="309"/>
      <c r="D322" s="389"/>
      <c r="E322" s="307"/>
      <c r="F322" s="308"/>
      <c r="G322" s="309"/>
      <c r="H322" s="389"/>
      <c r="I322" s="307"/>
      <c r="J322" s="308"/>
      <c r="K322" s="309"/>
      <c r="L322" s="389"/>
      <c r="M322" s="307"/>
      <c r="N322" s="308"/>
      <c r="O322" s="309"/>
      <c r="P322" s="389"/>
      <c r="Q322" s="192"/>
      <c r="R322" s="149"/>
      <c r="S322" s="392"/>
      <c r="T322" s="393"/>
      <c r="U322" s="192"/>
      <c r="V322" s="149"/>
      <c r="W322" s="392"/>
      <c r="X322" s="393"/>
      <c r="Y322" s="192"/>
      <c r="Z322" s="149"/>
      <c r="AA322" s="392"/>
      <c r="AB322" s="393"/>
      <c r="AC322" s="192"/>
      <c r="AD322" s="149"/>
      <c r="AE322" s="392"/>
      <c r="AF322" s="393"/>
      <c r="AG322" s="143"/>
      <c r="AH322" s="143"/>
      <c r="AI322" s="143"/>
      <c r="AJ322" s="143"/>
      <c r="AK322" s="389"/>
      <c r="AL322" s="389"/>
      <c r="AM322" s="389"/>
    </row>
    <row r="323">
      <c r="A323" s="307"/>
      <c r="B323" s="308"/>
      <c r="C323" s="309"/>
      <c r="D323" s="389"/>
      <c r="E323" s="307"/>
      <c r="F323" s="308"/>
      <c r="G323" s="309"/>
      <c r="H323" s="389"/>
      <c r="I323" s="307"/>
      <c r="J323" s="308"/>
      <c r="K323" s="309"/>
      <c r="L323" s="389"/>
      <c r="M323" s="307"/>
      <c r="N323" s="308"/>
      <c r="O323" s="309"/>
      <c r="P323" s="389"/>
      <c r="Q323" s="192"/>
      <c r="R323" s="149"/>
      <c r="S323" s="392"/>
      <c r="T323" s="393"/>
      <c r="U323" s="192"/>
      <c r="V323" s="149"/>
      <c r="W323" s="392"/>
      <c r="X323" s="393"/>
      <c r="Y323" s="192"/>
      <c r="Z323" s="149"/>
      <c r="AA323" s="392"/>
      <c r="AB323" s="393"/>
      <c r="AC323" s="192"/>
      <c r="AD323" s="149"/>
      <c r="AE323" s="392"/>
      <c r="AF323" s="393"/>
      <c r="AG323" s="143"/>
      <c r="AH323" s="143"/>
      <c r="AI323" s="143"/>
      <c r="AJ323" s="143"/>
      <c r="AK323" s="389"/>
      <c r="AL323" s="389"/>
      <c r="AM323" s="389"/>
    </row>
    <row r="324">
      <c r="A324" s="307"/>
      <c r="B324" s="308"/>
      <c r="C324" s="309"/>
      <c r="D324" s="389"/>
      <c r="E324" s="307"/>
      <c r="F324" s="308"/>
      <c r="G324" s="309"/>
      <c r="H324" s="389"/>
      <c r="I324" s="307"/>
      <c r="J324" s="308"/>
      <c r="K324" s="309"/>
      <c r="L324" s="389"/>
      <c r="M324" s="307"/>
      <c r="N324" s="308"/>
      <c r="O324" s="309"/>
      <c r="P324" s="389"/>
      <c r="Q324" s="192"/>
      <c r="R324" s="149"/>
      <c r="S324" s="392"/>
      <c r="T324" s="393"/>
      <c r="U324" s="192"/>
      <c r="V324" s="149"/>
      <c r="W324" s="392"/>
      <c r="X324" s="393"/>
      <c r="Y324" s="192"/>
      <c r="Z324" s="149"/>
      <c r="AA324" s="392"/>
      <c r="AB324" s="393"/>
      <c r="AC324" s="192"/>
      <c r="AD324" s="149"/>
      <c r="AE324" s="392"/>
      <c r="AF324" s="393"/>
      <c r="AG324" s="143"/>
      <c r="AH324" s="143"/>
      <c r="AI324" s="143"/>
      <c r="AJ324" s="143"/>
      <c r="AK324" s="389"/>
      <c r="AL324" s="389"/>
      <c r="AM324" s="389"/>
    </row>
    <row r="325">
      <c r="A325" s="307"/>
      <c r="B325" s="308"/>
      <c r="C325" s="309"/>
      <c r="D325" s="389"/>
      <c r="E325" s="307"/>
      <c r="F325" s="308"/>
      <c r="G325" s="309"/>
      <c r="H325" s="389"/>
      <c r="I325" s="307"/>
      <c r="J325" s="308"/>
      <c r="K325" s="309"/>
      <c r="L325" s="389"/>
      <c r="M325" s="307"/>
      <c r="N325" s="308"/>
      <c r="O325" s="309"/>
      <c r="P325" s="389"/>
      <c r="Q325" s="192"/>
      <c r="R325" s="149"/>
      <c r="S325" s="392"/>
      <c r="T325" s="393"/>
      <c r="U325" s="192"/>
      <c r="V325" s="149"/>
      <c r="W325" s="392"/>
      <c r="X325" s="393"/>
      <c r="Y325" s="192"/>
      <c r="Z325" s="149"/>
      <c r="AA325" s="392"/>
      <c r="AB325" s="393"/>
      <c r="AC325" s="192"/>
      <c r="AD325" s="149"/>
      <c r="AE325" s="392"/>
      <c r="AF325" s="393"/>
      <c r="AG325" s="143"/>
      <c r="AH325" s="143"/>
      <c r="AI325" s="143"/>
      <c r="AJ325" s="143"/>
      <c r="AK325" s="389"/>
      <c r="AL325" s="389"/>
      <c r="AM325" s="389"/>
    </row>
    <row r="326">
      <c r="A326" s="307"/>
      <c r="B326" s="308"/>
      <c r="C326" s="309"/>
      <c r="D326" s="389"/>
      <c r="E326" s="307"/>
      <c r="F326" s="308"/>
      <c r="G326" s="309"/>
      <c r="H326" s="389"/>
      <c r="I326" s="307"/>
      <c r="J326" s="308"/>
      <c r="K326" s="309"/>
      <c r="L326" s="389"/>
      <c r="M326" s="307"/>
      <c r="N326" s="308"/>
      <c r="O326" s="309"/>
      <c r="P326" s="389"/>
      <c r="Q326" s="192"/>
      <c r="R326" s="149"/>
      <c r="S326" s="392"/>
      <c r="T326" s="393"/>
      <c r="U326" s="192"/>
      <c r="V326" s="149"/>
      <c r="W326" s="392"/>
      <c r="X326" s="393"/>
      <c r="Y326" s="192"/>
      <c r="Z326" s="149"/>
      <c r="AA326" s="392"/>
      <c r="AB326" s="393"/>
      <c r="AC326" s="192"/>
      <c r="AD326" s="149"/>
      <c r="AE326" s="392"/>
      <c r="AF326" s="393"/>
      <c r="AG326" s="143"/>
      <c r="AH326" s="143"/>
      <c r="AI326" s="143"/>
      <c r="AJ326" s="143"/>
      <c r="AK326" s="389"/>
      <c r="AL326" s="389"/>
      <c r="AM326" s="389"/>
    </row>
    <row r="327">
      <c r="A327" s="307"/>
      <c r="B327" s="308"/>
      <c r="C327" s="309"/>
      <c r="D327" s="389"/>
      <c r="E327" s="307"/>
      <c r="F327" s="308"/>
      <c r="G327" s="309"/>
      <c r="H327" s="389"/>
      <c r="I327" s="307"/>
      <c r="J327" s="308"/>
      <c r="K327" s="309"/>
      <c r="L327" s="389"/>
      <c r="M327" s="307"/>
      <c r="N327" s="308"/>
      <c r="O327" s="309"/>
      <c r="P327" s="389"/>
      <c r="Q327" s="192"/>
      <c r="R327" s="149"/>
      <c r="S327" s="392"/>
      <c r="T327" s="393"/>
      <c r="U327" s="192"/>
      <c r="V327" s="149"/>
      <c r="W327" s="392"/>
      <c r="X327" s="393"/>
      <c r="Y327" s="192"/>
      <c r="Z327" s="149"/>
      <c r="AA327" s="392"/>
      <c r="AB327" s="393"/>
      <c r="AC327" s="192"/>
      <c r="AD327" s="149"/>
      <c r="AE327" s="392"/>
      <c r="AF327" s="393"/>
      <c r="AG327" s="143"/>
      <c r="AH327" s="143"/>
      <c r="AI327" s="143"/>
      <c r="AJ327" s="143"/>
      <c r="AK327" s="389"/>
      <c r="AL327" s="389"/>
      <c r="AM327" s="389"/>
    </row>
    <row r="328">
      <c r="A328" s="307"/>
      <c r="B328" s="308"/>
      <c r="C328" s="309"/>
      <c r="D328" s="389"/>
      <c r="E328" s="307"/>
      <c r="F328" s="308"/>
      <c r="G328" s="309"/>
      <c r="H328" s="389"/>
      <c r="I328" s="307"/>
      <c r="J328" s="308"/>
      <c r="K328" s="309"/>
      <c r="L328" s="389"/>
      <c r="M328" s="307"/>
      <c r="N328" s="308"/>
      <c r="O328" s="309"/>
      <c r="P328" s="389"/>
      <c r="Q328" s="192"/>
      <c r="R328" s="149"/>
      <c r="S328" s="392"/>
      <c r="T328" s="393"/>
      <c r="U328" s="192"/>
      <c r="V328" s="149"/>
      <c r="W328" s="392"/>
      <c r="X328" s="393"/>
      <c r="Y328" s="192"/>
      <c r="Z328" s="149"/>
      <c r="AA328" s="392"/>
      <c r="AB328" s="393"/>
      <c r="AC328" s="192"/>
      <c r="AD328" s="149"/>
      <c r="AE328" s="392"/>
      <c r="AF328" s="393"/>
      <c r="AG328" s="143"/>
      <c r="AH328" s="143"/>
      <c r="AI328" s="143"/>
      <c r="AJ328" s="143"/>
      <c r="AK328" s="389"/>
      <c r="AL328" s="389"/>
      <c r="AM328" s="389"/>
    </row>
    <row r="329">
      <c r="A329" s="307"/>
      <c r="B329" s="308"/>
      <c r="C329" s="309"/>
      <c r="D329" s="389"/>
      <c r="E329" s="307"/>
      <c r="F329" s="308"/>
      <c r="G329" s="309"/>
      <c r="H329" s="389"/>
      <c r="I329" s="307"/>
      <c r="J329" s="308"/>
      <c r="K329" s="309"/>
      <c r="L329" s="389"/>
      <c r="M329" s="307"/>
      <c r="N329" s="308"/>
      <c r="O329" s="309"/>
      <c r="P329" s="389"/>
      <c r="Q329" s="192"/>
      <c r="R329" s="149"/>
      <c r="S329" s="392"/>
      <c r="T329" s="393"/>
      <c r="U329" s="192"/>
      <c r="V329" s="149"/>
      <c r="W329" s="392"/>
      <c r="X329" s="393"/>
      <c r="Y329" s="192"/>
      <c r="Z329" s="149"/>
      <c r="AA329" s="392"/>
      <c r="AB329" s="393"/>
      <c r="AC329" s="192"/>
      <c r="AD329" s="149"/>
      <c r="AE329" s="392"/>
      <c r="AF329" s="393"/>
      <c r="AG329" s="143"/>
      <c r="AH329" s="143"/>
      <c r="AI329" s="143"/>
      <c r="AJ329" s="143"/>
      <c r="AK329" s="389"/>
      <c r="AL329" s="389"/>
      <c r="AM329" s="389"/>
    </row>
    <row r="330">
      <c r="A330" s="307"/>
      <c r="B330" s="308"/>
      <c r="C330" s="309"/>
      <c r="D330" s="389"/>
      <c r="E330" s="307"/>
      <c r="F330" s="308"/>
      <c r="G330" s="309"/>
      <c r="H330" s="389"/>
      <c r="I330" s="307"/>
      <c r="J330" s="308"/>
      <c r="K330" s="309"/>
      <c r="L330" s="389"/>
      <c r="M330" s="307"/>
      <c r="N330" s="308"/>
      <c r="O330" s="309"/>
      <c r="P330" s="389"/>
      <c r="Q330" s="192"/>
      <c r="R330" s="149"/>
      <c r="S330" s="392"/>
      <c r="T330" s="393"/>
      <c r="U330" s="192"/>
      <c r="V330" s="149"/>
      <c r="W330" s="392"/>
      <c r="X330" s="393"/>
      <c r="Y330" s="192"/>
      <c r="Z330" s="149"/>
      <c r="AA330" s="392"/>
      <c r="AB330" s="393"/>
      <c r="AC330" s="192"/>
      <c r="AD330" s="149"/>
      <c r="AE330" s="392"/>
      <c r="AF330" s="393"/>
      <c r="AG330" s="143"/>
      <c r="AH330" s="143"/>
      <c r="AI330" s="143"/>
      <c r="AJ330" s="143"/>
      <c r="AK330" s="389"/>
      <c r="AL330" s="389"/>
      <c r="AM330" s="389"/>
    </row>
    <row r="331">
      <c r="A331" s="307"/>
      <c r="B331" s="308"/>
      <c r="C331" s="309"/>
      <c r="D331" s="389"/>
      <c r="E331" s="307"/>
      <c r="F331" s="308"/>
      <c r="G331" s="309"/>
      <c r="H331" s="389"/>
      <c r="I331" s="307"/>
      <c r="J331" s="308"/>
      <c r="K331" s="309"/>
      <c r="L331" s="389"/>
      <c r="M331" s="307"/>
      <c r="N331" s="308"/>
      <c r="O331" s="309"/>
      <c r="P331" s="389"/>
      <c r="Q331" s="192"/>
      <c r="R331" s="149"/>
      <c r="S331" s="392"/>
      <c r="T331" s="393"/>
      <c r="U331" s="192"/>
      <c r="V331" s="149"/>
      <c r="W331" s="392"/>
      <c r="X331" s="393"/>
      <c r="Y331" s="192"/>
      <c r="Z331" s="149"/>
      <c r="AA331" s="392"/>
      <c r="AB331" s="393"/>
      <c r="AC331" s="192"/>
      <c r="AD331" s="149"/>
      <c r="AE331" s="392"/>
      <c r="AF331" s="393"/>
      <c r="AG331" s="143"/>
      <c r="AH331" s="143"/>
      <c r="AI331" s="143"/>
      <c r="AJ331" s="143"/>
      <c r="AK331" s="389"/>
      <c r="AL331" s="389"/>
      <c r="AM331" s="389"/>
    </row>
    <row r="332">
      <c r="A332" s="307"/>
      <c r="B332" s="308"/>
      <c r="C332" s="309"/>
      <c r="D332" s="389"/>
      <c r="E332" s="307"/>
      <c r="F332" s="308"/>
      <c r="G332" s="309"/>
      <c r="H332" s="389"/>
      <c r="I332" s="307"/>
      <c r="J332" s="308"/>
      <c r="K332" s="309"/>
      <c r="L332" s="389"/>
      <c r="M332" s="307"/>
      <c r="N332" s="308"/>
      <c r="O332" s="309"/>
      <c r="P332" s="389"/>
      <c r="Q332" s="192"/>
      <c r="R332" s="149"/>
      <c r="S332" s="392"/>
      <c r="T332" s="393"/>
      <c r="U332" s="192"/>
      <c r="V332" s="149"/>
      <c r="W332" s="392"/>
      <c r="X332" s="393"/>
      <c r="Y332" s="192"/>
      <c r="Z332" s="149"/>
      <c r="AA332" s="392"/>
      <c r="AB332" s="393"/>
      <c r="AC332" s="192"/>
      <c r="AD332" s="149"/>
      <c r="AE332" s="392"/>
      <c r="AF332" s="393"/>
      <c r="AG332" s="143"/>
      <c r="AH332" s="143"/>
      <c r="AI332" s="143"/>
      <c r="AJ332" s="143"/>
      <c r="AK332" s="389"/>
      <c r="AL332" s="389"/>
      <c r="AM332" s="389"/>
    </row>
    <row r="333">
      <c r="A333" s="307"/>
      <c r="B333" s="308"/>
      <c r="C333" s="309"/>
      <c r="D333" s="389"/>
      <c r="E333" s="307"/>
      <c r="F333" s="308"/>
      <c r="G333" s="309"/>
      <c r="H333" s="389"/>
      <c r="I333" s="307"/>
      <c r="J333" s="308"/>
      <c r="K333" s="309"/>
      <c r="L333" s="389"/>
      <c r="M333" s="307"/>
      <c r="N333" s="308"/>
      <c r="O333" s="309"/>
      <c r="P333" s="389"/>
      <c r="Q333" s="192"/>
      <c r="R333" s="149"/>
      <c r="S333" s="392"/>
      <c r="T333" s="393"/>
      <c r="U333" s="192"/>
      <c r="V333" s="149"/>
      <c r="W333" s="392"/>
      <c r="X333" s="393"/>
      <c r="Y333" s="192"/>
      <c r="Z333" s="149"/>
      <c r="AA333" s="392"/>
      <c r="AB333" s="393"/>
      <c r="AC333" s="192"/>
      <c r="AD333" s="149"/>
      <c r="AE333" s="392"/>
      <c r="AF333" s="393"/>
      <c r="AG333" s="143"/>
      <c r="AH333" s="143"/>
      <c r="AI333" s="143"/>
      <c r="AJ333" s="143"/>
      <c r="AK333" s="389"/>
      <c r="AL333" s="389"/>
      <c r="AM333" s="389"/>
    </row>
    <row r="334">
      <c r="A334" s="307"/>
      <c r="B334" s="308"/>
      <c r="C334" s="309"/>
      <c r="D334" s="389"/>
      <c r="E334" s="307"/>
      <c r="F334" s="308"/>
      <c r="G334" s="309"/>
      <c r="H334" s="389"/>
      <c r="I334" s="307"/>
      <c r="J334" s="308"/>
      <c r="K334" s="309"/>
      <c r="L334" s="389"/>
      <c r="M334" s="307"/>
      <c r="N334" s="308"/>
      <c r="O334" s="309"/>
      <c r="P334" s="389"/>
      <c r="Q334" s="192"/>
      <c r="R334" s="149"/>
      <c r="S334" s="392"/>
      <c r="T334" s="393"/>
      <c r="U334" s="192"/>
      <c r="V334" s="149"/>
      <c r="W334" s="392"/>
      <c r="X334" s="393"/>
      <c r="Y334" s="192"/>
      <c r="Z334" s="149"/>
      <c r="AA334" s="392"/>
      <c r="AB334" s="393"/>
      <c r="AC334" s="192"/>
      <c r="AD334" s="149"/>
      <c r="AE334" s="392"/>
      <c r="AF334" s="393"/>
      <c r="AG334" s="143"/>
      <c r="AH334" s="143"/>
      <c r="AI334" s="143"/>
      <c r="AJ334" s="143"/>
      <c r="AK334" s="389"/>
      <c r="AL334" s="389"/>
      <c r="AM334" s="389"/>
    </row>
    <row r="335">
      <c r="A335" s="307"/>
      <c r="B335" s="308"/>
      <c r="C335" s="309"/>
      <c r="D335" s="389"/>
      <c r="E335" s="307"/>
      <c r="F335" s="308"/>
      <c r="G335" s="309"/>
      <c r="H335" s="389"/>
      <c r="I335" s="307"/>
      <c r="J335" s="308"/>
      <c r="K335" s="309"/>
      <c r="L335" s="389"/>
      <c r="M335" s="307"/>
      <c r="N335" s="308"/>
      <c r="O335" s="309"/>
      <c r="P335" s="389"/>
      <c r="Q335" s="192"/>
      <c r="R335" s="149"/>
      <c r="S335" s="392"/>
      <c r="T335" s="393"/>
      <c r="U335" s="192"/>
      <c r="V335" s="149"/>
      <c r="W335" s="392"/>
      <c r="X335" s="393"/>
      <c r="Y335" s="192"/>
      <c r="Z335" s="149"/>
      <c r="AA335" s="392"/>
      <c r="AB335" s="393"/>
      <c r="AC335" s="192"/>
      <c r="AD335" s="149"/>
      <c r="AE335" s="392"/>
      <c r="AF335" s="393"/>
      <c r="AG335" s="143"/>
      <c r="AH335" s="143"/>
      <c r="AI335" s="143"/>
      <c r="AJ335" s="143"/>
      <c r="AK335" s="389"/>
      <c r="AL335" s="389"/>
      <c r="AM335" s="389"/>
    </row>
    <row r="336">
      <c r="A336" s="307"/>
      <c r="B336" s="308"/>
      <c r="C336" s="309"/>
      <c r="D336" s="389"/>
      <c r="E336" s="307"/>
      <c r="F336" s="308"/>
      <c r="G336" s="309"/>
      <c r="H336" s="389"/>
      <c r="I336" s="307"/>
      <c r="J336" s="308"/>
      <c r="K336" s="309"/>
      <c r="L336" s="389"/>
      <c r="M336" s="307"/>
      <c r="N336" s="308"/>
      <c r="O336" s="309"/>
      <c r="P336" s="389"/>
      <c r="Q336" s="192"/>
      <c r="R336" s="149"/>
      <c r="S336" s="392"/>
      <c r="T336" s="393"/>
      <c r="U336" s="192"/>
      <c r="V336" s="149"/>
      <c r="W336" s="392"/>
      <c r="X336" s="393"/>
      <c r="Y336" s="192"/>
      <c r="Z336" s="149"/>
      <c r="AA336" s="392"/>
      <c r="AB336" s="393"/>
      <c r="AC336" s="192"/>
      <c r="AD336" s="149"/>
      <c r="AE336" s="392"/>
      <c r="AF336" s="393"/>
      <c r="AG336" s="143"/>
      <c r="AH336" s="143"/>
      <c r="AI336" s="143"/>
      <c r="AJ336" s="143"/>
      <c r="AK336" s="389"/>
      <c r="AL336" s="389"/>
      <c r="AM336" s="389"/>
    </row>
    <row r="337">
      <c r="A337" s="307"/>
      <c r="B337" s="308"/>
      <c r="C337" s="309"/>
      <c r="D337" s="389"/>
      <c r="E337" s="307"/>
      <c r="F337" s="308"/>
      <c r="G337" s="309"/>
      <c r="H337" s="389"/>
      <c r="I337" s="307"/>
      <c r="J337" s="308"/>
      <c r="K337" s="309"/>
      <c r="L337" s="389"/>
      <c r="M337" s="307"/>
      <c r="N337" s="308"/>
      <c r="O337" s="309"/>
      <c r="P337" s="389"/>
      <c r="Q337" s="192"/>
      <c r="R337" s="149"/>
      <c r="S337" s="392"/>
      <c r="T337" s="393"/>
      <c r="U337" s="192"/>
      <c r="V337" s="149"/>
      <c r="W337" s="392"/>
      <c r="X337" s="393"/>
      <c r="Y337" s="192"/>
      <c r="Z337" s="149"/>
      <c r="AA337" s="392"/>
      <c r="AB337" s="393"/>
      <c r="AC337" s="192"/>
      <c r="AD337" s="149"/>
      <c r="AE337" s="392"/>
      <c r="AF337" s="393"/>
      <c r="AG337" s="143"/>
      <c r="AH337" s="143"/>
      <c r="AI337" s="143"/>
      <c r="AJ337" s="143"/>
      <c r="AK337" s="389"/>
      <c r="AL337" s="389"/>
      <c r="AM337" s="389"/>
    </row>
    <row r="338">
      <c r="A338" s="307"/>
      <c r="B338" s="308"/>
      <c r="C338" s="309"/>
      <c r="D338" s="389"/>
      <c r="E338" s="307"/>
      <c r="F338" s="308"/>
      <c r="G338" s="309"/>
      <c r="H338" s="389"/>
      <c r="I338" s="307"/>
      <c r="J338" s="308"/>
      <c r="K338" s="309"/>
      <c r="L338" s="389"/>
      <c r="M338" s="307"/>
      <c r="N338" s="308"/>
      <c r="O338" s="309"/>
      <c r="P338" s="389"/>
      <c r="Q338" s="192"/>
      <c r="R338" s="149"/>
      <c r="S338" s="392"/>
      <c r="T338" s="393"/>
      <c r="U338" s="192"/>
      <c r="V338" s="149"/>
      <c r="W338" s="392"/>
      <c r="X338" s="393"/>
      <c r="Y338" s="192"/>
      <c r="Z338" s="149"/>
      <c r="AA338" s="392"/>
      <c r="AB338" s="393"/>
      <c r="AC338" s="192"/>
      <c r="AD338" s="149"/>
      <c r="AE338" s="392"/>
      <c r="AF338" s="393"/>
      <c r="AG338" s="143"/>
      <c r="AH338" s="143"/>
      <c r="AI338" s="143"/>
      <c r="AJ338" s="143"/>
      <c r="AK338" s="389"/>
      <c r="AL338" s="389"/>
      <c r="AM338" s="389"/>
    </row>
    <row r="339">
      <c r="A339" s="307"/>
      <c r="B339" s="308"/>
      <c r="C339" s="309"/>
      <c r="D339" s="389"/>
      <c r="E339" s="307"/>
      <c r="F339" s="308"/>
      <c r="G339" s="309"/>
      <c r="H339" s="389"/>
      <c r="I339" s="307"/>
      <c r="J339" s="308"/>
      <c r="K339" s="309"/>
      <c r="L339" s="389"/>
      <c r="M339" s="307"/>
      <c r="N339" s="308"/>
      <c r="O339" s="309"/>
      <c r="P339" s="389"/>
      <c r="Q339" s="192"/>
      <c r="R339" s="149"/>
      <c r="S339" s="392"/>
      <c r="T339" s="393"/>
      <c r="U339" s="192"/>
      <c r="V339" s="149"/>
      <c r="W339" s="392"/>
      <c r="X339" s="393"/>
      <c r="Y339" s="192"/>
      <c r="Z339" s="149"/>
      <c r="AA339" s="392"/>
      <c r="AB339" s="393"/>
      <c r="AC339" s="192"/>
      <c r="AD339" s="149"/>
      <c r="AE339" s="392"/>
      <c r="AF339" s="393"/>
      <c r="AG339" s="143"/>
      <c r="AH339" s="143"/>
      <c r="AI339" s="143"/>
      <c r="AJ339" s="143"/>
      <c r="AK339" s="389"/>
      <c r="AL339" s="389"/>
      <c r="AM339" s="389"/>
    </row>
    <row r="340">
      <c r="A340" s="307"/>
      <c r="B340" s="308"/>
      <c r="C340" s="309"/>
      <c r="D340" s="389"/>
      <c r="E340" s="307"/>
      <c r="F340" s="308"/>
      <c r="G340" s="309"/>
      <c r="H340" s="389"/>
      <c r="I340" s="307"/>
      <c r="J340" s="308"/>
      <c r="K340" s="309"/>
      <c r="L340" s="389"/>
      <c r="M340" s="307"/>
      <c r="N340" s="308"/>
      <c r="O340" s="309"/>
      <c r="P340" s="389"/>
      <c r="Q340" s="192"/>
      <c r="R340" s="149"/>
      <c r="S340" s="392"/>
      <c r="T340" s="393"/>
      <c r="U340" s="192"/>
      <c r="V340" s="149"/>
      <c r="W340" s="392"/>
      <c r="X340" s="393"/>
      <c r="Y340" s="192"/>
      <c r="Z340" s="149"/>
      <c r="AA340" s="392"/>
      <c r="AB340" s="393"/>
      <c r="AC340" s="192"/>
      <c r="AD340" s="149"/>
      <c r="AE340" s="392"/>
      <c r="AF340" s="393"/>
      <c r="AG340" s="143"/>
      <c r="AH340" s="143"/>
      <c r="AI340" s="143"/>
      <c r="AJ340" s="143"/>
      <c r="AK340" s="389"/>
      <c r="AL340" s="389"/>
      <c r="AM340" s="389"/>
    </row>
    <row r="341">
      <c r="A341" s="307"/>
      <c r="B341" s="308"/>
      <c r="C341" s="309"/>
      <c r="D341" s="389"/>
      <c r="E341" s="307"/>
      <c r="F341" s="308"/>
      <c r="G341" s="309"/>
      <c r="H341" s="389"/>
      <c r="I341" s="307"/>
      <c r="J341" s="308"/>
      <c r="K341" s="309"/>
      <c r="L341" s="389"/>
      <c r="M341" s="307"/>
      <c r="N341" s="308"/>
      <c r="O341" s="309"/>
      <c r="P341" s="389"/>
      <c r="Q341" s="192"/>
      <c r="R341" s="149"/>
      <c r="S341" s="392"/>
      <c r="T341" s="393"/>
      <c r="U341" s="192"/>
      <c r="V341" s="149"/>
      <c r="W341" s="392"/>
      <c r="X341" s="393"/>
      <c r="Y341" s="192"/>
      <c r="Z341" s="149"/>
      <c r="AA341" s="392"/>
      <c r="AB341" s="393"/>
      <c r="AC341" s="192"/>
      <c r="AD341" s="149"/>
      <c r="AE341" s="392"/>
      <c r="AF341" s="393"/>
      <c r="AG341" s="143"/>
      <c r="AH341" s="143"/>
      <c r="AI341" s="143"/>
      <c r="AJ341" s="143"/>
      <c r="AK341" s="389"/>
      <c r="AL341" s="389"/>
      <c r="AM341" s="389"/>
    </row>
    <row r="342">
      <c r="A342" s="307"/>
      <c r="B342" s="308"/>
      <c r="C342" s="309"/>
      <c r="D342" s="389"/>
      <c r="E342" s="307"/>
      <c r="F342" s="308"/>
      <c r="G342" s="309"/>
      <c r="H342" s="389"/>
      <c r="I342" s="307"/>
      <c r="J342" s="308"/>
      <c r="K342" s="309"/>
      <c r="L342" s="389"/>
      <c r="M342" s="307"/>
      <c r="N342" s="308"/>
      <c r="O342" s="309"/>
      <c r="P342" s="389"/>
      <c r="Q342" s="192"/>
      <c r="R342" s="149"/>
      <c r="S342" s="392"/>
      <c r="T342" s="393"/>
      <c r="U342" s="192"/>
      <c r="V342" s="149"/>
      <c r="W342" s="392"/>
      <c r="X342" s="393"/>
      <c r="Y342" s="192"/>
      <c r="Z342" s="149"/>
      <c r="AA342" s="392"/>
      <c r="AB342" s="393"/>
      <c r="AC342" s="192"/>
      <c r="AD342" s="149"/>
      <c r="AE342" s="392"/>
      <c r="AF342" s="393"/>
      <c r="AG342" s="143"/>
      <c r="AH342" s="143"/>
      <c r="AI342" s="143"/>
      <c r="AJ342" s="143"/>
      <c r="AK342" s="389"/>
      <c r="AL342" s="389"/>
      <c r="AM342" s="389"/>
    </row>
    <row r="343">
      <c r="A343" s="307"/>
      <c r="B343" s="308"/>
      <c r="C343" s="309"/>
      <c r="D343" s="389"/>
      <c r="E343" s="307"/>
      <c r="F343" s="308"/>
      <c r="G343" s="309"/>
      <c r="H343" s="389"/>
      <c r="I343" s="307"/>
      <c r="J343" s="308"/>
      <c r="K343" s="309"/>
      <c r="L343" s="389"/>
      <c r="M343" s="307"/>
      <c r="N343" s="308"/>
      <c r="O343" s="309"/>
      <c r="P343" s="389"/>
      <c r="Q343" s="192"/>
      <c r="R343" s="149"/>
      <c r="S343" s="392"/>
      <c r="T343" s="393"/>
      <c r="U343" s="192"/>
      <c r="V343" s="149"/>
      <c r="W343" s="392"/>
      <c r="X343" s="393"/>
      <c r="Y343" s="192"/>
      <c r="Z343" s="149"/>
      <c r="AA343" s="392"/>
      <c r="AB343" s="393"/>
      <c r="AC343" s="192"/>
      <c r="AD343" s="149"/>
      <c r="AE343" s="392"/>
      <c r="AF343" s="393"/>
      <c r="AG343" s="143"/>
      <c r="AH343" s="143"/>
      <c r="AI343" s="143"/>
      <c r="AJ343" s="143"/>
      <c r="AK343" s="389"/>
      <c r="AL343" s="389"/>
      <c r="AM343" s="389"/>
    </row>
    <row r="344">
      <c r="A344" s="307"/>
      <c r="B344" s="308"/>
      <c r="C344" s="309"/>
      <c r="D344" s="389"/>
      <c r="E344" s="307"/>
      <c r="F344" s="308"/>
      <c r="G344" s="309"/>
      <c r="H344" s="389"/>
      <c r="I344" s="307"/>
      <c r="J344" s="308"/>
      <c r="K344" s="309"/>
      <c r="L344" s="389"/>
      <c r="M344" s="307"/>
      <c r="N344" s="308"/>
      <c r="O344" s="309"/>
      <c r="P344" s="389"/>
      <c r="Q344" s="192"/>
      <c r="R344" s="149"/>
      <c r="S344" s="392"/>
      <c r="T344" s="393"/>
      <c r="U344" s="192"/>
      <c r="V344" s="149"/>
      <c r="W344" s="392"/>
      <c r="X344" s="393"/>
      <c r="Y344" s="192"/>
      <c r="Z344" s="149"/>
      <c r="AA344" s="392"/>
      <c r="AB344" s="393"/>
      <c r="AC344" s="192"/>
      <c r="AD344" s="149"/>
      <c r="AE344" s="392"/>
      <c r="AF344" s="393"/>
      <c r="AG344" s="143"/>
      <c r="AH344" s="143"/>
      <c r="AI344" s="143"/>
      <c r="AJ344" s="143"/>
      <c r="AK344" s="389"/>
      <c r="AL344" s="389"/>
      <c r="AM344" s="389"/>
    </row>
    <row r="345">
      <c r="A345" s="307"/>
      <c r="B345" s="308"/>
      <c r="C345" s="309"/>
      <c r="D345" s="389"/>
      <c r="E345" s="307"/>
      <c r="F345" s="308"/>
      <c r="G345" s="309"/>
      <c r="H345" s="389"/>
      <c r="I345" s="307"/>
      <c r="J345" s="308"/>
      <c r="K345" s="309"/>
      <c r="L345" s="389"/>
      <c r="M345" s="307"/>
      <c r="N345" s="308"/>
      <c r="O345" s="309"/>
      <c r="P345" s="389"/>
      <c r="Q345" s="192"/>
      <c r="R345" s="149"/>
      <c r="S345" s="392"/>
      <c r="T345" s="393"/>
      <c r="U345" s="192"/>
      <c r="V345" s="149"/>
      <c r="W345" s="392"/>
      <c r="X345" s="393"/>
      <c r="Y345" s="192"/>
      <c r="Z345" s="149"/>
      <c r="AA345" s="392"/>
      <c r="AB345" s="393"/>
      <c r="AC345" s="192"/>
      <c r="AD345" s="149"/>
      <c r="AE345" s="392"/>
      <c r="AF345" s="393"/>
      <c r="AG345" s="143"/>
      <c r="AH345" s="143"/>
      <c r="AI345" s="143"/>
      <c r="AJ345" s="143"/>
      <c r="AK345" s="389"/>
      <c r="AL345" s="389"/>
      <c r="AM345" s="389"/>
    </row>
    <row r="346">
      <c r="A346" s="307"/>
      <c r="B346" s="308"/>
      <c r="C346" s="309"/>
      <c r="D346" s="389"/>
      <c r="E346" s="307"/>
      <c r="F346" s="308"/>
      <c r="G346" s="309"/>
      <c r="H346" s="389"/>
      <c r="I346" s="307"/>
      <c r="J346" s="308"/>
      <c r="K346" s="309"/>
      <c r="L346" s="389"/>
      <c r="M346" s="307"/>
      <c r="N346" s="308"/>
      <c r="O346" s="309"/>
      <c r="P346" s="389"/>
      <c r="Q346" s="192"/>
      <c r="R346" s="149"/>
      <c r="S346" s="392"/>
      <c r="T346" s="393"/>
      <c r="U346" s="192"/>
      <c r="V346" s="149"/>
      <c r="W346" s="392"/>
      <c r="X346" s="393"/>
      <c r="Y346" s="192"/>
      <c r="Z346" s="149"/>
      <c r="AA346" s="392"/>
      <c r="AB346" s="393"/>
      <c r="AC346" s="192"/>
      <c r="AD346" s="149"/>
      <c r="AE346" s="392"/>
      <c r="AF346" s="393"/>
      <c r="AG346" s="143"/>
      <c r="AH346" s="143"/>
      <c r="AI346" s="143"/>
      <c r="AJ346" s="143"/>
      <c r="AK346" s="389"/>
      <c r="AL346" s="389"/>
      <c r="AM346" s="389"/>
    </row>
    <row r="347">
      <c r="A347" s="307"/>
      <c r="B347" s="308"/>
      <c r="C347" s="309"/>
      <c r="D347" s="389"/>
      <c r="E347" s="307"/>
      <c r="F347" s="308"/>
      <c r="G347" s="309"/>
      <c r="H347" s="389"/>
      <c r="I347" s="307"/>
      <c r="J347" s="308"/>
      <c r="K347" s="309"/>
      <c r="L347" s="389"/>
      <c r="M347" s="307"/>
      <c r="N347" s="308"/>
      <c r="O347" s="309"/>
      <c r="P347" s="389"/>
      <c r="Q347" s="192"/>
      <c r="R347" s="149"/>
      <c r="S347" s="392"/>
      <c r="T347" s="393"/>
      <c r="U347" s="192"/>
      <c r="V347" s="149"/>
      <c r="W347" s="392"/>
      <c r="X347" s="393"/>
      <c r="Y347" s="192"/>
      <c r="Z347" s="149"/>
      <c r="AA347" s="392"/>
      <c r="AB347" s="393"/>
      <c r="AC347" s="192"/>
      <c r="AD347" s="149"/>
      <c r="AE347" s="392"/>
      <c r="AF347" s="393"/>
      <c r="AG347" s="143"/>
      <c r="AH347" s="143"/>
      <c r="AI347" s="143"/>
      <c r="AJ347" s="143"/>
      <c r="AK347" s="389"/>
      <c r="AL347" s="389"/>
      <c r="AM347" s="389"/>
    </row>
    <row r="348">
      <c r="A348" s="307"/>
      <c r="B348" s="308"/>
      <c r="C348" s="309"/>
      <c r="D348" s="389"/>
      <c r="E348" s="307"/>
      <c r="F348" s="308"/>
      <c r="G348" s="309"/>
      <c r="H348" s="389"/>
      <c r="I348" s="307"/>
      <c r="J348" s="308"/>
      <c r="K348" s="309"/>
      <c r="L348" s="389"/>
      <c r="M348" s="307"/>
      <c r="N348" s="308"/>
      <c r="O348" s="309"/>
      <c r="P348" s="389"/>
      <c r="Q348" s="192"/>
      <c r="R348" s="149"/>
      <c r="S348" s="392"/>
      <c r="T348" s="393"/>
      <c r="U348" s="192"/>
      <c r="V348" s="149"/>
      <c r="W348" s="392"/>
      <c r="X348" s="393"/>
      <c r="Y348" s="192"/>
      <c r="Z348" s="149"/>
      <c r="AA348" s="392"/>
      <c r="AB348" s="393"/>
      <c r="AC348" s="192"/>
      <c r="AD348" s="149"/>
      <c r="AE348" s="392"/>
      <c r="AF348" s="393"/>
      <c r="AG348" s="143"/>
      <c r="AH348" s="143"/>
      <c r="AI348" s="143"/>
      <c r="AJ348" s="143"/>
      <c r="AK348" s="389"/>
      <c r="AL348" s="389"/>
      <c r="AM348" s="389"/>
    </row>
    <row r="349">
      <c r="A349" s="307"/>
      <c r="B349" s="308"/>
      <c r="C349" s="309"/>
      <c r="D349" s="389"/>
      <c r="E349" s="307"/>
      <c r="F349" s="308"/>
      <c r="G349" s="309"/>
      <c r="H349" s="389"/>
      <c r="I349" s="307"/>
      <c r="J349" s="308"/>
      <c r="K349" s="309"/>
      <c r="L349" s="389"/>
      <c r="M349" s="307"/>
      <c r="N349" s="308"/>
      <c r="O349" s="309"/>
      <c r="P349" s="389"/>
      <c r="Q349" s="192"/>
      <c r="R349" s="149"/>
      <c r="S349" s="392"/>
      <c r="T349" s="393"/>
      <c r="U349" s="192"/>
      <c r="V349" s="149"/>
      <c r="W349" s="392"/>
      <c r="X349" s="393"/>
      <c r="Y349" s="192"/>
      <c r="Z349" s="149"/>
      <c r="AA349" s="392"/>
      <c r="AB349" s="393"/>
      <c r="AC349" s="192"/>
      <c r="AD349" s="149"/>
      <c r="AE349" s="392"/>
      <c r="AF349" s="393"/>
      <c r="AG349" s="143"/>
      <c r="AH349" s="143"/>
      <c r="AI349" s="143"/>
      <c r="AJ349" s="143"/>
      <c r="AK349" s="389"/>
      <c r="AL349" s="389"/>
      <c r="AM349" s="389"/>
    </row>
    <row r="350">
      <c r="A350" s="307"/>
      <c r="B350" s="308"/>
      <c r="C350" s="309"/>
      <c r="D350" s="389"/>
      <c r="E350" s="307"/>
      <c r="F350" s="308"/>
      <c r="G350" s="309"/>
      <c r="H350" s="389"/>
      <c r="I350" s="307"/>
      <c r="J350" s="308"/>
      <c r="K350" s="309"/>
      <c r="L350" s="389"/>
      <c r="M350" s="307"/>
      <c r="N350" s="308"/>
      <c r="O350" s="309"/>
      <c r="P350" s="389"/>
      <c r="Q350" s="192"/>
      <c r="R350" s="149"/>
      <c r="S350" s="392"/>
      <c r="T350" s="393"/>
      <c r="U350" s="192"/>
      <c r="V350" s="149"/>
      <c r="W350" s="392"/>
      <c r="X350" s="393"/>
      <c r="Y350" s="192"/>
      <c r="Z350" s="149"/>
      <c r="AA350" s="392"/>
      <c r="AB350" s="393"/>
      <c r="AC350" s="192"/>
      <c r="AD350" s="149"/>
      <c r="AE350" s="392"/>
      <c r="AF350" s="393"/>
      <c r="AG350" s="143"/>
      <c r="AH350" s="143"/>
      <c r="AI350" s="143"/>
      <c r="AJ350" s="143"/>
      <c r="AK350" s="389"/>
      <c r="AL350" s="389"/>
      <c r="AM350" s="389"/>
    </row>
    <row r="351">
      <c r="A351" s="307"/>
      <c r="B351" s="308"/>
      <c r="C351" s="309"/>
      <c r="D351" s="389"/>
      <c r="E351" s="307"/>
      <c r="F351" s="308"/>
      <c r="G351" s="309"/>
      <c r="H351" s="389"/>
      <c r="I351" s="307"/>
      <c r="J351" s="308"/>
      <c r="K351" s="309"/>
      <c r="L351" s="389"/>
      <c r="M351" s="307"/>
      <c r="N351" s="308"/>
      <c r="O351" s="309"/>
      <c r="P351" s="389"/>
      <c r="Q351" s="192"/>
      <c r="R351" s="149"/>
      <c r="S351" s="392"/>
      <c r="T351" s="393"/>
      <c r="U351" s="192"/>
      <c r="V351" s="149"/>
      <c r="W351" s="392"/>
      <c r="X351" s="393"/>
      <c r="Y351" s="192"/>
      <c r="Z351" s="149"/>
      <c r="AA351" s="392"/>
      <c r="AB351" s="393"/>
      <c r="AC351" s="192"/>
      <c r="AD351" s="149"/>
      <c r="AE351" s="392"/>
      <c r="AF351" s="393"/>
      <c r="AG351" s="143"/>
      <c r="AH351" s="143"/>
      <c r="AI351" s="143"/>
      <c r="AJ351" s="143"/>
      <c r="AK351" s="389"/>
      <c r="AL351" s="389"/>
      <c r="AM351" s="389"/>
    </row>
    <row r="352">
      <c r="A352" s="307"/>
      <c r="B352" s="308"/>
      <c r="C352" s="309"/>
      <c r="D352" s="389"/>
      <c r="E352" s="307"/>
      <c r="F352" s="308"/>
      <c r="G352" s="309"/>
      <c r="H352" s="389"/>
      <c r="I352" s="307"/>
      <c r="J352" s="308"/>
      <c r="K352" s="309"/>
      <c r="L352" s="389"/>
      <c r="M352" s="307"/>
      <c r="N352" s="308"/>
      <c r="O352" s="309"/>
      <c r="P352" s="389"/>
      <c r="Q352" s="192"/>
      <c r="R352" s="149"/>
      <c r="S352" s="392"/>
      <c r="T352" s="393"/>
      <c r="U352" s="192"/>
      <c r="V352" s="149"/>
      <c r="W352" s="392"/>
      <c r="X352" s="393"/>
      <c r="Y352" s="192"/>
      <c r="Z352" s="149"/>
      <c r="AA352" s="392"/>
      <c r="AB352" s="393"/>
      <c r="AC352" s="192"/>
      <c r="AD352" s="149"/>
      <c r="AE352" s="392"/>
      <c r="AF352" s="393"/>
      <c r="AG352" s="143"/>
      <c r="AH352" s="143"/>
      <c r="AI352" s="143"/>
      <c r="AJ352" s="143"/>
      <c r="AK352" s="389"/>
      <c r="AL352" s="389"/>
      <c r="AM352" s="389"/>
    </row>
    <row r="353">
      <c r="A353" s="307"/>
      <c r="B353" s="308"/>
      <c r="C353" s="309"/>
      <c r="D353" s="389"/>
      <c r="E353" s="307"/>
      <c r="F353" s="308"/>
      <c r="G353" s="309"/>
      <c r="H353" s="389"/>
      <c r="I353" s="307"/>
      <c r="J353" s="308"/>
      <c r="K353" s="309"/>
      <c r="L353" s="389"/>
      <c r="M353" s="307"/>
      <c r="N353" s="308"/>
      <c r="O353" s="309"/>
      <c r="P353" s="389"/>
      <c r="Q353" s="192"/>
      <c r="R353" s="149"/>
      <c r="S353" s="392"/>
      <c r="T353" s="393"/>
      <c r="U353" s="192"/>
      <c r="V353" s="149"/>
      <c r="W353" s="392"/>
      <c r="X353" s="393"/>
      <c r="Y353" s="192"/>
      <c r="Z353" s="149"/>
      <c r="AA353" s="392"/>
      <c r="AB353" s="393"/>
      <c r="AC353" s="192"/>
      <c r="AD353" s="149"/>
      <c r="AE353" s="392"/>
      <c r="AF353" s="393"/>
      <c r="AG353" s="143"/>
      <c r="AH353" s="143"/>
      <c r="AI353" s="143"/>
      <c r="AJ353" s="143"/>
      <c r="AK353" s="389"/>
      <c r="AL353" s="389"/>
      <c r="AM353" s="389"/>
    </row>
    <row r="354">
      <c r="A354" s="307"/>
      <c r="B354" s="308"/>
      <c r="C354" s="309"/>
      <c r="D354" s="389"/>
      <c r="E354" s="307"/>
      <c r="F354" s="308"/>
      <c r="G354" s="309"/>
      <c r="H354" s="389"/>
      <c r="I354" s="307"/>
      <c r="J354" s="308"/>
      <c r="K354" s="309"/>
      <c r="L354" s="389"/>
      <c r="M354" s="307"/>
      <c r="N354" s="308"/>
      <c r="O354" s="309"/>
      <c r="P354" s="389"/>
      <c r="Q354" s="192"/>
      <c r="R354" s="149"/>
      <c r="S354" s="392"/>
      <c r="T354" s="393"/>
      <c r="U354" s="192"/>
      <c r="V354" s="149"/>
      <c r="W354" s="392"/>
      <c r="X354" s="393"/>
      <c r="Y354" s="192"/>
      <c r="Z354" s="149"/>
      <c r="AA354" s="392"/>
      <c r="AB354" s="393"/>
      <c r="AC354" s="192"/>
      <c r="AD354" s="149"/>
      <c r="AE354" s="392"/>
      <c r="AF354" s="393"/>
      <c r="AG354" s="143"/>
      <c r="AH354" s="143"/>
      <c r="AI354" s="143"/>
      <c r="AJ354" s="143"/>
      <c r="AK354" s="389"/>
      <c r="AL354" s="389"/>
      <c r="AM354" s="389"/>
    </row>
    <row r="355">
      <c r="A355" s="307"/>
      <c r="B355" s="308"/>
      <c r="C355" s="309"/>
      <c r="D355" s="389"/>
      <c r="E355" s="307"/>
      <c r="F355" s="308"/>
      <c r="G355" s="309"/>
      <c r="H355" s="389"/>
      <c r="I355" s="307"/>
      <c r="J355" s="308"/>
      <c r="K355" s="309"/>
      <c r="L355" s="389"/>
      <c r="M355" s="307"/>
      <c r="N355" s="308"/>
      <c r="O355" s="309"/>
      <c r="P355" s="389"/>
      <c r="Q355" s="192"/>
      <c r="R355" s="149"/>
      <c r="S355" s="392"/>
      <c r="T355" s="393"/>
      <c r="U355" s="192"/>
      <c r="V355" s="149"/>
      <c r="W355" s="392"/>
      <c r="X355" s="393"/>
      <c r="Y355" s="192"/>
      <c r="Z355" s="149"/>
      <c r="AA355" s="392"/>
      <c r="AB355" s="393"/>
      <c r="AC355" s="192"/>
      <c r="AD355" s="149"/>
      <c r="AE355" s="392"/>
      <c r="AF355" s="393"/>
      <c r="AG355" s="143"/>
      <c r="AH355" s="143"/>
      <c r="AI355" s="143"/>
      <c r="AJ355" s="143"/>
      <c r="AK355" s="389"/>
      <c r="AL355" s="389"/>
      <c r="AM355" s="389"/>
    </row>
    <row r="356">
      <c r="A356" s="307"/>
      <c r="B356" s="308"/>
      <c r="C356" s="309"/>
      <c r="D356" s="389"/>
      <c r="E356" s="307"/>
      <c r="F356" s="308"/>
      <c r="G356" s="309"/>
      <c r="H356" s="389"/>
      <c r="I356" s="307"/>
      <c r="J356" s="308"/>
      <c r="K356" s="309"/>
      <c r="L356" s="389"/>
      <c r="M356" s="307"/>
      <c r="N356" s="308"/>
      <c r="O356" s="309"/>
      <c r="P356" s="389"/>
      <c r="Q356" s="192"/>
      <c r="R356" s="149"/>
      <c r="S356" s="392"/>
      <c r="T356" s="393"/>
      <c r="U356" s="192"/>
      <c r="V356" s="149"/>
      <c r="W356" s="392"/>
      <c r="X356" s="393"/>
      <c r="Y356" s="192"/>
      <c r="Z356" s="149"/>
      <c r="AA356" s="392"/>
      <c r="AB356" s="393"/>
      <c r="AC356" s="192"/>
      <c r="AD356" s="149"/>
      <c r="AE356" s="392"/>
      <c r="AF356" s="393"/>
      <c r="AG356" s="143"/>
      <c r="AH356" s="143"/>
      <c r="AI356" s="143"/>
      <c r="AJ356" s="143"/>
      <c r="AK356" s="389"/>
      <c r="AL356" s="389"/>
      <c r="AM356" s="389"/>
    </row>
    <row r="357">
      <c r="A357" s="307"/>
      <c r="B357" s="308"/>
      <c r="C357" s="309"/>
      <c r="D357" s="389"/>
      <c r="E357" s="307"/>
      <c r="F357" s="308"/>
      <c r="G357" s="309"/>
      <c r="H357" s="389"/>
      <c r="I357" s="307"/>
      <c r="J357" s="308"/>
      <c r="K357" s="309"/>
      <c r="L357" s="389"/>
      <c r="M357" s="307"/>
      <c r="N357" s="308"/>
      <c r="O357" s="309"/>
      <c r="P357" s="389"/>
      <c r="Q357" s="192"/>
      <c r="R357" s="149"/>
      <c r="S357" s="392"/>
      <c r="T357" s="393"/>
      <c r="U357" s="192"/>
      <c r="V357" s="149"/>
      <c r="W357" s="392"/>
      <c r="X357" s="393"/>
      <c r="Y357" s="192"/>
      <c r="Z357" s="149"/>
      <c r="AA357" s="392"/>
      <c r="AB357" s="393"/>
      <c r="AC357" s="192"/>
      <c r="AD357" s="149"/>
      <c r="AE357" s="392"/>
      <c r="AF357" s="393"/>
      <c r="AG357" s="143"/>
      <c r="AH357" s="143"/>
      <c r="AI357" s="143"/>
      <c r="AJ357" s="143"/>
      <c r="AK357" s="389"/>
      <c r="AL357" s="389"/>
      <c r="AM357" s="389"/>
    </row>
    <row r="358">
      <c r="A358" s="307"/>
      <c r="B358" s="308"/>
      <c r="C358" s="309"/>
      <c r="D358" s="389"/>
      <c r="E358" s="307"/>
      <c r="F358" s="308"/>
      <c r="G358" s="309"/>
      <c r="H358" s="389"/>
      <c r="I358" s="307"/>
      <c r="J358" s="308"/>
      <c r="K358" s="309"/>
      <c r="L358" s="389"/>
      <c r="M358" s="307"/>
      <c r="N358" s="308"/>
      <c r="O358" s="309"/>
      <c r="P358" s="389"/>
      <c r="Q358" s="192"/>
      <c r="R358" s="149"/>
      <c r="S358" s="392"/>
      <c r="T358" s="393"/>
      <c r="U358" s="192"/>
      <c r="V358" s="149"/>
      <c r="W358" s="392"/>
      <c r="X358" s="393"/>
      <c r="Y358" s="192"/>
      <c r="Z358" s="149"/>
      <c r="AA358" s="392"/>
      <c r="AB358" s="393"/>
      <c r="AC358" s="192"/>
      <c r="AD358" s="149"/>
      <c r="AE358" s="392"/>
      <c r="AF358" s="393"/>
      <c r="AG358" s="143"/>
      <c r="AH358" s="143"/>
      <c r="AI358" s="143"/>
      <c r="AJ358" s="143"/>
      <c r="AK358" s="389"/>
      <c r="AL358" s="389"/>
      <c r="AM358" s="389"/>
    </row>
    <row r="359">
      <c r="A359" s="307"/>
      <c r="B359" s="308"/>
      <c r="C359" s="309"/>
      <c r="D359" s="389"/>
      <c r="E359" s="307"/>
      <c r="F359" s="308"/>
      <c r="G359" s="309"/>
      <c r="H359" s="389"/>
      <c r="I359" s="307"/>
      <c r="J359" s="308"/>
      <c r="K359" s="309"/>
      <c r="L359" s="389"/>
      <c r="M359" s="307"/>
      <c r="N359" s="308"/>
      <c r="O359" s="309"/>
      <c r="P359" s="389"/>
      <c r="Q359" s="192"/>
      <c r="R359" s="149"/>
      <c r="S359" s="392"/>
      <c r="T359" s="393"/>
      <c r="U359" s="192"/>
      <c r="V359" s="149"/>
      <c r="W359" s="392"/>
      <c r="X359" s="393"/>
      <c r="Y359" s="192"/>
      <c r="Z359" s="149"/>
      <c r="AA359" s="392"/>
      <c r="AB359" s="393"/>
      <c r="AC359" s="192"/>
      <c r="AD359" s="149"/>
      <c r="AE359" s="392"/>
      <c r="AF359" s="393"/>
      <c r="AG359" s="143"/>
      <c r="AH359" s="143"/>
      <c r="AI359" s="143"/>
      <c r="AJ359" s="143"/>
      <c r="AK359" s="389"/>
      <c r="AL359" s="389"/>
      <c r="AM359" s="389"/>
    </row>
    <row r="360">
      <c r="A360" s="307"/>
      <c r="B360" s="308"/>
      <c r="C360" s="309"/>
      <c r="D360" s="389"/>
      <c r="E360" s="307"/>
      <c r="F360" s="308"/>
      <c r="G360" s="309"/>
      <c r="H360" s="389"/>
      <c r="I360" s="307"/>
      <c r="J360" s="308"/>
      <c r="K360" s="309"/>
      <c r="L360" s="389"/>
      <c r="M360" s="307"/>
      <c r="N360" s="308"/>
      <c r="O360" s="309"/>
      <c r="P360" s="389"/>
      <c r="Q360" s="192"/>
      <c r="R360" s="149"/>
      <c r="S360" s="392"/>
      <c r="T360" s="393"/>
      <c r="U360" s="192"/>
      <c r="V360" s="149"/>
      <c r="W360" s="392"/>
      <c r="X360" s="393"/>
      <c r="Y360" s="192"/>
      <c r="Z360" s="149"/>
      <c r="AA360" s="392"/>
      <c r="AB360" s="393"/>
      <c r="AC360" s="192"/>
      <c r="AD360" s="149"/>
      <c r="AE360" s="392"/>
      <c r="AF360" s="393"/>
      <c r="AG360" s="143"/>
      <c r="AH360" s="143"/>
      <c r="AI360" s="143"/>
      <c r="AJ360" s="143"/>
      <c r="AK360" s="389"/>
      <c r="AL360" s="389"/>
      <c r="AM360" s="389"/>
    </row>
    <row r="361">
      <c r="A361" s="307"/>
      <c r="B361" s="308"/>
      <c r="C361" s="309"/>
      <c r="D361" s="389"/>
      <c r="E361" s="307"/>
      <c r="F361" s="308"/>
      <c r="G361" s="309"/>
      <c r="H361" s="389"/>
      <c r="I361" s="307"/>
      <c r="J361" s="308"/>
      <c r="K361" s="309"/>
      <c r="L361" s="389"/>
      <c r="M361" s="307"/>
      <c r="N361" s="308"/>
      <c r="O361" s="309"/>
      <c r="P361" s="389"/>
      <c r="Q361" s="192"/>
      <c r="R361" s="149"/>
      <c r="S361" s="392"/>
      <c r="T361" s="393"/>
      <c r="U361" s="192"/>
      <c r="V361" s="149"/>
      <c r="W361" s="392"/>
      <c r="X361" s="393"/>
      <c r="Y361" s="192"/>
      <c r="Z361" s="149"/>
      <c r="AA361" s="392"/>
      <c r="AB361" s="393"/>
      <c r="AC361" s="192"/>
      <c r="AD361" s="149"/>
      <c r="AE361" s="392"/>
      <c r="AF361" s="393"/>
      <c r="AG361" s="143"/>
      <c r="AH361" s="143"/>
      <c r="AI361" s="143"/>
      <c r="AJ361" s="143"/>
      <c r="AK361" s="389"/>
      <c r="AL361" s="389"/>
      <c r="AM361" s="389"/>
    </row>
    <row r="362">
      <c r="A362" s="307"/>
      <c r="B362" s="308"/>
      <c r="C362" s="309"/>
      <c r="D362" s="389"/>
      <c r="E362" s="307"/>
      <c r="F362" s="308"/>
      <c r="G362" s="309"/>
      <c r="H362" s="389"/>
      <c r="I362" s="307"/>
      <c r="J362" s="308"/>
      <c r="K362" s="309"/>
      <c r="L362" s="389"/>
      <c r="M362" s="307"/>
      <c r="N362" s="308"/>
      <c r="O362" s="309"/>
      <c r="P362" s="389"/>
      <c r="Q362" s="192"/>
      <c r="R362" s="149"/>
      <c r="S362" s="392"/>
      <c r="T362" s="393"/>
      <c r="U362" s="192"/>
      <c r="V362" s="149"/>
      <c r="W362" s="392"/>
      <c r="X362" s="393"/>
      <c r="Y362" s="192"/>
      <c r="Z362" s="149"/>
      <c r="AA362" s="392"/>
      <c r="AB362" s="393"/>
      <c r="AC362" s="192"/>
      <c r="AD362" s="149"/>
      <c r="AE362" s="392"/>
      <c r="AF362" s="393"/>
      <c r="AG362" s="143"/>
      <c r="AH362" s="143"/>
      <c r="AI362" s="143"/>
      <c r="AJ362" s="143"/>
      <c r="AK362" s="389"/>
      <c r="AL362" s="389"/>
      <c r="AM362" s="389"/>
    </row>
    <row r="363">
      <c r="A363" s="307"/>
      <c r="B363" s="308"/>
      <c r="C363" s="309"/>
      <c r="D363" s="389"/>
      <c r="E363" s="307"/>
      <c r="F363" s="308"/>
      <c r="G363" s="309"/>
      <c r="H363" s="389"/>
      <c r="I363" s="307"/>
      <c r="J363" s="308"/>
      <c r="K363" s="309"/>
      <c r="L363" s="389"/>
      <c r="M363" s="307"/>
      <c r="N363" s="308"/>
      <c r="O363" s="309"/>
      <c r="P363" s="389"/>
      <c r="Q363" s="192"/>
      <c r="R363" s="149"/>
      <c r="S363" s="392"/>
      <c r="T363" s="393"/>
      <c r="U363" s="192"/>
      <c r="V363" s="149"/>
      <c r="W363" s="392"/>
      <c r="X363" s="393"/>
      <c r="Y363" s="192"/>
      <c r="Z363" s="149"/>
      <c r="AA363" s="392"/>
      <c r="AB363" s="393"/>
      <c r="AC363" s="192"/>
      <c r="AD363" s="149"/>
      <c r="AE363" s="392"/>
      <c r="AF363" s="393"/>
      <c r="AG363" s="143"/>
      <c r="AH363" s="143"/>
      <c r="AI363" s="143"/>
      <c r="AJ363" s="143"/>
      <c r="AK363" s="389"/>
      <c r="AL363" s="389"/>
      <c r="AM363" s="389"/>
    </row>
    <row r="364">
      <c r="A364" s="307"/>
      <c r="B364" s="308"/>
      <c r="C364" s="309"/>
      <c r="D364" s="389"/>
      <c r="E364" s="307"/>
      <c r="F364" s="308"/>
      <c r="G364" s="309"/>
      <c r="H364" s="389"/>
      <c r="I364" s="307"/>
      <c r="J364" s="308"/>
      <c r="K364" s="309"/>
      <c r="L364" s="389"/>
      <c r="M364" s="307"/>
      <c r="N364" s="308"/>
      <c r="O364" s="309"/>
      <c r="P364" s="389"/>
      <c r="Q364" s="192"/>
      <c r="R364" s="149"/>
      <c r="S364" s="392"/>
      <c r="T364" s="393"/>
      <c r="U364" s="192"/>
      <c r="V364" s="149"/>
      <c r="W364" s="392"/>
      <c r="X364" s="393"/>
      <c r="Y364" s="192"/>
      <c r="Z364" s="149"/>
      <c r="AA364" s="392"/>
      <c r="AB364" s="393"/>
      <c r="AC364" s="192"/>
      <c r="AD364" s="149"/>
      <c r="AE364" s="392"/>
      <c r="AF364" s="393"/>
      <c r="AG364" s="143"/>
      <c r="AH364" s="143"/>
      <c r="AI364" s="143"/>
      <c r="AJ364" s="143"/>
      <c r="AK364" s="389"/>
      <c r="AL364" s="389"/>
      <c r="AM364" s="389"/>
    </row>
    <row r="365">
      <c r="A365" s="307"/>
      <c r="B365" s="308"/>
      <c r="C365" s="309"/>
      <c r="D365" s="389"/>
      <c r="E365" s="307"/>
      <c r="F365" s="308"/>
      <c r="G365" s="309"/>
      <c r="H365" s="389"/>
      <c r="I365" s="307"/>
      <c r="J365" s="308"/>
      <c r="K365" s="309"/>
      <c r="L365" s="389"/>
      <c r="M365" s="307"/>
      <c r="N365" s="308"/>
      <c r="O365" s="309"/>
      <c r="P365" s="389"/>
      <c r="Q365" s="192"/>
      <c r="R365" s="149"/>
      <c r="S365" s="392"/>
      <c r="T365" s="393"/>
      <c r="U365" s="192"/>
      <c r="V365" s="149"/>
      <c r="W365" s="392"/>
      <c r="X365" s="393"/>
      <c r="Y365" s="192"/>
      <c r="Z365" s="149"/>
      <c r="AA365" s="392"/>
      <c r="AB365" s="393"/>
      <c r="AC365" s="192"/>
      <c r="AD365" s="149"/>
      <c r="AE365" s="392"/>
      <c r="AF365" s="393"/>
      <c r="AG365" s="143"/>
      <c r="AH365" s="143"/>
      <c r="AI365" s="143"/>
      <c r="AJ365" s="143"/>
      <c r="AK365" s="389"/>
      <c r="AL365" s="389"/>
      <c r="AM365" s="389"/>
    </row>
    <row r="366">
      <c r="A366" s="307"/>
      <c r="B366" s="308"/>
      <c r="C366" s="309"/>
      <c r="D366" s="389"/>
      <c r="E366" s="307"/>
      <c r="F366" s="308"/>
      <c r="G366" s="309"/>
      <c r="H366" s="389"/>
      <c r="I366" s="307"/>
      <c r="J366" s="308"/>
      <c r="K366" s="309"/>
      <c r="L366" s="389"/>
      <c r="M366" s="307"/>
      <c r="N366" s="308"/>
      <c r="O366" s="309"/>
      <c r="P366" s="389"/>
      <c r="Q366" s="192"/>
      <c r="R366" s="149"/>
      <c r="S366" s="392"/>
      <c r="T366" s="393"/>
      <c r="U366" s="192"/>
      <c r="V366" s="149"/>
      <c r="W366" s="392"/>
      <c r="X366" s="393"/>
      <c r="Y366" s="192"/>
      <c r="Z366" s="149"/>
      <c r="AA366" s="392"/>
      <c r="AB366" s="393"/>
      <c r="AC366" s="192"/>
      <c r="AD366" s="149"/>
      <c r="AE366" s="392"/>
      <c r="AF366" s="393"/>
      <c r="AG366" s="143"/>
      <c r="AH366" s="143"/>
      <c r="AI366" s="143"/>
      <c r="AJ366" s="143"/>
      <c r="AK366" s="389"/>
      <c r="AL366" s="389"/>
      <c r="AM366" s="389"/>
    </row>
    <row r="367">
      <c r="A367" s="307"/>
      <c r="B367" s="308"/>
      <c r="C367" s="309"/>
      <c r="D367" s="389"/>
      <c r="E367" s="307"/>
      <c r="F367" s="308"/>
      <c r="G367" s="309"/>
      <c r="H367" s="389"/>
      <c r="I367" s="307"/>
      <c r="J367" s="308"/>
      <c r="K367" s="309"/>
      <c r="L367" s="389"/>
      <c r="M367" s="307"/>
      <c r="N367" s="308"/>
      <c r="O367" s="309"/>
      <c r="P367" s="389"/>
      <c r="Q367" s="192"/>
      <c r="R367" s="149"/>
      <c r="S367" s="392"/>
      <c r="T367" s="393"/>
      <c r="U367" s="192"/>
      <c r="V367" s="149"/>
      <c r="W367" s="392"/>
      <c r="X367" s="393"/>
      <c r="Y367" s="192"/>
      <c r="Z367" s="149"/>
      <c r="AA367" s="392"/>
      <c r="AB367" s="393"/>
      <c r="AC367" s="192"/>
      <c r="AD367" s="149"/>
      <c r="AE367" s="392"/>
      <c r="AF367" s="393"/>
      <c r="AG367" s="143"/>
      <c r="AH367" s="143"/>
      <c r="AI367" s="143"/>
      <c r="AJ367" s="143"/>
      <c r="AK367" s="389"/>
      <c r="AL367" s="389"/>
      <c r="AM367" s="389"/>
    </row>
    <row r="368">
      <c r="A368" s="307"/>
      <c r="B368" s="308"/>
      <c r="C368" s="309"/>
      <c r="D368" s="389"/>
      <c r="E368" s="307"/>
      <c r="F368" s="308"/>
      <c r="G368" s="309"/>
      <c r="H368" s="389"/>
      <c r="I368" s="307"/>
      <c r="J368" s="308"/>
      <c r="K368" s="309"/>
      <c r="L368" s="389"/>
      <c r="M368" s="307"/>
      <c r="N368" s="308"/>
      <c r="O368" s="309"/>
      <c r="P368" s="389"/>
      <c r="Q368" s="192"/>
      <c r="R368" s="149"/>
      <c r="S368" s="392"/>
      <c r="T368" s="393"/>
      <c r="U368" s="192"/>
      <c r="V368" s="149"/>
      <c r="W368" s="392"/>
      <c r="X368" s="393"/>
      <c r="Y368" s="192"/>
      <c r="Z368" s="149"/>
      <c r="AA368" s="392"/>
      <c r="AB368" s="393"/>
      <c r="AC368" s="192"/>
      <c r="AD368" s="149"/>
      <c r="AE368" s="392"/>
      <c r="AF368" s="393"/>
      <c r="AG368" s="143"/>
      <c r="AH368" s="143"/>
      <c r="AI368" s="143"/>
      <c r="AJ368" s="143"/>
      <c r="AK368" s="389"/>
      <c r="AL368" s="389"/>
      <c r="AM368" s="389"/>
    </row>
    <row r="369">
      <c r="A369" s="307"/>
      <c r="B369" s="308"/>
      <c r="C369" s="309"/>
      <c r="D369" s="389"/>
      <c r="E369" s="307"/>
      <c r="F369" s="308"/>
      <c r="G369" s="309"/>
      <c r="H369" s="389"/>
      <c r="I369" s="307"/>
      <c r="J369" s="308"/>
      <c r="K369" s="309"/>
      <c r="L369" s="389"/>
      <c r="M369" s="307"/>
      <c r="N369" s="308"/>
      <c r="O369" s="309"/>
      <c r="P369" s="389"/>
      <c r="Q369" s="192"/>
      <c r="R369" s="149"/>
      <c r="S369" s="392"/>
      <c r="T369" s="393"/>
      <c r="U369" s="192"/>
      <c r="V369" s="149"/>
      <c r="W369" s="392"/>
      <c r="X369" s="393"/>
      <c r="Y369" s="192"/>
      <c r="Z369" s="149"/>
      <c r="AA369" s="392"/>
      <c r="AB369" s="393"/>
      <c r="AC369" s="192"/>
      <c r="AD369" s="149"/>
      <c r="AE369" s="392"/>
      <c r="AF369" s="393"/>
      <c r="AG369" s="143"/>
      <c r="AH369" s="143"/>
      <c r="AI369" s="143"/>
      <c r="AJ369" s="143"/>
      <c r="AK369" s="389"/>
      <c r="AL369" s="389"/>
      <c r="AM369" s="389"/>
    </row>
    <row r="370">
      <c r="A370" s="307"/>
      <c r="B370" s="308"/>
      <c r="C370" s="309"/>
      <c r="D370" s="389"/>
      <c r="E370" s="307"/>
      <c r="F370" s="308"/>
      <c r="G370" s="309"/>
      <c r="H370" s="389"/>
      <c r="I370" s="307"/>
      <c r="J370" s="308"/>
      <c r="K370" s="309"/>
      <c r="L370" s="389"/>
      <c r="M370" s="307"/>
      <c r="N370" s="308"/>
      <c r="O370" s="309"/>
      <c r="P370" s="389"/>
      <c r="Q370" s="192"/>
      <c r="R370" s="149"/>
      <c r="S370" s="392"/>
      <c r="T370" s="393"/>
      <c r="U370" s="192"/>
      <c r="V370" s="149"/>
      <c r="W370" s="392"/>
      <c r="X370" s="393"/>
      <c r="Y370" s="192"/>
      <c r="Z370" s="149"/>
      <c r="AA370" s="392"/>
      <c r="AB370" s="393"/>
      <c r="AC370" s="192"/>
      <c r="AD370" s="149"/>
      <c r="AE370" s="392"/>
      <c r="AF370" s="393"/>
      <c r="AG370" s="143"/>
      <c r="AH370" s="143"/>
      <c r="AI370" s="143"/>
      <c r="AJ370" s="143"/>
      <c r="AK370" s="389"/>
      <c r="AL370" s="389"/>
      <c r="AM370" s="389"/>
    </row>
    <row r="371">
      <c r="A371" s="307"/>
      <c r="B371" s="308"/>
      <c r="C371" s="309"/>
      <c r="D371" s="389"/>
      <c r="E371" s="307"/>
      <c r="F371" s="308"/>
      <c r="G371" s="309"/>
      <c r="H371" s="389"/>
      <c r="I371" s="307"/>
      <c r="J371" s="308"/>
      <c r="K371" s="309"/>
      <c r="L371" s="389"/>
      <c r="M371" s="307"/>
      <c r="N371" s="308"/>
      <c r="O371" s="309"/>
      <c r="P371" s="389"/>
      <c r="Q371" s="192"/>
      <c r="R371" s="149"/>
      <c r="S371" s="392"/>
      <c r="T371" s="393"/>
      <c r="U371" s="192"/>
      <c r="V371" s="149"/>
      <c r="W371" s="392"/>
      <c r="X371" s="393"/>
      <c r="Y371" s="192"/>
      <c r="Z371" s="149"/>
      <c r="AA371" s="392"/>
      <c r="AB371" s="393"/>
      <c r="AC371" s="192"/>
      <c r="AD371" s="149"/>
      <c r="AE371" s="392"/>
      <c r="AF371" s="393"/>
      <c r="AG371" s="143"/>
      <c r="AH371" s="143"/>
      <c r="AI371" s="143"/>
      <c r="AJ371" s="143"/>
      <c r="AK371" s="389"/>
      <c r="AL371" s="389"/>
      <c r="AM371" s="389"/>
    </row>
    <row r="372">
      <c r="A372" s="307"/>
      <c r="B372" s="308"/>
      <c r="C372" s="309"/>
      <c r="D372" s="389"/>
      <c r="E372" s="307"/>
      <c r="F372" s="308"/>
      <c r="G372" s="309"/>
      <c r="H372" s="389"/>
      <c r="I372" s="307"/>
      <c r="J372" s="308"/>
      <c r="K372" s="309"/>
      <c r="L372" s="389"/>
      <c r="M372" s="307"/>
      <c r="N372" s="308"/>
      <c r="O372" s="309"/>
      <c r="P372" s="389"/>
      <c r="Q372" s="192"/>
      <c r="R372" s="149"/>
      <c r="S372" s="392"/>
      <c r="T372" s="393"/>
      <c r="U372" s="192"/>
      <c r="V372" s="149"/>
      <c r="W372" s="392"/>
      <c r="X372" s="393"/>
      <c r="Y372" s="192"/>
      <c r="Z372" s="149"/>
      <c r="AA372" s="392"/>
      <c r="AB372" s="393"/>
      <c r="AC372" s="192"/>
      <c r="AD372" s="149"/>
      <c r="AE372" s="392"/>
      <c r="AF372" s="393"/>
      <c r="AG372" s="143"/>
      <c r="AH372" s="143"/>
      <c r="AI372" s="143"/>
      <c r="AJ372" s="143"/>
      <c r="AK372" s="389"/>
      <c r="AL372" s="389"/>
      <c r="AM372" s="389"/>
    </row>
    <row r="373">
      <c r="A373" s="307"/>
      <c r="B373" s="308"/>
      <c r="C373" s="309"/>
      <c r="D373" s="389"/>
      <c r="E373" s="307"/>
      <c r="F373" s="308"/>
      <c r="G373" s="309"/>
      <c r="H373" s="389"/>
      <c r="I373" s="307"/>
      <c r="J373" s="308"/>
      <c r="K373" s="309"/>
      <c r="L373" s="389"/>
      <c r="M373" s="307"/>
      <c r="N373" s="308"/>
      <c r="O373" s="309"/>
      <c r="P373" s="389"/>
      <c r="Q373" s="192"/>
      <c r="R373" s="149"/>
      <c r="S373" s="392"/>
      <c r="T373" s="393"/>
      <c r="U373" s="192"/>
      <c r="V373" s="149"/>
      <c r="W373" s="392"/>
      <c r="X373" s="393"/>
      <c r="Y373" s="192"/>
      <c r="Z373" s="149"/>
      <c r="AA373" s="392"/>
      <c r="AB373" s="393"/>
      <c r="AC373" s="192"/>
      <c r="AD373" s="149"/>
      <c r="AE373" s="392"/>
      <c r="AF373" s="393"/>
      <c r="AG373" s="143"/>
      <c r="AH373" s="143"/>
      <c r="AI373" s="143"/>
      <c r="AJ373" s="143"/>
      <c r="AK373" s="389"/>
      <c r="AL373" s="389"/>
      <c r="AM373" s="389"/>
    </row>
    <row r="374">
      <c r="A374" s="307"/>
      <c r="B374" s="308"/>
      <c r="C374" s="309"/>
      <c r="D374" s="389"/>
      <c r="E374" s="307"/>
      <c r="F374" s="308"/>
      <c r="G374" s="309"/>
      <c r="H374" s="389"/>
      <c r="I374" s="307"/>
      <c r="J374" s="308"/>
      <c r="K374" s="309"/>
      <c r="L374" s="389"/>
      <c r="M374" s="307"/>
      <c r="N374" s="308"/>
      <c r="O374" s="309"/>
      <c r="P374" s="389"/>
      <c r="Q374" s="192"/>
      <c r="R374" s="149"/>
      <c r="S374" s="392"/>
      <c r="T374" s="393"/>
      <c r="U374" s="192"/>
      <c r="V374" s="149"/>
      <c r="W374" s="392"/>
      <c r="X374" s="393"/>
      <c r="Y374" s="192"/>
      <c r="Z374" s="149"/>
      <c r="AA374" s="392"/>
      <c r="AB374" s="393"/>
      <c r="AC374" s="192"/>
      <c r="AD374" s="149"/>
      <c r="AE374" s="392"/>
      <c r="AF374" s="393"/>
      <c r="AG374" s="143"/>
      <c r="AH374" s="143"/>
      <c r="AI374" s="143"/>
      <c r="AJ374" s="143"/>
      <c r="AK374" s="389"/>
      <c r="AL374" s="389"/>
      <c r="AM374" s="389"/>
    </row>
    <row r="375">
      <c r="A375" s="307"/>
      <c r="B375" s="308"/>
      <c r="C375" s="309"/>
      <c r="D375" s="389"/>
      <c r="E375" s="307"/>
      <c r="F375" s="308"/>
      <c r="G375" s="309"/>
      <c r="H375" s="389"/>
      <c r="I375" s="307"/>
      <c r="J375" s="308"/>
      <c r="K375" s="309"/>
      <c r="L375" s="389"/>
      <c r="M375" s="307"/>
      <c r="N375" s="308"/>
      <c r="O375" s="309"/>
      <c r="P375" s="389"/>
      <c r="Q375" s="192"/>
      <c r="R375" s="149"/>
      <c r="S375" s="392"/>
      <c r="T375" s="393"/>
      <c r="U375" s="192"/>
      <c r="V375" s="149"/>
      <c r="W375" s="392"/>
      <c r="X375" s="393"/>
      <c r="Y375" s="192"/>
      <c r="Z375" s="149"/>
      <c r="AA375" s="392"/>
      <c r="AB375" s="393"/>
      <c r="AC375" s="192"/>
      <c r="AD375" s="149"/>
      <c r="AE375" s="392"/>
      <c r="AF375" s="393"/>
      <c r="AG375" s="143"/>
      <c r="AH375" s="143"/>
      <c r="AI375" s="143"/>
      <c r="AJ375" s="143"/>
      <c r="AK375" s="389"/>
      <c r="AL375" s="389"/>
      <c r="AM375" s="389"/>
    </row>
    <row r="376">
      <c r="A376" s="307"/>
      <c r="B376" s="308"/>
      <c r="C376" s="309"/>
      <c r="D376" s="389"/>
      <c r="E376" s="307"/>
      <c r="F376" s="308"/>
      <c r="G376" s="309"/>
      <c r="H376" s="389"/>
      <c r="I376" s="307"/>
      <c r="J376" s="308"/>
      <c r="K376" s="309"/>
      <c r="L376" s="389"/>
      <c r="M376" s="307"/>
      <c r="N376" s="308"/>
      <c r="O376" s="309"/>
      <c r="P376" s="389"/>
      <c r="Q376" s="192"/>
      <c r="R376" s="149"/>
      <c r="S376" s="392"/>
      <c r="T376" s="393"/>
      <c r="U376" s="192"/>
      <c r="V376" s="149"/>
      <c r="W376" s="392"/>
      <c r="X376" s="393"/>
      <c r="Y376" s="192"/>
      <c r="Z376" s="149"/>
      <c r="AA376" s="392"/>
      <c r="AB376" s="393"/>
      <c r="AC376" s="192"/>
      <c r="AD376" s="149"/>
      <c r="AE376" s="392"/>
      <c r="AF376" s="393"/>
      <c r="AG376" s="143"/>
      <c r="AH376" s="143"/>
      <c r="AI376" s="143"/>
      <c r="AJ376" s="143"/>
      <c r="AK376" s="389"/>
      <c r="AL376" s="389"/>
      <c r="AM376" s="389"/>
    </row>
    <row r="377">
      <c r="A377" s="307"/>
      <c r="B377" s="308"/>
      <c r="C377" s="309"/>
      <c r="D377" s="389"/>
      <c r="E377" s="307"/>
      <c r="F377" s="308"/>
      <c r="G377" s="309"/>
      <c r="H377" s="389"/>
      <c r="I377" s="307"/>
      <c r="J377" s="308"/>
      <c r="K377" s="309"/>
      <c r="L377" s="389"/>
      <c r="M377" s="307"/>
      <c r="N377" s="308"/>
      <c r="O377" s="309"/>
      <c r="P377" s="389"/>
      <c r="Q377" s="192"/>
      <c r="R377" s="149"/>
      <c r="S377" s="392"/>
      <c r="T377" s="393"/>
      <c r="U377" s="192"/>
      <c r="V377" s="149"/>
      <c r="W377" s="392"/>
      <c r="X377" s="393"/>
      <c r="Y377" s="192"/>
      <c r="Z377" s="149"/>
      <c r="AA377" s="392"/>
      <c r="AB377" s="393"/>
      <c r="AC377" s="192"/>
      <c r="AD377" s="149"/>
      <c r="AE377" s="392"/>
      <c r="AF377" s="393"/>
      <c r="AG377" s="143"/>
      <c r="AH377" s="143"/>
      <c r="AI377" s="143"/>
      <c r="AJ377" s="143"/>
      <c r="AK377" s="389"/>
      <c r="AL377" s="389"/>
      <c r="AM377" s="389"/>
    </row>
    <row r="378">
      <c r="A378" s="307"/>
      <c r="B378" s="308"/>
      <c r="C378" s="309"/>
      <c r="D378" s="389"/>
      <c r="E378" s="307"/>
      <c r="F378" s="308"/>
      <c r="G378" s="309"/>
      <c r="H378" s="389"/>
      <c r="I378" s="307"/>
      <c r="J378" s="308"/>
      <c r="K378" s="309"/>
      <c r="L378" s="389"/>
      <c r="M378" s="307"/>
      <c r="N378" s="308"/>
      <c r="O378" s="309"/>
      <c r="P378" s="389"/>
      <c r="Q378" s="192"/>
      <c r="R378" s="149"/>
      <c r="S378" s="392"/>
      <c r="T378" s="393"/>
      <c r="U378" s="192"/>
      <c r="V378" s="149"/>
      <c r="W378" s="392"/>
      <c r="X378" s="393"/>
      <c r="Y378" s="192"/>
      <c r="Z378" s="149"/>
      <c r="AA378" s="392"/>
      <c r="AB378" s="393"/>
      <c r="AC378" s="192"/>
      <c r="AD378" s="149"/>
      <c r="AE378" s="392"/>
      <c r="AF378" s="393"/>
      <c r="AG378" s="143"/>
      <c r="AH378" s="143"/>
      <c r="AI378" s="143"/>
      <c r="AJ378" s="143"/>
      <c r="AK378" s="389"/>
      <c r="AL378" s="389"/>
      <c r="AM378" s="389"/>
    </row>
    <row r="379">
      <c r="A379" s="307"/>
      <c r="B379" s="308"/>
      <c r="C379" s="309"/>
      <c r="D379" s="389"/>
      <c r="E379" s="307"/>
      <c r="F379" s="308"/>
      <c r="G379" s="309"/>
      <c r="H379" s="389"/>
      <c r="I379" s="307"/>
      <c r="J379" s="308"/>
      <c r="K379" s="309"/>
      <c r="L379" s="389"/>
      <c r="M379" s="307"/>
      <c r="N379" s="308"/>
      <c r="O379" s="309"/>
      <c r="P379" s="389"/>
      <c r="Q379" s="192"/>
      <c r="R379" s="149"/>
      <c r="S379" s="392"/>
      <c r="T379" s="393"/>
      <c r="U379" s="192"/>
      <c r="V379" s="149"/>
      <c r="W379" s="392"/>
      <c r="X379" s="393"/>
      <c r="Y379" s="192"/>
      <c r="Z379" s="149"/>
      <c r="AA379" s="392"/>
      <c r="AB379" s="393"/>
      <c r="AC379" s="192"/>
      <c r="AD379" s="149"/>
      <c r="AE379" s="392"/>
      <c r="AF379" s="393"/>
      <c r="AG379" s="143"/>
      <c r="AH379" s="143"/>
      <c r="AI379" s="143"/>
      <c r="AJ379" s="143"/>
      <c r="AK379" s="389"/>
      <c r="AL379" s="389"/>
      <c r="AM379" s="389"/>
    </row>
    <row r="380">
      <c r="A380" s="307"/>
      <c r="B380" s="308"/>
      <c r="C380" s="309"/>
      <c r="D380" s="389"/>
      <c r="E380" s="307"/>
      <c r="F380" s="308"/>
      <c r="G380" s="309"/>
      <c r="H380" s="389"/>
      <c r="I380" s="307"/>
      <c r="J380" s="308"/>
      <c r="K380" s="309"/>
      <c r="L380" s="389"/>
      <c r="M380" s="307"/>
      <c r="N380" s="308"/>
      <c r="O380" s="309"/>
      <c r="P380" s="389"/>
      <c r="Q380" s="192"/>
      <c r="R380" s="149"/>
      <c r="S380" s="392"/>
      <c r="T380" s="393"/>
      <c r="U380" s="192"/>
      <c r="V380" s="149"/>
      <c r="W380" s="392"/>
      <c r="X380" s="393"/>
      <c r="Y380" s="192"/>
      <c r="Z380" s="149"/>
      <c r="AA380" s="392"/>
      <c r="AB380" s="393"/>
      <c r="AC380" s="192"/>
      <c r="AD380" s="149"/>
      <c r="AE380" s="392"/>
      <c r="AF380" s="393"/>
      <c r="AG380" s="143"/>
      <c r="AH380" s="143"/>
      <c r="AI380" s="143"/>
      <c r="AJ380" s="143"/>
      <c r="AK380" s="389"/>
      <c r="AL380" s="389"/>
      <c r="AM380" s="389"/>
    </row>
    <row r="381">
      <c r="A381" s="307"/>
      <c r="B381" s="308"/>
      <c r="C381" s="309"/>
      <c r="D381" s="389"/>
      <c r="E381" s="307"/>
      <c r="F381" s="308"/>
      <c r="G381" s="309"/>
      <c r="H381" s="389"/>
      <c r="I381" s="307"/>
      <c r="J381" s="308"/>
      <c r="K381" s="309"/>
      <c r="L381" s="389"/>
      <c r="M381" s="307"/>
      <c r="N381" s="308"/>
      <c r="O381" s="309"/>
      <c r="P381" s="389"/>
      <c r="Q381" s="192"/>
      <c r="R381" s="149"/>
      <c r="S381" s="392"/>
      <c r="T381" s="393"/>
      <c r="U381" s="192"/>
      <c r="V381" s="149"/>
      <c r="W381" s="392"/>
      <c r="X381" s="393"/>
      <c r="Y381" s="192"/>
      <c r="Z381" s="149"/>
      <c r="AA381" s="392"/>
      <c r="AB381" s="393"/>
      <c r="AC381" s="192"/>
      <c r="AD381" s="149"/>
      <c r="AE381" s="392"/>
      <c r="AF381" s="393"/>
      <c r="AG381" s="143"/>
      <c r="AH381" s="143"/>
      <c r="AI381" s="143"/>
      <c r="AJ381" s="143"/>
      <c r="AK381" s="389"/>
      <c r="AL381" s="389"/>
      <c r="AM381" s="389"/>
    </row>
    <row r="382">
      <c r="A382" s="307"/>
      <c r="B382" s="308"/>
      <c r="C382" s="309"/>
      <c r="D382" s="389"/>
      <c r="E382" s="307"/>
      <c r="F382" s="308"/>
      <c r="G382" s="309"/>
      <c r="H382" s="389"/>
      <c r="I382" s="307"/>
      <c r="J382" s="308"/>
      <c r="K382" s="309"/>
      <c r="L382" s="389"/>
      <c r="M382" s="307"/>
      <c r="N382" s="308"/>
      <c r="O382" s="309"/>
      <c r="P382" s="389"/>
      <c r="Q382" s="192"/>
      <c r="R382" s="149"/>
      <c r="S382" s="392"/>
      <c r="T382" s="393"/>
      <c r="U382" s="192"/>
      <c r="V382" s="149"/>
      <c r="W382" s="392"/>
      <c r="X382" s="393"/>
      <c r="Y382" s="192"/>
      <c r="Z382" s="149"/>
      <c r="AA382" s="392"/>
      <c r="AB382" s="393"/>
      <c r="AC382" s="192"/>
      <c r="AD382" s="149"/>
      <c r="AE382" s="392"/>
      <c r="AF382" s="393"/>
      <c r="AG382" s="143"/>
      <c r="AH382" s="143"/>
      <c r="AI382" s="143"/>
      <c r="AJ382" s="143"/>
      <c r="AK382" s="389"/>
      <c r="AL382" s="389"/>
      <c r="AM382" s="389"/>
    </row>
    <row r="383">
      <c r="A383" s="307"/>
      <c r="B383" s="308"/>
      <c r="C383" s="309"/>
      <c r="D383" s="389"/>
      <c r="E383" s="307"/>
      <c r="F383" s="308"/>
      <c r="G383" s="309"/>
      <c r="H383" s="389"/>
      <c r="I383" s="307"/>
      <c r="J383" s="308"/>
      <c r="K383" s="309"/>
      <c r="L383" s="389"/>
      <c r="M383" s="307"/>
      <c r="N383" s="308"/>
      <c r="O383" s="309"/>
      <c r="P383" s="389"/>
      <c r="Q383" s="192"/>
      <c r="R383" s="149"/>
      <c r="S383" s="392"/>
      <c r="T383" s="393"/>
      <c r="U383" s="192"/>
      <c r="V383" s="149"/>
      <c r="W383" s="392"/>
      <c r="X383" s="393"/>
      <c r="Y383" s="192"/>
      <c r="Z383" s="149"/>
      <c r="AA383" s="392"/>
      <c r="AB383" s="393"/>
      <c r="AC383" s="192"/>
      <c r="AD383" s="149"/>
      <c r="AE383" s="392"/>
      <c r="AF383" s="393"/>
      <c r="AG383" s="143"/>
      <c r="AH383" s="143"/>
      <c r="AI383" s="143"/>
      <c r="AJ383" s="143"/>
      <c r="AK383" s="389"/>
      <c r="AL383" s="389"/>
      <c r="AM383" s="389"/>
    </row>
    <row r="384">
      <c r="A384" s="307"/>
      <c r="B384" s="308"/>
      <c r="C384" s="309"/>
      <c r="D384" s="389"/>
      <c r="E384" s="307"/>
      <c r="F384" s="308"/>
      <c r="G384" s="309"/>
      <c r="H384" s="389"/>
      <c r="I384" s="307"/>
      <c r="J384" s="308"/>
      <c r="K384" s="309"/>
      <c r="L384" s="389"/>
      <c r="M384" s="307"/>
      <c r="N384" s="308"/>
      <c r="O384" s="309"/>
      <c r="P384" s="389"/>
      <c r="Q384" s="192"/>
      <c r="R384" s="149"/>
      <c r="S384" s="392"/>
      <c r="T384" s="393"/>
      <c r="U384" s="192"/>
      <c r="V384" s="149"/>
      <c r="W384" s="392"/>
      <c r="X384" s="393"/>
      <c r="Y384" s="192"/>
      <c r="Z384" s="149"/>
      <c r="AA384" s="392"/>
      <c r="AB384" s="393"/>
      <c r="AC384" s="192"/>
      <c r="AD384" s="149"/>
      <c r="AE384" s="392"/>
      <c r="AF384" s="393"/>
      <c r="AG384" s="143"/>
      <c r="AH384" s="143"/>
      <c r="AI384" s="143"/>
      <c r="AJ384" s="143"/>
      <c r="AK384" s="389"/>
      <c r="AL384" s="389"/>
      <c r="AM384" s="389"/>
    </row>
    <row r="385">
      <c r="A385" s="307"/>
      <c r="B385" s="308"/>
      <c r="C385" s="309"/>
      <c r="D385" s="389"/>
      <c r="E385" s="307"/>
      <c r="F385" s="308"/>
      <c r="G385" s="309"/>
      <c r="H385" s="389"/>
      <c r="I385" s="307"/>
      <c r="J385" s="308"/>
      <c r="K385" s="309"/>
      <c r="L385" s="389"/>
      <c r="M385" s="307"/>
      <c r="N385" s="308"/>
      <c r="O385" s="309"/>
      <c r="P385" s="389"/>
      <c r="Q385" s="192"/>
      <c r="R385" s="149"/>
      <c r="S385" s="392"/>
      <c r="T385" s="393"/>
      <c r="U385" s="192"/>
      <c r="V385" s="149"/>
      <c r="W385" s="392"/>
      <c r="X385" s="393"/>
      <c r="Y385" s="192"/>
      <c r="Z385" s="149"/>
      <c r="AA385" s="392"/>
      <c r="AB385" s="393"/>
      <c r="AC385" s="192"/>
      <c r="AD385" s="149"/>
      <c r="AE385" s="392"/>
      <c r="AF385" s="393"/>
      <c r="AG385" s="143"/>
      <c r="AH385" s="143"/>
      <c r="AI385" s="143"/>
      <c r="AJ385" s="143"/>
      <c r="AK385" s="389"/>
      <c r="AL385" s="389"/>
      <c r="AM385" s="389"/>
    </row>
    <row r="386">
      <c r="A386" s="307"/>
      <c r="B386" s="308"/>
      <c r="C386" s="309"/>
      <c r="D386" s="389"/>
      <c r="E386" s="307"/>
      <c r="F386" s="308"/>
      <c r="G386" s="309"/>
      <c r="H386" s="389"/>
      <c r="I386" s="307"/>
      <c r="J386" s="308"/>
      <c r="K386" s="309"/>
      <c r="L386" s="389"/>
      <c r="M386" s="307"/>
      <c r="N386" s="308"/>
      <c r="O386" s="309"/>
      <c r="P386" s="389"/>
      <c r="Q386" s="192"/>
      <c r="R386" s="149"/>
      <c r="S386" s="392"/>
      <c r="T386" s="393"/>
      <c r="U386" s="192"/>
      <c r="V386" s="149"/>
      <c r="W386" s="392"/>
      <c r="X386" s="393"/>
      <c r="Y386" s="192"/>
      <c r="Z386" s="149"/>
      <c r="AA386" s="392"/>
      <c r="AB386" s="393"/>
      <c r="AC386" s="192"/>
      <c r="AD386" s="149"/>
      <c r="AE386" s="392"/>
      <c r="AF386" s="393"/>
      <c r="AG386" s="143"/>
      <c r="AH386" s="143"/>
      <c r="AI386" s="143"/>
      <c r="AJ386" s="143"/>
      <c r="AK386" s="389"/>
      <c r="AL386" s="389"/>
      <c r="AM386" s="389"/>
    </row>
    <row r="387">
      <c r="A387" s="307"/>
      <c r="B387" s="308"/>
      <c r="C387" s="309"/>
      <c r="D387" s="389"/>
      <c r="E387" s="307"/>
      <c r="F387" s="308"/>
      <c r="G387" s="309"/>
      <c r="H387" s="389"/>
      <c r="I387" s="307"/>
      <c r="J387" s="308"/>
      <c r="K387" s="309"/>
      <c r="L387" s="389"/>
      <c r="M387" s="307"/>
      <c r="N387" s="308"/>
      <c r="O387" s="309"/>
      <c r="P387" s="389"/>
      <c r="Q387" s="192"/>
      <c r="R387" s="149"/>
      <c r="S387" s="392"/>
      <c r="T387" s="393"/>
      <c r="U387" s="192"/>
      <c r="V387" s="149"/>
      <c r="W387" s="392"/>
      <c r="X387" s="393"/>
      <c r="Y387" s="192"/>
      <c r="Z387" s="149"/>
      <c r="AA387" s="392"/>
      <c r="AB387" s="393"/>
      <c r="AC387" s="192"/>
      <c r="AD387" s="149"/>
      <c r="AE387" s="392"/>
      <c r="AF387" s="393"/>
      <c r="AG387" s="143"/>
      <c r="AH387" s="143"/>
      <c r="AI387" s="143"/>
      <c r="AJ387" s="143"/>
      <c r="AK387" s="389"/>
      <c r="AL387" s="389"/>
      <c r="AM387" s="389"/>
    </row>
    <row r="388">
      <c r="A388" s="307"/>
      <c r="B388" s="308"/>
      <c r="C388" s="309"/>
      <c r="D388" s="389"/>
      <c r="E388" s="307"/>
      <c r="F388" s="308"/>
      <c r="G388" s="309"/>
      <c r="H388" s="389"/>
      <c r="I388" s="307"/>
      <c r="J388" s="308"/>
      <c r="K388" s="309"/>
      <c r="L388" s="389"/>
      <c r="M388" s="307"/>
      <c r="N388" s="308"/>
      <c r="O388" s="309"/>
      <c r="P388" s="389"/>
      <c r="Q388" s="192"/>
      <c r="R388" s="149"/>
      <c r="S388" s="392"/>
      <c r="T388" s="393"/>
      <c r="U388" s="192"/>
      <c r="V388" s="149"/>
      <c r="W388" s="392"/>
      <c r="X388" s="393"/>
      <c r="Y388" s="192"/>
      <c r="Z388" s="149"/>
      <c r="AA388" s="392"/>
      <c r="AB388" s="393"/>
      <c r="AC388" s="192"/>
      <c r="AD388" s="149"/>
      <c r="AE388" s="392"/>
      <c r="AF388" s="393"/>
      <c r="AG388" s="143"/>
      <c r="AH388" s="143"/>
      <c r="AI388" s="143"/>
      <c r="AJ388" s="143"/>
      <c r="AK388" s="389"/>
      <c r="AL388" s="389"/>
      <c r="AM388" s="389"/>
    </row>
    <row r="389">
      <c r="A389" s="307"/>
      <c r="B389" s="308"/>
      <c r="C389" s="309"/>
      <c r="D389" s="389"/>
      <c r="E389" s="307"/>
      <c r="F389" s="308"/>
      <c r="G389" s="309"/>
      <c r="H389" s="389"/>
      <c r="I389" s="307"/>
      <c r="J389" s="308"/>
      <c r="K389" s="309"/>
      <c r="L389" s="389"/>
      <c r="M389" s="307"/>
      <c r="N389" s="308"/>
      <c r="O389" s="309"/>
      <c r="P389" s="389"/>
      <c r="Q389" s="192"/>
      <c r="R389" s="149"/>
      <c r="S389" s="392"/>
      <c r="T389" s="393"/>
      <c r="U389" s="192"/>
      <c r="V389" s="149"/>
      <c r="W389" s="392"/>
      <c r="X389" s="393"/>
      <c r="Y389" s="192"/>
      <c r="Z389" s="149"/>
      <c r="AA389" s="392"/>
      <c r="AB389" s="393"/>
      <c r="AC389" s="192"/>
      <c r="AD389" s="149"/>
      <c r="AE389" s="392"/>
      <c r="AF389" s="393"/>
      <c r="AG389" s="143"/>
      <c r="AH389" s="143"/>
      <c r="AI389" s="143"/>
      <c r="AJ389" s="143"/>
      <c r="AK389" s="389"/>
      <c r="AL389" s="389"/>
      <c r="AM389" s="389"/>
    </row>
    <row r="390">
      <c r="A390" s="307"/>
      <c r="B390" s="308"/>
      <c r="C390" s="309"/>
      <c r="D390" s="389"/>
      <c r="E390" s="307"/>
      <c r="F390" s="308"/>
      <c r="G390" s="309"/>
      <c r="H390" s="389"/>
      <c r="I390" s="307"/>
      <c r="J390" s="308"/>
      <c r="K390" s="309"/>
      <c r="L390" s="389"/>
      <c r="M390" s="307"/>
      <c r="N390" s="308"/>
      <c r="O390" s="309"/>
      <c r="P390" s="389"/>
      <c r="Q390" s="192"/>
      <c r="R390" s="149"/>
      <c r="S390" s="392"/>
      <c r="T390" s="393"/>
      <c r="U390" s="192"/>
      <c r="V390" s="149"/>
      <c r="W390" s="392"/>
      <c r="X390" s="393"/>
      <c r="Y390" s="192"/>
      <c r="Z390" s="149"/>
      <c r="AA390" s="392"/>
      <c r="AB390" s="393"/>
      <c r="AC390" s="192"/>
      <c r="AD390" s="149"/>
      <c r="AE390" s="392"/>
      <c r="AF390" s="393"/>
      <c r="AG390" s="143"/>
      <c r="AH390" s="143"/>
      <c r="AI390" s="143"/>
      <c r="AJ390" s="143"/>
      <c r="AK390" s="389"/>
      <c r="AL390" s="389"/>
      <c r="AM390" s="389"/>
    </row>
    <row r="391">
      <c r="A391" s="307"/>
      <c r="B391" s="308"/>
      <c r="C391" s="309"/>
      <c r="D391" s="389"/>
      <c r="E391" s="307"/>
      <c r="F391" s="308"/>
      <c r="G391" s="309"/>
      <c r="H391" s="389"/>
      <c r="I391" s="307"/>
      <c r="J391" s="308"/>
      <c r="K391" s="309"/>
      <c r="L391" s="389"/>
      <c r="M391" s="307"/>
      <c r="N391" s="308"/>
      <c r="O391" s="309"/>
      <c r="P391" s="389"/>
      <c r="Q391" s="192"/>
      <c r="R391" s="149"/>
      <c r="S391" s="392"/>
      <c r="T391" s="393"/>
      <c r="U391" s="192"/>
      <c r="V391" s="149"/>
      <c r="W391" s="392"/>
      <c r="X391" s="393"/>
      <c r="Y391" s="192"/>
      <c r="Z391" s="149"/>
      <c r="AA391" s="392"/>
      <c r="AB391" s="393"/>
      <c r="AC391" s="192"/>
      <c r="AD391" s="149"/>
      <c r="AE391" s="392"/>
      <c r="AF391" s="393"/>
      <c r="AG391" s="143"/>
      <c r="AH391" s="143"/>
      <c r="AI391" s="143"/>
      <c r="AJ391" s="143"/>
      <c r="AK391" s="389"/>
      <c r="AL391" s="389"/>
      <c r="AM391" s="389"/>
    </row>
    <row r="392">
      <c r="A392" s="307"/>
      <c r="B392" s="308"/>
      <c r="C392" s="309"/>
      <c r="D392" s="389"/>
      <c r="E392" s="307"/>
      <c r="F392" s="308"/>
      <c r="G392" s="309"/>
      <c r="H392" s="389"/>
      <c r="I392" s="307"/>
      <c r="J392" s="308"/>
      <c r="K392" s="309"/>
      <c r="L392" s="389"/>
      <c r="M392" s="307"/>
      <c r="N392" s="308"/>
      <c r="O392" s="309"/>
      <c r="P392" s="389"/>
      <c r="Q392" s="192"/>
      <c r="R392" s="149"/>
      <c r="S392" s="392"/>
      <c r="T392" s="393"/>
      <c r="U392" s="192"/>
      <c r="V392" s="149"/>
      <c r="W392" s="392"/>
      <c r="X392" s="393"/>
      <c r="Y392" s="192"/>
      <c r="Z392" s="149"/>
      <c r="AA392" s="392"/>
      <c r="AB392" s="393"/>
      <c r="AC392" s="192"/>
      <c r="AD392" s="149"/>
      <c r="AE392" s="392"/>
      <c r="AF392" s="393"/>
      <c r="AG392" s="143"/>
      <c r="AH392" s="143"/>
      <c r="AI392" s="143"/>
      <c r="AJ392" s="143"/>
      <c r="AK392" s="389"/>
      <c r="AL392" s="389"/>
      <c r="AM392" s="389"/>
    </row>
    <row r="393">
      <c r="A393" s="307"/>
      <c r="B393" s="308"/>
      <c r="C393" s="309"/>
      <c r="D393" s="389"/>
      <c r="E393" s="307"/>
      <c r="F393" s="308"/>
      <c r="G393" s="309"/>
      <c r="H393" s="389"/>
      <c r="I393" s="307"/>
      <c r="J393" s="308"/>
      <c r="K393" s="309"/>
      <c r="L393" s="389"/>
      <c r="M393" s="307"/>
      <c r="N393" s="308"/>
      <c r="O393" s="309"/>
      <c r="P393" s="389"/>
      <c r="Q393" s="192"/>
      <c r="R393" s="149"/>
      <c r="S393" s="392"/>
      <c r="T393" s="393"/>
      <c r="U393" s="192"/>
      <c r="V393" s="149"/>
      <c r="W393" s="392"/>
      <c r="X393" s="393"/>
      <c r="Y393" s="192"/>
      <c r="Z393" s="149"/>
      <c r="AA393" s="392"/>
      <c r="AB393" s="393"/>
      <c r="AC393" s="192"/>
      <c r="AD393" s="149"/>
      <c r="AE393" s="392"/>
      <c r="AF393" s="393"/>
      <c r="AG393" s="143"/>
      <c r="AH393" s="143"/>
      <c r="AI393" s="143"/>
      <c r="AJ393" s="143"/>
      <c r="AK393" s="389"/>
      <c r="AL393" s="389"/>
      <c r="AM393" s="389"/>
    </row>
    <row r="394">
      <c r="A394" s="307"/>
      <c r="B394" s="308"/>
      <c r="C394" s="309"/>
      <c r="D394" s="389"/>
      <c r="E394" s="307"/>
      <c r="F394" s="308"/>
      <c r="G394" s="309"/>
      <c r="H394" s="389"/>
      <c r="I394" s="307"/>
      <c r="J394" s="308"/>
      <c r="K394" s="309"/>
      <c r="L394" s="389"/>
      <c r="M394" s="307"/>
      <c r="N394" s="308"/>
      <c r="O394" s="309"/>
      <c r="P394" s="389"/>
      <c r="Q394" s="192"/>
      <c r="R394" s="149"/>
      <c r="S394" s="392"/>
      <c r="T394" s="393"/>
      <c r="U394" s="192"/>
      <c r="V394" s="149"/>
      <c r="W394" s="392"/>
      <c r="X394" s="393"/>
      <c r="Y394" s="192"/>
      <c r="Z394" s="149"/>
      <c r="AA394" s="392"/>
      <c r="AB394" s="393"/>
      <c r="AC394" s="192"/>
      <c r="AD394" s="149"/>
      <c r="AE394" s="392"/>
      <c r="AF394" s="393"/>
      <c r="AG394" s="143"/>
      <c r="AH394" s="143"/>
      <c r="AI394" s="143"/>
      <c r="AJ394" s="143"/>
      <c r="AK394" s="389"/>
      <c r="AL394" s="389"/>
      <c r="AM394" s="389"/>
    </row>
    <row r="395">
      <c r="A395" s="307"/>
      <c r="B395" s="308"/>
      <c r="C395" s="309"/>
      <c r="D395" s="389"/>
      <c r="E395" s="307"/>
      <c r="F395" s="308"/>
      <c r="G395" s="309"/>
      <c r="H395" s="389"/>
      <c r="I395" s="307"/>
      <c r="J395" s="308"/>
      <c r="K395" s="309"/>
      <c r="L395" s="389"/>
      <c r="M395" s="307"/>
      <c r="N395" s="308"/>
      <c r="O395" s="309"/>
      <c r="P395" s="389"/>
      <c r="Q395" s="192"/>
      <c r="R395" s="149"/>
      <c r="S395" s="392"/>
      <c r="T395" s="393"/>
      <c r="U395" s="192"/>
      <c r="V395" s="149"/>
      <c r="W395" s="392"/>
      <c r="X395" s="393"/>
      <c r="Y395" s="192"/>
      <c r="Z395" s="149"/>
      <c r="AA395" s="392"/>
      <c r="AB395" s="393"/>
      <c r="AC395" s="192"/>
      <c r="AD395" s="149"/>
      <c r="AE395" s="392"/>
      <c r="AF395" s="393"/>
      <c r="AG395" s="143"/>
      <c r="AH395" s="143"/>
      <c r="AI395" s="143"/>
      <c r="AJ395" s="143"/>
      <c r="AK395" s="389"/>
      <c r="AL395" s="389"/>
      <c r="AM395" s="389"/>
    </row>
    <row r="396">
      <c r="A396" s="307"/>
      <c r="B396" s="308"/>
      <c r="C396" s="309"/>
      <c r="D396" s="389"/>
      <c r="E396" s="307"/>
      <c r="F396" s="308"/>
      <c r="G396" s="309"/>
      <c r="H396" s="389"/>
      <c r="I396" s="307"/>
      <c r="J396" s="308"/>
      <c r="K396" s="309"/>
      <c r="L396" s="389"/>
      <c r="M396" s="307"/>
      <c r="N396" s="308"/>
      <c r="O396" s="309"/>
      <c r="P396" s="389"/>
      <c r="Q396" s="192"/>
      <c r="R396" s="149"/>
      <c r="S396" s="392"/>
      <c r="T396" s="393"/>
      <c r="U396" s="192"/>
      <c r="V396" s="149"/>
      <c r="W396" s="392"/>
      <c r="X396" s="393"/>
      <c r="Y396" s="192"/>
      <c r="Z396" s="149"/>
      <c r="AA396" s="392"/>
      <c r="AB396" s="393"/>
      <c r="AC396" s="192"/>
      <c r="AD396" s="149"/>
      <c r="AE396" s="392"/>
      <c r="AF396" s="393"/>
      <c r="AG396" s="143"/>
      <c r="AH396" s="143"/>
      <c r="AI396" s="143"/>
      <c r="AJ396" s="143"/>
      <c r="AK396" s="389"/>
      <c r="AL396" s="389"/>
      <c r="AM396" s="389"/>
    </row>
    <row r="397">
      <c r="A397" s="307"/>
      <c r="B397" s="308"/>
      <c r="C397" s="309"/>
      <c r="D397" s="389"/>
      <c r="E397" s="307"/>
      <c r="F397" s="308"/>
      <c r="G397" s="309"/>
      <c r="H397" s="389"/>
      <c r="I397" s="307"/>
      <c r="J397" s="308"/>
      <c r="K397" s="309"/>
      <c r="L397" s="389"/>
      <c r="M397" s="307"/>
      <c r="N397" s="308"/>
      <c r="O397" s="309"/>
      <c r="P397" s="389"/>
      <c r="Q397" s="192"/>
      <c r="R397" s="149"/>
      <c r="S397" s="392"/>
      <c r="T397" s="393"/>
      <c r="U397" s="192"/>
      <c r="V397" s="149"/>
      <c r="W397" s="392"/>
      <c r="X397" s="393"/>
      <c r="Y397" s="192"/>
      <c r="Z397" s="149"/>
      <c r="AA397" s="392"/>
      <c r="AB397" s="393"/>
      <c r="AC397" s="192"/>
      <c r="AD397" s="149"/>
      <c r="AE397" s="392"/>
      <c r="AF397" s="393"/>
      <c r="AG397" s="143"/>
      <c r="AH397" s="143"/>
      <c r="AI397" s="143"/>
      <c r="AJ397" s="143"/>
      <c r="AK397" s="389"/>
      <c r="AL397" s="389"/>
      <c r="AM397" s="389"/>
    </row>
    <row r="398">
      <c r="A398" s="307"/>
      <c r="B398" s="308"/>
      <c r="C398" s="309"/>
      <c r="D398" s="389"/>
      <c r="E398" s="307"/>
      <c r="F398" s="308"/>
      <c r="G398" s="309"/>
      <c r="H398" s="389"/>
      <c r="I398" s="307"/>
      <c r="J398" s="308"/>
      <c r="K398" s="309"/>
      <c r="L398" s="389"/>
      <c r="M398" s="307"/>
      <c r="N398" s="308"/>
      <c r="O398" s="309"/>
      <c r="P398" s="389"/>
      <c r="Q398" s="192"/>
      <c r="R398" s="149"/>
      <c r="S398" s="392"/>
      <c r="T398" s="393"/>
      <c r="U398" s="192"/>
      <c r="V398" s="149"/>
      <c r="W398" s="392"/>
      <c r="X398" s="393"/>
      <c r="Y398" s="192"/>
      <c r="Z398" s="149"/>
      <c r="AA398" s="392"/>
      <c r="AB398" s="393"/>
      <c r="AC398" s="192"/>
      <c r="AD398" s="149"/>
      <c r="AE398" s="392"/>
      <c r="AF398" s="393"/>
      <c r="AG398" s="143"/>
      <c r="AH398" s="143"/>
      <c r="AI398" s="143"/>
      <c r="AJ398" s="143"/>
      <c r="AK398" s="389"/>
      <c r="AL398" s="389"/>
      <c r="AM398" s="389"/>
    </row>
    <row r="399">
      <c r="A399" s="307"/>
      <c r="B399" s="308"/>
      <c r="C399" s="309"/>
      <c r="D399" s="389"/>
      <c r="E399" s="307"/>
      <c r="F399" s="308"/>
      <c r="G399" s="309"/>
      <c r="H399" s="389"/>
      <c r="I399" s="307"/>
      <c r="J399" s="308"/>
      <c r="K399" s="309"/>
      <c r="L399" s="389"/>
      <c r="M399" s="307"/>
      <c r="N399" s="308"/>
      <c r="O399" s="309"/>
      <c r="P399" s="389"/>
      <c r="Q399" s="192"/>
      <c r="R399" s="149"/>
      <c r="S399" s="392"/>
      <c r="T399" s="393"/>
      <c r="U399" s="192"/>
      <c r="V399" s="149"/>
      <c r="W399" s="392"/>
      <c r="X399" s="393"/>
      <c r="Y399" s="192"/>
      <c r="Z399" s="149"/>
      <c r="AA399" s="392"/>
      <c r="AB399" s="393"/>
      <c r="AC399" s="192"/>
      <c r="AD399" s="149"/>
      <c r="AE399" s="392"/>
      <c r="AF399" s="393"/>
      <c r="AG399" s="143"/>
      <c r="AH399" s="143"/>
      <c r="AI399" s="143"/>
      <c r="AJ399" s="143"/>
      <c r="AK399" s="389"/>
      <c r="AL399" s="389"/>
      <c r="AM399" s="389"/>
    </row>
    <row r="400">
      <c r="A400" s="307"/>
      <c r="B400" s="308"/>
      <c r="C400" s="309"/>
      <c r="D400" s="389"/>
      <c r="E400" s="307"/>
      <c r="F400" s="308"/>
      <c r="G400" s="309"/>
      <c r="H400" s="389"/>
      <c r="I400" s="307"/>
      <c r="J400" s="308"/>
      <c r="K400" s="309"/>
      <c r="L400" s="389"/>
      <c r="M400" s="307"/>
      <c r="N400" s="308"/>
      <c r="O400" s="309"/>
      <c r="P400" s="389"/>
      <c r="Q400" s="192"/>
      <c r="R400" s="149"/>
      <c r="S400" s="392"/>
      <c r="T400" s="393"/>
      <c r="U400" s="192"/>
      <c r="V400" s="149"/>
      <c r="W400" s="392"/>
      <c r="X400" s="393"/>
      <c r="Y400" s="192"/>
      <c r="Z400" s="149"/>
      <c r="AA400" s="392"/>
      <c r="AB400" s="393"/>
      <c r="AC400" s="192"/>
      <c r="AD400" s="149"/>
      <c r="AE400" s="392"/>
      <c r="AF400" s="393"/>
      <c r="AG400" s="143"/>
      <c r="AH400" s="143"/>
      <c r="AI400" s="143"/>
      <c r="AJ400" s="143"/>
      <c r="AK400" s="389"/>
      <c r="AL400" s="389"/>
      <c r="AM400" s="389"/>
    </row>
    <row r="401">
      <c r="A401" s="307"/>
      <c r="B401" s="308"/>
      <c r="C401" s="309"/>
      <c r="D401" s="389"/>
      <c r="E401" s="307"/>
      <c r="F401" s="308"/>
      <c r="G401" s="309"/>
      <c r="H401" s="389"/>
      <c r="I401" s="307"/>
      <c r="J401" s="308"/>
      <c r="K401" s="309"/>
      <c r="L401" s="389"/>
      <c r="M401" s="307"/>
      <c r="N401" s="308"/>
      <c r="O401" s="309"/>
      <c r="P401" s="389"/>
      <c r="Q401" s="192"/>
      <c r="R401" s="149"/>
      <c r="S401" s="392"/>
      <c r="T401" s="393"/>
      <c r="U401" s="192"/>
      <c r="V401" s="149"/>
      <c r="W401" s="392"/>
      <c r="X401" s="393"/>
      <c r="Y401" s="192"/>
      <c r="Z401" s="149"/>
      <c r="AA401" s="392"/>
      <c r="AB401" s="393"/>
      <c r="AC401" s="192"/>
      <c r="AD401" s="149"/>
      <c r="AE401" s="392"/>
      <c r="AF401" s="393"/>
      <c r="AG401" s="143"/>
      <c r="AH401" s="143"/>
      <c r="AI401" s="143"/>
      <c r="AJ401" s="143"/>
      <c r="AK401" s="389"/>
      <c r="AL401" s="389"/>
      <c r="AM401" s="389"/>
    </row>
    <row r="402">
      <c r="A402" s="307"/>
      <c r="B402" s="308"/>
      <c r="C402" s="309"/>
      <c r="D402" s="389"/>
      <c r="E402" s="307"/>
      <c r="F402" s="308"/>
      <c r="G402" s="309"/>
      <c r="H402" s="389"/>
      <c r="I402" s="307"/>
      <c r="J402" s="308"/>
      <c r="K402" s="309"/>
      <c r="L402" s="389"/>
      <c r="M402" s="307"/>
      <c r="N402" s="308"/>
      <c r="O402" s="309"/>
      <c r="P402" s="389"/>
      <c r="Q402" s="192"/>
      <c r="R402" s="149"/>
      <c r="S402" s="392"/>
      <c r="T402" s="393"/>
      <c r="U402" s="192"/>
      <c r="V402" s="149"/>
      <c r="W402" s="392"/>
      <c r="X402" s="393"/>
      <c r="Y402" s="192"/>
      <c r="Z402" s="149"/>
      <c r="AA402" s="392"/>
      <c r="AB402" s="393"/>
      <c r="AC402" s="192"/>
      <c r="AD402" s="149"/>
      <c r="AE402" s="392"/>
      <c r="AF402" s="393"/>
      <c r="AG402" s="143"/>
      <c r="AH402" s="143"/>
      <c r="AI402" s="143"/>
      <c r="AJ402" s="143"/>
      <c r="AK402" s="389"/>
      <c r="AL402" s="389"/>
      <c r="AM402" s="389"/>
    </row>
    <row r="403">
      <c r="A403" s="307"/>
      <c r="B403" s="308"/>
      <c r="C403" s="309"/>
      <c r="D403" s="389"/>
      <c r="E403" s="307"/>
      <c r="F403" s="308"/>
      <c r="G403" s="309"/>
      <c r="H403" s="389"/>
      <c r="I403" s="307"/>
      <c r="J403" s="308"/>
      <c r="K403" s="309"/>
      <c r="L403" s="389"/>
      <c r="M403" s="307"/>
      <c r="N403" s="308"/>
      <c r="O403" s="309"/>
      <c r="P403" s="389"/>
      <c r="Q403" s="192"/>
      <c r="R403" s="149"/>
      <c r="S403" s="392"/>
      <c r="T403" s="393"/>
      <c r="U403" s="192"/>
      <c r="V403" s="149"/>
      <c r="W403" s="392"/>
      <c r="X403" s="393"/>
      <c r="Y403" s="192"/>
      <c r="Z403" s="149"/>
      <c r="AA403" s="392"/>
      <c r="AB403" s="393"/>
      <c r="AC403" s="192"/>
      <c r="AD403" s="149"/>
      <c r="AE403" s="392"/>
      <c r="AF403" s="393"/>
      <c r="AG403" s="143"/>
      <c r="AH403" s="143"/>
      <c r="AI403" s="143"/>
      <c r="AJ403" s="143"/>
      <c r="AK403" s="389"/>
      <c r="AL403" s="389"/>
      <c r="AM403" s="389"/>
    </row>
    <row r="404">
      <c r="A404" s="307"/>
      <c r="B404" s="308"/>
      <c r="C404" s="309"/>
      <c r="D404" s="389"/>
      <c r="E404" s="307"/>
      <c r="F404" s="308"/>
      <c r="G404" s="309"/>
      <c r="H404" s="389"/>
      <c r="I404" s="307"/>
      <c r="J404" s="308"/>
      <c r="K404" s="309"/>
      <c r="L404" s="389"/>
      <c r="M404" s="307"/>
      <c r="N404" s="308"/>
      <c r="O404" s="309"/>
      <c r="P404" s="389"/>
      <c r="Q404" s="192"/>
      <c r="R404" s="149"/>
      <c r="S404" s="392"/>
      <c r="T404" s="393"/>
      <c r="U404" s="192"/>
      <c r="V404" s="149"/>
      <c r="W404" s="392"/>
      <c r="X404" s="393"/>
      <c r="Y404" s="192"/>
      <c r="Z404" s="149"/>
      <c r="AA404" s="392"/>
      <c r="AB404" s="393"/>
      <c r="AC404" s="192"/>
      <c r="AD404" s="149"/>
      <c r="AE404" s="392"/>
      <c r="AF404" s="393"/>
      <c r="AG404" s="143"/>
      <c r="AH404" s="143"/>
      <c r="AI404" s="143"/>
      <c r="AJ404" s="143"/>
      <c r="AK404" s="389"/>
      <c r="AL404" s="389"/>
      <c r="AM404" s="389"/>
    </row>
    <row r="405">
      <c r="A405" s="307"/>
      <c r="B405" s="308"/>
      <c r="C405" s="309"/>
      <c r="D405" s="389"/>
      <c r="E405" s="307"/>
      <c r="F405" s="308"/>
      <c r="G405" s="309"/>
      <c r="H405" s="389"/>
      <c r="I405" s="307"/>
      <c r="J405" s="308"/>
      <c r="K405" s="309"/>
      <c r="L405" s="389"/>
      <c r="M405" s="307"/>
      <c r="N405" s="308"/>
      <c r="O405" s="309"/>
      <c r="P405" s="389"/>
      <c r="Q405" s="192"/>
      <c r="R405" s="149"/>
      <c r="S405" s="392"/>
      <c r="T405" s="393"/>
      <c r="U405" s="192"/>
      <c r="V405" s="149"/>
      <c r="W405" s="392"/>
      <c r="X405" s="393"/>
      <c r="Y405" s="192"/>
      <c r="Z405" s="149"/>
      <c r="AA405" s="392"/>
      <c r="AB405" s="393"/>
      <c r="AC405" s="192"/>
      <c r="AD405" s="149"/>
      <c r="AE405" s="392"/>
      <c r="AF405" s="393"/>
      <c r="AG405" s="143"/>
      <c r="AH405" s="143"/>
      <c r="AI405" s="143"/>
      <c r="AJ405" s="143"/>
      <c r="AK405" s="389"/>
      <c r="AL405" s="389"/>
      <c r="AM405" s="389"/>
    </row>
    <row r="406">
      <c r="A406" s="307"/>
      <c r="B406" s="308"/>
      <c r="C406" s="309"/>
      <c r="D406" s="389"/>
      <c r="E406" s="307"/>
      <c r="F406" s="308"/>
      <c r="G406" s="309"/>
      <c r="H406" s="389"/>
      <c r="I406" s="307"/>
      <c r="J406" s="308"/>
      <c r="K406" s="309"/>
      <c r="L406" s="389"/>
      <c r="M406" s="307"/>
      <c r="N406" s="308"/>
      <c r="O406" s="309"/>
      <c r="P406" s="389"/>
      <c r="Q406" s="192"/>
      <c r="R406" s="149"/>
      <c r="S406" s="392"/>
      <c r="T406" s="393"/>
      <c r="U406" s="192"/>
      <c r="V406" s="149"/>
      <c r="W406" s="392"/>
      <c r="X406" s="393"/>
      <c r="Y406" s="192"/>
      <c r="Z406" s="149"/>
      <c r="AA406" s="392"/>
      <c r="AB406" s="393"/>
      <c r="AC406" s="192"/>
      <c r="AD406" s="149"/>
      <c r="AE406" s="392"/>
      <c r="AF406" s="393"/>
      <c r="AG406" s="143"/>
      <c r="AH406" s="143"/>
      <c r="AI406" s="143"/>
      <c r="AJ406" s="143"/>
      <c r="AK406" s="389"/>
      <c r="AL406" s="389"/>
      <c r="AM406" s="389"/>
    </row>
    <row r="407">
      <c r="A407" s="307"/>
      <c r="B407" s="308"/>
      <c r="C407" s="309"/>
      <c r="D407" s="389"/>
      <c r="E407" s="307"/>
      <c r="F407" s="308"/>
      <c r="G407" s="309"/>
      <c r="H407" s="389"/>
      <c r="I407" s="307"/>
      <c r="J407" s="308"/>
      <c r="K407" s="309"/>
      <c r="L407" s="389"/>
      <c r="M407" s="307"/>
      <c r="N407" s="308"/>
      <c r="O407" s="309"/>
      <c r="P407" s="389"/>
      <c r="Q407" s="192"/>
      <c r="R407" s="149"/>
      <c r="S407" s="392"/>
      <c r="T407" s="393"/>
      <c r="U407" s="192"/>
      <c r="V407" s="149"/>
      <c r="W407" s="392"/>
      <c r="X407" s="393"/>
      <c r="Y407" s="192"/>
      <c r="Z407" s="149"/>
      <c r="AA407" s="392"/>
      <c r="AB407" s="393"/>
      <c r="AC407" s="192"/>
      <c r="AD407" s="149"/>
      <c r="AE407" s="392"/>
      <c r="AF407" s="393"/>
      <c r="AG407" s="143"/>
      <c r="AH407" s="143"/>
      <c r="AI407" s="143"/>
      <c r="AJ407" s="143"/>
      <c r="AK407" s="389"/>
      <c r="AL407" s="389"/>
      <c r="AM407" s="389"/>
    </row>
    <row r="408">
      <c r="A408" s="307"/>
      <c r="B408" s="308"/>
      <c r="C408" s="309"/>
      <c r="D408" s="389"/>
      <c r="E408" s="307"/>
      <c r="F408" s="308"/>
      <c r="G408" s="309"/>
      <c r="H408" s="389"/>
      <c r="I408" s="307"/>
      <c r="J408" s="308"/>
      <c r="K408" s="309"/>
      <c r="L408" s="389"/>
      <c r="M408" s="307"/>
      <c r="N408" s="308"/>
      <c r="O408" s="309"/>
      <c r="P408" s="389"/>
      <c r="Q408" s="192"/>
      <c r="R408" s="149"/>
      <c r="S408" s="392"/>
      <c r="T408" s="393"/>
      <c r="U408" s="192"/>
      <c r="V408" s="149"/>
      <c r="W408" s="392"/>
      <c r="X408" s="393"/>
      <c r="Y408" s="192"/>
      <c r="Z408" s="149"/>
      <c r="AA408" s="392"/>
      <c r="AB408" s="393"/>
      <c r="AC408" s="192"/>
      <c r="AD408" s="149"/>
      <c r="AE408" s="392"/>
      <c r="AF408" s="393"/>
      <c r="AG408" s="143"/>
      <c r="AH408" s="143"/>
      <c r="AI408" s="143"/>
      <c r="AJ408" s="143"/>
      <c r="AK408" s="389"/>
      <c r="AL408" s="389"/>
      <c r="AM408" s="389"/>
    </row>
    <row r="409">
      <c r="A409" s="307"/>
      <c r="B409" s="308"/>
      <c r="C409" s="309"/>
      <c r="D409" s="389"/>
      <c r="E409" s="307"/>
      <c r="F409" s="308"/>
      <c r="G409" s="309"/>
      <c r="H409" s="389"/>
      <c r="I409" s="307"/>
      <c r="J409" s="308"/>
      <c r="K409" s="309"/>
      <c r="L409" s="389"/>
      <c r="M409" s="307"/>
      <c r="N409" s="308"/>
      <c r="O409" s="309"/>
      <c r="P409" s="389"/>
      <c r="Q409" s="192"/>
      <c r="R409" s="149"/>
      <c r="S409" s="392"/>
      <c r="T409" s="393"/>
      <c r="U409" s="192"/>
      <c r="V409" s="149"/>
      <c r="W409" s="392"/>
      <c r="X409" s="393"/>
      <c r="Y409" s="192"/>
      <c r="Z409" s="149"/>
      <c r="AA409" s="392"/>
      <c r="AB409" s="393"/>
      <c r="AC409" s="192"/>
      <c r="AD409" s="149"/>
      <c r="AE409" s="392"/>
      <c r="AF409" s="393"/>
      <c r="AG409" s="143"/>
      <c r="AH409" s="143"/>
      <c r="AI409" s="143"/>
      <c r="AJ409" s="143"/>
      <c r="AK409" s="389"/>
      <c r="AL409" s="389"/>
      <c r="AM409" s="389"/>
    </row>
    <row r="410">
      <c r="A410" s="307"/>
      <c r="B410" s="308"/>
      <c r="C410" s="309"/>
      <c r="D410" s="389"/>
      <c r="E410" s="307"/>
      <c r="F410" s="308"/>
      <c r="G410" s="309"/>
      <c r="H410" s="389"/>
      <c r="I410" s="307"/>
      <c r="J410" s="308"/>
      <c r="K410" s="309"/>
      <c r="L410" s="389"/>
      <c r="M410" s="307"/>
      <c r="N410" s="308"/>
      <c r="O410" s="309"/>
      <c r="P410" s="389"/>
      <c r="Q410" s="192"/>
      <c r="R410" s="149"/>
      <c r="S410" s="392"/>
      <c r="T410" s="393"/>
      <c r="U410" s="192"/>
      <c r="V410" s="149"/>
      <c r="W410" s="392"/>
      <c r="X410" s="393"/>
      <c r="Y410" s="192"/>
      <c r="Z410" s="149"/>
      <c r="AA410" s="392"/>
      <c r="AB410" s="393"/>
      <c r="AC410" s="192"/>
      <c r="AD410" s="149"/>
      <c r="AE410" s="392"/>
      <c r="AF410" s="393"/>
      <c r="AG410" s="143"/>
      <c r="AH410" s="143"/>
      <c r="AI410" s="143"/>
      <c r="AJ410" s="143"/>
      <c r="AK410" s="389"/>
      <c r="AL410" s="389"/>
      <c r="AM410" s="389"/>
    </row>
    <row r="411">
      <c r="A411" s="307"/>
      <c r="B411" s="308"/>
      <c r="C411" s="309"/>
      <c r="D411" s="389"/>
      <c r="E411" s="307"/>
      <c r="F411" s="308"/>
      <c r="G411" s="309"/>
      <c r="H411" s="389"/>
      <c r="I411" s="307"/>
      <c r="J411" s="308"/>
      <c r="K411" s="309"/>
      <c r="L411" s="389"/>
      <c r="M411" s="307"/>
      <c r="N411" s="308"/>
      <c r="O411" s="309"/>
      <c r="P411" s="389"/>
      <c r="Q411" s="192"/>
      <c r="R411" s="149"/>
      <c r="S411" s="392"/>
      <c r="T411" s="393"/>
      <c r="U411" s="192"/>
      <c r="V411" s="149"/>
      <c r="W411" s="392"/>
      <c r="X411" s="393"/>
      <c r="Y411" s="192"/>
      <c r="Z411" s="149"/>
      <c r="AA411" s="392"/>
      <c r="AB411" s="393"/>
      <c r="AC411" s="192"/>
      <c r="AD411" s="149"/>
      <c r="AE411" s="392"/>
      <c r="AF411" s="393"/>
      <c r="AG411" s="143"/>
      <c r="AH411" s="143"/>
      <c r="AI411" s="143"/>
      <c r="AJ411" s="143"/>
      <c r="AK411" s="389"/>
      <c r="AL411" s="389"/>
      <c r="AM411" s="389"/>
    </row>
    <row r="412">
      <c r="A412" s="307"/>
      <c r="B412" s="308"/>
      <c r="C412" s="309"/>
      <c r="D412" s="389"/>
      <c r="E412" s="307"/>
      <c r="F412" s="308"/>
      <c r="G412" s="309"/>
      <c r="H412" s="389"/>
      <c r="I412" s="307"/>
      <c r="J412" s="308"/>
      <c r="K412" s="309"/>
      <c r="L412" s="389"/>
      <c r="M412" s="307"/>
      <c r="N412" s="308"/>
      <c r="O412" s="309"/>
      <c r="P412" s="389"/>
      <c r="Q412" s="192"/>
      <c r="R412" s="149"/>
      <c r="S412" s="392"/>
      <c r="T412" s="393"/>
      <c r="U412" s="192"/>
      <c r="V412" s="149"/>
      <c r="W412" s="392"/>
      <c r="X412" s="393"/>
      <c r="Y412" s="192"/>
      <c r="Z412" s="149"/>
      <c r="AA412" s="392"/>
      <c r="AB412" s="393"/>
      <c r="AC412" s="192"/>
      <c r="AD412" s="149"/>
      <c r="AE412" s="392"/>
      <c r="AF412" s="393"/>
      <c r="AG412" s="143"/>
      <c r="AH412" s="143"/>
      <c r="AI412" s="143"/>
      <c r="AJ412" s="143"/>
      <c r="AK412" s="389"/>
      <c r="AL412" s="389"/>
      <c r="AM412" s="389"/>
    </row>
    <row r="413">
      <c r="A413" s="307"/>
      <c r="B413" s="308"/>
      <c r="C413" s="309"/>
      <c r="D413" s="389"/>
      <c r="E413" s="307"/>
      <c r="F413" s="308"/>
      <c r="G413" s="309"/>
      <c r="H413" s="389"/>
      <c r="I413" s="307"/>
      <c r="J413" s="308"/>
      <c r="K413" s="309"/>
      <c r="L413" s="389"/>
      <c r="M413" s="307"/>
      <c r="N413" s="308"/>
      <c r="O413" s="309"/>
      <c r="P413" s="389"/>
      <c r="Q413" s="192"/>
      <c r="R413" s="149"/>
      <c r="S413" s="392"/>
      <c r="T413" s="393"/>
      <c r="U413" s="192"/>
      <c r="V413" s="149"/>
      <c r="W413" s="392"/>
      <c r="X413" s="393"/>
      <c r="Y413" s="192"/>
      <c r="Z413" s="149"/>
      <c r="AA413" s="392"/>
      <c r="AB413" s="393"/>
      <c r="AC413" s="192"/>
      <c r="AD413" s="149"/>
      <c r="AE413" s="392"/>
      <c r="AF413" s="393"/>
      <c r="AG413" s="143"/>
      <c r="AH413" s="143"/>
      <c r="AI413" s="143"/>
      <c r="AJ413" s="143"/>
      <c r="AK413" s="389"/>
      <c r="AL413" s="389"/>
      <c r="AM413" s="389"/>
    </row>
    <row r="414">
      <c r="A414" s="307"/>
      <c r="B414" s="308"/>
      <c r="C414" s="309"/>
      <c r="D414" s="389"/>
      <c r="E414" s="307"/>
      <c r="F414" s="308"/>
      <c r="G414" s="309"/>
      <c r="H414" s="389"/>
      <c r="I414" s="307"/>
      <c r="J414" s="308"/>
      <c r="K414" s="309"/>
      <c r="L414" s="389"/>
      <c r="M414" s="307"/>
      <c r="N414" s="308"/>
      <c r="O414" s="309"/>
      <c r="P414" s="389"/>
      <c r="Q414" s="192"/>
      <c r="R414" s="149"/>
      <c r="S414" s="392"/>
      <c r="T414" s="393"/>
      <c r="U414" s="192"/>
      <c r="V414" s="149"/>
      <c r="W414" s="392"/>
      <c r="X414" s="393"/>
      <c r="Y414" s="192"/>
      <c r="Z414" s="149"/>
      <c r="AA414" s="392"/>
      <c r="AB414" s="393"/>
      <c r="AC414" s="192"/>
      <c r="AD414" s="149"/>
      <c r="AE414" s="392"/>
      <c r="AF414" s="393"/>
      <c r="AG414" s="143"/>
      <c r="AH414" s="143"/>
      <c r="AI414" s="143"/>
      <c r="AJ414" s="143"/>
      <c r="AK414" s="389"/>
      <c r="AL414" s="389"/>
      <c r="AM414" s="389"/>
    </row>
    <row r="415">
      <c r="A415" s="307"/>
      <c r="B415" s="308"/>
      <c r="C415" s="309"/>
      <c r="D415" s="389"/>
      <c r="E415" s="307"/>
      <c r="F415" s="308"/>
      <c r="G415" s="309"/>
      <c r="H415" s="389"/>
      <c r="I415" s="307"/>
      <c r="J415" s="308"/>
      <c r="K415" s="309"/>
      <c r="L415" s="389"/>
      <c r="M415" s="307"/>
      <c r="N415" s="308"/>
      <c r="O415" s="309"/>
      <c r="P415" s="389"/>
      <c r="Q415" s="192"/>
      <c r="R415" s="149"/>
      <c r="S415" s="392"/>
      <c r="T415" s="393"/>
      <c r="U415" s="192"/>
      <c r="V415" s="149"/>
      <c r="W415" s="392"/>
      <c r="X415" s="393"/>
      <c r="Y415" s="192"/>
      <c r="Z415" s="149"/>
      <c r="AA415" s="392"/>
      <c r="AB415" s="393"/>
      <c r="AC415" s="192"/>
      <c r="AD415" s="149"/>
      <c r="AE415" s="392"/>
      <c r="AF415" s="393"/>
      <c r="AG415" s="143"/>
      <c r="AH415" s="143"/>
      <c r="AI415" s="143"/>
      <c r="AJ415" s="143"/>
      <c r="AK415" s="389"/>
      <c r="AL415" s="389"/>
      <c r="AM415" s="389"/>
    </row>
    <row r="416">
      <c r="A416" s="307"/>
      <c r="B416" s="308"/>
      <c r="C416" s="309"/>
      <c r="D416" s="389"/>
      <c r="E416" s="307"/>
      <c r="F416" s="308"/>
      <c r="G416" s="309"/>
      <c r="H416" s="389"/>
      <c r="I416" s="307"/>
      <c r="J416" s="308"/>
      <c r="K416" s="309"/>
      <c r="L416" s="389"/>
      <c r="M416" s="307"/>
      <c r="N416" s="308"/>
      <c r="O416" s="309"/>
      <c r="P416" s="389"/>
      <c r="Q416" s="192"/>
      <c r="R416" s="149"/>
      <c r="S416" s="392"/>
      <c r="T416" s="393"/>
      <c r="U416" s="192"/>
      <c r="V416" s="149"/>
      <c r="W416" s="392"/>
      <c r="X416" s="393"/>
      <c r="Y416" s="192"/>
      <c r="Z416" s="149"/>
      <c r="AA416" s="392"/>
      <c r="AB416" s="393"/>
      <c r="AC416" s="192"/>
      <c r="AD416" s="149"/>
      <c r="AE416" s="392"/>
      <c r="AF416" s="393"/>
      <c r="AG416" s="143"/>
      <c r="AH416" s="143"/>
      <c r="AI416" s="143"/>
      <c r="AJ416" s="143"/>
      <c r="AK416" s="389"/>
      <c r="AL416" s="389"/>
      <c r="AM416" s="389"/>
    </row>
    <row r="417">
      <c r="A417" s="307"/>
      <c r="B417" s="308"/>
      <c r="C417" s="309"/>
      <c r="D417" s="389"/>
      <c r="E417" s="307"/>
      <c r="F417" s="308"/>
      <c r="G417" s="309"/>
      <c r="H417" s="389"/>
      <c r="I417" s="307"/>
      <c r="J417" s="308"/>
      <c r="K417" s="309"/>
      <c r="L417" s="389"/>
      <c r="M417" s="307"/>
      <c r="N417" s="308"/>
      <c r="O417" s="309"/>
      <c r="P417" s="389"/>
      <c r="Q417" s="192"/>
      <c r="R417" s="149"/>
      <c r="S417" s="392"/>
      <c r="T417" s="393"/>
      <c r="U417" s="192"/>
      <c r="V417" s="149"/>
      <c r="W417" s="392"/>
      <c r="X417" s="393"/>
      <c r="Y417" s="192"/>
      <c r="Z417" s="149"/>
      <c r="AA417" s="392"/>
      <c r="AB417" s="393"/>
      <c r="AC417" s="192"/>
      <c r="AD417" s="149"/>
      <c r="AE417" s="392"/>
      <c r="AF417" s="393"/>
      <c r="AG417" s="143"/>
      <c r="AH417" s="143"/>
      <c r="AI417" s="143"/>
      <c r="AJ417" s="143"/>
      <c r="AK417" s="389"/>
      <c r="AL417" s="389"/>
      <c r="AM417" s="389"/>
    </row>
    <row r="418">
      <c r="A418" s="307"/>
      <c r="B418" s="308"/>
      <c r="C418" s="309"/>
      <c r="D418" s="389"/>
      <c r="E418" s="307"/>
      <c r="F418" s="308"/>
      <c r="G418" s="309"/>
      <c r="H418" s="389"/>
      <c r="I418" s="307"/>
      <c r="J418" s="308"/>
      <c r="K418" s="309"/>
      <c r="L418" s="389"/>
      <c r="M418" s="307"/>
      <c r="N418" s="308"/>
      <c r="O418" s="309"/>
      <c r="P418" s="389"/>
      <c r="Q418" s="192"/>
      <c r="R418" s="149"/>
      <c r="S418" s="392"/>
      <c r="T418" s="393"/>
      <c r="U418" s="192"/>
      <c r="V418" s="149"/>
      <c r="W418" s="392"/>
      <c r="X418" s="393"/>
      <c r="Y418" s="192"/>
      <c r="Z418" s="149"/>
      <c r="AA418" s="392"/>
      <c r="AB418" s="393"/>
      <c r="AC418" s="192"/>
      <c r="AD418" s="149"/>
      <c r="AE418" s="392"/>
      <c r="AF418" s="393"/>
      <c r="AG418" s="143"/>
      <c r="AH418" s="143"/>
      <c r="AI418" s="143"/>
      <c r="AJ418" s="143"/>
      <c r="AK418" s="389"/>
      <c r="AL418" s="389"/>
      <c r="AM418" s="389"/>
    </row>
    <row r="419">
      <c r="A419" s="307"/>
      <c r="B419" s="308"/>
      <c r="C419" s="309"/>
      <c r="D419" s="389"/>
      <c r="E419" s="307"/>
      <c r="F419" s="308"/>
      <c r="G419" s="309"/>
      <c r="H419" s="389"/>
      <c r="I419" s="307"/>
      <c r="J419" s="308"/>
      <c r="K419" s="309"/>
      <c r="L419" s="389"/>
      <c r="M419" s="307"/>
      <c r="N419" s="308"/>
      <c r="O419" s="309"/>
      <c r="P419" s="389"/>
      <c r="Q419" s="192"/>
      <c r="R419" s="149"/>
      <c r="S419" s="392"/>
      <c r="T419" s="393"/>
      <c r="U419" s="192"/>
      <c r="V419" s="149"/>
      <c r="W419" s="392"/>
      <c r="X419" s="393"/>
      <c r="Y419" s="192"/>
      <c r="Z419" s="149"/>
      <c r="AA419" s="392"/>
      <c r="AB419" s="393"/>
      <c r="AC419" s="192"/>
      <c r="AD419" s="149"/>
      <c r="AE419" s="392"/>
      <c r="AF419" s="393"/>
      <c r="AG419" s="143"/>
      <c r="AH419" s="143"/>
      <c r="AI419" s="143"/>
      <c r="AJ419" s="143"/>
      <c r="AK419" s="389"/>
      <c r="AL419" s="389"/>
      <c r="AM419" s="389"/>
    </row>
    <row r="420">
      <c r="A420" s="307"/>
      <c r="B420" s="308"/>
      <c r="C420" s="309"/>
      <c r="D420" s="389"/>
      <c r="E420" s="307"/>
      <c r="F420" s="308"/>
      <c r="G420" s="309"/>
      <c r="H420" s="389"/>
      <c r="I420" s="307"/>
      <c r="J420" s="308"/>
      <c r="K420" s="309"/>
      <c r="L420" s="389"/>
      <c r="M420" s="307"/>
      <c r="N420" s="308"/>
      <c r="O420" s="309"/>
      <c r="P420" s="389"/>
      <c r="Q420" s="192"/>
      <c r="R420" s="149"/>
      <c r="S420" s="392"/>
      <c r="T420" s="393"/>
      <c r="U420" s="192"/>
      <c r="V420" s="149"/>
      <c r="W420" s="392"/>
      <c r="X420" s="393"/>
      <c r="Y420" s="192"/>
      <c r="Z420" s="149"/>
      <c r="AA420" s="392"/>
      <c r="AB420" s="393"/>
      <c r="AC420" s="192"/>
      <c r="AD420" s="149"/>
      <c r="AE420" s="392"/>
      <c r="AF420" s="393"/>
      <c r="AG420" s="143"/>
      <c r="AH420" s="143"/>
      <c r="AI420" s="143"/>
      <c r="AJ420" s="143"/>
      <c r="AK420" s="389"/>
      <c r="AL420" s="389"/>
      <c r="AM420" s="389"/>
    </row>
    <row r="421">
      <c r="A421" s="307"/>
      <c r="B421" s="308"/>
      <c r="C421" s="309"/>
      <c r="D421" s="389"/>
      <c r="E421" s="307"/>
      <c r="F421" s="308"/>
      <c r="G421" s="309"/>
      <c r="H421" s="389"/>
      <c r="I421" s="307"/>
      <c r="J421" s="308"/>
      <c r="K421" s="309"/>
      <c r="L421" s="389"/>
      <c r="M421" s="307"/>
      <c r="N421" s="308"/>
      <c r="O421" s="309"/>
      <c r="P421" s="389"/>
      <c r="Q421" s="192"/>
      <c r="R421" s="149"/>
      <c r="S421" s="392"/>
      <c r="T421" s="393"/>
      <c r="U421" s="192"/>
      <c r="V421" s="149"/>
      <c r="W421" s="392"/>
      <c r="X421" s="393"/>
      <c r="Y421" s="192"/>
      <c r="Z421" s="149"/>
      <c r="AA421" s="392"/>
      <c r="AB421" s="393"/>
      <c r="AC421" s="192"/>
      <c r="AD421" s="149"/>
      <c r="AE421" s="392"/>
      <c r="AF421" s="393"/>
      <c r="AG421" s="143"/>
      <c r="AH421" s="143"/>
      <c r="AI421" s="143"/>
      <c r="AJ421" s="143"/>
      <c r="AK421" s="389"/>
      <c r="AL421" s="389"/>
      <c r="AM421" s="389"/>
    </row>
    <row r="422">
      <c r="A422" s="307"/>
      <c r="B422" s="308"/>
      <c r="C422" s="309"/>
      <c r="D422" s="389"/>
      <c r="E422" s="307"/>
      <c r="F422" s="308"/>
      <c r="G422" s="309"/>
      <c r="H422" s="389"/>
      <c r="I422" s="307"/>
      <c r="J422" s="308"/>
      <c r="K422" s="309"/>
      <c r="L422" s="389"/>
      <c r="M422" s="307"/>
      <c r="N422" s="308"/>
      <c r="O422" s="309"/>
      <c r="P422" s="389"/>
      <c r="Q422" s="192"/>
      <c r="R422" s="149"/>
      <c r="S422" s="392"/>
      <c r="T422" s="393"/>
      <c r="U422" s="192"/>
      <c r="V422" s="149"/>
      <c r="W422" s="392"/>
      <c r="X422" s="393"/>
      <c r="Y422" s="192"/>
      <c r="Z422" s="149"/>
      <c r="AA422" s="392"/>
      <c r="AB422" s="393"/>
      <c r="AC422" s="192"/>
      <c r="AD422" s="149"/>
      <c r="AE422" s="392"/>
      <c r="AF422" s="393"/>
      <c r="AG422" s="143"/>
      <c r="AH422" s="143"/>
      <c r="AI422" s="143"/>
      <c r="AJ422" s="143"/>
      <c r="AK422" s="389"/>
      <c r="AL422" s="389"/>
      <c r="AM422" s="389"/>
    </row>
    <row r="423">
      <c r="A423" s="307"/>
      <c r="B423" s="308"/>
      <c r="C423" s="309"/>
      <c r="D423" s="389"/>
      <c r="E423" s="307"/>
      <c r="F423" s="308"/>
      <c r="G423" s="309"/>
      <c r="H423" s="389"/>
      <c r="I423" s="307"/>
      <c r="J423" s="308"/>
      <c r="K423" s="309"/>
      <c r="L423" s="389"/>
      <c r="M423" s="307"/>
      <c r="N423" s="308"/>
      <c r="O423" s="309"/>
      <c r="P423" s="389"/>
      <c r="Q423" s="192"/>
      <c r="R423" s="149"/>
      <c r="S423" s="392"/>
      <c r="T423" s="393"/>
      <c r="U423" s="192"/>
      <c r="V423" s="149"/>
      <c r="W423" s="392"/>
      <c r="X423" s="393"/>
      <c r="Y423" s="192"/>
      <c r="Z423" s="149"/>
      <c r="AA423" s="392"/>
      <c r="AB423" s="393"/>
      <c r="AC423" s="192"/>
      <c r="AD423" s="149"/>
      <c r="AE423" s="392"/>
      <c r="AF423" s="393"/>
      <c r="AG423" s="143"/>
      <c r="AH423" s="143"/>
      <c r="AI423" s="143"/>
      <c r="AJ423" s="143"/>
      <c r="AK423" s="389"/>
      <c r="AL423" s="389"/>
      <c r="AM423" s="389"/>
    </row>
    <row r="424">
      <c r="A424" s="307"/>
      <c r="B424" s="308"/>
      <c r="C424" s="309"/>
      <c r="D424" s="389"/>
      <c r="E424" s="307"/>
      <c r="F424" s="308"/>
      <c r="G424" s="309"/>
      <c r="H424" s="389"/>
      <c r="I424" s="307"/>
      <c r="J424" s="308"/>
      <c r="K424" s="309"/>
      <c r="L424" s="389"/>
      <c r="M424" s="307"/>
      <c r="N424" s="308"/>
      <c r="O424" s="309"/>
      <c r="P424" s="389"/>
      <c r="Q424" s="192"/>
      <c r="R424" s="149"/>
      <c r="S424" s="392"/>
      <c r="T424" s="393"/>
      <c r="U424" s="192"/>
      <c r="V424" s="149"/>
      <c r="W424" s="392"/>
      <c r="X424" s="393"/>
      <c r="Y424" s="192"/>
      <c r="Z424" s="149"/>
      <c r="AA424" s="392"/>
      <c r="AB424" s="393"/>
      <c r="AC424" s="192"/>
      <c r="AD424" s="149"/>
      <c r="AE424" s="392"/>
      <c r="AF424" s="393"/>
      <c r="AG424" s="143"/>
      <c r="AH424" s="143"/>
      <c r="AI424" s="143"/>
      <c r="AJ424" s="143"/>
      <c r="AK424" s="389"/>
      <c r="AL424" s="389"/>
      <c r="AM424" s="389"/>
    </row>
    <row r="425">
      <c r="A425" s="307"/>
      <c r="B425" s="308"/>
      <c r="C425" s="309"/>
      <c r="D425" s="389"/>
      <c r="E425" s="307"/>
      <c r="F425" s="308"/>
      <c r="G425" s="309"/>
      <c r="H425" s="389"/>
      <c r="I425" s="307"/>
      <c r="J425" s="308"/>
      <c r="K425" s="309"/>
      <c r="L425" s="389"/>
      <c r="M425" s="307"/>
      <c r="N425" s="308"/>
      <c r="O425" s="309"/>
      <c r="P425" s="389"/>
      <c r="Q425" s="192"/>
      <c r="R425" s="149"/>
      <c r="S425" s="392"/>
      <c r="T425" s="393"/>
      <c r="U425" s="192"/>
      <c r="V425" s="149"/>
      <c r="W425" s="392"/>
      <c r="X425" s="393"/>
      <c r="Y425" s="192"/>
      <c r="Z425" s="149"/>
      <c r="AA425" s="392"/>
      <c r="AB425" s="393"/>
      <c r="AC425" s="192"/>
      <c r="AD425" s="149"/>
      <c r="AE425" s="392"/>
      <c r="AF425" s="393"/>
      <c r="AG425" s="143"/>
      <c r="AH425" s="143"/>
      <c r="AI425" s="143"/>
      <c r="AJ425" s="143"/>
      <c r="AK425" s="389"/>
      <c r="AL425" s="389"/>
      <c r="AM425" s="389"/>
    </row>
    <row r="426">
      <c r="A426" s="307"/>
      <c r="B426" s="308"/>
      <c r="C426" s="309"/>
      <c r="D426" s="389"/>
      <c r="E426" s="307"/>
      <c r="F426" s="308"/>
      <c r="G426" s="309"/>
      <c r="H426" s="389"/>
      <c r="I426" s="307"/>
      <c r="J426" s="308"/>
      <c r="K426" s="309"/>
      <c r="L426" s="389"/>
      <c r="M426" s="307"/>
      <c r="N426" s="308"/>
      <c r="O426" s="309"/>
      <c r="P426" s="389"/>
      <c r="Q426" s="192"/>
      <c r="R426" s="149"/>
      <c r="S426" s="392"/>
      <c r="T426" s="393"/>
      <c r="U426" s="192"/>
      <c r="V426" s="149"/>
      <c r="W426" s="392"/>
      <c r="X426" s="393"/>
      <c r="Y426" s="192"/>
      <c r="Z426" s="149"/>
      <c r="AA426" s="392"/>
      <c r="AB426" s="393"/>
      <c r="AC426" s="192"/>
      <c r="AD426" s="149"/>
      <c r="AE426" s="392"/>
      <c r="AF426" s="393"/>
      <c r="AG426" s="143"/>
      <c r="AH426" s="143"/>
      <c r="AI426" s="143"/>
      <c r="AJ426" s="143"/>
      <c r="AK426" s="389"/>
      <c r="AL426" s="389"/>
      <c r="AM426" s="389"/>
    </row>
    <row r="427">
      <c r="A427" s="307"/>
      <c r="B427" s="308"/>
      <c r="C427" s="309"/>
      <c r="D427" s="389"/>
      <c r="E427" s="307"/>
      <c r="F427" s="308"/>
      <c r="G427" s="309"/>
      <c r="H427" s="389"/>
      <c r="I427" s="307"/>
      <c r="J427" s="308"/>
      <c r="K427" s="309"/>
      <c r="L427" s="389"/>
      <c r="M427" s="307"/>
      <c r="N427" s="308"/>
      <c r="O427" s="309"/>
      <c r="P427" s="389"/>
      <c r="Q427" s="192"/>
      <c r="R427" s="149"/>
      <c r="S427" s="392"/>
      <c r="T427" s="393"/>
      <c r="U427" s="192"/>
      <c r="V427" s="149"/>
      <c r="W427" s="392"/>
      <c r="X427" s="393"/>
      <c r="Y427" s="192"/>
      <c r="Z427" s="149"/>
      <c r="AA427" s="392"/>
      <c r="AB427" s="393"/>
      <c r="AC427" s="192"/>
      <c r="AD427" s="149"/>
      <c r="AE427" s="392"/>
      <c r="AF427" s="393"/>
      <c r="AG427" s="143"/>
      <c r="AH427" s="143"/>
      <c r="AI427" s="143"/>
      <c r="AJ427" s="143"/>
      <c r="AK427" s="389"/>
      <c r="AL427" s="389"/>
      <c r="AM427" s="389"/>
    </row>
    <row r="428">
      <c r="A428" s="307"/>
      <c r="B428" s="308"/>
      <c r="C428" s="309"/>
      <c r="D428" s="389"/>
      <c r="E428" s="307"/>
      <c r="F428" s="308"/>
      <c r="G428" s="309"/>
      <c r="H428" s="389"/>
      <c r="I428" s="307"/>
      <c r="J428" s="308"/>
      <c r="K428" s="309"/>
      <c r="L428" s="389"/>
      <c r="M428" s="307"/>
      <c r="N428" s="308"/>
      <c r="O428" s="309"/>
      <c r="P428" s="389"/>
      <c r="Q428" s="192"/>
      <c r="R428" s="149"/>
      <c r="S428" s="392"/>
      <c r="T428" s="393"/>
      <c r="U428" s="192"/>
      <c r="V428" s="149"/>
      <c r="W428" s="392"/>
      <c r="X428" s="393"/>
      <c r="Y428" s="192"/>
      <c r="Z428" s="149"/>
      <c r="AA428" s="392"/>
      <c r="AB428" s="393"/>
      <c r="AC428" s="192"/>
      <c r="AD428" s="149"/>
      <c r="AE428" s="392"/>
      <c r="AF428" s="393"/>
      <c r="AG428" s="143"/>
      <c r="AH428" s="143"/>
      <c r="AI428" s="143"/>
      <c r="AJ428" s="143"/>
      <c r="AK428" s="389"/>
      <c r="AL428" s="389"/>
      <c r="AM428" s="389"/>
    </row>
    <row r="429">
      <c r="A429" s="307"/>
      <c r="B429" s="308"/>
      <c r="C429" s="309"/>
      <c r="D429" s="389"/>
      <c r="E429" s="307"/>
      <c r="F429" s="308"/>
      <c r="G429" s="309"/>
      <c r="H429" s="389"/>
      <c r="I429" s="307"/>
      <c r="J429" s="308"/>
      <c r="K429" s="309"/>
      <c r="L429" s="389"/>
      <c r="M429" s="307"/>
      <c r="N429" s="308"/>
      <c r="O429" s="309"/>
      <c r="P429" s="389"/>
      <c r="Q429" s="192"/>
      <c r="R429" s="149"/>
      <c r="S429" s="392"/>
      <c r="T429" s="393"/>
      <c r="U429" s="192"/>
      <c r="V429" s="149"/>
      <c r="W429" s="392"/>
      <c r="X429" s="393"/>
      <c r="Y429" s="192"/>
      <c r="Z429" s="149"/>
      <c r="AA429" s="392"/>
      <c r="AB429" s="393"/>
      <c r="AC429" s="192"/>
      <c r="AD429" s="149"/>
      <c r="AE429" s="392"/>
      <c r="AF429" s="393"/>
      <c r="AG429" s="143"/>
      <c r="AH429" s="143"/>
      <c r="AI429" s="143"/>
      <c r="AJ429" s="143"/>
      <c r="AK429" s="389"/>
      <c r="AL429" s="389"/>
      <c r="AM429" s="389"/>
    </row>
    <row r="430">
      <c r="A430" s="307"/>
      <c r="B430" s="308"/>
      <c r="C430" s="309"/>
      <c r="D430" s="389"/>
      <c r="E430" s="307"/>
      <c r="F430" s="308"/>
      <c r="G430" s="309"/>
      <c r="H430" s="389"/>
      <c r="I430" s="307"/>
      <c r="J430" s="308"/>
      <c r="K430" s="309"/>
      <c r="L430" s="389"/>
      <c r="M430" s="307"/>
      <c r="N430" s="308"/>
      <c r="O430" s="309"/>
      <c r="P430" s="389"/>
      <c r="Q430" s="192"/>
      <c r="R430" s="149"/>
      <c r="S430" s="392"/>
      <c r="T430" s="393"/>
      <c r="U430" s="192"/>
      <c r="V430" s="149"/>
      <c r="W430" s="392"/>
      <c r="X430" s="393"/>
      <c r="Y430" s="192"/>
      <c r="Z430" s="149"/>
      <c r="AA430" s="392"/>
      <c r="AB430" s="393"/>
      <c r="AC430" s="192"/>
      <c r="AD430" s="149"/>
      <c r="AE430" s="392"/>
      <c r="AF430" s="393"/>
      <c r="AG430" s="143"/>
      <c r="AH430" s="143"/>
      <c r="AI430" s="143"/>
      <c r="AJ430" s="143"/>
      <c r="AK430" s="389"/>
      <c r="AL430" s="389"/>
      <c r="AM430" s="389"/>
    </row>
    <row r="431">
      <c r="A431" s="307"/>
      <c r="B431" s="308"/>
      <c r="C431" s="309"/>
      <c r="D431" s="389"/>
      <c r="E431" s="307"/>
      <c r="F431" s="308"/>
      <c r="G431" s="309"/>
      <c r="H431" s="389"/>
      <c r="I431" s="307"/>
      <c r="J431" s="308"/>
      <c r="K431" s="309"/>
      <c r="L431" s="389"/>
      <c r="M431" s="307"/>
      <c r="N431" s="308"/>
      <c r="O431" s="309"/>
      <c r="P431" s="389"/>
      <c r="Q431" s="192"/>
      <c r="R431" s="149"/>
      <c r="S431" s="392"/>
      <c r="T431" s="393"/>
      <c r="U431" s="192"/>
      <c r="V431" s="149"/>
      <c r="W431" s="392"/>
      <c r="X431" s="393"/>
      <c r="Y431" s="192"/>
      <c r="Z431" s="149"/>
      <c r="AA431" s="392"/>
      <c r="AB431" s="393"/>
      <c r="AC431" s="192"/>
      <c r="AD431" s="149"/>
      <c r="AE431" s="392"/>
      <c r="AF431" s="393"/>
      <c r="AG431" s="143"/>
      <c r="AH431" s="143"/>
      <c r="AI431" s="143"/>
      <c r="AJ431" s="143"/>
      <c r="AK431" s="389"/>
      <c r="AL431" s="389"/>
      <c r="AM431" s="389"/>
    </row>
    <row r="432">
      <c r="A432" s="307"/>
      <c r="B432" s="308"/>
      <c r="C432" s="309"/>
      <c r="D432" s="389"/>
      <c r="E432" s="307"/>
      <c r="F432" s="308"/>
      <c r="G432" s="309"/>
      <c r="H432" s="389"/>
      <c r="I432" s="307"/>
      <c r="J432" s="308"/>
      <c r="K432" s="309"/>
      <c r="L432" s="389"/>
      <c r="M432" s="307"/>
      <c r="N432" s="308"/>
      <c r="O432" s="309"/>
      <c r="P432" s="389"/>
      <c r="Q432" s="192"/>
      <c r="R432" s="149"/>
      <c r="S432" s="392"/>
      <c r="T432" s="393"/>
      <c r="U432" s="192"/>
      <c r="V432" s="149"/>
      <c r="W432" s="392"/>
      <c r="X432" s="393"/>
      <c r="Y432" s="192"/>
      <c r="Z432" s="149"/>
      <c r="AA432" s="392"/>
      <c r="AB432" s="393"/>
      <c r="AC432" s="192"/>
      <c r="AD432" s="149"/>
      <c r="AE432" s="392"/>
      <c r="AF432" s="393"/>
      <c r="AG432" s="143"/>
      <c r="AH432" s="143"/>
      <c r="AI432" s="143"/>
      <c r="AJ432" s="143"/>
      <c r="AK432" s="389"/>
      <c r="AL432" s="389"/>
      <c r="AM432" s="389"/>
    </row>
    <row r="433">
      <c r="A433" s="307"/>
      <c r="B433" s="308"/>
      <c r="C433" s="309"/>
      <c r="D433" s="389"/>
      <c r="E433" s="307"/>
      <c r="F433" s="308"/>
      <c r="G433" s="309"/>
      <c r="H433" s="389"/>
      <c r="I433" s="307"/>
      <c r="J433" s="308"/>
      <c r="K433" s="309"/>
      <c r="L433" s="389"/>
      <c r="M433" s="307"/>
      <c r="N433" s="308"/>
      <c r="O433" s="309"/>
      <c r="P433" s="389"/>
      <c r="Q433" s="192"/>
      <c r="R433" s="149"/>
      <c r="S433" s="392"/>
      <c r="T433" s="393"/>
      <c r="U433" s="192"/>
      <c r="V433" s="149"/>
      <c r="W433" s="392"/>
      <c r="X433" s="393"/>
      <c r="Y433" s="192"/>
      <c r="Z433" s="149"/>
      <c r="AA433" s="392"/>
      <c r="AB433" s="393"/>
      <c r="AC433" s="192"/>
      <c r="AD433" s="149"/>
      <c r="AE433" s="392"/>
      <c r="AF433" s="393"/>
      <c r="AG433" s="143"/>
      <c r="AH433" s="143"/>
      <c r="AI433" s="143"/>
      <c r="AJ433" s="143"/>
      <c r="AK433" s="389"/>
      <c r="AL433" s="389"/>
      <c r="AM433" s="389"/>
    </row>
    <row r="434">
      <c r="A434" s="307"/>
      <c r="B434" s="308"/>
      <c r="C434" s="309"/>
      <c r="D434" s="389"/>
      <c r="E434" s="307"/>
      <c r="F434" s="308"/>
      <c r="G434" s="309"/>
      <c r="H434" s="389"/>
      <c r="I434" s="307"/>
      <c r="J434" s="308"/>
      <c r="K434" s="309"/>
      <c r="L434" s="389"/>
      <c r="M434" s="307"/>
      <c r="N434" s="308"/>
      <c r="O434" s="309"/>
      <c r="P434" s="389"/>
      <c r="Q434" s="192"/>
      <c r="R434" s="149"/>
      <c r="S434" s="392"/>
      <c r="T434" s="393"/>
      <c r="U434" s="192"/>
      <c r="V434" s="149"/>
      <c r="W434" s="392"/>
      <c r="X434" s="393"/>
      <c r="Y434" s="192"/>
      <c r="Z434" s="149"/>
      <c r="AA434" s="392"/>
      <c r="AB434" s="393"/>
      <c r="AC434" s="192"/>
      <c r="AD434" s="149"/>
      <c r="AE434" s="392"/>
      <c r="AF434" s="393"/>
      <c r="AG434" s="143"/>
      <c r="AH434" s="143"/>
      <c r="AI434" s="143"/>
      <c r="AJ434" s="143"/>
      <c r="AK434" s="389"/>
      <c r="AL434" s="389"/>
      <c r="AM434" s="389"/>
    </row>
    <row r="435">
      <c r="A435" s="307"/>
      <c r="B435" s="308"/>
      <c r="C435" s="309"/>
      <c r="D435" s="389"/>
      <c r="E435" s="307"/>
      <c r="F435" s="308"/>
      <c r="G435" s="309"/>
      <c r="H435" s="389"/>
      <c r="I435" s="307"/>
      <c r="J435" s="308"/>
      <c r="K435" s="309"/>
      <c r="L435" s="389"/>
      <c r="M435" s="307"/>
      <c r="N435" s="308"/>
      <c r="O435" s="309"/>
      <c r="P435" s="389"/>
      <c r="Q435" s="192"/>
      <c r="R435" s="149"/>
      <c r="S435" s="392"/>
      <c r="T435" s="393"/>
      <c r="U435" s="192"/>
      <c r="V435" s="149"/>
      <c r="W435" s="392"/>
      <c r="X435" s="393"/>
      <c r="Y435" s="192"/>
      <c r="Z435" s="149"/>
      <c r="AA435" s="392"/>
      <c r="AB435" s="393"/>
      <c r="AC435" s="192"/>
      <c r="AD435" s="149"/>
      <c r="AE435" s="392"/>
      <c r="AF435" s="393"/>
      <c r="AG435" s="143"/>
      <c r="AH435" s="143"/>
      <c r="AI435" s="143"/>
      <c r="AJ435" s="143"/>
      <c r="AK435" s="389"/>
      <c r="AL435" s="389"/>
      <c r="AM435" s="389"/>
    </row>
    <row r="436">
      <c r="A436" s="307"/>
      <c r="B436" s="308"/>
      <c r="C436" s="309"/>
      <c r="D436" s="389"/>
      <c r="E436" s="307"/>
      <c r="F436" s="308"/>
      <c r="G436" s="309"/>
      <c r="H436" s="389"/>
      <c r="I436" s="307"/>
      <c r="J436" s="308"/>
      <c r="K436" s="309"/>
      <c r="L436" s="389"/>
      <c r="M436" s="307"/>
      <c r="N436" s="308"/>
      <c r="O436" s="309"/>
      <c r="P436" s="389"/>
      <c r="Q436" s="192"/>
      <c r="R436" s="149"/>
      <c r="S436" s="392"/>
      <c r="T436" s="393"/>
      <c r="U436" s="192"/>
      <c r="V436" s="149"/>
      <c r="W436" s="392"/>
      <c r="X436" s="393"/>
      <c r="Y436" s="192"/>
      <c r="Z436" s="149"/>
      <c r="AA436" s="392"/>
      <c r="AB436" s="393"/>
      <c r="AC436" s="192"/>
      <c r="AD436" s="149"/>
      <c r="AE436" s="392"/>
      <c r="AF436" s="393"/>
      <c r="AG436" s="143"/>
      <c r="AH436" s="143"/>
      <c r="AI436" s="143"/>
      <c r="AJ436" s="143"/>
      <c r="AK436" s="389"/>
      <c r="AL436" s="389"/>
      <c r="AM436" s="389"/>
    </row>
    <row r="437">
      <c r="A437" s="307"/>
      <c r="B437" s="308"/>
      <c r="C437" s="309"/>
      <c r="D437" s="389"/>
      <c r="E437" s="307"/>
      <c r="F437" s="308"/>
      <c r="G437" s="309"/>
      <c r="H437" s="389"/>
      <c r="I437" s="307"/>
      <c r="J437" s="308"/>
      <c r="K437" s="309"/>
      <c r="L437" s="389"/>
      <c r="M437" s="307"/>
      <c r="N437" s="308"/>
      <c r="O437" s="309"/>
      <c r="P437" s="389"/>
      <c r="Q437" s="192"/>
      <c r="R437" s="149"/>
      <c r="S437" s="392"/>
      <c r="T437" s="393"/>
      <c r="U437" s="192"/>
      <c r="V437" s="149"/>
      <c r="W437" s="392"/>
      <c r="X437" s="393"/>
      <c r="Y437" s="192"/>
      <c r="Z437" s="149"/>
      <c r="AA437" s="392"/>
      <c r="AB437" s="393"/>
      <c r="AC437" s="192"/>
      <c r="AD437" s="149"/>
      <c r="AE437" s="392"/>
      <c r="AF437" s="393"/>
      <c r="AG437" s="143"/>
      <c r="AH437" s="143"/>
      <c r="AI437" s="143"/>
      <c r="AJ437" s="143"/>
      <c r="AK437" s="389"/>
      <c r="AL437" s="389"/>
      <c r="AM437" s="389"/>
    </row>
    <row r="438">
      <c r="A438" s="307"/>
      <c r="B438" s="308"/>
      <c r="C438" s="309"/>
      <c r="D438" s="389"/>
      <c r="E438" s="307"/>
      <c r="F438" s="308"/>
      <c r="G438" s="309"/>
      <c r="H438" s="389"/>
      <c r="I438" s="307"/>
      <c r="J438" s="308"/>
      <c r="K438" s="309"/>
      <c r="L438" s="389"/>
      <c r="M438" s="307"/>
      <c r="N438" s="308"/>
      <c r="O438" s="309"/>
      <c r="P438" s="389"/>
      <c r="Q438" s="192"/>
      <c r="R438" s="149"/>
      <c r="S438" s="392"/>
      <c r="T438" s="393"/>
      <c r="U438" s="192"/>
      <c r="V438" s="149"/>
      <c r="W438" s="392"/>
      <c r="X438" s="393"/>
      <c r="Y438" s="192"/>
      <c r="Z438" s="149"/>
      <c r="AA438" s="392"/>
      <c r="AB438" s="393"/>
      <c r="AC438" s="192"/>
      <c r="AD438" s="149"/>
      <c r="AE438" s="392"/>
      <c r="AF438" s="393"/>
      <c r="AG438" s="143"/>
      <c r="AH438" s="143"/>
      <c r="AI438" s="143"/>
      <c r="AJ438" s="143"/>
      <c r="AK438" s="389"/>
      <c r="AL438" s="389"/>
      <c r="AM438" s="389"/>
    </row>
    <row r="439">
      <c r="A439" s="307"/>
      <c r="B439" s="308"/>
      <c r="C439" s="309"/>
      <c r="D439" s="389"/>
      <c r="E439" s="307"/>
      <c r="F439" s="308"/>
      <c r="G439" s="309"/>
      <c r="H439" s="389"/>
      <c r="I439" s="307"/>
      <c r="J439" s="308"/>
      <c r="K439" s="309"/>
      <c r="L439" s="389"/>
      <c r="M439" s="307"/>
      <c r="N439" s="308"/>
      <c r="O439" s="309"/>
      <c r="P439" s="389"/>
      <c r="Q439" s="192"/>
      <c r="R439" s="149"/>
      <c r="S439" s="392"/>
      <c r="T439" s="393"/>
      <c r="U439" s="192"/>
      <c r="V439" s="149"/>
      <c r="W439" s="392"/>
      <c r="X439" s="393"/>
      <c r="Y439" s="192"/>
      <c r="Z439" s="149"/>
      <c r="AA439" s="392"/>
      <c r="AB439" s="393"/>
      <c r="AC439" s="192"/>
      <c r="AD439" s="149"/>
      <c r="AE439" s="392"/>
      <c r="AF439" s="393"/>
      <c r="AG439" s="143"/>
      <c r="AH439" s="143"/>
      <c r="AI439" s="143"/>
      <c r="AJ439" s="143"/>
      <c r="AK439" s="389"/>
      <c r="AL439" s="389"/>
      <c r="AM439" s="389"/>
    </row>
    <row r="440">
      <c r="A440" s="307"/>
      <c r="B440" s="308"/>
      <c r="C440" s="309"/>
      <c r="D440" s="389"/>
      <c r="E440" s="307"/>
      <c r="F440" s="308"/>
      <c r="G440" s="309"/>
      <c r="H440" s="389"/>
      <c r="I440" s="307"/>
      <c r="J440" s="308"/>
      <c r="K440" s="309"/>
      <c r="L440" s="389"/>
      <c r="M440" s="307"/>
      <c r="N440" s="308"/>
      <c r="O440" s="309"/>
      <c r="P440" s="389"/>
      <c r="Q440" s="192"/>
      <c r="R440" s="149"/>
      <c r="S440" s="392"/>
      <c r="T440" s="393"/>
      <c r="U440" s="192"/>
      <c r="V440" s="149"/>
      <c r="W440" s="392"/>
      <c r="X440" s="393"/>
      <c r="Y440" s="192"/>
      <c r="Z440" s="149"/>
      <c r="AA440" s="392"/>
      <c r="AB440" s="393"/>
      <c r="AC440" s="192"/>
      <c r="AD440" s="149"/>
      <c r="AE440" s="392"/>
      <c r="AF440" s="393"/>
      <c r="AG440" s="143"/>
      <c r="AH440" s="143"/>
      <c r="AI440" s="143"/>
      <c r="AJ440" s="143"/>
      <c r="AK440" s="389"/>
      <c r="AL440" s="389"/>
      <c r="AM440" s="389"/>
    </row>
    <row r="441">
      <c r="A441" s="307"/>
      <c r="B441" s="308"/>
      <c r="C441" s="309"/>
      <c r="D441" s="389"/>
      <c r="E441" s="307"/>
      <c r="F441" s="308"/>
      <c r="G441" s="309"/>
      <c r="H441" s="389"/>
      <c r="I441" s="307"/>
      <c r="J441" s="308"/>
      <c r="K441" s="309"/>
      <c r="L441" s="389"/>
      <c r="M441" s="307"/>
      <c r="N441" s="308"/>
      <c r="O441" s="309"/>
      <c r="P441" s="389"/>
      <c r="Q441" s="192"/>
      <c r="R441" s="149"/>
      <c r="S441" s="392"/>
      <c r="T441" s="393"/>
      <c r="U441" s="192"/>
      <c r="V441" s="149"/>
      <c r="W441" s="392"/>
      <c r="X441" s="393"/>
      <c r="Y441" s="192"/>
      <c r="Z441" s="149"/>
      <c r="AA441" s="392"/>
      <c r="AB441" s="393"/>
      <c r="AC441" s="192"/>
      <c r="AD441" s="149"/>
      <c r="AE441" s="392"/>
      <c r="AF441" s="393"/>
      <c r="AG441" s="143"/>
      <c r="AH441" s="143"/>
      <c r="AI441" s="143"/>
      <c r="AJ441" s="143"/>
      <c r="AK441" s="389"/>
      <c r="AL441" s="389"/>
      <c r="AM441" s="389"/>
    </row>
    <row r="442">
      <c r="A442" s="307"/>
      <c r="B442" s="308"/>
      <c r="C442" s="309"/>
      <c r="D442" s="389"/>
      <c r="E442" s="307"/>
      <c r="F442" s="308"/>
      <c r="G442" s="309"/>
      <c r="H442" s="389"/>
      <c r="I442" s="307"/>
      <c r="J442" s="308"/>
      <c r="K442" s="309"/>
      <c r="L442" s="389"/>
      <c r="M442" s="307"/>
      <c r="N442" s="308"/>
      <c r="O442" s="309"/>
      <c r="P442" s="389"/>
      <c r="Q442" s="192"/>
      <c r="R442" s="149"/>
      <c r="S442" s="392"/>
      <c r="T442" s="393"/>
      <c r="U442" s="192"/>
      <c r="V442" s="149"/>
      <c r="W442" s="392"/>
      <c r="X442" s="393"/>
      <c r="Y442" s="192"/>
      <c r="Z442" s="149"/>
      <c r="AA442" s="392"/>
      <c r="AB442" s="393"/>
      <c r="AC442" s="192"/>
      <c r="AD442" s="149"/>
      <c r="AE442" s="392"/>
      <c r="AF442" s="393"/>
      <c r="AG442" s="143"/>
      <c r="AH442" s="143"/>
      <c r="AI442" s="143"/>
      <c r="AJ442" s="143"/>
      <c r="AK442" s="389"/>
      <c r="AL442" s="389"/>
      <c r="AM442" s="389"/>
    </row>
    <row r="443">
      <c r="A443" s="307"/>
      <c r="B443" s="308"/>
      <c r="C443" s="309"/>
      <c r="D443" s="389"/>
      <c r="E443" s="307"/>
      <c r="F443" s="308"/>
      <c r="G443" s="309"/>
      <c r="H443" s="389"/>
      <c r="I443" s="307"/>
      <c r="J443" s="308"/>
      <c r="K443" s="309"/>
      <c r="L443" s="389"/>
      <c r="M443" s="307"/>
      <c r="N443" s="308"/>
      <c r="O443" s="309"/>
      <c r="P443" s="389"/>
      <c r="Q443" s="192"/>
      <c r="R443" s="149"/>
      <c r="S443" s="392"/>
      <c r="T443" s="393"/>
      <c r="U443" s="192"/>
      <c r="V443" s="149"/>
      <c r="W443" s="392"/>
      <c r="X443" s="393"/>
      <c r="Y443" s="192"/>
      <c r="Z443" s="149"/>
      <c r="AA443" s="392"/>
      <c r="AB443" s="393"/>
      <c r="AC443" s="192"/>
      <c r="AD443" s="149"/>
      <c r="AE443" s="392"/>
      <c r="AF443" s="393"/>
      <c r="AG443" s="143"/>
      <c r="AH443" s="143"/>
      <c r="AI443" s="143"/>
      <c r="AJ443" s="143"/>
      <c r="AK443" s="389"/>
      <c r="AL443" s="389"/>
      <c r="AM443" s="389"/>
    </row>
    <row r="444">
      <c r="A444" s="307"/>
      <c r="B444" s="308"/>
      <c r="C444" s="309"/>
      <c r="D444" s="389"/>
      <c r="E444" s="307"/>
      <c r="F444" s="308"/>
      <c r="G444" s="309"/>
      <c r="H444" s="389"/>
      <c r="I444" s="307"/>
      <c r="J444" s="308"/>
      <c r="K444" s="309"/>
      <c r="L444" s="389"/>
      <c r="M444" s="307"/>
      <c r="N444" s="308"/>
      <c r="O444" s="309"/>
      <c r="P444" s="389"/>
      <c r="Q444" s="192"/>
      <c r="R444" s="149"/>
      <c r="S444" s="392"/>
      <c r="T444" s="393"/>
      <c r="U444" s="192"/>
      <c r="V444" s="149"/>
      <c r="W444" s="392"/>
      <c r="X444" s="393"/>
      <c r="Y444" s="192"/>
      <c r="Z444" s="149"/>
      <c r="AA444" s="392"/>
      <c r="AB444" s="393"/>
      <c r="AC444" s="192"/>
      <c r="AD444" s="149"/>
      <c r="AE444" s="392"/>
      <c r="AF444" s="393"/>
      <c r="AG444" s="143"/>
      <c r="AH444" s="143"/>
      <c r="AI444" s="143"/>
      <c r="AJ444" s="143"/>
      <c r="AK444" s="389"/>
      <c r="AL444" s="389"/>
      <c r="AM444" s="389"/>
    </row>
    <row r="445">
      <c r="A445" s="307"/>
      <c r="B445" s="308"/>
      <c r="C445" s="309"/>
      <c r="D445" s="389"/>
      <c r="E445" s="307"/>
      <c r="F445" s="308"/>
      <c r="G445" s="309"/>
      <c r="H445" s="389"/>
      <c r="I445" s="307"/>
      <c r="J445" s="308"/>
      <c r="K445" s="309"/>
      <c r="L445" s="389"/>
      <c r="M445" s="307"/>
      <c r="N445" s="308"/>
      <c r="O445" s="309"/>
      <c r="P445" s="389"/>
      <c r="Q445" s="192"/>
      <c r="R445" s="149"/>
      <c r="S445" s="392"/>
      <c r="T445" s="393"/>
      <c r="U445" s="192"/>
      <c r="V445" s="149"/>
      <c r="W445" s="392"/>
      <c r="X445" s="393"/>
      <c r="Y445" s="192"/>
      <c r="Z445" s="149"/>
      <c r="AA445" s="392"/>
      <c r="AB445" s="393"/>
      <c r="AC445" s="192"/>
      <c r="AD445" s="149"/>
      <c r="AE445" s="392"/>
      <c r="AF445" s="393"/>
      <c r="AG445" s="143"/>
      <c r="AH445" s="143"/>
      <c r="AI445" s="143"/>
      <c r="AJ445" s="143"/>
      <c r="AK445" s="389"/>
      <c r="AL445" s="389"/>
      <c r="AM445" s="389"/>
    </row>
    <row r="446">
      <c r="A446" s="307"/>
      <c r="B446" s="308"/>
      <c r="C446" s="309"/>
      <c r="D446" s="389"/>
      <c r="E446" s="307"/>
      <c r="F446" s="308"/>
      <c r="G446" s="309"/>
      <c r="H446" s="389"/>
      <c r="I446" s="307"/>
      <c r="J446" s="308"/>
      <c r="K446" s="309"/>
      <c r="L446" s="389"/>
      <c r="M446" s="307"/>
      <c r="N446" s="308"/>
      <c r="O446" s="309"/>
      <c r="P446" s="389"/>
      <c r="Q446" s="192"/>
      <c r="R446" s="149"/>
      <c r="S446" s="392"/>
      <c r="T446" s="393"/>
      <c r="U446" s="192"/>
      <c r="V446" s="149"/>
      <c r="W446" s="392"/>
      <c r="X446" s="393"/>
      <c r="Y446" s="192"/>
      <c r="Z446" s="149"/>
      <c r="AA446" s="392"/>
      <c r="AB446" s="393"/>
      <c r="AC446" s="192"/>
      <c r="AD446" s="149"/>
      <c r="AE446" s="392"/>
      <c r="AF446" s="393"/>
      <c r="AG446" s="143"/>
      <c r="AH446" s="143"/>
      <c r="AI446" s="143"/>
      <c r="AJ446" s="143"/>
      <c r="AK446" s="389"/>
      <c r="AL446" s="389"/>
      <c r="AM446" s="389"/>
    </row>
    <row r="447">
      <c r="A447" s="307"/>
      <c r="B447" s="308"/>
      <c r="C447" s="309"/>
      <c r="D447" s="389"/>
      <c r="E447" s="307"/>
      <c r="F447" s="308"/>
      <c r="G447" s="309"/>
      <c r="H447" s="389"/>
      <c r="I447" s="307"/>
      <c r="J447" s="308"/>
      <c r="K447" s="309"/>
      <c r="L447" s="389"/>
      <c r="M447" s="307"/>
      <c r="N447" s="308"/>
      <c r="O447" s="309"/>
      <c r="P447" s="389"/>
      <c r="Q447" s="192"/>
      <c r="R447" s="149"/>
      <c r="S447" s="392"/>
      <c r="T447" s="393"/>
      <c r="U447" s="192"/>
      <c r="V447" s="149"/>
      <c r="W447" s="392"/>
      <c r="X447" s="393"/>
      <c r="Y447" s="192"/>
      <c r="Z447" s="149"/>
      <c r="AA447" s="392"/>
      <c r="AB447" s="393"/>
      <c r="AC447" s="192"/>
      <c r="AD447" s="149"/>
      <c r="AE447" s="392"/>
      <c r="AF447" s="393"/>
      <c r="AG447" s="143"/>
      <c r="AH447" s="143"/>
      <c r="AI447" s="143"/>
      <c r="AJ447" s="143"/>
      <c r="AK447" s="389"/>
      <c r="AL447" s="389"/>
      <c r="AM447" s="389"/>
    </row>
    <row r="448">
      <c r="A448" s="307"/>
      <c r="B448" s="308"/>
      <c r="C448" s="309"/>
      <c r="D448" s="389"/>
      <c r="E448" s="307"/>
      <c r="F448" s="308"/>
      <c r="G448" s="309"/>
      <c r="H448" s="389"/>
      <c r="I448" s="307"/>
      <c r="J448" s="308"/>
      <c r="K448" s="309"/>
      <c r="L448" s="389"/>
      <c r="M448" s="307"/>
      <c r="N448" s="308"/>
      <c r="O448" s="309"/>
      <c r="P448" s="389"/>
      <c r="Q448" s="192"/>
      <c r="R448" s="149"/>
      <c r="S448" s="392"/>
      <c r="T448" s="393"/>
      <c r="U448" s="192"/>
      <c r="V448" s="149"/>
      <c r="W448" s="392"/>
      <c r="X448" s="393"/>
      <c r="Y448" s="192"/>
      <c r="Z448" s="149"/>
      <c r="AA448" s="392"/>
      <c r="AB448" s="393"/>
      <c r="AC448" s="192"/>
      <c r="AD448" s="149"/>
      <c r="AE448" s="392"/>
      <c r="AF448" s="393"/>
      <c r="AG448" s="143"/>
      <c r="AH448" s="143"/>
      <c r="AI448" s="143"/>
      <c r="AJ448" s="143"/>
      <c r="AK448" s="389"/>
      <c r="AL448" s="389"/>
      <c r="AM448" s="389"/>
    </row>
    <row r="449">
      <c r="A449" s="307"/>
      <c r="B449" s="308"/>
      <c r="C449" s="309"/>
      <c r="D449" s="389"/>
      <c r="E449" s="307"/>
      <c r="F449" s="308"/>
      <c r="G449" s="309"/>
      <c r="H449" s="389"/>
      <c r="I449" s="307"/>
      <c r="J449" s="308"/>
      <c r="K449" s="309"/>
      <c r="L449" s="389"/>
      <c r="M449" s="307"/>
      <c r="N449" s="308"/>
      <c r="O449" s="309"/>
      <c r="P449" s="389"/>
      <c r="Q449" s="192"/>
      <c r="R449" s="149"/>
      <c r="S449" s="392"/>
      <c r="T449" s="393"/>
      <c r="U449" s="192"/>
      <c r="V449" s="149"/>
      <c r="W449" s="392"/>
      <c r="X449" s="393"/>
      <c r="Y449" s="192"/>
      <c r="Z449" s="149"/>
      <c r="AA449" s="392"/>
      <c r="AB449" s="393"/>
      <c r="AC449" s="192"/>
      <c r="AD449" s="149"/>
      <c r="AE449" s="392"/>
      <c r="AF449" s="393"/>
      <c r="AG449" s="143"/>
      <c r="AH449" s="143"/>
      <c r="AI449" s="143"/>
      <c r="AJ449" s="143"/>
      <c r="AK449" s="389"/>
      <c r="AL449" s="389"/>
      <c r="AM449" s="389"/>
    </row>
    <row r="450">
      <c r="A450" s="307"/>
      <c r="B450" s="308"/>
      <c r="C450" s="309"/>
      <c r="D450" s="389"/>
      <c r="E450" s="307"/>
      <c r="F450" s="308"/>
      <c r="G450" s="309"/>
      <c r="H450" s="389"/>
      <c r="I450" s="307"/>
      <c r="J450" s="308"/>
      <c r="K450" s="309"/>
      <c r="L450" s="389"/>
      <c r="M450" s="307"/>
      <c r="N450" s="308"/>
      <c r="O450" s="309"/>
      <c r="P450" s="389"/>
      <c r="Q450" s="192"/>
      <c r="R450" s="149"/>
      <c r="S450" s="392"/>
      <c r="T450" s="393"/>
      <c r="U450" s="192"/>
      <c r="V450" s="149"/>
      <c r="W450" s="392"/>
      <c r="X450" s="393"/>
      <c r="Y450" s="192"/>
      <c r="Z450" s="149"/>
      <c r="AA450" s="392"/>
      <c r="AB450" s="393"/>
      <c r="AC450" s="192"/>
      <c r="AD450" s="149"/>
      <c r="AE450" s="392"/>
      <c r="AF450" s="393"/>
      <c r="AG450" s="143"/>
      <c r="AH450" s="143"/>
      <c r="AI450" s="143"/>
      <c r="AJ450" s="143"/>
      <c r="AK450" s="389"/>
      <c r="AL450" s="389"/>
      <c r="AM450" s="389"/>
    </row>
    <row r="451">
      <c r="A451" s="307"/>
      <c r="B451" s="308"/>
      <c r="C451" s="309"/>
      <c r="D451" s="389"/>
      <c r="E451" s="307"/>
      <c r="F451" s="308"/>
      <c r="G451" s="309"/>
      <c r="H451" s="389"/>
      <c r="I451" s="307"/>
      <c r="J451" s="308"/>
      <c r="K451" s="309"/>
      <c r="L451" s="389"/>
      <c r="M451" s="307"/>
      <c r="N451" s="308"/>
      <c r="O451" s="309"/>
      <c r="P451" s="389"/>
      <c r="Q451" s="192"/>
      <c r="R451" s="149"/>
      <c r="S451" s="392"/>
      <c r="T451" s="393"/>
      <c r="U451" s="192"/>
      <c r="V451" s="149"/>
      <c r="W451" s="392"/>
      <c r="X451" s="393"/>
      <c r="Y451" s="192"/>
      <c r="Z451" s="149"/>
      <c r="AA451" s="392"/>
      <c r="AB451" s="393"/>
      <c r="AC451" s="192"/>
      <c r="AD451" s="149"/>
      <c r="AE451" s="392"/>
      <c r="AF451" s="393"/>
      <c r="AG451" s="143"/>
      <c r="AH451" s="143"/>
      <c r="AI451" s="143"/>
      <c r="AJ451" s="143"/>
      <c r="AK451" s="389"/>
      <c r="AL451" s="389"/>
      <c r="AM451" s="389"/>
    </row>
    <row r="452">
      <c r="A452" s="307"/>
      <c r="B452" s="308"/>
      <c r="C452" s="309"/>
      <c r="D452" s="389"/>
      <c r="E452" s="307"/>
      <c r="F452" s="308"/>
      <c r="G452" s="309"/>
      <c r="H452" s="389"/>
      <c r="I452" s="307"/>
      <c r="J452" s="308"/>
      <c r="K452" s="309"/>
      <c r="L452" s="389"/>
      <c r="M452" s="307"/>
      <c r="N452" s="308"/>
      <c r="O452" s="309"/>
      <c r="P452" s="389"/>
      <c r="Q452" s="192"/>
      <c r="R452" s="149"/>
      <c r="S452" s="392"/>
      <c r="T452" s="393"/>
      <c r="U452" s="192"/>
      <c r="V452" s="149"/>
      <c r="W452" s="392"/>
      <c r="X452" s="393"/>
      <c r="Y452" s="192"/>
      <c r="Z452" s="149"/>
      <c r="AA452" s="392"/>
      <c r="AB452" s="393"/>
      <c r="AC452" s="192"/>
      <c r="AD452" s="149"/>
      <c r="AE452" s="392"/>
      <c r="AF452" s="393"/>
      <c r="AG452" s="143"/>
      <c r="AH452" s="143"/>
      <c r="AI452" s="143"/>
      <c r="AJ452" s="143"/>
      <c r="AK452" s="389"/>
      <c r="AL452" s="389"/>
      <c r="AM452" s="389"/>
    </row>
    <row r="453">
      <c r="A453" s="307"/>
      <c r="B453" s="308"/>
      <c r="C453" s="309"/>
      <c r="D453" s="389"/>
      <c r="E453" s="307"/>
      <c r="F453" s="308"/>
      <c r="G453" s="309"/>
      <c r="H453" s="389"/>
      <c r="I453" s="307"/>
      <c r="J453" s="308"/>
      <c r="K453" s="309"/>
      <c r="L453" s="389"/>
      <c r="M453" s="307"/>
      <c r="N453" s="308"/>
      <c r="O453" s="309"/>
      <c r="P453" s="389"/>
      <c r="Q453" s="192"/>
      <c r="R453" s="149"/>
      <c r="S453" s="392"/>
      <c r="T453" s="393"/>
      <c r="U453" s="192"/>
      <c r="V453" s="149"/>
      <c r="W453" s="392"/>
      <c r="X453" s="393"/>
      <c r="Y453" s="192"/>
      <c r="Z453" s="149"/>
      <c r="AA453" s="392"/>
      <c r="AB453" s="393"/>
      <c r="AC453" s="192"/>
      <c r="AD453" s="149"/>
      <c r="AE453" s="392"/>
      <c r="AF453" s="393"/>
      <c r="AG453" s="143"/>
      <c r="AH453" s="143"/>
      <c r="AI453" s="143"/>
      <c r="AJ453" s="143"/>
      <c r="AK453" s="389"/>
      <c r="AL453" s="389"/>
      <c r="AM453" s="389"/>
    </row>
    <row r="454">
      <c r="A454" s="307"/>
      <c r="B454" s="308"/>
      <c r="C454" s="309"/>
      <c r="D454" s="389"/>
      <c r="E454" s="307"/>
      <c r="F454" s="308"/>
      <c r="G454" s="309"/>
      <c r="H454" s="389"/>
      <c r="I454" s="307"/>
      <c r="J454" s="308"/>
      <c r="K454" s="309"/>
      <c r="L454" s="389"/>
      <c r="M454" s="307"/>
      <c r="N454" s="308"/>
      <c r="O454" s="309"/>
      <c r="P454" s="389"/>
      <c r="Q454" s="192"/>
      <c r="R454" s="149"/>
      <c r="S454" s="392"/>
      <c r="T454" s="393"/>
      <c r="U454" s="192"/>
      <c r="V454" s="149"/>
      <c r="W454" s="392"/>
      <c r="X454" s="393"/>
      <c r="Y454" s="192"/>
      <c r="Z454" s="149"/>
      <c r="AA454" s="392"/>
      <c r="AB454" s="393"/>
      <c r="AC454" s="192"/>
      <c r="AD454" s="149"/>
      <c r="AE454" s="392"/>
      <c r="AF454" s="393"/>
      <c r="AG454" s="143"/>
      <c r="AH454" s="143"/>
      <c r="AI454" s="143"/>
      <c r="AJ454" s="143"/>
      <c r="AK454" s="389"/>
      <c r="AL454" s="389"/>
      <c r="AM454" s="389"/>
    </row>
    <row r="455">
      <c r="A455" s="307"/>
      <c r="B455" s="308"/>
      <c r="C455" s="309"/>
      <c r="D455" s="389"/>
      <c r="E455" s="307"/>
      <c r="F455" s="308"/>
      <c r="G455" s="309"/>
      <c r="H455" s="389"/>
      <c r="I455" s="307"/>
      <c r="J455" s="308"/>
      <c r="K455" s="309"/>
      <c r="L455" s="389"/>
      <c r="M455" s="307"/>
      <c r="N455" s="308"/>
      <c r="O455" s="309"/>
      <c r="P455" s="389"/>
      <c r="Q455" s="192"/>
      <c r="R455" s="149"/>
      <c r="S455" s="392"/>
      <c r="T455" s="393"/>
      <c r="U455" s="192"/>
      <c r="V455" s="149"/>
      <c r="W455" s="392"/>
      <c r="X455" s="393"/>
      <c r="Y455" s="192"/>
      <c r="Z455" s="149"/>
      <c r="AA455" s="392"/>
      <c r="AB455" s="393"/>
      <c r="AC455" s="192"/>
      <c r="AD455" s="149"/>
      <c r="AE455" s="392"/>
      <c r="AF455" s="393"/>
      <c r="AG455" s="143"/>
      <c r="AH455" s="143"/>
      <c r="AI455" s="143"/>
      <c r="AJ455" s="143"/>
      <c r="AK455" s="389"/>
      <c r="AL455" s="389"/>
      <c r="AM455" s="389"/>
    </row>
    <row r="456">
      <c r="A456" s="307"/>
      <c r="B456" s="308"/>
      <c r="C456" s="309"/>
      <c r="D456" s="389"/>
      <c r="E456" s="307"/>
      <c r="F456" s="308"/>
      <c r="G456" s="309"/>
      <c r="H456" s="389"/>
      <c r="I456" s="307"/>
      <c r="J456" s="308"/>
      <c r="K456" s="309"/>
      <c r="L456" s="389"/>
      <c r="M456" s="307"/>
      <c r="N456" s="308"/>
      <c r="O456" s="309"/>
      <c r="P456" s="389"/>
      <c r="Q456" s="192"/>
      <c r="R456" s="149"/>
      <c r="S456" s="392"/>
      <c r="T456" s="393"/>
      <c r="U456" s="192"/>
      <c r="V456" s="149"/>
      <c r="W456" s="392"/>
      <c r="X456" s="393"/>
      <c r="Y456" s="192"/>
      <c r="Z456" s="149"/>
      <c r="AA456" s="392"/>
      <c r="AB456" s="393"/>
      <c r="AC456" s="192"/>
      <c r="AD456" s="149"/>
      <c r="AE456" s="392"/>
      <c r="AF456" s="393"/>
      <c r="AG456" s="143"/>
      <c r="AH456" s="143"/>
      <c r="AI456" s="143"/>
      <c r="AJ456" s="143"/>
      <c r="AK456" s="389"/>
      <c r="AL456" s="389"/>
      <c r="AM456" s="389"/>
    </row>
    <row r="457">
      <c r="A457" s="307"/>
      <c r="B457" s="308"/>
      <c r="C457" s="309"/>
      <c r="D457" s="389"/>
      <c r="E457" s="307"/>
      <c r="F457" s="308"/>
      <c r="G457" s="309"/>
      <c r="H457" s="389"/>
      <c r="I457" s="307"/>
      <c r="J457" s="308"/>
      <c r="K457" s="309"/>
      <c r="L457" s="389"/>
      <c r="M457" s="307"/>
      <c r="N457" s="308"/>
      <c r="O457" s="309"/>
      <c r="P457" s="389"/>
      <c r="Q457" s="192"/>
      <c r="R457" s="149"/>
      <c r="S457" s="392"/>
      <c r="T457" s="393"/>
      <c r="U457" s="192"/>
      <c r="V457" s="149"/>
      <c r="W457" s="392"/>
      <c r="X457" s="393"/>
      <c r="Y457" s="192"/>
      <c r="Z457" s="149"/>
      <c r="AA457" s="392"/>
      <c r="AB457" s="393"/>
      <c r="AC457" s="192"/>
      <c r="AD457" s="149"/>
      <c r="AE457" s="392"/>
      <c r="AF457" s="393"/>
      <c r="AG457" s="143"/>
      <c r="AH457" s="143"/>
      <c r="AI457" s="143"/>
      <c r="AJ457" s="143"/>
      <c r="AK457" s="389"/>
      <c r="AL457" s="389"/>
      <c r="AM457" s="389"/>
    </row>
    <row r="458">
      <c r="A458" s="307"/>
      <c r="B458" s="308"/>
      <c r="C458" s="309"/>
      <c r="D458" s="389"/>
      <c r="E458" s="307"/>
      <c r="F458" s="308"/>
      <c r="G458" s="309"/>
      <c r="H458" s="389"/>
      <c r="I458" s="307"/>
      <c r="J458" s="308"/>
      <c r="K458" s="309"/>
      <c r="L458" s="389"/>
      <c r="M458" s="307"/>
      <c r="N458" s="308"/>
      <c r="O458" s="309"/>
      <c r="P458" s="389"/>
      <c r="Q458" s="192"/>
      <c r="R458" s="149"/>
      <c r="S458" s="392"/>
      <c r="T458" s="393"/>
      <c r="U458" s="192"/>
      <c r="V458" s="149"/>
      <c r="W458" s="392"/>
      <c r="X458" s="393"/>
      <c r="Y458" s="192"/>
      <c r="Z458" s="149"/>
      <c r="AA458" s="392"/>
      <c r="AB458" s="393"/>
      <c r="AC458" s="192"/>
      <c r="AD458" s="149"/>
      <c r="AE458" s="392"/>
      <c r="AF458" s="393"/>
      <c r="AG458" s="143"/>
      <c r="AH458" s="143"/>
      <c r="AI458" s="143"/>
      <c r="AJ458" s="143"/>
      <c r="AK458" s="389"/>
      <c r="AL458" s="389"/>
      <c r="AM458" s="389"/>
    </row>
    <row r="459">
      <c r="A459" s="307"/>
      <c r="B459" s="308"/>
      <c r="C459" s="309"/>
      <c r="D459" s="389"/>
      <c r="E459" s="307"/>
      <c r="F459" s="308"/>
      <c r="G459" s="309"/>
      <c r="H459" s="389"/>
      <c r="I459" s="307"/>
      <c r="J459" s="308"/>
      <c r="K459" s="309"/>
      <c r="L459" s="389"/>
      <c r="M459" s="307"/>
      <c r="N459" s="308"/>
      <c r="O459" s="309"/>
      <c r="P459" s="389"/>
      <c r="Q459" s="192"/>
      <c r="R459" s="149"/>
      <c r="S459" s="392"/>
      <c r="T459" s="393"/>
      <c r="U459" s="192"/>
      <c r="V459" s="149"/>
      <c r="W459" s="392"/>
      <c r="X459" s="393"/>
      <c r="Y459" s="192"/>
      <c r="Z459" s="149"/>
      <c r="AA459" s="392"/>
      <c r="AB459" s="393"/>
      <c r="AC459" s="192"/>
      <c r="AD459" s="149"/>
      <c r="AE459" s="392"/>
      <c r="AF459" s="393"/>
      <c r="AG459" s="143"/>
      <c r="AH459" s="143"/>
      <c r="AI459" s="143"/>
      <c r="AJ459" s="143"/>
      <c r="AK459" s="389"/>
      <c r="AL459" s="389"/>
      <c r="AM459" s="389"/>
    </row>
    <row r="460">
      <c r="A460" s="307"/>
      <c r="B460" s="308"/>
      <c r="C460" s="309"/>
      <c r="D460" s="389"/>
      <c r="E460" s="307"/>
      <c r="F460" s="308"/>
      <c r="G460" s="309"/>
      <c r="H460" s="389"/>
      <c r="I460" s="307"/>
      <c r="J460" s="308"/>
      <c r="K460" s="309"/>
      <c r="L460" s="389"/>
      <c r="M460" s="307"/>
      <c r="N460" s="308"/>
      <c r="O460" s="309"/>
      <c r="P460" s="389"/>
      <c r="Q460" s="192"/>
      <c r="R460" s="149"/>
      <c r="S460" s="392"/>
      <c r="T460" s="393"/>
      <c r="U460" s="192"/>
      <c r="V460" s="149"/>
      <c r="W460" s="392"/>
      <c r="X460" s="393"/>
      <c r="Y460" s="192"/>
      <c r="Z460" s="149"/>
      <c r="AA460" s="392"/>
      <c r="AB460" s="393"/>
      <c r="AC460" s="192"/>
      <c r="AD460" s="149"/>
      <c r="AE460" s="392"/>
      <c r="AF460" s="393"/>
      <c r="AG460" s="143"/>
      <c r="AH460" s="143"/>
      <c r="AI460" s="143"/>
      <c r="AJ460" s="143"/>
      <c r="AK460" s="389"/>
      <c r="AL460" s="389"/>
      <c r="AM460" s="389"/>
    </row>
    <row r="461">
      <c r="A461" s="307"/>
      <c r="B461" s="308"/>
      <c r="C461" s="309"/>
      <c r="D461" s="389"/>
      <c r="E461" s="307"/>
      <c r="F461" s="308"/>
      <c r="G461" s="309"/>
      <c r="H461" s="389"/>
      <c r="I461" s="307"/>
      <c r="J461" s="308"/>
      <c r="K461" s="309"/>
      <c r="L461" s="389"/>
      <c r="M461" s="307"/>
      <c r="N461" s="308"/>
      <c r="O461" s="309"/>
      <c r="P461" s="389"/>
      <c r="Q461" s="192"/>
      <c r="R461" s="149"/>
      <c r="S461" s="392"/>
      <c r="T461" s="393"/>
      <c r="U461" s="192"/>
      <c r="V461" s="149"/>
      <c r="W461" s="392"/>
      <c r="X461" s="393"/>
      <c r="Y461" s="192"/>
      <c r="Z461" s="149"/>
      <c r="AA461" s="392"/>
      <c r="AB461" s="393"/>
      <c r="AC461" s="192"/>
      <c r="AD461" s="149"/>
      <c r="AE461" s="392"/>
      <c r="AF461" s="393"/>
      <c r="AG461" s="143"/>
      <c r="AH461" s="143"/>
      <c r="AI461" s="143"/>
      <c r="AJ461" s="143"/>
      <c r="AK461" s="389"/>
      <c r="AL461" s="389"/>
      <c r="AM461" s="389"/>
    </row>
    <row r="462">
      <c r="A462" s="307"/>
      <c r="B462" s="308"/>
      <c r="C462" s="309"/>
      <c r="D462" s="389"/>
      <c r="E462" s="307"/>
      <c r="F462" s="308"/>
      <c r="G462" s="309"/>
      <c r="H462" s="389"/>
      <c r="I462" s="307"/>
      <c r="J462" s="308"/>
      <c r="K462" s="309"/>
      <c r="L462" s="389"/>
      <c r="M462" s="307"/>
      <c r="N462" s="308"/>
      <c r="O462" s="309"/>
      <c r="P462" s="389"/>
      <c r="Q462" s="192"/>
      <c r="R462" s="149"/>
      <c r="S462" s="392"/>
      <c r="T462" s="393"/>
      <c r="U462" s="192"/>
      <c r="V462" s="149"/>
      <c r="W462" s="392"/>
      <c r="X462" s="393"/>
      <c r="Y462" s="192"/>
      <c r="Z462" s="149"/>
      <c r="AA462" s="392"/>
      <c r="AB462" s="393"/>
      <c r="AC462" s="192"/>
      <c r="AD462" s="149"/>
      <c r="AE462" s="392"/>
      <c r="AF462" s="393"/>
      <c r="AG462" s="143"/>
      <c r="AH462" s="143"/>
      <c r="AI462" s="143"/>
      <c r="AJ462" s="143"/>
      <c r="AK462" s="389"/>
      <c r="AL462" s="389"/>
      <c r="AM462" s="389"/>
    </row>
    <row r="463">
      <c r="A463" s="307"/>
      <c r="B463" s="308"/>
      <c r="C463" s="309"/>
      <c r="D463" s="389"/>
      <c r="E463" s="307"/>
      <c r="F463" s="308"/>
      <c r="G463" s="309"/>
      <c r="H463" s="389"/>
      <c r="I463" s="307"/>
      <c r="J463" s="308"/>
      <c r="K463" s="309"/>
      <c r="L463" s="389"/>
      <c r="M463" s="307"/>
      <c r="N463" s="308"/>
      <c r="O463" s="309"/>
      <c r="P463" s="389"/>
      <c r="Q463" s="192"/>
      <c r="R463" s="149"/>
      <c r="S463" s="392"/>
      <c r="T463" s="393"/>
      <c r="U463" s="192"/>
      <c r="V463" s="149"/>
      <c r="W463" s="392"/>
      <c r="X463" s="393"/>
      <c r="Y463" s="192"/>
      <c r="Z463" s="149"/>
      <c r="AA463" s="392"/>
      <c r="AB463" s="393"/>
      <c r="AC463" s="192"/>
      <c r="AD463" s="149"/>
      <c r="AE463" s="392"/>
      <c r="AF463" s="393"/>
      <c r="AG463" s="143"/>
      <c r="AH463" s="143"/>
      <c r="AI463" s="143"/>
      <c r="AJ463" s="143"/>
      <c r="AK463" s="389"/>
      <c r="AL463" s="389"/>
      <c r="AM463" s="389"/>
    </row>
    <row r="464">
      <c r="A464" s="307"/>
      <c r="B464" s="308"/>
      <c r="C464" s="309"/>
      <c r="D464" s="389"/>
      <c r="E464" s="307"/>
      <c r="F464" s="308"/>
      <c r="G464" s="309"/>
      <c r="H464" s="389"/>
      <c r="I464" s="307"/>
      <c r="J464" s="308"/>
      <c r="K464" s="309"/>
      <c r="L464" s="389"/>
      <c r="M464" s="307"/>
      <c r="N464" s="308"/>
      <c r="O464" s="309"/>
      <c r="P464" s="389"/>
      <c r="Q464" s="192"/>
      <c r="R464" s="149"/>
      <c r="S464" s="392"/>
      <c r="T464" s="393"/>
      <c r="U464" s="192"/>
      <c r="V464" s="149"/>
      <c r="W464" s="392"/>
      <c r="X464" s="393"/>
      <c r="Y464" s="192"/>
      <c r="Z464" s="149"/>
      <c r="AA464" s="392"/>
      <c r="AB464" s="393"/>
      <c r="AC464" s="192"/>
      <c r="AD464" s="149"/>
      <c r="AE464" s="392"/>
      <c r="AF464" s="393"/>
      <c r="AG464" s="143"/>
      <c r="AH464" s="143"/>
      <c r="AI464" s="143"/>
      <c r="AJ464" s="143"/>
      <c r="AK464" s="389"/>
      <c r="AL464" s="389"/>
      <c r="AM464" s="389"/>
    </row>
    <row r="465">
      <c r="A465" s="307"/>
      <c r="B465" s="308"/>
      <c r="C465" s="309"/>
      <c r="D465" s="389"/>
      <c r="E465" s="307"/>
      <c r="F465" s="308"/>
      <c r="G465" s="309"/>
      <c r="H465" s="389"/>
      <c r="I465" s="307"/>
      <c r="J465" s="308"/>
      <c r="K465" s="309"/>
      <c r="L465" s="389"/>
      <c r="M465" s="307"/>
      <c r="N465" s="308"/>
      <c r="O465" s="309"/>
      <c r="P465" s="389"/>
      <c r="Q465" s="192"/>
      <c r="R465" s="149"/>
      <c r="S465" s="392"/>
      <c r="T465" s="393"/>
      <c r="U465" s="192"/>
      <c r="V465" s="149"/>
      <c r="W465" s="392"/>
      <c r="X465" s="393"/>
      <c r="Y465" s="192"/>
      <c r="Z465" s="149"/>
      <c r="AA465" s="392"/>
      <c r="AB465" s="393"/>
      <c r="AC465" s="192"/>
      <c r="AD465" s="149"/>
      <c r="AE465" s="392"/>
      <c r="AF465" s="393"/>
      <c r="AG465" s="143"/>
      <c r="AH465" s="143"/>
      <c r="AI465" s="143"/>
      <c r="AJ465" s="143"/>
      <c r="AK465" s="389"/>
      <c r="AL465" s="389"/>
      <c r="AM465" s="389"/>
    </row>
    <row r="466">
      <c r="A466" s="307"/>
      <c r="B466" s="308"/>
      <c r="C466" s="309"/>
      <c r="D466" s="389"/>
      <c r="E466" s="307"/>
      <c r="F466" s="308"/>
      <c r="G466" s="309"/>
      <c r="H466" s="389"/>
      <c r="I466" s="307"/>
      <c r="J466" s="308"/>
      <c r="K466" s="309"/>
      <c r="L466" s="389"/>
      <c r="M466" s="307"/>
      <c r="N466" s="308"/>
      <c r="O466" s="309"/>
      <c r="P466" s="389"/>
      <c r="Q466" s="192"/>
      <c r="R466" s="149"/>
      <c r="S466" s="392"/>
      <c r="T466" s="393"/>
      <c r="U466" s="192"/>
      <c r="V466" s="149"/>
      <c r="W466" s="392"/>
      <c r="X466" s="393"/>
      <c r="Y466" s="192"/>
      <c r="Z466" s="149"/>
      <c r="AA466" s="392"/>
      <c r="AB466" s="393"/>
      <c r="AC466" s="192"/>
      <c r="AD466" s="149"/>
      <c r="AE466" s="392"/>
      <c r="AF466" s="393"/>
      <c r="AG466" s="143"/>
      <c r="AH466" s="143"/>
      <c r="AI466" s="143"/>
      <c r="AJ466" s="143"/>
      <c r="AK466" s="389"/>
      <c r="AL466" s="389"/>
      <c r="AM466" s="389"/>
    </row>
    <row r="467">
      <c r="A467" s="307"/>
      <c r="B467" s="308"/>
      <c r="C467" s="309"/>
      <c r="D467" s="389"/>
      <c r="E467" s="307"/>
      <c r="F467" s="308"/>
      <c r="G467" s="309"/>
      <c r="H467" s="389"/>
      <c r="I467" s="307"/>
      <c r="J467" s="308"/>
      <c r="K467" s="309"/>
      <c r="L467" s="389"/>
      <c r="M467" s="307"/>
      <c r="N467" s="308"/>
      <c r="O467" s="309"/>
      <c r="P467" s="389"/>
      <c r="Q467" s="192"/>
      <c r="R467" s="149"/>
      <c r="S467" s="392"/>
      <c r="T467" s="393"/>
      <c r="U467" s="192"/>
      <c r="V467" s="149"/>
      <c r="W467" s="392"/>
      <c r="X467" s="393"/>
      <c r="Y467" s="192"/>
      <c r="Z467" s="149"/>
      <c r="AA467" s="392"/>
      <c r="AB467" s="393"/>
      <c r="AC467" s="192"/>
      <c r="AD467" s="149"/>
      <c r="AE467" s="392"/>
      <c r="AF467" s="393"/>
      <c r="AG467" s="143"/>
      <c r="AH467" s="143"/>
      <c r="AI467" s="143"/>
      <c r="AJ467" s="143"/>
      <c r="AK467" s="389"/>
      <c r="AL467" s="389"/>
      <c r="AM467" s="389"/>
    </row>
    <row r="468">
      <c r="A468" s="307"/>
      <c r="B468" s="308"/>
      <c r="C468" s="309"/>
      <c r="D468" s="389"/>
      <c r="E468" s="307"/>
      <c r="F468" s="308"/>
      <c r="G468" s="309"/>
      <c r="H468" s="389"/>
      <c r="I468" s="307"/>
      <c r="J468" s="308"/>
      <c r="K468" s="309"/>
      <c r="L468" s="389"/>
      <c r="M468" s="307"/>
      <c r="N468" s="308"/>
      <c r="O468" s="309"/>
      <c r="P468" s="389"/>
      <c r="Q468" s="192"/>
      <c r="R468" s="149"/>
      <c r="S468" s="392"/>
      <c r="T468" s="393"/>
      <c r="U468" s="192"/>
      <c r="V468" s="149"/>
      <c r="W468" s="392"/>
      <c r="X468" s="393"/>
      <c r="Y468" s="192"/>
      <c r="Z468" s="149"/>
      <c r="AA468" s="392"/>
      <c r="AB468" s="393"/>
      <c r="AC468" s="192"/>
      <c r="AD468" s="149"/>
      <c r="AE468" s="392"/>
      <c r="AF468" s="393"/>
      <c r="AG468" s="143"/>
      <c r="AH468" s="143"/>
      <c r="AI468" s="143"/>
      <c r="AJ468" s="143"/>
      <c r="AK468" s="389"/>
      <c r="AL468" s="389"/>
      <c r="AM468" s="389"/>
    </row>
    <row r="469">
      <c r="A469" s="307"/>
      <c r="B469" s="308"/>
      <c r="C469" s="309"/>
      <c r="D469" s="389"/>
      <c r="E469" s="307"/>
      <c r="F469" s="308"/>
      <c r="G469" s="309"/>
      <c r="H469" s="389"/>
      <c r="I469" s="307"/>
      <c r="J469" s="308"/>
      <c r="K469" s="309"/>
      <c r="L469" s="389"/>
      <c r="M469" s="307"/>
      <c r="N469" s="308"/>
      <c r="O469" s="309"/>
      <c r="P469" s="389"/>
      <c r="Q469" s="192"/>
      <c r="R469" s="149"/>
      <c r="S469" s="392"/>
      <c r="T469" s="393"/>
      <c r="U469" s="192"/>
      <c r="V469" s="149"/>
      <c r="W469" s="392"/>
      <c r="X469" s="393"/>
      <c r="Y469" s="192"/>
      <c r="Z469" s="149"/>
      <c r="AA469" s="392"/>
      <c r="AB469" s="393"/>
      <c r="AC469" s="192"/>
      <c r="AD469" s="149"/>
      <c r="AE469" s="392"/>
      <c r="AF469" s="393"/>
      <c r="AG469" s="143"/>
      <c r="AH469" s="143"/>
      <c r="AI469" s="143"/>
      <c r="AJ469" s="143"/>
      <c r="AK469" s="389"/>
      <c r="AL469" s="389"/>
      <c r="AM469" s="389"/>
    </row>
    <row r="470">
      <c r="A470" s="307"/>
      <c r="B470" s="308"/>
      <c r="C470" s="309"/>
      <c r="D470" s="389"/>
      <c r="E470" s="307"/>
      <c r="F470" s="308"/>
      <c r="G470" s="309"/>
      <c r="H470" s="389"/>
      <c r="I470" s="307"/>
      <c r="J470" s="308"/>
      <c r="K470" s="309"/>
      <c r="L470" s="389"/>
      <c r="M470" s="307"/>
      <c r="N470" s="308"/>
      <c r="O470" s="309"/>
      <c r="P470" s="389"/>
      <c r="Q470" s="192"/>
      <c r="R470" s="149"/>
      <c r="S470" s="392"/>
      <c r="T470" s="393"/>
      <c r="U470" s="192"/>
      <c r="V470" s="149"/>
      <c r="W470" s="392"/>
      <c r="X470" s="393"/>
      <c r="Y470" s="192"/>
      <c r="Z470" s="149"/>
      <c r="AA470" s="392"/>
      <c r="AB470" s="393"/>
      <c r="AC470" s="192"/>
      <c r="AD470" s="149"/>
      <c r="AE470" s="392"/>
      <c r="AF470" s="393"/>
      <c r="AG470" s="143"/>
      <c r="AH470" s="143"/>
      <c r="AI470" s="143"/>
      <c r="AJ470" s="143"/>
      <c r="AK470" s="389"/>
      <c r="AL470" s="389"/>
      <c r="AM470" s="389"/>
    </row>
    <row r="471">
      <c r="A471" s="307"/>
      <c r="B471" s="308"/>
      <c r="C471" s="309"/>
      <c r="D471" s="389"/>
      <c r="E471" s="307"/>
      <c r="F471" s="308"/>
      <c r="G471" s="309"/>
      <c r="H471" s="389"/>
      <c r="I471" s="307"/>
      <c r="J471" s="308"/>
      <c r="K471" s="309"/>
      <c r="L471" s="389"/>
      <c r="M471" s="307"/>
      <c r="N471" s="308"/>
      <c r="O471" s="309"/>
      <c r="P471" s="389"/>
      <c r="Q471" s="192"/>
      <c r="R471" s="149"/>
      <c r="S471" s="392"/>
      <c r="T471" s="393"/>
      <c r="U471" s="192"/>
      <c r="V471" s="149"/>
      <c r="W471" s="392"/>
      <c r="X471" s="393"/>
      <c r="Y471" s="192"/>
      <c r="Z471" s="149"/>
      <c r="AA471" s="392"/>
      <c r="AB471" s="393"/>
      <c r="AC471" s="192"/>
      <c r="AD471" s="149"/>
      <c r="AE471" s="392"/>
      <c r="AF471" s="393"/>
      <c r="AG471" s="143"/>
      <c r="AH471" s="143"/>
      <c r="AI471" s="143"/>
      <c r="AJ471" s="143"/>
      <c r="AK471" s="389"/>
      <c r="AL471" s="389"/>
      <c r="AM471" s="389"/>
    </row>
    <row r="472">
      <c r="A472" s="307"/>
      <c r="B472" s="308"/>
      <c r="C472" s="309"/>
      <c r="D472" s="389"/>
      <c r="E472" s="307"/>
      <c r="F472" s="308"/>
      <c r="G472" s="309"/>
      <c r="H472" s="389"/>
      <c r="I472" s="307"/>
      <c r="J472" s="308"/>
      <c r="K472" s="309"/>
      <c r="L472" s="389"/>
      <c r="M472" s="307"/>
      <c r="N472" s="308"/>
      <c r="O472" s="309"/>
      <c r="P472" s="389"/>
      <c r="Q472" s="192"/>
      <c r="R472" s="149"/>
      <c r="S472" s="392"/>
      <c r="T472" s="393"/>
      <c r="U472" s="192"/>
      <c r="V472" s="149"/>
      <c r="W472" s="392"/>
      <c r="X472" s="393"/>
      <c r="Y472" s="192"/>
      <c r="Z472" s="149"/>
      <c r="AA472" s="392"/>
      <c r="AB472" s="393"/>
      <c r="AC472" s="192"/>
      <c r="AD472" s="149"/>
      <c r="AE472" s="392"/>
      <c r="AF472" s="393"/>
      <c r="AG472" s="143"/>
      <c r="AH472" s="143"/>
      <c r="AI472" s="143"/>
      <c r="AJ472" s="143"/>
      <c r="AK472" s="389"/>
      <c r="AL472" s="389"/>
      <c r="AM472" s="389"/>
    </row>
    <row r="473">
      <c r="A473" s="307"/>
      <c r="B473" s="308"/>
      <c r="C473" s="309"/>
      <c r="D473" s="389"/>
      <c r="E473" s="307"/>
      <c r="F473" s="308"/>
      <c r="G473" s="309"/>
      <c r="H473" s="389"/>
      <c r="I473" s="307"/>
      <c r="J473" s="308"/>
      <c r="K473" s="309"/>
      <c r="L473" s="389"/>
      <c r="M473" s="307"/>
      <c r="N473" s="308"/>
      <c r="O473" s="309"/>
      <c r="P473" s="389"/>
      <c r="Q473" s="192"/>
      <c r="R473" s="149"/>
      <c r="S473" s="392"/>
      <c r="T473" s="393"/>
      <c r="U473" s="192"/>
      <c r="V473" s="149"/>
      <c r="W473" s="392"/>
      <c r="X473" s="393"/>
      <c r="Y473" s="192"/>
      <c r="Z473" s="149"/>
      <c r="AA473" s="392"/>
      <c r="AB473" s="393"/>
      <c r="AC473" s="192"/>
      <c r="AD473" s="149"/>
      <c r="AE473" s="392"/>
      <c r="AF473" s="393"/>
      <c r="AG473" s="143"/>
      <c r="AH473" s="143"/>
      <c r="AI473" s="143"/>
      <c r="AJ473" s="143"/>
      <c r="AK473" s="389"/>
      <c r="AL473" s="389"/>
      <c r="AM473" s="389"/>
    </row>
    <row r="474">
      <c r="A474" s="307"/>
      <c r="B474" s="308"/>
      <c r="C474" s="309"/>
      <c r="D474" s="389"/>
      <c r="E474" s="307"/>
      <c r="F474" s="308"/>
      <c r="G474" s="309"/>
      <c r="H474" s="389"/>
      <c r="I474" s="307"/>
      <c r="J474" s="308"/>
      <c r="K474" s="309"/>
      <c r="L474" s="389"/>
      <c r="M474" s="307"/>
      <c r="N474" s="308"/>
      <c r="O474" s="309"/>
      <c r="P474" s="389"/>
      <c r="Q474" s="192"/>
      <c r="R474" s="149"/>
      <c r="S474" s="392"/>
      <c r="T474" s="393"/>
      <c r="U474" s="192"/>
      <c r="V474" s="149"/>
      <c r="W474" s="392"/>
      <c r="X474" s="393"/>
      <c r="Y474" s="192"/>
      <c r="Z474" s="149"/>
      <c r="AA474" s="392"/>
      <c r="AB474" s="393"/>
      <c r="AC474" s="192"/>
      <c r="AD474" s="149"/>
      <c r="AE474" s="392"/>
      <c r="AF474" s="393"/>
      <c r="AG474" s="143"/>
      <c r="AH474" s="143"/>
      <c r="AI474" s="143"/>
      <c r="AJ474" s="143"/>
      <c r="AK474" s="389"/>
      <c r="AL474" s="389"/>
      <c r="AM474" s="389"/>
    </row>
    <row r="475">
      <c r="A475" s="307"/>
      <c r="B475" s="308"/>
      <c r="C475" s="309"/>
      <c r="D475" s="389"/>
      <c r="E475" s="307"/>
      <c r="F475" s="308"/>
      <c r="G475" s="309"/>
      <c r="H475" s="389"/>
      <c r="I475" s="307"/>
      <c r="J475" s="308"/>
      <c r="K475" s="309"/>
      <c r="L475" s="389"/>
      <c r="M475" s="307"/>
      <c r="N475" s="308"/>
      <c r="O475" s="309"/>
      <c r="P475" s="389"/>
      <c r="Q475" s="192"/>
      <c r="R475" s="149"/>
      <c r="S475" s="392"/>
      <c r="T475" s="393"/>
      <c r="U475" s="192"/>
      <c r="V475" s="149"/>
      <c r="W475" s="392"/>
      <c r="X475" s="393"/>
      <c r="Y475" s="192"/>
      <c r="Z475" s="149"/>
      <c r="AA475" s="392"/>
      <c r="AB475" s="393"/>
      <c r="AC475" s="192"/>
      <c r="AD475" s="149"/>
      <c r="AE475" s="392"/>
      <c r="AF475" s="393"/>
      <c r="AG475" s="143"/>
      <c r="AH475" s="143"/>
      <c r="AI475" s="143"/>
      <c r="AJ475" s="143"/>
      <c r="AK475" s="389"/>
      <c r="AL475" s="389"/>
      <c r="AM475" s="389"/>
    </row>
    <row r="476">
      <c r="A476" s="307"/>
      <c r="B476" s="308"/>
      <c r="C476" s="309"/>
      <c r="D476" s="389"/>
      <c r="E476" s="307"/>
      <c r="F476" s="308"/>
      <c r="G476" s="309"/>
      <c r="H476" s="389"/>
      <c r="I476" s="307"/>
      <c r="J476" s="308"/>
      <c r="K476" s="309"/>
      <c r="L476" s="389"/>
      <c r="M476" s="307"/>
      <c r="N476" s="308"/>
      <c r="O476" s="309"/>
      <c r="P476" s="389"/>
      <c r="Q476" s="192"/>
      <c r="R476" s="149"/>
      <c r="S476" s="392"/>
      <c r="T476" s="393"/>
      <c r="U476" s="192"/>
      <c r="V476" s="149"/>
      <c r="W476" s="392"/>
      <c r="X476" s="393"/>
      <c r="Y476" s="192"/>
      <c r="Z476" s="149"/>
      <c r="AA476" s="392"/>
      <c r="AB476" s="393"/>
      <c r="AC476" s="192"/>
      <c r="AD476" s="149"/>
      <c r="AE476" s="392"/>
      <c r="AF476" s="393"/>
      <c r="AG476" s="143"/>
      <c r="AH476" s="143"/>
      <c r="AI476" s="143"/>
      <c r="AJ476" s="143"/>
      <c r="AK476" s="389"/>
      <c r="AL476" s="389"/>
      <c r="AM476" s="389"/>
    </row>
    <row r="477">
      <c r="A477" s="307"/>
      <c r="B477" s="308"/>
      <c r="C477" s="309"/>
      <c r="D477" s="389"/>
      <c r="E477" s="307"/>
      <c r="F477" s="308"/>
      <c r="G477" s="309"/>
      <c r="H477" s="389"/>
      <c r="I477" s="307"/>
      <c r="J477" s="308"/>
      <c r="K477" s="309"/>
      <c r="L477" s="389"/>
      <c r="M477" s="307"/>
      <c r="N477" s="308"/>
      <c r="O477" s="309"/>
      <c r="P477" s="389"/>
      <c r="Q477" s="192"/>
      <c r="R477" s="149"/>
      <c r="S477" s="392"/>
      <c r="T477" s="393"/>
      <c r="U477" s="192"/>
      <c r="V477" s="149"/>
      <c r="W477" s="392"/>
      <c r="X477" s="393"/>
      <c r="Y477" s="192"/>
      <c r="Z477" s="149"/>
      <c r="AA477" s="392"/>
      <c r="AB477" s="393"/>
      <c r="AC477" s="192"/>
      <c r="AD477" s="149"/>
      <c r="AE477" s="392"/>
      <c r="AF477" s="393"/>
      <c r="AG477" s="143"/>
      <c r="AH477" s="143"/>
      <c r="AI477" s="143"/>
      <c r="AJ477" s="143"/>
      <c r="AK477" s="389"/>
      <c r="AL477" s="389"/>
      <c r="AM477" s="389"/>
    </row>
    <row r="478">
      <c r="A478" s="307"/>
      <c r="B478" s="308"/>
      <c r="C478" s="309"/>
      <c r="D478" s="389"/>
      <c r="E478" s="307"/>
      <c r="F478" s="308"/>
      <c r="G478" s="309"/>
      <c r="H478" s="389"/>
      <c r="I478" s="307"/>
      <c r="J478" s="308"/>
      <c r="K478" s="309"/>
      <c r="L478" s="389"/>
      <c r="M478" s="307"/>
      <c r="N478" s="308"/>
      <c r="O478" s="309"/>
      <c r="P478" s="389"/>
      <c r="Q478" s="192"/>
      <c r="R478" s="149"/>
      <c r="S478" s="392"/>
      <c r="T478" s="393"/>
      <c r="U478" s="192"/>
      <c r="V478" s="149"/>
      <c r="W478" s="392"/>
      <c r="X478" s="393"/>
      <c r="Y478" s="192"/>
      <c r="Z478" s="149"/>
      <c r="AA478" s="392"/>
      <c r="AB478" s="393"/>
      <c r="AC478" s="192"/>
      <c r="AD478" s="149"/>
      <c r="AE478" s="392"/>
      <c r="AF478" s="393"/>
      <c r="AG478" s="143"/>
      <c r="AH478" s="143"/>
      <c r="AI478" s="143"/>
      <c r="AJ478" s="143"/>
      <c r="AK478" s="389"/>
      <c r="AL478" s="389"/>
      <c r="AM478" s="389"/>
    </row>
    <row r="479">
      <c r="A479" s="307"/>
      <c r="B479" s="308"/>
      <c r="C479" s="309"/>
      <c r="D479" s="389"/>
      <c r="E479" s="307"/>
      <c r="F479" s="308"/>
      <c r="G479" s="309"/>
      <c r="H479" s="389"/>
      <c r="I479" s="307"/>
      <c r="J479" s="308"/>
      <c r="K479" s="309"/>
      <c r="L479" s="389"/>
      <c r="M479" s="307"/>
      <c r="N479" s="308"/>
      <c r="O479" s="309"/>
      <c r="P479" s="389"/>
      <c r="Q479" s="192"/>
      <c r="R479" s="149"/>
      <c r="S479" s="392"/>
      <c r="T479" s="393"/>
      <c r="U479" s="192"/>
      <c r="V479" s="149"/>
      <c r="W479" s="392"/>
      <c r="X479" s="393"/>
      <c r="Y479" s="192"/>
      <c r="Z479" s="149"/>
      <c r="AA479" s="392"/>
      <c r="AB479" s="393"/>
      <c r="AC479" s="192"/>
      <c r="AD479" s="149"/>
      <c r="AE479" s="392"/>
      <c r="AF479" s="393"/>
      <c r="AG479" s="143"/>
      <c r="AH479" s="143"/>
      <c r="AI479" s="143"/>
      <c r="AJ479" s="143"/>
      <c r="AK479" s="389"/>
      <c r="AL479" s="389"/>
      <c r="AM479" s="389"/>
    </row>
    <row r="480">
      <c r="A480" s="307"/>
      <c r="B480" s="308"/>
      <c r="C480" s="309"/>
      <c r="D480" s="389"/>
      <c r="E480" s="307"/>
      <c r="F480" s="308"/>
      <c r="G480" s="309"/>
      <c r="H480" s="389"/>
      <c r="I480" s="307"/>
      <c r="J480" s="308"/>
      <c r="K480" s="309"/>
      <c r="L480" s="389"/>
      <c r="M480" s="307"/>
      <c r="N480" s="308"/>
      <c r="O480" s="309"/>
      <c r="P480" s="389"/>
      <c r="Q480" s="192"/>
      <c r="R480" s="149"/>
      <c r="S480" s="392"/>
      <c r="T480" s="393"/>
      <c r="U480" s="192"/>
      <c r="V480" s="149"/>
      <c r="W480" s="392"/>
      <c r="X480" s="393"/>
      <c r="Y480" s="192"/>
      <c r="Z480" s="149"/>
      <c r="AA480" s="392"/>
      <c r="AB480" s="393"/>
      <c r="AC480" s="192"/>
      <c r="AD480" s="149"/>
      <c r="AE480" s="392"/>
      <c r="AF480" s="393"/>
      <c r="AG480" s="143"/>
      <c r="AH480" s="143"/>
      <c r="AI480" s="143"/>
      <c r="AJ480" s="143"/>
      <c r="AK480" s="389"/>
      <c r="AL480" s="389"/>
      <c r="AM480" s="389"/>
    </row>
    <row r="481">
      <c r="A481" s="307"/>
      <c r="B481" s="308"/>
      <c r="C481" s="309"/>
      <c r="D481" s="389"/>
      <c r="E481" s="307"/>
      <c r="F481" s="308"/>
      <c r="G481" s="309"/>
      <c r="H481" s="389"/>
      <c r="I481" s="307"/>
      <c r="J481" s="308"/>
      <c r="K481" s="309"/>
      <c r="L481" s="389"/>
      <c r="M481" s="307"/>
      <c r="N481" s="308"/>
      <c r="O481" s="309"/>
      <c r="P481" s="389"/>
      <c r="Q481" s="192"/>
      <c r="R481" s="149"/>
      <c r="S481" s="392"/>
      <c r="T481" s="393"/>
      <c r="U481" s="192"/>
      <c r="V481" s="149"/>
      <c r="W481" s="392"/>
      <c r="X481" s="393"/>
      <c r="Y481" s="192"/>
      <c r="Z481" s="149"/>
      <c r="AA481" s="392"/>
      <c r="AB481" s="393"/>
      <c r="AC481" s="192"/>
      <c r="AD481" s="149"/>
      <c r="AE481" s="392"/>
      <c r="AF481" s="393"/>
      <c r="AG481" s="143"/>
      <c r="AH481" s="143"/>
      <c r="AI481" s="143"/>
      <c r="AJ481" s="143"/>
      <c r="AK481" s="389"/>
      <c r="AL481" s="389"/>
      <c r="AM481" s="389"/>
    </row>
    <row r="482">
      <c r="A482" s="307"/>
      <c r="B482" s="308"/>
      <c r="C482" s="309"/>
      <c r="D482" s="389"/>
      <c r="E482" s="307"/>
      <c r="F482" s="308"/>
      <c r="G482" s="309"/>
      <c r="H482" s="389"/>
      <c r="I482" s="307"/>
      <c r="J482" s="308"/>
      <c r="K482" s="309"/>
      <c r="L482" s="389"/>
      <c r="M482" s="307"/>
      <c r="N482" s="308"/>
      <c r="O482" s="309"/>
      <c r="P482" s="389"/>
      <c r="Q482" s="192"/>
      <c r="R482" s="149"/>
      <c r="S482" s="392"/>
      <c r="T482" s="393"/>
      <c r="U482" s="192"/>
      <c r="V482" s="149"/>
      <c r="W482" s="392"/>
      <c r="X482" s="393"/>
      <c r="Y482" s="192"/>
      <c r="Z482" s="149"/>
      <c r="AA482" s="392"/>
      <c r="AB482" s="393"/>
      <c r="AC482" s="192"/>
      <c r="AD482" s="149"/>
      <c r="AE482" s="392"/>
      <c r="AF482" s="393"/>
      <c r="AG482" s="143"/>
      <c r="AH482" s="143"/>
      <c r="AI482" s="143"/>
      <c r="AJ482" s="143"/>
      <c r="AK482" s="389"/>
      <c r="AL482" s="389"/>
      <c r="AM482" s="389"/>
    </row>
    <row r="483">
      <c r="A483" s="307"/>
      <c r="B483" s="308"/>
      <c r="C483" s="309"/>
      <c r="D483" s="389"/>
      <c r="E483" s="307"/>
      <c r="F483" s="308"/>
      <c r="G483" s="309"/>
      <c r="H483" s="389"/>
      <c r="I483" s="307"/>
      <c r="J483" s="308"/>
      <c r="K483" s="309"/>
      <c r="L483" s="389"/>
      <c r="M483" s="307"/>
      <c r="N483" s="308"/>
      <c r="O483" s="309"/>
      <c r="P483" s="389"/>
      <c r="Q483" s="192"/>
      <c r="R483" s="149"/>
      <c r="S483" s="392"/>
      <c r="T483" s="393"/>
      <c r="U483" s="192"/>
      <c r="V483" s="149"/>
      <c r="W483" s="392"/>
      <c r="X483" s="393"/>
      <c r="Y483" s="192"/>
      <c r="Z483" s="149"/>
      <c r="AA483" s="392"/>
      <c r="AB483" s="393"/>
      <c r="AC483" s="192"/>
      <c r="AD483" s="149"/>
      <c r="AE483" s="392"/>
      <c r="AF483" s="393"/>
      <c r="AG483" s="143"/>
      <c r="AH483" s="143"/>
      <c r="AI483" s="143"/>
      <c r="AJ483" s="143"/>
      <c r="AK483" s="389"/>
      <c r="AL483" s="389"/>
      <c r="AM483" s="389"/>
    </row>
    <row r="484">
      <c r="A484" s="307"/>
      <c r="B484" s="308"/>
      <c r="C484" s="309"/>
      <c r="D484" s="389"/>
      <c r="E484" s="307"/>
      <c r="F484" s="308"/>
      <c r="G484" s="309"/>
      <c r="H484" s="389"/>
      <c r="I484" s="307"/>
      <c r="J484" s="308"/>
      <c r="K484" s="309"/>
      <c r="L484" s="389"/>
      <c r="M484" s="307"/>
      <c r="N484" s="308"/>
      <c r="O484" s="309"/>
      <c r="P484" s="389"/>
      <c r="Q484" s="192"/>
      <c r="R484" s="149"/>
      <c r="S484" s="392"/>
      <c r="T484" s="393"/>
      <c r="U484" s="192"/>
      <c r="V484" s="149"/>
      <c r="W484" s="392"/>
      <c r="X484" s="393"/>
      <c r="Y484" s="192"/>
      <c r="Z484" s="149"/>
      <c r="AA484" s="392"/>
      <c r="AB484" s="393"/>
      <c r="AC484" s="192"/>
      <c r="AD484" s="149"/>
      <c r="AE484" s="392"/>
      <c r="AF484" s="393"/>
      <c r="AG484" s="143"/>
      <c r="AH484" s="143"/>
      <c r="AI484" s="143"/>
      <c r="AJ484" s="143"/>
      <c r="AK484" s="389"/>
      <c r="AL484" s="389"/>
      <c r="AM484" s="389"/>
    </row>
    <row r="485">
      <c r="A485" s="307"/>
      <c r="B485" s="308"/>
      <c r="C485" s="309"/>
      <c r="D485" s="389"/>
      <c r="E485" s="307"/>
      <c r="F485" s="308"/>
      <c r="G485" s="309"/>
      <c r="H485" s="389"/>
      <c r="I485" s="307"/>
      <c r="J485" s="308"/>
      <c r="K485" s="309"/>
      <c r="L485" s="389"/>
      <c r="M485" s="307"/>
      <c r="N485" s="308"/>
      <c r="O485" s="309"/>
      <c r="P485" s="389"/>
      <c r="Q485" s="192"/>
      <c r="R485" s="149"/>
      <c r="S485" s="392"/>
      <c r="T485" s="393"/>
      <c r="U485" s="192"/>
      <c r="V485" s="149"/>
      <c r="W485" s="392"/>
      <c r="X485" s="393"/>
      <c r="Y485" s="192"/>
      <c r="Z485" s="149"/>
      <c r="AA485" s="392"/>
      <c r="AB485" s="393"/>
      <c r="AC485" s="192"/>
      <c r="AD485" s="149"/>
      <c r="AE485" s="392"/>
      <c r="AF485" s="393"/>
      <c r="AG485" s="143"/>
      <c r="AH485" s="143"/>
      <c r="AI485" s="143"/>
      <c r="AJ485" s="143"/>
      <c r="AK485" s="389"/>
      <c r="AL485" s="389"/>
      <c r="AM485" s="389"/>
    </row>
    <row r="486">
      <c r="A486" s="307"/>
      <c r="B486" s="308"/>
      <c r="C486" s="309"/>
      <c r="D486" s="389"/>
      <c r="E486" s="307"/>
      <c r="F486" s="308"/>
      <c r="G486" s="309"/>
      <c r="H486" s="389"/>
      <c r="I486" s="307"/>
      <c r="J486" s="308"/>
      <c r="K486" s="309"/>
      <c r="L486" s="389"/>
      <c r="M486" s="307"/>
      <c r="N486" s="308"/>
      <c r="O486" s="309"/>
      <c r="P486" s="389"/>
      <c r="Q486" s="192"/>
      <c r="R486" s="149"/>
      <c r="S486" s="392"/>
      <c r="T486" s="393"/>
      <c r="U486" s="192"/>
      <c r="V486" s="149"/>
      <c r="W486" s="392"/>
      <c r="X486" s="393"/>
      <c r="Y486" s="192"/>
      <c r="Z486" s="149"/>
      <c r="AA486" s="392"/>
      <c r="AB486" s="393"/>
      <c r="AC486" s="192"/>
      <c r="AD486" s="149"/>
      <c r="AE486" s="392"/>
      <c r="AF486" s="393"/>
      <c r="AG486" s="143"/>
      <c r="AH486" s="143"/>
      <c r="AI486" s="143"/>
      <c r="AJ486" s="143"/>
      <c r="AK486" s="389"/>
      <c r="AL486" s="389"/>
      <c r="AM486" s="389"/>
    </row>
    <row r="487">
      <c r="A487" s="307"/>
      <c r="B487" s="308"/>
      <c r="C487" s="309"/>
      <c r="D487" s="389"/>
      <c r="E487" s="307"/>
      <c r="F487" s="308"/>
      <c r="G487" s="309"/>
      <c r="H487" s="389"/>
      <c r="I487" s="307"/>
      <c r="J487" s="308"/>
      <c r="K487" s="309"/>
      <c r="L487" s="389"/>
      <c r="M487" s="307"/>
      <c r="N487" s="308"/>
      <c r="O487" s="309"/>
      <c r="P487" s="389"/>
      <c r="Q487" s="192"/>
      <c r="R487" s="149"/>
      <c r="S487" s="392"/>
      <c r="T487" s="393"/>
      <c r="U487" s="192"/>
      <c r="V487" s="149"/>
      <c r="W487" s="392"/>
      <c r="X487" s="393"/>
      <c r="Y487" s="192"/>
      <c r="Z487" s="149"/>
      <c r="AA487" s="392"/>
      <c r="AB487" s="393"/>
      <c r="AC487" s="192"/>
      <c r="AD487" s="149"/>
      <c r="AE487" s="392"/>
      <c r="AF487" s="393"/>
      <c r="AG487" s="143"/>
      <c r="AH487" s="143"/>
      <c r="AI487" s="143"/>
      <c r="AJ487" s="143"/>
      <c r="AK487" s="389"/>
      <c r="AL487" s="389"/>
      <c r="AM487" s="389"/>
    </row>
    <row r="488">
      <c r="A488" s="307"/>
      <c r="B488" s="308"/>
      <c r="C488" s="309"/>
      <c r="D488" s="389"/>
      <c r="E488" s="307"/>
      <c r="F488" s="308"/>
      <c r="G488" s="309"/>
      <c r="H488" s="389"/>
      <c r="I488" s="307"/>
      <c r="J488" s="308"/>
      <c r="K488" s="309"/>
      <c r="L488" s="389"/>
      <c r="M488" s="307"/>
      <c r="N488" s="308"/>
      <c r="O488" s="309"/>
      <c r="P488" s="389"/>
      <c r="Q488" s="192"/>
      <c r="R488" s="149"/>
      <c r="S488" s="392"/>
      <c r="T488" s="393"/>
      <c r="U488" s="192"/>
      <c r="V488" s="149"/>
      <c r="W488" s="392"/>
      <c r="X488" s="393"/>
      <c r="Y488" s="192"/>
      <c r="Z488" s="149"/>
      <c r="AA488" s="392"/>
      <c r="AB488" s="393"/>
      <c r="AC488" s="192"/>
      <c r="AD488" s="149"/>
      <c r="AE488" s="392"/>
      <c r="AF488" s="393"/>
      <c r="AG488" s="143"/>
      <c r="AH488" s="143"/>
      <c r="AI488" s="143"/>
      <c r="AJ488" s="143"/>
      <c r="AK488" s="389"/>
      <c r="AL488" s="389"/>
      <c r="AM488" s="389"/>
    </row>
    <row r="489">
      <c r="A489" s="307"/>
      <c r="B489" s="308"/>
      <c r="C489" s="309"/>
      <c r="D489" s="389"/>
      <c r="E489" s="307"/>
      <c r="F489" s="308"/>
      <c r="G489" s="309"/>
      <c r="H489" s="389"/>
      <c r="I489" s="307"/>
      <c r="J489" s="308"/>
      <c r="K489" s="309"/>
      <c r="L489" s="389"/>
      <c r="M489" s="307"/>
      <c r="N489" s="308"/>
      <c r="O489" s="309"/>
      <c r="P489" s="389"/>
      <c r="Q489" s="192"/>
      <c r="R489" s="149"/>
      <c r="S489" s="392"/>
      <c r="T489" s="393"/>
      <c r="U489" s="192"/>
      <c r="V489" s="149"/>
      <c r="W489" s="392"/>
      <c r="X489" s="393"/>
      <c r="Y489" s="192"/>
      <c r="Z489" s="149"/>
      <c r="AA489" s="392"/>
      <c r="AB489" s="393"/>
      <c r="AC489" s="192"/>
      <c r="AD489" s="149"/>
      <c r="AE489" s="392"/>
      <c r="AF489" s="393"/>
      <c r="AG489" s="143"/>
      <c r="AH489" s="143"/>
      <c r="AI489" s="143"/>
      <c r="AJ489" s="143"/>
      <c r="AK489" s="389"/>
      <c r="AL489" s="389"/>
      <c r="AM489" s="389"/>
    </row>
    <row r="490">
      <c r="A490" s="307"/>
      <c r="B490" s="308"/>
      <c r="C490" s="309"/>
      <c r="D490" s="389"/>
      <c r="E490" s="307"/>
      <c r="F490" s="308"/>
      <c r="G490" s="309"/>
      <c r="H490" s="389"/>
      <c r="I490" s="307"/>
      <c r="J490" s="308"/>
      <c r="K490" s="309"/>
      <c r="L490" s="389"/>
      <c r="M490" s="307"/>
      <c r="N490" s="308"/>
      <c r="O490" s="309"/>
      <c r="P490" s="389"/>
      <c r="Q490" s="192"/>
      <c r="R490" s="149"/>
      <c r="S490" s="392"/>
      <c r="T490" s="393"/>
      <c r="U490" s="192"/>
      <c r="V490" s="149"/>
      <c r="W490" s="392"/>
      <c r="X490" s="393"/>
      <c r="Y490" s="192"/>
      <c r="Z490" s="149"/>
      <c r="AA490" s="392"/>
      <c r="AB490" s="393"/>
      <c r="AC490" s="192"/>
      <c r="AD490" s="149"/>
      <c r="AE490" s="392"/>
      <c r="AF490" s="393"/>
      <c r="AG490" s="143"/>
      <c r="AH490" s="143"/>
      <c r="AI490" s="143"/>
      <c r="AJ490" s="143"/>
      <c r="AK490" s="389"/>
      <c r="AL490" s="389"/>
      <c r="AM490" s="389"/>
    </row>
    <row r="491">
      <c r="A491" s="307"/>
      <c r="B491" s="308"/>
      <c r="C491" s="309"/>
      <c r="D491" s="389"/>
      <c r="E491" s="307"/>
      <c r="F491" s="308"/>
      <c r="G491" s="309"/>
      <c r="H491" s="389"/>
      <c r="I491" s="307"/>
      <c r="J491" s="308"/>
      <c r="K491" s="309"/>
      <c r="L491" s="389"/>
      <c r="M491" s="307"/>
      <c r="N491" s="308"/>
      <c r="O491" s="309"/>
      <c r="P491" s="389"/>
      <c r="Q491" s="192"/>
      <c r="R491" s="149"/>
      <c r="S491" s="392"/>
      <c r="T491" s="393"/>
      <c r="U491" s="192"/>
      <c r="V491" s="149"/>
      <c r="W491" s="392"/>
      <c r="X491" s="393"/>
      <c r="Y491" s="192"/>
      <c r="Z491" s="149"/>
      <c r="AA491" s="392"/>
      <c r="AB491" s="393"/>
      <c r="AC491" s="192"/>
      <c r="AD491" s="149"/>
      <c r="AE491" s="392"/>
      <c r="AF491" s="393"/>
      <c r="AG491" s="143"/>
      <c r="AH491" s="143"/>
      <c r="AI491" s="143"/>
      <c r="AJ491" s="143"/>
      <c r="AK491" s="389"/>
      <c r="AL491" s="389"/>
      <c r="AM491" s="389"/>
    </row>
    <row r="492">
      <c r="A492" s="307"/>
      <c r="B492" s="308"/>
      <c r="C492" s="309"/>
      <c r="D492" s="389"/>
      <c r="E492" s="307"/>
      <c r="F492" s="308"/>
      <c r="G492" s="309"/>
      <c r="H492" s="389"/>
      <c r="I492" s="307"/>
      <c r="J492" s="308"/>
      <c r="K492" s="309"/>
      <c r="L492" s="389"/>
      <c r="M492" s="307"/>
      <c r="N492" s="308"/>
      <c r="O492" s="309"/>
      <c r="P492" s="389"/>
      <c r="Q492" s="192"/>
      <c r="R492" s="149"/>
      <c r="S492" s="392"/>
      <c r="T492" s="393"/>
      <c r="U492" s="192"/>
      <c r="V492" s="149"/>
      <c r="W492" s="392"/>
      <c r="X492" s="393"/>
      <c r="Y492" s="192"/>
      <c r="Z492" s="149"/>
      <c r="AA492" s="392"/>
      <c r="AB492" s="393"/>
      <c r="AC492" s="192"/>
      <c r="AD492" s="149"/>
      <c r="AE492" s="392"/>
      <c r="AF492" s="393"/>
      <c r="AG492" s="143"/>
      <c r="AH492" s="143"/>
      <c r="AI492" s="143"/>
      <c r="AJ492" s="143"/>
      <c r="AK492" s="389"/>
      <c r="AL492" s="389"/>
      <c r="AM492" s="389"/>
    </row>
    <row r="493">
      <c r="A493" s="307"/>
      <c r="B493" s="308"/>
      <c r="C493" s="309"/>
      <c r="D493" s="389"/>
      <c r="E493" s="307"/>
      <c r="F493" s="308"/>
      <c r="G493" s="309"/>
      <c r="H493" s="389"/>
      <c r="I493" s="307"/>
      <c r="J493" s="308"/>
      <c r="K493" s="309"/>
      <c r="L493" s="389"/>
      <c r="M493" s="307"/>
      <c r="N493" s="308"/>
      <c r="O493" s="309"/>
      <c r="P493" s="389"/>
      <c r="Q493" s="192"/>
      <c r="R493" s="149"/>
      <c r="S493" s="392"/>
      <c r="T493" s="393"/>
      <c r="U493" s="192"/>
      <c r="V493" s="149"/>
      <c r="W493" s="392"/>
      <c r="X493" s="393"/>
      <c r="Y493" s="192"/>
      <c r="Z493" s="149"/>
      <c r="AA493" s="392"/>
      <c r="AB493" s="393"/>
      <c r="AC493" s="192"/>
      <c r="AD493" s="149"/>
      <c r="AE493" s="392"/>
      <c r="AF493" s="393"/>
      <c r="AG493" s="143"/>
      <c r="AH493" s="143"/>
      <c r="AI493" s="143"/>
      <c r="AJ493" s="143"/>
      <c r="AK493" s="389"/>
      <c r="AL493" s="389"/>
      <c r="AM493" s="389"/>
    </row>
    <row r="494">
      <c r="A494" s="307"/>
      <c r="B494" s="308"/>
      <c r="C494" s="309"/>
      <c r="D494" s="389"/>
      <c r="E494" s="307"/>
      <c r="F494" s="308"/>
      <c r="G494" s="309"/>
      <c r="H494" s="389"/>
      <c r="I494" s="307"/>
      <c r="J494" s="308"/>
      <c r="K494" s="309"/>
      <c r="L494" s="389"/>
      <c r="M494" s="307"/>
      <c r="N494" s="308"/>
      <c r="O494" s="309"/>
      <c r="P494" s="389"/>
      <c r="Q494" s="192"/>
      <c r="R494" s="149"/>
      <c r="S494" s="392"/>
      <c r="T494" s="393"/>
      <c r="U494" s="192"/>
      <c r="V494" s="149"/>
      <c r="W494" s="392"/>
      <c r="X494" s="393"/>
      <c r="Y494" s="192"/>
      <c r="Z494" s="149"/>
      <c r="AA494" s="392"/>
      <c r="AB494" s="393"/>
      <c r="AC494" s="192"/>
      <c r="AD494" s="149"/>
      <c r="AE494" s="392"/>
      <c r="AF494" s="393"/>
      <c r="AG494" s="143"/>
      <c r="AH494" s="143"/>
      <c r="AI494" s="143"/>
      <c r="AJ494" s="143"/>
      <c r="AK494" s="389"/>
      <c r="AL494" s="389"/>
      <c r="AM494" s="389"/>
    </row>
    <row r="495">
      <c r="A495" s="307"/>
      <c r="B495" s="308"/>
      <c r="C495" s="309"/>
      <c r="D495" s="389"/>
      <c r="E495" s="307"/>
      <c r="F495" s="308"/>
      <c r="G495" s="309"/>
      <c r="H495" s="389"/>
      <c r="I495" s="307"/>
      <c r="J495" s="308"/>
      <c r="K495" s="309"/>
      <c r="L495" s="389"/>
      <c r="M495" s="307"/>
      <c r="N495" s="308"/>
      <c r="O495" s="309"/>
      <c r="P495" s="389"/>
      <c r="Q495" s="192"/>
      <c r="R495" s="149"/>
      <c r="S495" s="392"/>
      <c r="T495" s="393"/>
      <c r="U495" s="192"/>
      <c r="V495" s="149"/>
      <c r="W495" s="392"/>
      <c r="X495" s="393"/>
      <c r="Y495" s="192"/>
      <c r="Z495" s="149"/>
      <c r="AA495" s="392"/>
      <c r="AB495" s="393"/>
      <c r="AC495" s="192"/>
      <c r="AD495" s="149"/>
      <c r="AE495" s="392"/>
      <c r="AF495" s="393"/>
      <c r="AG495" s="143"/>
      <c r="AH495" s="143"/>
      <c r="AI495" s="143"/>
      <c r="AJ495" s="143"/>
      <c r="AK495" s="389"/>
      <c r="AL495" s="389"/>
      <c r="AM495" s="389"/>
    </row>
    <row r="496">
      <c r="A496" s="307"/>
      <c r="B496" s="308"/>
      <c r="C496" s="309"/>
      <c r="D496" s="389"/>
      <c r="E496" s="307"/>
      <c r="F496" s="308"/>
      <c r="G496" s="309"/>
      <c r="H496" s="389"/>
      <c r="I496" s="307"/>
      <c r="J496" s="308"/>
      <c r="K496" s="309"/>
      <c r="L496" s="389"/>
      <c r="M496" s="307"/>
      <c r="N496" s="308"/>
      <c r="O496" s="309"/>
      <c r="P496" s="389"/>
      <c r="Q496" s="192"/>
      <c r="R496" s="149"/>
      <c r="S496" s="392"/>
      <c r="T496" s="393"/>
      <c r="U496" s="192"/>
      <c r="V496" s="149"/>
      <c r="W496" s="392"/>
      <c r="X496" s="393"/>
      <c r="Y496" s="192"/>
      <c r="Z496" s="149"/>
      <c r="AA496" s="392"/>
      <c r="AB496" s="393"/>
      <c r="AC496" s="192"/>
      <c r="AD496" s="149"/>
      <c r="AE496" s="392"/>
      <c r="AF496" s="393"/>
      <c r="AG496" s="143"/>
      <c r="AH496" s="143"/>
      <c r="AI496" s="143"/>
      <c r="AJ496" s="143"/>
      <c r="AK496" s="389"/>
      <c r="AL496" s="389"/>
      <c r="AM496" s="389"/>
    </row>
    <row r="497">
      <c r="A497" s="307"/>
      <c r="B497" s="308"/>
      <c r="C497" s="309"/>
      <c r="D497" s="389"/>
      <c r="E497" s="307"/>
      <c r="F497" s="308"/>
      <c r="G497" s="309"/>
      <c r="H497" s="389"/>
      <c r="I497" s="307"/>
      <c r="J497" s="308"/>
      <c r="K497" s="309"/>
      <c r="L497" s="389"/>
      <c r="M497" s="307"/>
      <c r="N497" s="308"/>
      <c r="O497" s="309"/>
      <c r="P497" s="389"/>
      <c r="Q497" s="192"/>
      <c r="R497" s="149"/>
      <c r="S497" s="392"/>
      <c r="T497" s="393"/>
      <c r="U497" s="192"/>
      <c r="V497" s="149"/>
      <c r="W497" s="392"/>
      <c r="X497" s="393"/>
      <c r="Y497" s="192"/>
      <c r="Z497" s="149"/>
      <c r="AA497" s="392"/>
      <c r="AB497" s="393"/>
      <c r="AC497" s="192"/>
      <c r="AD497" s="149"/>
      <c r="AE497" s="392"/>
      <c r="AF497" s="393"/>
      <c r="AG497" s="143"/>
      <c r="AH497" s="143"/>
      <c r="AI497" s="143"/>
      <c r="AJ497" s="143"/>
      <c r="AK497" s="389"/>
      <c r="AL497" s="389"/>
      <c r="AM497" s="389"/>
    </row>
    <row r="498">
      <c r="A498" s="307"/>
      <c r="B498" s="308"/>
      <c r="C498" s="309"/>
      <c r="D498" s="389"/>
      <c r="E498" s="307"/>
      <c r="F498" s="308"/>
      <c r="G498" s="309"/>
      <c r="H498" s="389"/>
      <c r="I498" s="307"/>
      <c r="J498" s="308"/>
      <c r="K498" s="309"/>
      <c r="L498" s="389"/>
      <c r="M498" s="307"/>
      <c r="N498" s="308"/>
      <c r="O498" s="309"/>
      <c r="P498" s="389"/>
      <c r="Q498" s="192"/>
      <c r="R498" s="149"/>
      <c r="S498" s="392"/>
      <c r="T498" s="393"/>
      <c r="U498" s="192"/>
      <c r="V498" s="149"/>
      <c r="W498" s="392"/>
      <c r="X498" s="393"/>
      <c r="Y498" s="192"/>
      <c r="Z498" s="149"/>
      <c r="AA498" s="392"/>
      <c r="AB498" s="393"/>
      <c r="AC498" s="192"/>
      <c r="AD498" s="149"/>
      <c r="AE498" s="392"/>
      <c r="AF498" s="393"/>
      <c r="AG498" s="143"/>
      <c r="AH498" s="143"/>
      <c r="AI498" s="143"/>
      <c r="AJ498" s="143"/>
      <c r="AK498" s="389"/>
      <c r="AL498" s="389"/>
      <c r="AM498" s="389"/>
    </row>
    <row r="499">
      <c r="A499" s="307"/>
      <c r="B499" s="308"/>
      <c r="C499" s="309"/>
      <c r="D499" s="389"/>
      <c r="E499" s="307"/>
      <c r="F499" s="308"/>
      <c r="G499" s="309"/>
      <c r="H499" s="389"/>
      <c r="I499" s="307"/>
      <c r="J499" s="308"/>
      <c r="K499" s="309"/>
      <c r="L499" s="389"/>
      <c r="M499" s="307"/>
      <c r="N499" s="308"/>
      <c r="O499" s="309"/>
      <c r="P499" s="389"/>
      <c r="Q499" s="192"/>
      <c r="R499" s="149"/>
      <c r="S499" s="392"/>
      <c r="T499" s="393"/>
      <c r="U499" s="192"/>
      <c r="V499" s="149"/>
      <c r="W499" s="392"/>
      <c r="X499" s="393"/>
      <c r="Y499" s="192"/>
      <c r="Z499" s="149"/>
      <c r="AA499" s="392"/>
      <c r="AB499" s="393"/>
      <c r="AC499" s="192"/>
      <c r="AD499" s="149"/>
      <c r="AE499" s="392"/>
      <c r="AF499" s="393"/>
      <c r="AG499" s="143"/>
      <c r="AH499" s="143"/>
      <c r="AI499" s="143"/>
      <c r="AJ499" s="143"/>
      <c r="AK499" s="389"/>
      <c r="AL499" s="389"/>
      <c r="AM499" s="389"/>
    </row>
    <row r="500">
      <c r="A500" s="307"/>
      <c r="B500" s="308"/>
      <c r="C500" s="309"/>
      <c r="D500" s="389"/>
      <c r="E500" s="307"/>
      <c r="F500" s="308"/>
      <c r="G500" s="309"/>
      <c r="H500" s="389"/>
      <c r="I500" s="307"/>
      <c r="J500" s="308"/>
      <c r="K500" s="309"/>
      <c r="L500" s="389"/>
      <c r="M500" s="307"/>
      <c r="N500" s="308"/>
      <c r="O500" s="309"/>
      <c r="P500" s="389"/>
      <c r="Q500" s="192"/>
      <c r="R500" s="149"/>
      <c r="S500" s="392"/>
      <c r="T500" s="393"/>
      <c r="U500" s="192"/>
      <c r="V500" s="149"/>
      <c r="W500" s="392"/>
      <c r="X500" s="393"/>
      <c r="Y500" s="192"/>
      <c r="Z500" s="149"/>
      <c r="AA500" s="392"/>
      <c r="AB500" s="393"/>
      <c r="AC500" s="192"/>
      <c r="AD500" s="149"/>
      <c r="AE500" s="392"/>
      <c r="AF500" s="393"/>
      <c r="AG500" s="143"/>
      <c r="AH500" s="143"/>
      <c r="AI500" s="143"/>
      <c r="AJ500" s="143"/>
      <c r="AK500" s="389"/>
      <c r="AL500" s="389"/>
      <c r="AM500" s="389"/>
    </row>
    <row r="501">
      <c r="A501" s="307"/>
      <c r="B501" s="308"/>
      <c r="C501" s="309"/>
      <c r="D501" s="389"/>
      <c r="E501" s="307"/>
      <c r="F501" s="308"/>
      <c r="G501" s="309"/>
      <c r="H501" s="389"/>
      <c r="I501" s="307"/>
      <c r="J501" s="308"/>
      <c r="K501" s="309"/>
      <c r="L501" s="389"/>
      <c r="M501" s="307"/>
      <c r="N501" s="308"/>
      <c r="O501" s="309"/>
      <c r="P501" s="389"/>
      <c r="Q501" s="192"/>
      <c r="R501" s="149"/>
      <c r="S501" s="392"/>
      <c r="T501" s="393"/>
      <c r="U501" s="192"/>
      <c r="V501" s="149"/>
      <c r="W501" s="392"/>
      <c r="X501" s="393"/>
      <c r="Y501" s="192"/>
      <c r="Z501" s="149"/>
      <c r="AA501" s="392"/>
      <c r="AB501" s="393"/>
      <c r="AC501" s="192"/>
      <c r="AD501" s="149"/>
      <c r="AE501" s="392"/>
      <c r="AF501" s="393"/>
      <c r="AG501" s="143"/>
      <c r="AH501" s="143"/>
      <c r="AI501" s="143"/>
      <c r="AJ501" s="143"/>
      <c r="AK501" s="389"/>
      <c r="AL501" s="389"/>
      <c r="AM501" s="389"/>
    </row>
    <row r="502">
      <c r="A502" s="307"/>
      <c r="B502" s="308"/>
      <c r="C502" s="309"/>
      <c r="D502" s="389"/>
      <c r="E502" s="307"/>
      <c r="F502" s="308"/>
      <c r="G502" s="309"/>
      <c r="H502" s="389"/>
      <c r="I502" s="307"/>
      <c r="J502" s="308"/>
      <c r="K502" s="309"/>
      <c r="L502" s="389"/>
      <c r="M502" s="307"/>
      <c r="N502" s="308"/>
      <c r="O502" s="309"/>
      <c r="P502" s="389"/>
      <c r="Q502" s="192"/>
      <c r="R502" s="149"/>
      <c r="S502" s="392"/>
      <c r="T502" s="393"/>
      <c r="U502" s="192"/>
      <c r="V502" s="149"/>
      <c r="W502" s="392"/>
      <c r="X502" s="393"/>
      <c r="Y502" s="192"/>
      <c r="Z502" s="149"/>
      <c r="AA502" s="392"/>
      <c r="AB502" s="393"/>
      <c r="AC502" s="192"/>
      <c r="AD502" s="149"/>
      <c r="AE502" s="392"/>
      <c r="AF502" s="393"/>
      <c r="AG502" s="143"/>
      <c r="AH502" s="143"/>
      <c r="AI502" s="143"/>
      <c r="AJ502" s="143"/>
      <c r="AK502" s="389"/>
      <c r="AL502" s="389"/>
      <c r="AM502" s="389"/>
    </row>
    <row r="503">
      <c r="A503" s="307"/>
      <c r="B503" s="308"/>
      <c r="C503" s="309"/>
      <c r="D503" s="389"/>
      <c r="E503" s="307"/>
      <c r="F503" s="308"/>
      <c r="G503" s="309"/>
      <c r="H503" s="389"/>
      <c r="I503" s="307"/>
      <c r="J503" s="308"/>
      <c r="K503" s="309"/>
      <c r="L503" s="389"/>
      <c r="M503" s="307"/>
      <c r="N503" s="308"/>
      <c r="O503" s="309"/>
      <c r="P503" s="389"/>
      <c r="Q503" s="192"/>
      <c r="R503" s="149"/>
      <c r="S503" s="392"/>
      <c r="T503" s="393"/>
      <c r="U503" s="192"/>
      <c r="V503" s="149"/>
      <c r="W503" s="392"/>
      <c r="X503" s="393"/>
      <c r="Y503" s="192"/>
      <c r="Z503" s="149"/>
      <c r="AA503" s="392"/>
      <c r="AB503" s="393"/>
      <c r="AC503" s="192"/>
      <c r="AD503" s="149"/>
      <c r="AE503" s="392"/>
      <c r="AF503" s="393"/>
      <c r="AG503" s="143"/>
      <c r="AH503" s="143"/>
      <c r="AI503" s="143"/>
      <c r="AJ503" s="143"/>
      <c r="AK503" s="389"/>
      <c r="AL503" s="389"/>
      <c r="AM503" s="389"/>
    </row>
    <row r="504">
      <c r="A504" s="307"/>
      <c r="B504" s="308"/>
      <c r="C504" s="309"/>
      <c r="D504" s="389"/>
      <c r="E504" s="307"/>
      <c r="F504" s="308"/>
      <c r="G504" s="309"/>
      <c r="H504" s="389"/>
      <c r="I504" s="307"/>
      <c r="J504" s="308"/>
      <c r="K504" s="309"/>
      <c r="L504" s="389"/>
      <c r="M504" s="307"/>
      <c r="N504" s="308"/>
      <c r="O504" s="309"/>
      <c r="P504" s="389"/>
      <c r="Q504" s="192"/>
      <c r="R504" s="149"/>
      <c r="S504" s="392"/>
      <c r="T504" s="393"/>
      <c r="U504" s="192"/>
      <c r="V504" s="149"/>
      <c r="W504" s="392"/>
      <c r="X504" s="393"/>
      <c r="Y504" s="192"/>
      <c r="Z504" s="149"/>
      <c r="AA504" s="392"/>
      <c r="AB504" s="393"/>
      <c r="AC504" s="192"/>
      <c r="AD504" s="149"/>
      <c r="AE504" s="392"/>
      <c r="AF504" s="393"/>
      <c r="AG504" s="143"/>
      <c r="AH504" s="143"/>
      <c r="AI504" s="143"/>
      <c r="AJ504" s="143"/>
      <c r="AK504" s="389"/>
      <c r="AL504" s="389"/>
      <c r="AM504" s="389"/>
    </row>
    <row r="505">
      <c r="A505" s="307"/>
      <c r="B505" s="308"/>
      <c r="C505" s="309"/>
      <c r="D505" s="389"/>
      <c r="E505" s="307"/>
      <c r="F505" s="308"/>
      <c r="G505" s="309"/>
      <c r="H505" s="389"/>
      <c r="I505" s="307"/>
      <c r="J505" s="308"/>
      <c r="K505" s="309"/>
      <c r="L505" s="389"/>
      <c r="M505" s="307"/>
      <c r="N505" s="308"/>
      <c r="O505" s="309"/>
      <c r="P505" s="389"/>
      <c r="Q505" s="192"/>
      <c r="R505" s="149"/>
      <c r="S505" s="392"/>
      <c r="T505" s="393"/>
      <c r="U505" s="192"/>
      <c r="V505" s="149"/>
      <c r="W505" s="392"/>
      <c r="X505" s="393"/>
      <c r="Y505" s="192"/>
      <c r="Z505" s="149"/>
      <c r="AA505" s="392"/>
      <c r="AB505" s="393"/>
      <c r="AC505" s="192"/>
      <c r="AD505" s="149"/>
      <c r="AE505" s="392"/>
      <c r="AF505" s="393"/>
      <c r="AG505" s="143"/>
      <c r="AH505" s="143"/>
      <c r="AI505" s="143"/>
      <c r="AJ505" s="143"/>
      <c r="AK505" s="389"/>
      <c r="AL505" s="389"/>
      <c r="AM505" s="389"/>
    </row>
    <row r="506">
      <c r="A506" s="307"/>
      <c r="B506" s="308"/>
      <c r="C506" s="309"/>
      <c r="D506" s="389"/>
      <c r="E506" s="307"/>
      <c r="F506" s="308"/>
      <c r="G506" s="309"/>
      <c r="H506" s="389"/>
      <c r="I506" s="307"/>
      <c r="J506" s="308"/>
      <c r="K506" s="309"/>
      <c r="L506" s="389"/>
      <c r="M506" s="307"/>
      <c r="N506" s="308"/>
      <c r="O506" s="309"/>
      <c r="P506" s="389"/>
      <c r="Q506" s="192"/>
      <c r="R506" s="149"/>
      <c r="S506" s="392"/>
      <c r="T506" s="393"/>
      <c r="U506" s="192"/>
      <c r="V506" s="149"/>
      <c r="W506" s="392"/>
      <c r="X506" s="393"/>
      <c r="Y506" s="192"/>
      <c r="Z506" s="149"/>
      <c r="AA506" s="392"/>
      <c r="AB506" s="393"/>
      <c r="AC506" s="192"/>
      <c r="AD506" s="149"/>
      <c r="AE506" s="392"/>
      <c r="AF506" s="393"/>
      <c r="AG506" s="143"/>
      <c r="AH506" s="143"/>
      <c r="AI506" s="143"/>
      <c r="AJ506" s="143"/>
      <c r="AK506" s="389"/>
      <c r="AL506" s="389"/>
      <c r="AM506" s="389"/>
    </row>
    <row r="507">
      <c r="A507" s="307"/>
      <c r="B507" s="308"/>
      <c r="C507" s="309"/>
      <c r="D507" s="389"/>
      <c r="E507" s="307"/>
      <c r="F507" s="308"/>
      <c r="G507" s="309"/>
      <c r="H507" s="389"/>
      <c r="I507" s="307"/>
      <c r="J507" s="308"/>
      <c r="K507" s="309"/>
      <c r="L507" s="389"/>
      <c r="M507" s="307"/>
      <c r="N507" s="308"/>
      <c r="O507" s="309"/>
      <c r="P507" s="389"/>
      <c r="Q507" s="192"/>
      <c r="R507" s="149"/>
      <c r="S507" s="392"/>
      <c r="T507" s="393"/>
      <c r="U507" s="192"/>
      <c r="V507" s="149"/>
      <c r="W507" s="392"/>
      <c r="X507" s="393"/>
      <c r="Y507" s="192"/>
      <c r="Z507" s="149"/>
      <c r="AA507" s="392"/>
      <c r="AB507" s="393"/>
      <c r="AC507" s="192"/>
      <c r="AD507" s="149"/>
      <c r="AE507" s="392"/>
      <c r="AF507" s="393"/>
      <c r="AG507" s="143"/>
      <c r="AH507" s="143"/>
      <c r="AI507" s="143"/>
      <c r="AJ507" s="143"/>
      <c r="AK507" s="389"/>
      <c r="AL507" s="389"/>
      <c r="AM507" s="389"/>
    </row>
    <row r="508">
      <c r="A508" s="307"/>
      <c r="B508" s="308"/>
      <c r="C508" s="309"/>
      <c r="D508" s="389"/>
      <c r="E508" s="307"/>
      <c r="F508" s="308"/>
      <c r="G508" s="309"/>
      <c r="H508" s="389"/>
      <c r="I508" s="307"/>
      <c r="J508" s="308"/>
      <c r="K508" s="309"/>
      <c r="L508" s="389"/>
      <c r="M508" s="307"/>
      <c r="N508" s="308"/>
      <c r="O508" s="309"/>
      <c r="P508" s="389"/>
      <c r="Q508" s="192"/>
      <c r="R508" s="149"/>
      <c r="S508" s="392"/>
      <c r="T508" s="393"/>
      <c r="U508" s="192"/>
      <c r="V508" s="149"/>
      <c r="W508" s="392"/>
      <c r="X508" s="393"/>
      <c r="Y508" s="192"/>
      <c r="Z508" s="149"/>
      <c r="AA508" s="392"/>
      <c r="AB508" s="393"/>
      <c r="AC508" s="192"/>
      <c r="AD508" s="149"/>
      <c r="AE508" s="392"/>
      <c r="AF508" s="393"/>
      <c r="AG508" s="143"/>
      <c r="AH508" s="143"/>
      <c r="AI508" s="143"/>
      <c r="AJ508" s="143"/>
      <c r="AK508" s="389"/>
      <c r="AL508" s="389"/>
      <c r="AM508" s="389"/>
    </row>
    <row r="509">
      <c r="A509" s="307"/>
      <c r="B509" s="308"/>
      <c r="C509" s="309"/>
      <c r="D509" s="389"/>
      <c r="E509" s="307"/>
      <c r="F509" s="308"/>
      <c r="G509" s="309"/>
      <c r="H509" s="389"/>
      <c r="I509" s="307"/>
      <c r="J509" s="308"/>
      <c r="K509" s="309"/>
      <c r="L509" s="389"/>
      <c r="M509" s="307"/>
      <c r="N509" s="308"/>
      <c r="O509" s="309"/>
      <c r="P509" s="389"/>
      <c r="Q509" s="192"/>
      <c r="R509" s="149"/>
      <c r="S509" s="392"/>
      <c r="T509" s="393"/>
      <c r="U509" s="192"/>
      <c r="V509" s="149"/>
      <c r="W509" s="392"/>
      <c r="X509" s="393"/>
      <c r="Y509" s="192"/>
      <c r="Z509" s="149"/>
      <c r="AA509" s="392"/>
      <c r="AB509" s="393"/>
      <c r="AC509" s="192"/>
      <c r="AD509" s="149"/>
      <c r="AE509" s="392"/>
      <c r="AF509" s="393"/>
      <c r="AG509" s="143"/>
      <c r="AH509" s="143"/>
      <c r="AI509" s="143"/>
      <c r="AJ509" s="143"/>
      <c r="AK509" s="389"/>
      <c r="AL509" s="389"/>
      <c r="AM509" s="389"/>
    </row>
    <row r="510">
      <c r="A510" s="307"/>
      <c r="B510" s="308"/>
      <c r="C510" s="309"/>
      <c r="D510" s="389"/>
      <c r="E510" s="307"/>
      <c r="F510" s="308"/>
      <c r="G510" s="309"/>
      <c r="H510" s="389"/>
      <c r="I510" s="307"/>
      <c r="J510" s="308"/>
      <c r="K510" s="309"/>
      <c r="L510" s="389"/>
      <c r="M510" s="307"/>
      <c r="N510" s="308"/>
      <c r="O510" s="309"/>
      <c r="P510" s="389"/>
      <c r="Q510" s="192"/>
      <c r="R510" s="149"/>
      <c r="S510" s="392"/>
      <c r="T510" s="393"/>
      <c r="U510" s="192"/>
      <c r="V510" s="149"/>
      <c r="W510" s="392"/>
      <c r="X510" s="393"/>
      <c r="Y510" s="192"/>
      <c r="Z510" s="149"/>
      <c r="AA510" s="392"/>
      <c r="AB510" s="393"/>
      <c r="AC510" s="192"/>
      <c r="AD510" s="149"/>
      <c r="AE510" s="392"/>
      <c r="AF510" s="393"/>
      <c r="AG510" s="143"/>
      <c r="AH510" s="143"/>
      <c r="AI510" s="143"/>
      <c r="AJ510" s="143"/>
      <c r="AK510" s="389"/>
      <c r="AL510" s="389"/>
      <c r="AM510" s="389"/>
    </row>
    <row r="511">
      <c r="A511" s="307"/>
      <c r="B511" s="308"/>
      <c r="C511" s="309"/>
      <c r="D511" s="389"/>
      <c r="E511" s="307"/>
      <c r="F511" s="308"/>
      <c r="G511" s="309"/>
      <c r="H511" s="389"/>
      <c r="I511" s="307"/>
      <c r="J511" s="308"/>
      <c r="K511" s="309"/>
      <c r="L511" s="389"/>
      <c r="M511" s="307"/>
      <c r="N511" s="308"/>
      <c r="O511" s="309"/>
      <c r="P511" s="389"/>
      <c r="Q511" s="192"/>
      <c r="R511" s="149"/>
      <c r="S511" s="392"/>
      <c r="T511" s="393"/>
      <c r="U511" s="192"/>
      <c r="V511" s="149"/>
      <c r="W511" s="392"/>
      <c r="X511" s="393"/>
      <c r="Y511" s="192"/>
      <c r="Z511" s="149"/>
      <c r="AA511" s="392"/>
      <c r="AB511" s="393"/>
      <c r="AC511" s="192"/>
      <c r="AD511" s="149"/>
      <c r="AE511" s="392"/>
      <c r="AF511" s="393"/>
      <c r="AG511" s="143"/>
      <c r="AH511" s="143"/>
      <c r="AI511" s="143"/>
      <c r="AJ511" s="143"/>
      <c r="AK511" s="389"/>
      <c r="AL511" s="389"/>
      <c r="AM511" s="389"/>
    </row>
    <row r="512">
      <c r="A512" s="307"/>
      <c r="B512" s="308"/>
      <c r="C512" s="309"/>
      <c r="D512" s="389"/>
      <c r="E512" s="307"/>
      <c r="F512" s="308"/>
      <c r="G512" s="309"/>
      <c r="H512" s="389"/>
      <c r="I512" s="307"/>
      <c r="J512" s="308"/>
      <c r="K512" s="309"/>
      <c r="L512" s="389"/>
      <c r="M512" s="307"/>
      <c r="N512" s="308"/>
      <c r="O512" s="309"/>
      <c r="P512" s="389"/>
      <c r="Q512" s="192"/>
      <c r="R512" s="149"/>
      <c r="S512" s="392"/>
      <c r="T512" s="393"/>
      <c r="U512" s="192"/>
      <c r="V512" s="149"/>
      <c r="W512" s="392"/>
      <c r="X512" s="393"/>
      <c r="Y512" s="192"/>
      <c r="Z512" s="149"/>
      <c r="AA512" s="392"/>
      <c r="AB512" s="393"/>
      <c r="AC512" s="192"/>
      <c r="AD512" s="149"/>
      <c r="AE512" s="392"/>
      <c r="AF512" s="393"/>
      <c r="AG512" s="143"/>
      <c r="AH512" s="143"/>
      <c r="AI512" s="143"/>
      <c r="AJ512" s="143"/>
      <c r="AK512" s="389"/>
      <c r="AL512" s="389"/>
      <c r="AM512" s="389"/>
    </row>
    <row r="513">
      <c r="A513" s="307"/>
      <c r="B513" s="308"/>
      <c r="C513" s="309"/>
      <c r="D513" s="389"/>
      <c r="E513" s="307"/>
      <c r="F513" s="308"/>
      <c r="G513" s="309"/>
      <c r="H513" s="389"/>
      <c r="I513" s="307"/>
      <c r="J513" s="308"/>
      <c r="K513" s="309"/>
      <c r="L513" s="389"/>
      <c r="M513" s="307"/>
      <c r="N513" s="308"/>
      <c r="O513" s="309"/>
      <c r="P513" s="389"/>
      <c r="Q513" s="192"/>
      <c r="R513" s="149"/>
      <c r="S513" s="392"/>
      <c r="T513" s="393"/>
      <c r="U513" s="192"/>
      <c r="V513" s="149"/>
      <c r="W513" s="392"/>
      <c r="X513" s="393"/>
      <c r="Y513" s="192"/>
      <c r="Z513" s="149"/>
      <c r="AA513" s="392"/>
      <c r="AB513" s="393"/>
      <c r="AC513" s="192"/>
      <c r="AD513" s="149"/>
      <c r="AE513" s="392"/>
      <c r="AF513" s="393"/>
      <c r="AG513" s="143"/>
      <c r="AH513" s="143"/>
      <c r="AI513" s="143"/>
      <c r="AJ513" s="143"/>
      <c r="AK513" s="389"/>
      <c r="AL513" s="389"/>
      <c r="AM513" s="389"/>
    </row>
    <row r="514">
      <c r="A514" s="307"/>
      <c r="B514" s="308"/>
      <c r="C514" s="309"/>
      <c r="D514" s="389"/>
      <c r="E514" s="307"/>
      <c r="F514" s="308"/>
      <c r="G514" s="309"/>
      <c r="H514" s="389"/>
      <c r="I514" s="307"/>
      <c r="J514" s="308"/>
      <c r="K514" s="309"/>
      <c r="L514" s="389"/>
      <c r="M514" s="307"/>
      <c r="N514" s="308"/>
      <c r="O514" s="309"/>
      <c r="P514" s="389"/>
      <c r="Q514" s="192"/>
      <c r="R514" s="149"/>
      <c r="S514" s="392"/>
      <c r="T514" s="393"/>
      <c r="U514" s="192"/>
      <c r="V514" s="149"/>
      <c r="W514" s="392"/>
      <c r="X514" s="393"/>
      <c r="Y514" s="192"/>
      <c r="Z514" s="149"/>
      <c r="AA514" s="392"/>
      <c r="AB514" s="393"/>
      <c r="AC514" s="192"/>
      <c r="AD514" s="149"/>
      <c r="AE514" s="392"/>
      <c r="AF514" s="393"/>
      <c r="AG514" s="143"/>
      <c r="AH514" s="143"/>
      <c r="AI514" s="143"/>
      <c r="AJ514" s="143"/>
      <c r="AK514" s="389"/>
      <c r="AL514" s="389"/>
      <c r="AM514" s="389"/>
    </row>
    <row r="515">
      <c r="A515" s="307"/>
      <c r="B515" s="308"/>
      <c r="C515" s="309"/>
      <c r="D515" s="389"/>
      <c r="E515" s="307"/>
      <c r="F515" s="308"/>
      <c r="G515" s="309"/>
      <c r="H515" s="389"/>
      <c r="I515" s="307"/>
      <c r="J515" s="308"/>
      <c r="K515" s="309"/>
      <c r="L515" s="389"/>
      <c r="M515" s="307"/>
      <c r="N515" s="308"/>
      <c r="O515" s="309"/>
      <c r="P515" s="389"/>
      <c r="Q515" s="192"/>
      <c r="R515" s="149"/>
      <c r="S515" s="392"/>
      <c r="T515" s="393"/>
      <c r="U515" s="192"/>
      <c r="V515" s="149"/>
      <c r="W515" s="392"/>
      <c r="X515" s="393"/>
      <c r="Y515" s="192"/>
      <c r="Z515" s="149"/>
      <c r="AA515" s="392"/>
      <c r="AB515" s="393"/>
      <c r="AC515" s="192"/>
      <c r="AD515" s="149"/>
      <c r="AE515" s="392"/>
      <c r="AF515" s="393"/>
      <c r="AG515" s="143"/>
      <c r="AH515" s="143"/>
      <c r="AI515" s="143"/>
      <c r="AJ515" s="143"/>
      <c r="AK515" s="389"/>
      <c r="AL515" s="389"/>
      <c r="AM515" s="389"/>
    </row>
    <row r="516">
      <c r="A516" s="307"/>
      <c r="B516" s="308"/>
      <c r="C516" s="309"/>
      <c r="D516" s="389"/>
      <c r="E516" s="307"/>
      <c r="F516" s="308"/>
      <c r="G516" s="309"/>
      <c r="H516" s="389"/>
      <c r="I516" s="307"/>
      <c r="J516" s="308"/>
      <c r="K516" s="309"/>
      <c r="L516" s="389"/>
      <c r="M516" s="307"/>
      <c r="N516" s="308"/>
      <c r="O516" s="309"/>
      <c r="P516" s="389"/>
      <c r="Q516" s="192"/>
      <c r="R516" s="149"/>
      <c r="S516" s="392"/>
      <c r="T516" s="393"/>
      <c r="U516" s="192"/>
      <c r="V516" s="149"/>
      <c r="W516" s="392"/>
      <c r="X516" s="393"/>
      <c r="Y516" s="192"/>
      <c r="Z516" s="149"/>
      <c r="AA516" s="392"/>
      <c r="AB516" s="393"/>
      <c r="AC516" s="192"/>
      <c r="AD516" s="149"/>
      <c r="AE516" s="392"/>
      <c r="AF516" s="393"/>
      <c r="AG516" s="143"/>
      <c r="AH516" s="143"/>
      <c r="AI516" s="143"/>
      <c r="AJ516" s="143"/>
      <c r="AK516" s="389"/>
      <c r="AL516" s="389"/>
      <c r="AM516" s="389"/>
    </row>
    <row r="517">
      <c r="A517" s="307"/>
      <c r="B517" s="308"/>
      <c r="C517" s="309"/>
      <c r="D517" s="389"/>
      <c r="E517" s="307"/>
      <c r="F517" s="308"/>
      <c r="G517" s="309"/>
      <c r="H517" s="389"/>
      <c r="I517" s="307"/>
      <c r="J517" s="308"/>
      <c r="K517" s="309"/>
      <c r="L517" s="389"/>
      <c r="M517" s="307"/>
      <c r="N517" s="308"/>
      <c r="O517" s="309"/>
      <c r="P517" s="389"/>
      <c r="Q517" s="192"/>
      <c r="R517" s="149"/>
      <c r="S517" s="392"/>
      <c r="T517" s="393"/>
      <c r="U517" s="192"/>
      <c r="V517" s="149"/>
      <c r="W517" s="392"/>
      <c r="X517" s="393"/>
      <c r="Y517" s="192"/>
      <c r="Z517" s="149"/>
      <c r="AA517" s="392"/>
      <c r="AB517" s="393"/>
      <c r="AC517" s="192"/>
      <c r="AD517" s="149"/>
      <c r="AE517" s="392"/>
      <c r="AF517" s="393"/>
      <c r="AG517" s="143"/>
      <c r="AH517" s="143"/>
      <c r="AI517" s="143"/>
      <c r="AJ517" s="143"/>
      <c r="AK517" s="389"/>
      <c r="AL517" s="389"/>
      <c r="AM517" s="389"/>
    </row>
    <row r="518">
      <c r="A518" s="307"/>
      <c r="B518" s="308"/>
      <c r="C518" s="309"/>
      <c r="D518" s="389"/>
      <c r="E518" s="307"/>
      <c r="F518" s="308"/>
      <c r="G518" s="309"/>
      <c r="H518" s="389"/>
      <c r="I518" s="307"/>
      <c r="J518" s="308"/>
      <c r="K518" s="309"/>
      <c r="L518" s="389"/>
      <c r="M518" s="307"/>
      <c r="N518" s="308"/>
      <c r="O518" s="309"/>
      <c r="P518" s="389"/>
      <c r="Q518" s="192"/>
      <c r="R518" s="149"/>
      <c r="S518" s="392"/>
      <c r="T518" s="393"/>
      <c r="U518" s="192"/>
      <c r="V518" s="149"/>
      <c r="W518" s="392"/>
      <c r="X518" s="393"/>
      <c r="Y518" s="192"/>
      <c r="Z518" s="149"/>
      <c r="AA518" s="392"/>
      <c r="AB518" s="393"/>
      <c r="AC518" s="192"/>
      <c r="AD518" s="149"/>
      <c r="AE518" s="392"/>
      <c r="AF518" s="393"/>
      <c r="AG518" s="143"/>
      <c r="AH518" s="143"/>
      <c r="AI518" s="143"/>
      <c r="AJ518" s="143"/>
      <c r="AK518" s="389"/>
      <c r="AL518" s="389"/>
      <c r="AM518" s="389"/>
    </row>
    <row r="519">
      <c r="A519" s="307"/>
      <c r="B519" s="308"/>
      <c r="C519" s="309"/>
      <c r="D519" s="389"/>
      <c r="E519" s="307"/>
      <c r="F519" s="308"/>
      <c r="G519" s="309"/>
      <c r="H519" s="389"/>
      <c r="I519" s="307"/>
      <c r="J519" s="308"/>
      <c r="K519" s="309"/>
      <c r="L519" s="389"/>
      <c r="M519" s="307"/>
      <c r="N519" s="308"/>
      <c r="O519" s="309"/>
      <c r="P519" s="389"/>
      <c r="Q519" s="192"/>
      <c r="R519" s="149"/>
      <c r="S519" s="392"/>
      <c r="T519" s="393"/>
      <c r="U519" s="192"/>
      <c r="V519" s="149"/>
      <c r="W519" s="392"/>
      <c r="X519" s="393"/>
      <c r="Y519" s="192"/>
      <c r="Z519" s="149"/>
      <c r="AA519" s="392"/>
      <c r="AB519" s="393"/>
      <c r="AC519" s="192"/>
      <c r="AD519" s="149"/>
      <c r="AE519" s="392"/>
      <c r="AF519" s="393"/>
      <c r="AG519" s="143"/>
      <c r="AH519" s="143"/>
      <c r="AI519" s="143"/>
      <c r="AJ519" s="143"/>
      <c r="AK519" s="389"/>
      <c r="AL519" s="389"/>
      <c r="AM519" s="389"/>
    </row>
    <row r="520">
      <c r="A520" s="307"/>
      <c r="B520" s="308"/>
      <c r="C520" s="309"/>
      <c r="D520" s="389"/>
      <c r="E520" s="307"/>
      <c r="F520" s="308"/>
      <c r="G520" s="309"/>
      <c r="H520" s="389"/>
      <c r="I520" s="307"/>
      <c r="J520" s="308"/>
      <c r="K520" s="309"/>
      <c r="L520" s="389"/>
      <c r="M520" s="307"/>
      <c r="N520" s="308"/>
      <c r="O520" s="309"/>
      <c r="P520" s="389"/>
      <c r="Q520" s="192"/>
      <c r="R520" s="149"/>
      <c r="S520" s="392"/>
      <c r="T520" s="393"/>
      <c r="U520" s="192"/>
      <c r="V520" s="149"/>
      <c r="W520" s="392"/>
      <c r="X520" s="393"/>
      <c r="Y520" s="192"/>
      <c r="Z520" s="149"/>
      <c r="AA520" s="392"/>
      <c r="AB520" s="393"/>
      <c r="AC520" s="192"/>
      <c r="AD520" s="149"/>
      <c r="AE520" s="392"/>
      <c r="AF520" s="393"/>
      <c r="AG520" s="143"/>
      <c r="AH520" s="143"/>
      <c r="AI520" s="143"/>
      <c r="AJ520" s="143"/>
      <c r="AK520" s="389"/>
      <c r="AL520" s="389"/>
      <c r="AM520" s="389"/>
    </row>
    <row r="521">
      <c r="A521" s="307"/>
      <c r="B521" s="308"/>
      <c r="C521" s="309"/>
      <c r="D521" s="389"/>
      <c r="E521" s="307"/>
      <c r="F521" s="308"/>
      <c r="G521" s="309"/>
      <c r="H521" s="389"/>
      <c r="I521" s="307"/>
      <c r="J521" s="308"/>
      <c r="K521" s="309"/>
      <c r="L521" s="389"/>
      <c r="M521" s="307"/>
      <c r="N521" s="308"/>
      <c r="O521" s="309"/>
      <c r="P521" s="389"/>
      <c r="Q521" s="192"/>
      <c r="R521" s="149"/>
      <c r="S521" s="392"/>
      <c r="T521" s="393"/>
      <c r="U521" s="192"/>
      <c r="V521" s="149"/>
      <c r="W521" s="392"/>
      <c r="X521" s="393"/>
      <c r="Y521" s="192"/>
      <c r="Z521" s="149"/>
      <c r="AA521" s="392"/>
      <c r="AB521" s="393"/>
      <c r="AC521" s="192"/>
      <c r="AD521" s="149"/>
      <c r="AE521" s="392"/>
      <c r="AF521" s="393"/>
      <c r="AG521" s="143"/>
      <c r="AH521" s="143"/>
      <c r="AI521" s="143"/>
      <c r="AJ521" s="143"/>
      <c r="AK521" s="389"/>
      <c r="AL521" s="389"/>
      <c r="AM521" s="389"/>
    </row>
    <row r="522">
      <c r="A522" s="307"/>
      <c r="B522" s="308"/>
      <c r="C522" s="309"/>
      <c r="D522" s="389"/>
      <c r="E522" s="307"/>
      <c r="F522" s="308"/>
      <c r="G522" s="309"/>
      <c r="H522" s="389"/>
      <c r="I522" s="307"/>
      <c r="J522" s="308"/>
      <c r="K522" s="309"/>
      <c r="L522" s="389"/>
      <c r="M522" s="307"/>
      <c r="N522" s="308"/>
      <c r="O522" s="309"/>
      <c r="P522" s="389"/>
      <c r="Q522" s="192"/>
      <c r="R522" s="149"/>
      <c r="S522" s="392"/>
      <c r="T522" s="393"/>
      <c r="U522" s="192"/>
      <c r="V522" s="149"/>
      <c r="W522" s="392"/>
      <c r="X522" s="393"/>
      <c r="Y522" s="192"/>
      <c r="Z522" s="149"/>
      <c r="AA522" s="392"/>
      <c r="AB522" s="393"/>
      <c r="AC522" s="192"/>
      <c r="AD522" s="149"/>
      <c r="AE522" s="392"/>
      <c r="AF522" s="393"/>
      <c r="AG522" s="143"/>
      <c r="AH522" s="143"/>
      <c r="AI522" s="143"/>
      <c r="AJ522" s="143"/>
      <c r="AK522" s="389"/>
      <c r="AL522" s="389"/>
      <c r="AM522" s="389"/>
    </row>
    <row r="523">
      <c r="A523" s="307"/>
      <c r="B523" s="308"/>
      <c r="C523" s="309"/>
      <c r="D523" s="389"/>
      <c r="E523" s="307"/>
      <c r="F523" s="308"/>
      <c r="G523" s="309"/>
      <c r="H523" s="389"/>
      <c r="I523" s="307"/>
      <c r="J523" s="308"/>
      <c r="K523" s="309"/>
      <c r="L523" s="389"/>
      <c r="M523" s="307"/>
      <c r="N523" s="308"/>
      <c r="O523" s="309"/>
      <c r="P523" s="389"/>
      <c r="Q523" s="192"/>
      <c r="R523" s="149"/>
      <c r="S523" s="392"/>
      <c r="T523" s="393"/>
      <c r="U523" s="192"/>
      <c r="V523" s="149"/>
      <c r="W523" s="392"/>
      <c r="X523" s="393"/>
      <c r="Y523" s="192"/>
      <c r="Z523" s="149"/>
      <c r="AA523" s="392"/>
      <c r="AB523" s="393"/>
      <c r="AC523" s="192"/>
      <c r="AD523" s="149"/>
      <c r="AE523" s="392"/>
      <c r="AF523" s="393"/>
      <c r="AG523" s="143"/>
      <c r="AH523" s="143"/>
      <c r="AI523" s="143"/>
      <c r="AJ523" s="143"/>
      <c r="AK523" s="389"/>
      <c r="AL523" s="389"/>
      <c r="AM523" s="389"/>
    </row>
    <row r="524">
      <c r="A524" s="307"/>
      <c r="B524" s="308"/>
      <c r="C524" s="309"/>
      <c r="D524" s="389"/>
      <c r="E524" s="307"/>
      <c r="F524" s="308"/>
      <c r="G524" s="309"/>
      <c r="H524" s="389"/>
      <c r="I524" s="307"/>
      <c r="J524" s="308"/>
      <c r="K524" s="309"/>
      <c r="L524" s="389"/>
      <c r="M524" s="307"/>
      <c r="N524" s="308"/>
      <c r="O524" s="309"/>
      <c r="P524" s="389"/>
      <c r="Q524" s="192"/>
      <c r="R524" s="149"/>
      <c r="S524" s="392"/>
      <c r="T524" s="393"/>
      <c r="U524" s="192"/>
      <c r="V524" s="149"/>
      <c r="W524" s="392"/>
      <c r="X524" s="393"/>
      <c r="Y524" s="192"/>
      <c r="Z524" s="149"/>
      <c r="AA524" s="392"/>
      <c r="AB524" s="393"/>
      <c r="AC524" s="192"/>
      <c r="AD524" s="149"/>
      <c r="AE524" s="392"/>
      <c r="AF524" s="393"/>
      <c r="AG524" s="143"/>
      <c r="AH524" s="143"/>
      <c r="AI524" s="143"/>
      <c r="AJ524" s="143"/>
      <c r="AK524" s="389"/>
      <c r="AL524" s="389"/>
      <c r="AM524" s="389"/>
    </row>
    <row r="525">
      <c r="A525" s="307"/>
      <c r="B525" s="308"/>
      <c r="C525" s="309"/>
      <c r="D525" s="389"/>
      <c r="E525" s="307"/>
      <c r="F525" s="308"/>
      <c r="G525" s="309"/>
      <c r="H525" s="389"/>
      <c r="I525" s="307"/>
      <c r="J525" s="308"/>
      <c r="K525" s="309"/>
      <c r="L525" s="389"/>
      <c r="M525" s="307"/>
      <c r="N525" s="308"/>
      <c r="O525" s="309"/>
      <c r="P525" s="389"/>
      <c r="Q525" s="192"/>
      <c r="R525" s="149"/>
      <c r="S525" s="392"/>
      <c r="T525" s="393"/>
      <c r="U525" s="192"/>
      <c r="V525" s="149"/>
      <c r="W525" s="392"/>
      <c r="X525" s="393"/>
      <c r="Y525" s="192"/>
      <c r="Z525" s="149"/>
      <c r="AA525" s="392"/>
      <c r="AB525" s="393"/>
      <c r="AC525" s="192"/>
      <c r="AD525" s="149"/>
      <c r="AE525" s="392"/>
      <c r="AF525" s="393"/>
      <c r="AG525" s="143"/>
      <c r="AH525" s="143"/>
      <c r="AI525" s="143"/>
      <c r="AJ525" s="143"/>
      <c r="AK525" s="389"/>
      <c r="AL525" s="389"/>
      <c r="AM525" s="389"/>
    </row>
    <row r="526">
      <c r="A526" s="307"/>
      <c r="B526" s="308"/>
      <c r="C526" s="309"/>
      <c r="D526" s="389"/>
      <c r="E526" s="307"/>
      <c r="F526" s="308"/>
      <c r="G526" s="309"/>
      <c r="H526" s="389"/>
      <c r="I526" s="307"/>
      <c r="J526" s="308"/>
      <c r="K526" s="309"/>
      <c r="L526" s="389"/>
      <c r="M526" s="307"/>
      <c r="N526" s="308"/>
      <c r="O526" s="309"/>
      <c r="P526" s="389"/>
      <c r="Q526" s="192"/>
      <c r="R526" s="149"/>
      <c r="S526" s="392"/>
      <c r="T526" s="393"/>
      <c r="U526" s="192"/>
      <c r="V526" s="149"/>
      <c r="W526" s="392"/>
      <c r="X526" s="393"/>
      <c r="Y526" s="192"/>
      <c r="Z526" s="149"/>
      <c r="AA526" s="392"/>
      <c r="AB526" s="393"/>
      <c r="AC526" s="192"/>
      <c r="AD526" s="149"/>
      <c r="AE526" s="392"/>
      <c r="AF526" s="393"/>
      <c r="AG526" s="143"/>
      <c r="AH526" s="143"/>
      <c r="AI526" s="143"/>
      <c r="AJ526" s="143"/>
      <c r="AK526" s="389"/>
      <c r="AL526" s="389"/>
      <c r="AM526" s="389"/>
    </row>
    <row r="527">
      <c r="A527" s="307"/>
      <c r="B527" s="308"/>
      <c r="C527" s="309"/>
      <c r="D527" s="389"/>
      <c r="E527" s="307"/>
      <c r="F527" s="308"/>
      <c r="G527" s="309"/>
      <c r="H527" s="389"/>
      <c r="I527" s="307"/>
      <c r="J527" s="308"/>
      <c r="K527" s="309"/>
      <c r="L527" s="389"/>
      <c r="M527" s="307"/>
      <c r="N527" s="308"/>
      <c r="O527" s="309"/>
      <c r="P527" s="389"/>
      <c r="Q527" s="192"/>
      <c r="R527" s="149"/>
      <c r="S527" s="392"/>
      <c r="T527" s="393"/>
      <c r="U527" s="192"/>
      <c r="V527" s="149"/>
      <c r="W527" s="392"/>
      <c r="X527" s="393"/>
      <c r="Y527" s="192"/>
      <c r="Z527" s="149"/>
      <c r="AA527" s="392"/>
      <c r="AB527" s="393"/>
      <c r="AC527" s="192"/>
      <c r="AD527" s="149"/>
      <c r="AE527" s="392"/>
      <c r="AF527" s="393"/>
      <c r="AG527" s="143"/>
      <c r="AH527" s="143"/>
      <c r="AI527" s="143"/>
      <c r="AJ527" s="143"/>
      <c r="AK527" s="389"/>
      <c r="AL527" s="389"/>
      <c r="AM527" s="389"/>
    </row>
    <row r="528">
      <c r="A528" s="307"/>
      <c r="B528" s="308"/>
      <c r="C528" s="309"/>
      <c r="D528" s="389"/>
      <c r="E528" s="307"/>
      <c r="F528" s="308"/>
      <c r="G528" s="309"/>
      <c r="H528" s="389"/>
      <c r="I528" s="307"/>
      <c r="J528" s="308"/>
      <c r="K528" s="309"/>
      <c r="L528" s="389"/>
      <c r="M528" s="307"/>
      <c r="N528" s="308"/>
      <c r="O528" s="309"/>
      <c r="P528" s="389"/>
      <c r="Q528" s="192"/>
      <c r="R528" s="149"/>
      <c r="S528" s="392"/>
      <c r="T528" s="393"/>
      <c r="U528" s="192"/>
      <c r="V528" s="149"/>
      <c r="W528" s="392"/>
      <c r="X528" s="393"/>
      <c r="Y528" s="192"/>
      <c r="Z528" s="149"/>
      <c r="AA528" s="392"/>
      <c r="AB528" s="393"/>
      <c r="AC528" s="192"/>
      <c r="AD528" s="149"/>
      <c r="AE528" s="392"/>
      <c r="AF528" s="393"/>
      <c r="AG528" s="143"/>
      <c r="AH528" s="143"/>
      <c r="AI528" s="143"/>
      <c r="AJ528" s="143"/>
      <c r="AK528" s="389"/>
      <c r="AL528" s="389"/>
      <c r="AM528" s="389"/>
    </row>
    <row r="529">
      <c r="A529" s="307"/>
      <c r="B529" s="308"/>
      <c r="C529" s="309"/>
      <c r="D529" s="389"/>
      <c r="E529" s="307"/>
      <c r="F529" s="308"/>
      <c r="G529" s="309"/>
      <c r="H529" s="389"/>
      <c r="I529" s="307"/>
      <c r="J529" s="308"/>
      <c r="K529" s="309"/>
      <c r="L529" s="389"/>
      <c r="M529" s="307"/>
      <c r="N529" s="308"/>
      <c r="O529" s="309"/>
      <c r="P529" s="389"/>
      <c r="Q529" s="192"/>
      <c r="R529" s="149"/>
      <c r="S529" s="392"/>
      <c r="T529" s="393"/>
      <c r="U529" s="192"/>
      <c r="V529" s="149"/>
      <c r="W529" s="392"/>
      <c r="X529" s="393"/>
      <c r="Y529" s="192"/>
      <c r="Z529" s="149"/>
      <c r="AA529" s="392"/>
      <c r="AB529" s="393"/>
      <c r="AC529" s="192"/>
      <c r="AD529" s="149"/>
      <c r="AE529" s="392"/>
      <c r="AF529" s="393"/>
      <c r="AG529" s="143"/>
      <c r="AH529" s="143"/>
      <c r="AI529" s="143"/>
      <c r="AJ529" s="143"/>
      <c r="AK529" s="389"/>
      <c r="AL529" s="389"/>
      <c r="AM529" s="389"/>
    </row>
    <row r="530">
      <c r="A530" s="307"/>
      <c r="B530" s="308"/>
      <c r="C530" s="309"/>
      <c r="D530" s="389"/>
      <c r="E530" s="307"/>
      <c r="F530" s="308"/>
      <c r="G530" s="309"/>
      <c r="H530" s="389"/>
      <c r="I530" s="307"/>
      <c r="J530" s="308"/>
      <c r="K530" s="309"/>
      <c r="L530" s="389"/>
      <c r="M530" s="307"/>
      <c r="N530" s="308"/>
      <c r="O530" s="309"/>
      <c r="P530" s="389"/>
      <c r="Q530" s="192"/>
      <c r="R530" s="149"/>
      <c r="S530" s="392"/>
      <c r="T530" s="393"/>
      <c r="U530" s="192"/>
      <c r="V530" s="149"/>
      <c r="W530" s="392"/>
      <c r="X530" s="393"/>
      <c r="Y530" s="192"/>
      <c r="Z530" s="149"/>
      <c r="AA530" s="392"/>
      <c r="AB530" s="393"/>
      <c r="AC530" s="192"/>
      <c r="AD530" s="149"/>
      <c r="AE530" s="392"/>
      <c r="AF530" s="393"/>
      <c r="AG530" s="143"/>
      <c r="AH530" s="143"/>
      <c r="AI530" s="143"/>
      <c r="AJ530" s="143"/>
      <c r="AK530" s="389"/>
      <c r="AL530" s="389"/>
      <c r="AM530" s="389"/>
    </row>
    <row r="531">
      <c r="A531" s="307"/>
      <c r="B531" s="308"/>
      <c r="C531" s="309"/>
      <c r="D531" s="389"/>
      <c r="E531" s="307"/>
      <c r="F531" s="308"/>
      <c r="G531" s="309"/>
      <c r="H531" s="389"/>
      <c r="I531" s="307"/>
      <c r="J531" s="308"/>
      <c r="K531" s="309"/>
      <c r="L531" s="389"/>
      <c r="M531" s="307"/>
      <c r="N531" s="308"/>
      <c r="O531" s="309"/>
      <c r="P531" s="389"/>
      <c r="Q531" s="192"/>
      <c r="R531" s="149"/>
      <c r="S531" s="392"/>
      <c r="T531" s="393"/>
      <c r="U531" s="192"/>
      <c r="V531" s="149"/>
      <c r="W531" s="392"/>
      <c r="X531" s="393"/>
      <c r="Y531" s="192"/>
      <c r="Z531" s="149"/>
      <c r="AA531" s="392"/>
      <c r="AB531" s="393"/>
      <c r="AC531" s="192"/>
      <c r="AD531" s="149"/>
      <c r="AE531" s="392"/>
      <c r="AF531" s="393"/>
      <c r="AG531" s="143"/>
      <c r="AH531" s="143"/>
      <c r="AI531" s="143"/>
      <c r="AJ531" s="143"/>
      <c r="AK531" s="389"/>
      <c r="AL531" s="389"/>
      <c r="AM531" s="389"/>
    </row>
    <row r="532">
      <c r="A532" s="307"/>
      <c r="B532" s="308"/>
      <c r="C532" s="309"/>
      <c r="D532" s="389"/>
      <c r="E532" s="307"/>
      <c r="F532" s="308"/>
      <c r="G532" s="309"/>
      <c r="H532" s="389"/>
      <c r="I532" s="307"/>
      <c r="J532" s="308"/>
      <c r="K532" s="309"/>
      <c r="L532" s="389"/>
      <c r="M532" s="307"/>
      <c r="N532" s="308"/>
      <c r="O532" s="309"/>
      <c r="P532" s="389"/>
      <c r="Q532" s="192"/>
      <c r="R532" s="149"/>
      <c r="S532" s="392"/>
      <c r="T532" s="393"/>
      <c r="U532" s="192"/>
      <c r="V532" s="149"/>
      <c r="W532" s="392"/>
      <c r="X532" s="393"/>
      <c r="Y532" s="192"/>
      <c r="Z532" s="149"/>
      <c r="AA532" s="392"/>
      <c r="AB532" s="393"/>
      <c r="AC532" s="192"/>
      <c r="AD532" s="149"/>
      <c r="AE532" s="392"/>
      <c r="AF532" s="393"/>
      <c r="AG532" s="143"/>
      <c r="AH532" s="143"/>
      <c r="AI532" s="143"/>
      <c r="AJ532" s="143"/>
      <c r="AK532" s="389"/>
      <c r="AL532" s="389"/>
      <c r="AM532" s="389"/>
    </row>
    <row r="533">
      <c r="A533" s="307"/>
      <c r="B533" s="308"/>
      <c r="C533" s="309"/>
      <c r="D533" s="389"/>
      <c r="E533" s="307"/>
      <c r="F533" s="308"/>
      <c r="G533" s="309"/>
      <c r="H533" s="389"/>
      <c r="I533" s="307"/>
      <c r="J533" s="308"/>
      <c r="K533" s="309"/>
      <c r="L533" s="389"/>
      <c r="M533" s="307"/>
      <c r="N533" s="308"/>
      <c r="O533" s="309"/>
      <c r="P533" s="389"/>
      <c r="Q533" s="192"/>
      <c r="R533" s="149"/>
      <c r="S533" s="392"/>
      <c r="T533" s="393"/>
      <c r="U533" s="192"/>
      <c r="V533" s="149"/>
      <c r="W533" s="392"/>
      <c r="X533" s="393"/>
      <c r="Y533" s="192"/>
      <c r="Z533" s="149"/>
      <c r="AA533" s="392"/>
      <c r="AB533" s="393"/>
      <c r="AC533" s="192"/>
      <c r="AD533" s="149"/>
      <c r="AE533" s="392"/>
      <c r="AF533" s="393"/>
      <c r="AG533" s="143"/>
      <c r="AH533" s="143"/>
      <c r="AI533" s="143"/>
      <c r="AJ533" s="143"/>
      <c r="AK533" s="389"/>
      <c r="AL533" s="389"/>
      <c r="AM533" s="389"/>
    </row>
    <row r="534">
      <c r="A534" s="307"/>
      <c r="B534" s="308"/>
      <c r="C534" s="309"/>
      <c r="D534" s="389"/>
      <c r="E534" s="307"/>
      <c r="F534" s="308"/>
      <c r="G534" s="309"/>
      <c r="H534" s="389"/>
      <c r="I534" s="307"/>
      <c r="J534" s="308"/>
      <c r="K534" s="309"/>
      <c r="L534" s="389"/>
      <c r="M534" s="307"/>
      <c r="N534" s="308"/>
      <c r="O534" s="309"/>
      <c r="P534" s="389"/>
      <c r="Q534" s="192"/>
      <c r="R534" s="149"/>
      <c r="S534" s="392"/>
      <c r="T534" s="393"/>
      <c r="U534" s="192"/>
      <c r="V534" s="149"/>
      <c r="W534" s="392"/>
      <c r="X534" s="393"/>
      <c r="Y534" s="192"/>
      <c r="Z534" s="149"/>
      <c r="AA534" s="392"/>
      <c r="AB534" s="393"/>
      <c r="AC534" s="192"/>
      <c r="AD534" s="149"/>
      <c r="AE534" s="392"/>
      <c r="AF534" s="393"/>
      <c r="AG534" s="143"/>
      <c r="AH534" s="143"/>
      <c r="AI534" s="143"/>
      <c r="AJ534" s="143"/>
      <c r="AK534" s="389"/>
      <c r="AL534" s="389"/>
      <c r="AM534" s="389"/>
    </row>
    <row r="535">
      <c r="A535" s="307"/>
      <c r="B535" s="308"/>
      <c r="C535" s="309"/>
      <c r="D535" s="389"/>
      <c r="E535" s="307"/>
      <c r="F535" s="308"/>
      <c r="G535" s="309"/>
      <c r="H535" s="389"/>
      <c r="I535" s="307"/>
      <c r="J535" s="308"/>
      <c r="K535" s="309"/>
      <c r="L535" s="389"/>
      <c r="M535" s="307"/>
      <c r="N535" s="308"/>
      <c r="O535" s="309"/>
      <c r="P535" s="389"/>
      <c r="Q535" s="192"/>
      <c r="R535" s="149"/>
      <c r="S535" s="392"/>
      <c r="T535" s="393"/>
      <c r="U535" s="192"/>
      <c r="V535" s="149"/>
      <c r="W535" s="392"/>
      <c r="X535" s="393"/>
      <c r="Y535" s="192"/>
      <c r="Z535" s="149"/>
      <c r="AA535" s="392"/>
      <c r="AB535" s="393"/>
      <c r="AC535" s="192"/>
      <c r="AD535" s="149"/>
      <c r="AE535" s="392"/>
      <c r="AF535" s="393"/>
      <c r="AG535" s="143"/>
      <c r="AH535" s="143"/>
      <c r="AI535" s="143"/>
      <c r="AJ535" s="143"/>
      <c r="AK535" s="389"/>
      <c r="AL535" s="389"/>
      <c r="AM535" s="389"/>
    </row>
    <row r="536">
      <c r="A536" s="307"/>
      <c r="B536" s="308"/>
      <c r="C536" s="309"/>
      <c r="D536" s="389"/>
      <c r="E536" s="307"/>
      <c r="F536" s="308"/>
      <c r="G536" s="309"/>
      <c r="H536" s="389"/>
      <c r="I536" s="307"/>
      <c r="J536" s="308"/>
      <c r="K536" s="309"/>
      <c r="L536" s="389"/>
      <c r="M536" s="307"/>
      <c r="N536" s="308"/>
      <c r="O536" s="309"/>
      <c r="P536" s="389"/>
      <c r="Q536" s="192"/>
      <c r="R536" s="149"/>
      <c r="S536" s="392"/>
      <c r="T536" s="393"/>
      <c r="U536" s="192"/>
      <c r="V536" s="149"/>
      <c r="W536" s="392"/>
      <c r="X536" s="393"/>
      <c r="Y536" s="192"/>
      <c r="Z536" s="149"/>
      <c r="AA536" s="392"/>
      <c r="AB536" s="393"/>
      <c r="AC536" s="192"/>
      <c r="AD536" s="149"/>
      <c r="AE536" s="392"/>
      <c r="AF536" s="393"/>
      <c r="AG536" s="143"/>
      <c r="AH536" s="143"/>
      <c r="AI536" s="143"/>
      <c r="AJ536" s="143"/>
      <c r="AK536" s="389"/>
      <c r="AL536" s="389"/>
      <c r="AM536" s="389"/>
    </row>
    <row r="537">
      <c r="A537" s="307"/>
      <c r="B537" s="308"/>
      <c r="C537" s="309"/>
      <c r="D537" s="389"/>
      <c r="E537" s="307"/>
      <c r="F537" s="308"/>
      <c r="G537" s="309"/>
      <c r="H537" s="389"/>
      <c r="I537" s="307"/>
      <c r="J537" s="308"/>
      <c r="K537" s="309"/>
      <c r="L537" s="389"/>
      <c r="M537" s="307"/>
      <c r="N537" s="308"/>
      <c r="O537" s="309"/>
      <c r="P537" s="389"/>
      <c r="Q537" s="192"/>
      <c r="R537" s="149"/>
      <c r="S537" s="392"/>
      <c r="T537" s="393"/>
      <c r="U537" s="192"/>
      <c r="V537" s="149"/>
      <c r="W537" s="392"/>
      <c r="X537" s="393"/>
      <c r="Y537" s="192"/>
      <c r="Z537" s="149"/>
      <c r="AA537" s="392"/>
      <c r="AB537" s="393"/>
      <c r="AC537" s="192"/>
      <c r="AD537" s="149"/>
      <c r="AE537" s="392"/>
      <c r="AF537" s="393"/>
      <c r="AG537" s="143"/>
      <c r="AH537" s="143"/>
      <c r="AI537" s="143"/>
      <c r="AJ537" s="143"/>
      <c r="AK537" s="389"/>
      <c r="AL537" s="389"/>
      <c r="AM537" s="389"/>
    </row>
    <row r="538">
      <c r="A538" s="307"/>
      <c r="B538" s="308"/>
      <c r="C538" s="309"/>
      <c r="D538" s="389"/>
      <c r="E538" s="307"/>
      <c r="F538" s="308"/>
      <c r="G538" s="309"/>
      <c r="H538" s="389"/>
      <c r="I538" s="307"/>
      <c r="J538" s="308"/>
      <c r="K538" s="309"/>
      <c r="L538" s="389"/>
      <c r="M538" s="307"/>
      <c r="N538" s="308"/>
      <c r="O538" s="309"/>
      <c r="P538" s="389"/>
      <c r="Q538" s="192"/>
      <c r="R538" s="149"/>
      <c r="S538" s="392"/>
      <c r="T538" s="393"/>
      <c r="U538" s="192"/>
      <c r="V538" s="149"/>
      <c r="W538" s="392"/>
      <c r="X538" s="393"/>
      <c r="Y538" s="192"/>
      <c r="Z538" s="149"/>
      <c r="AA538" s="392"/>
      <c r="AB538" s="393"/>
      <c r="AC538" s="192"/>
      <c r="AD538" s="149"/>
      <c r="AE538" s="392"/>
      <c r="AF538" s="393"/>
      <c r="AG538" s="143"/>
      <c r="AH538" s="143"/>
      <c r="AI538" s="143"/>
      <c r="AJ538" s="143"/>
      <c r="AK538" s="389"/>
      <c r="AL538" s="389"/>
      <c r="AM538" s="389"/>
    </row>
    <row r="539">
      <c r="A539" s="307"/>
      <c r="B539" s="308"/>
      <c r="C539" s="309"/>
      <c r="D539" s="389"/>
      <c r="E539" s="307"/>
      <c r="F539" s="308"/>
      <c r="G539" s="309"/>
      <c r="H539" s="389"/>
      <c r="I539" s="307"/>
      <c r="J539" s="308"/>
      <c r="K539" s="309"/>
      <c r="L539" s="389"/>
      <c r="M539" s="307"/>
      <c r="N539" s="308"/>
      <c r="O539" s="309"/>
      <c r="P539" s="389"/>
      <c r="Q539" s="192"/>
      <c r="R539" s="149"/>
      <c r="S539" s="392"/>
      <c r="T539" s="393"/>
      <c r="U539" s="192"/>
      <c r="V539" s="149"/>
      <c r="W539" s="392"/>
      <c r="X539" s="393"/>
      <c r="Y539" s="192"/>
      <c r="Z539" s="149"/>
      <c r="AA539" s="392"/>
      <c r="AB539" s="393"/>
      <c r="AC539" s="192"/>
      <c r="AD539" s="149"/>
      <c r="AE539" s="392"/>
      <c r="AF539" s="393"/>
      <c r="AG539" s="143"/>
      <c r="AH539" s="143"/>
      <c r="AI539" s="143"/>
      <c r="AJ539" s="143"/>
      <c r="AK539" s="389"/>
      <c r="AL539" s="389"/>
      <c r="AM539" s="389"/>
    </row>
    <row r="540">
      <c r="A540" s="307"/>
      <c r="B540" s="308"/>
      <c r="C540" s="309"/>
      <c r="D540" s="389"/>
      <c r="E540" s="307"/>
      <c r="F540" s="308"/>
      <c r="G540" s="309"/>
      <c r="H540" s="389"/>
      <c r="I540" s="307"/>
      <c r="J540" s="308"/>
      <c r="K540" s="309"/>
      <c r="L540" s="389"/>
      <c r="M540" s="307"/>
      <c r="N540" s="308"/>
      <c r="O540" s="309"/>
      <c r="P540" s="389"/>
      <c r="Q540" s="192"/>
      <c r="R540" s="149"/>
      <c r="S540" s="392"/>
      <c r="T540" s="393"/>
      <c r="U540" s="192"/>
      <c r="V540" s="149"/>
      <c r="W540" s="392"/>
      <c r="X540" s="393"/>
      <c r="Y540" s="192"/>
      <c r="Z540" s="149"/>
      <c r="AA540" s="392"/>
      <c r="AB540" s="393"/>
      <c r="AC540" s="192"/>
      <c r="AD540" s="149"/>
      <c r="AE540" s="392"/>
      <c r="AF540" s="393"/>
      <c r="AG540" s="143"/>
      <c r="AH540" s="143"/>
      <c r="AI540" s="143"/>
      <c r="AJ540" s="143"/>
      <c r="AK540" s="389"/>
      <c r="AL540" s="389"/>
      <c r="AM540" s="389"/>
    </row>
    <row r="541">
      <c r="A541" s="307"/>
      <c r="B541" s="308"/>
      <c r="C541" s="309"/>
      <c r="D541" s="389"/>
      <c r="E541" s="307"/>
      <c r="F541" s="308"/>
      <c r="G541" s="309"/>
      <c r="H541" s="389"/>
      <c r="I541" s="307"/>
      <c r="J541" s="308"/>
      <c r="K541" s="309"/>
      <c r="L541" s="389"/>
      <c r="M541" s="307"/>
      <c r="N541" s="308"/>
      <c r="O541" s="309"/>
      <c r="P541" s="389"/>
      <c r="Q541" s="192"/>
      <c r="R541" s="149"/>
      <c r="S541" s="392"/>
      <c r="T541" s="393"/>
      <c r="U541" s="192"/>
      <c r="V541" s="149"/>
      <c r="W541" s="392"/>
      <c r="X541" s="393"/>
      <c r="Y541" s="192"/>
      <c r="Z541" s="149"/>
      <c r="AA541" s="392"/>
      <c r="AB541" s="393"/>
      <c r="AC541" s="192"/>
      <c r="AD541" s="149"/>
      <c r="AE541" s="392"/>
      <c r="AF541" s="393"/>
      <c r="AG541" s="143"/>
      <c r="AH541" s="143"/>
      <c r="AI541" s="143"/>
      <c r="AJ541" s="143"/>
      <c r="AK541" s="389"/>
      <c r="AL541" s="389"/>
      <c r="AM541" s="389"/>
    </row>
    <row r="542">
      <c r="A542" s="307"/>
      <c r="B542" s="308"/>
      <c r="C542" s="309"/>
      <c r="D542" s="389"/>
      <c r="E542" s="307"/>
      <c r="F542" s="308"/>
      <c r="G542" s="309"/>
      <c r="H542" s="389"/>
      <c r="I542" s="307"/>
      <c r="J542" s="308"/>
      <c r="K542" s="309"/>
      <c r="L542" s="389"/>
      <c r="M542" s="307"/>
      <c r="N542" s="308"/>
      <c r="O542" s="309"/>
      <c r="P542" s="389"/>
      <c r="Q542" s="192"/>
      <c r="R542" s="149"/>
      <c r="S542" s="392"/>
      <c r="T542" s="393"/>
      <c r="U542" s="192"/>
      <c r="V542" s="149"/>
      <c r="W542" s="392"/>
      <c r="X542" s="393"/>
      <c r="Y542" s="192"/>
      <c r="Z542" s="149"/>
      <c r="AA542" s="392"/>
      <c r="AB542" s="393"/>
      <c r="AC542" s="192"/>
      <c r="AD542" s="149"/>
      <c r="AE542" s="392"/>
      <c r="AF542" s="393"/>
      <c r="AG542" s="143"/>
      <c r="AH542" s="143"/>
      <c r="AI542" s="143"/>
      <c r="AJ542" s="143"/>
      <c r="AK542" s="389"/>
      <c r="AL542" s="389"/>
      <c r="AM542" s="389"/>
    </row>
    <row r="543">
      <c r="A543" s="307"/>
      <c r="B543" s="308"/>
      <c r="C543" s="309"/>
      <c r="D543" s="389"/>
      <c r="E543" s="307"/>
      <c r="F543" s="308"/>
      <c r="G543" s="309"/>
      <c r="H543" s="389"/>
      <c r="I543" s="307"/>
      <c r="J543" s="308"/>
      <c r="K543" s="309"/>
      <c r="L543" s="389"/>
      <c r="M543" s="307"/>
      <c r="N543" s="308"/>
      <c r="O543" s="309"/>
      <c r="P543" s="389"/>
      <c r="Q543" s="192"/>
      <c r="R543" s="149"/>
      <c r="S543" s="392"/>
      <c r="T543" s="393"/>
      <c r="U543" s="192"/>
      <c r="V543" s="149"/>
      <c r="W543" s="392"/>
      <c r="X543" s="393"/>
      <c r="Y543" s="192"/>
      <c r="Z543" s="149"/>
      <c r="AA543" s="392"/>
      <c r="AB543" s="393"/>
      <c r="AC543" s="192"/>
      <c r="AD543" s="149"/>
      <c r="AE543" s="392"/>
      <c r="AF543" s="393"/>
      <c r="AG543" s="143"/>
      <c r="AH543" s="143"/>
      <c r="AI543" s="143"/>
      <c r="AJ543" s="143"/>
      <c r="AK543" s="389"/>
      <c r="AL543" s="389"/>
      <c r="AM543" s="389"/>
    </row>
    <row r="544">
      <c r="A544" s="307"/>
      <c r="B544" s="308"/>
      <c r="C544" s="309"/>
      <c r="D544" s="389"/>
      <c r="E544" s="307"/>
      <c r="F544" s="308"/>
      <c r="G544" s="309"/>
      <c r="H544" s="389"/>
      <c r="I544" s="307"/>
      <c r="J544" s="308"/>
      <c r="K544" s="309"/>
      <c r="L544" s="389"/>
      <c r="M544" s="307"/>
      <c r="N544" s="308"/>
      <c r="O544" s="309"/>
      <c r="P544" s="389"/>
      <c r="Q544" s="192"/>
      <c r="R544" s="149"/>
      <c r="S544" s="392"/>
      <c r="T544" s="393"/>
      <c r="U544" s="192"/>
      <c r="V544" s="149"/>
      <c r="W544" s="392"/>
      <c r="X544" s="393"/>
      <c r="Y544" s="192"/>
      <c r="Z544" s="149"/>
      <c r="AA544" s="392"/>
      <c r="AB544" s="393"/>
      <c r="AC544" s="192"/>
      <c r="AD544" s="149"/>
      <c r="AE544" s="392"/>
      <c r="AF544" s="393"/>
      <c r="AG544" s="143"/>
      <c r="AH544" s="143"/>
      <c r="AI544" s="143"/>
      <c r="AJ544" s="143"/>
      <c r="AK544" s="389"/>
      <c r="AL544" s="389"/>
      <c r="AM544" s="389"/>
    </row>
    <row r="545">
      <c r="A545" s="307"/>
      <c r="B545" s="308"/>
      <c r="C545" s="309"/>
      <c r="D545" s="389"/>
      <c r="E545" s="307"/>
      <c r="F545" s="308"/>
      <c r="G545" s="309"/>
      <c r="H545" s="389"/>
      <c r="I545" s="307"/>
      <c r="J545" s="308"/>
      <c r="K545" s="309"/>
      <c r="L545" s="389"/>
      <c r="M545" s="307"/>
      <c r="N545" s="308"/>
      <c r="O545" s="309"/>
      <c r="P545" s="389"/>
      <c r="Q545" s="192"/>
      <c r="R545" s="149"/>
      <c r="S545" s="392"/>
      <c r="T545" s="393"/>
      <c r="U545" s="192"/>
      <c r="V545" s="149"/>
      <c r="W545" s="392"/>
      <c r="X545" s="393"/>
      <c r="Y545" s="192"/>
      <c r="Z545" s="149"/>
      <c r="AA545" s="392"/>
      <c r="AB545" s="393"/>
      <c r="AC545" s="192"/>
      <c r="AD545" s="149"/>
      <c r="AE545" s="392"/>
      <c r="AF545" s="393"/>
      <c r="AG545" s="143"/>
      <c r="AH545" s="143"/>
      <c r="AI545" s="143"/>
      <c r="AJ545" s="143"/>
      <c r="AK545" s="389"/>
      <c r="AL545" s="389"/>
      <c r="AM545" s="389"/>
    </row>
    <row r="546">
      <c r="A546" s="307"/>
      <c r="B546" s="308"/>
      <c r="C546" s="309"/>
      <c r="D546" s="389"/>
      <c r="E546" s="307"/>
      <c r="F546" s="308"/>
      <c r="G546" s="309"/>
      <c r="H546" s="389"/>
      <c r="I546" s="307"/>
      <c r="J546" s="308"/>
      <c r="K546" s="309"/>
      <c r="L546" s="389"/>
      <c r="M546" s="307"/>
      <c r="N546" s="308"/>
      <c r="O546" s="309"/>
      <c r="P546" s="389"/>
      <c r="Q546" s="192"/>
      <c r="R546" s="149"/>
      <c r="S546" s="392"/>
      <c r="T546" s="393"/>
      <c r="U546" s="192"/>
      <c r="V546" s="149"/>
      <c r="W546" s="392"/>
      <c r="X546" s="393"/>
      <c r="Y546" s="192"/>
      <c r="Z546" s="149"/>
      <c r="AA546" s="392"/>
      <c r="AB546" s="393"/>
      <c r="AC546" s="192"/>
      <c r="AD546" s="149"/>
      <c r="AE546" s="392"/>
      <c r="AF546" s="393"/>
      <c r="AG546" s="143"/>
      <c r="AH546" s="143"/>
      <c r="AI546" s="143"/>
      <c r="AJ546" s="143"/>
      <c r="AK546" s="389"/>
      <c r="AL546" s="389"/>
      <c r="AM546" s="389"/>
    </row>
    <row r="547">
      <c r="A547" s="307"/>
      <c r="B547" s="308"/>
      <c r="C547" s="309"/>
      <c r="D547" s="389"/>
      <c r="E547" s="307"/>
      <c r="F547" s="308"/>
      <c r="G547" s="309"/>
      <c r="H547" s="389"/>
      <c r="I547" s="307"/>
      <c r="J547" s="308"/>
      <c r="K547" s="309"/>
      <c r="L547" s="389"/>
      <c r="M547" s="307"/>
      <c r="N547" s="308"/>
      <c r="O547" s="309"/>
      <c r="P547" s="389"/>
      <c r="Q547" s="192"/>
      <c r="R547" s="149"/>
      <c r="S547" s="392"/>
      <c r="T547" s="393"/>
      <c r="U547" s="192"/>
      <c r="V547" s="149"/>
      <c r="W547" s="392"/>
      <c r="X547" s="393"/>
      <c r="Y547" s="192"/>
      <c r="Z547" s="149"/>
      <c r="AA547" s="392"/>
      <c r="AB547" s="393"/>
      <c r="AC547" s="192"/>
      <c r="AD547" s="149"/>
      <c r="AE547" s="392"/>
      <c r="AF547" s="393"/>
      <c r="AG547" s="143"/>
      <c r="AH547" s="143"/>
      <c r="AI547" s="143"/>
      <c r="AJ547" s="143"/>
      <c r="AK547" s="389"/>
      <c r="AL547" s="389"/>
      <c r="AM547" s="389"/>
    </row>
    <row r="548">
      <c r="A548" s="307"/>
      <c r="B548" s="308"/>
      <c r="C548" s="309"/>
      <c r="D548" s="389"/>
      <c r="E548" s="307"/>
      <c r="F548" s="308"/>
      <c r="G548" s="309"/>
      <c r="H548" s="389"/>
      <c r="I548" s="307"/>
      <c r="J548" s="308"/>
      <c r="K548" s="309"/>
      <c r="L548" s="389"/>
      <c r="M548" s="307"/>
      <c r="N548" s="308"/>
      <c r="O548" s="309"/>
      <c r="P548" s="389"/>
      <c r="Q548" s="192"/>
      <c r="R548" s="149"/>
      <c r="S548" s="392"/>
      <c r="T548" s="393"/>
      <c r="U548" s="192"/>
      <c r="V548" s="149"/>
      <c r="W548" s="392"/>
      <c r="X548" s="393"/>
      <c r="Y548" s="192"/>
      <c r="Z548" s="149"/>
      <c r="AA548" s="392"/>
      <c r="AB548" s="393"/>
      <c r="AC548" s="192"/>
      <c r="AD548" s="149"/>
      <c r="AE548" s="392"/>
      <c r="AF548" s="393"/>
      <c r="AG548" s="143"/>
      <c r="AH548" s="143"/>
      <c r="AI548" s="143"/>
      <c r="AJ548" s="143"/>
      <c r="AK548" s="389"/>
      <c r="AL548" s="389"/>
      <c r="AM548" s="389"/>
    </row>
    <row r="549">
      <c r="A549" s="307"/>
      <c r="B549" s="308"/>
      <c r="C549" s="309"/>
      <c r="D549" s="389"/>
      <c r="E549" s="307"/>
      <c r="F549" s="308"/>
      <c r="G549" s="309"/>
      <c r="H549" s="389"/>
      <c r="I549" s="307"/>
      <c r="J549" s="308"/>
      <c r="K549" s="309"/>
      <c r="L549" s="389"/>
      <c r="M549" s="307"/>
      <c r="N549" s="308"/>
      <c r="O549" s="309"/>
      <c r="P549" s="389"/>
      <c r="Q549" s="192"/>
      <c r="R549" s="149"/>
      <c r="S549" s="392"/>
      <c r="T549" s="393"/>
      <c r="U549" s="192"/>
      <c r="V549" s="149"/>
      <c r="W549" s="392"/>
      <c r="X549" s="393"/>
      <c r="Y549" s="192"/>
      <c r="Z549" s="149"/>
      <c r="AA549" s="392"/>
      <c r="AB549" s="393"/>
      <c r="AC549" s="192"/>
      <c r="AD549" s="149"/>
      <c r="AE549" s="392"/>
      <c r="AF549" s="393"/>
      <c r="AG549" s="143"/>
      <c r="AH549" s="143"/>
      <c r="AI549" s="143"/>
      <c r="AJ549" s="143"/>
      <c r="AK549" s="389"/>
      <c r="AL549" s="389"/>
      <c r="AM549" s="389"/>
    </row>
    <row r="550">
      <c r="A550" s="307"/>
      <c r="B550" s="308"/>
      <c r="C550" s="309"/>
      <c r="D550" s="389"/>
      <c r="E550" s="307"/>
      <c r="F550" s="308"/>
      <c r="G550" s="309"/>
      <c r="H550" s="389"/>
      <c r="I550" s="307"/>
      <c r="J550" s="308"/>
      <c r="K550" s="309"/>
      <c r="L550" s="389"/>
      <c r="M550" s="307"/>
      <c r="N550" s="308"/>
      <c r="O550" s="309"/>
      <c r="P550" s="389"/>
      <c r="Q550" s="192"/>
      <c r="R550" s="149"/>
      <c r="S550" s="392"/>
      <c r="T550" s="393"/>
      <c r="U550" s="192"/>
      <c r="V550" s="149"/>
      <c r="W550" s="392"/>
      <c r="X550" s="393"/>
      <c r="Y550" s="192"/>
      <c r="Z550" s="149"/>
      <c r="AA550" s="392"/>
      <c r="AB550" s="393"/>
      <c r="AC550" s="192"/>
      <c r="AD550" s="149"/>
      <c r="AE550" s="392"/>
      <c r="AF550" s="393"/>
      <c r="AG550" s="143"/>
      <c r="AH550" s="143"/>
      <c r="AI550" s="143"/>
      <c r="AJ550" s="143"/>
      <c r="AK550" s="389"/>
      <c r="AL550" s="389"/>
      <c r="AM550" s="389"/>
    </row>
    <row r="551">
      <c r="A551" s="307"/>
      <c r="B551" s="308"/>
      <c r="C551" s="309"/>
      <c r="D551" s="389"/>
      <c r="E551" s="307"/>
      <c r="F551" s="308"/>
      <c r="G551" s="309"/>
      <c r="H551" s="389"/>
      <c r="I551" s="307"/>
      <c r="J551" s="308"/>
      <c r="K551" s="309"/>
      <c r="L551" s="389"/>
      <c r="M551" s="307"/>
      <c r="N551" s="308"/>
      <c r="O551" s="309"/>
      <c r="P551" s="389"/>
      <c r="Q551" s="192"/>
      <c r="R551" s="149"/>
      <c r="S551" s="392"/>
      <c r="T551" s="393"/>
      <c r="U551" s="192"/>
      <c r="V551" s="149"/>
      <c r="W551" s="392"/>
      <c r="X551" s="393"/>
      <c r="Y551" s="192"/>
      <c r="Z551" s="149"/>
      <c r="AA551" s="392"/>
      <c r="AB551" s="393"/>
      <c r="AC551" s="192"/>
      <c r="AD551" s="149"/>
      <c r="AE551" s="392"/>
      <c r="AF551" s="393"/>
      <c r="AG551" s="143"/>
      <c r="AH551" s="143"/>
      <c r="AI551" s="143"/>
      <c r="AJ551" s="143"/>
      <c r="AK551" s="389"/>
      <c r="AL551" s="389"/>
      <c r="AM551" s="389"/>
    </row>
    <row r="552">
      <c r="A552" s="307"/>
      <c r="B552" s="308"/>
      <c r="C552" s="309"/>
      <c r="D552" s="389"/>
      <c r="E552" s="307"/>
      <c r="F552" s="308"/>
      <c r="G552" s="309"/>
      <c r="H552" s="389"/>
      <c r="I552" s="307"/>
      <c r="J552" s="308"/>
      <c r="K552" s="309"/>
      <c r="L552" s="389"/>
      <c r="M552" s="307"/>
      <c r="N552" s="308"/>
      <c r="O552" s="309"/>
      <c r="P552" s="389"/>
      <c r="Q552" s="192"/>
      <c r="R552" s="149"/>
      <c r="S552" s="392"/>
      <c r="T552" s="393"/>
      <c r="U552" s="192"/>
      <c r="V552" s="149"/>
      <c r="W552" s="392"/>
      <c r="X552" s="393"/>
      <c r="Y552" s="192"/>
      <c r="Z552" s="149"/>
      <c r="AA552" s="392"/>
      <c r="AB552" s="393"/>
      <c r="AC552" s="192"/>
      <c r="AD552" s="149"/>
      <c r="AE552" s="392"/>
      <c r="AF552" s="393"/>
      <c r="AG552" s="143"/>
      <c r="AH552" s="143"/>
      <c r="AI552" s="143"/>
      <c r="AJ552" s="143"/>
      <c r="AK552" s="389"/>
      <c r="AL552" s="389"/>
      <c r="AM552" s="389"/>
    </row>
    <row r="553">
      <c r="A553" s="307"/>
      <c r="B553" s="308"/>
      <c r="C553" s="309"/>
      <c r="D553" s="389"/>
      <c r="E553" s="307"/>
      <c r="F553" s="308"/>
      <c r="G553" s="309"/>
      <c r="H553" s="389"/>
      <c r="I553" s="307"/>
      <c r="J553" s="308"/>
      <c r="K553" s="309"/>
      <c r="L553" s="389"/>
      <c r="M553" s="307"/>
      <c r="N553" s="308"/>
      <c r="O553" s="309"/>
      <c r="P553" s="389"/>
      <c r="Q553" s="192"/>
      <c r="R553" s="149"/>
      <c r="S553" s="392"/>
      <c r="T553" s="393"/>
      <c r="U553" s="192"/>
      <c r="V553" s="149"/>
      <c r="W553" s="392"/>
      <c r="X553" s="393"/>
      <c r="Y553" s="192"/>
      <c r="Z553" s="149"/>
      <c r="AA553" s="392"/>
      <c r="AB553" s="393"/>
      <c r="AC553" s="192"/>
      <c r="AD553" s="149"/>
      <c r="AE553" s="392"/>
      <c r="AF553" s="393"/>
      <c r="AG553" s="143"/>
      <c r="AH553" s="143"/>
      <c r="AI553" s="143"/>
      <c r="AJ553" s="143"/>
      <c r="AK553" s="389"/>
      <c r="AL553" s="389"/>
      <c r="AM553" s="389"/>
    </row>
    <row r="554">
      <c r="A554" s="307"/>
      <c r="B554" s="308"/>
      <c r="C554" s="309"/>
      <c r="D554" s="389"/>
      <c r="E554" s="307"/>
      <c r="F554" s="308"/>
      <c r="G554" s="309"/>
      <c r="H554" s="389"/>
      <c r="I554" s="307"/>
      <c r="J554" s="308"/>
      <c r="K554" s="309"/>
      <c r="L554" s="389"/>
      <c r="M554" s="307"/>
      <c r="N554" s="308"/>
      <c r="O554" s="309"/>
      <c r="P554" s="389"/>
      <c r="Q554" s="192"/>
      <c r="R554" s="149"/>
      <c r="S554" s="392"/>
      <c r="T554" s="393"/>
      <c r="U554" s="192"/>
      <c r="V554" s="149"/>
      <c r="W554" s="392"/>
      <c r="X554" s="393"/>
      <c r="Y554" s="192"/>
      <c r="Z554" s="149"/>
      <c r="AA554" s="392"/>
      <c r="AB554" s="393"/>
      <c r="AC554" s="192"/>
      <c r="AD554" s="149"/>
      <c r="AE554" s="392"/>
      <c r="AF554" s="393"/>
      <c r="AG554" s="143"/>
      <c r="AH554" s="143"/>
      <c r="AI554" s="143"/>
      <c r="AJ554" s="143"/>
      <c r="AK554" s="389"/>
      <c r="AL554" s="389"/>
      <c r="AM554" s="389"/>
    </row>
    <row r="555">
      <c r="A555" s="307"/>
      <c r="B555" s="308"/>
      <c r="C555" s="309"/>
      <c r="D555" s="389"/>
      <c r="E555" s="307"/>
      <c r="F555" s="308"/>
      <c r="G555" s="309"/>
      <c r="H555" s="389"/>
      <c r="I555" s="307"/>
      <c r="J555" s="308"/>
      <c r="K555" s="309"/>
      <c r="L555" s="389"/>
      <c r="M555" s="307"/>
      <c r="N555" s="308"/>
      <c r="O555" s="309"/>
      <c r="P555" s="389"/>
      <c r="Q555" s="192"/>
      <c r="R555" s="149"/>
      <c r="S555" s="392"/>
      <c r="T555" s="393"/>
      <c r="U555" s="192"/>
      <c r="V555" s="149"/>
      <c r="W555" s="392"/>
      <c r="X555" s="393"/>
      <c r="Y555" s="192"/>
      <c r="Z555" s="149"/>
      <c r="AA555" s="392"/>
      <c r="AB555" s="393"/>
      <c r="AC555" s="192"/>
      <c r="AD555" s="149"/>
      <c r="AE555" s="392"/>
      <c r="AF555" s="393"/>
      <c r="AG555" s="143"/>
      <c r="AH555" s="143"/>
      <c r="AI555" s="143"/>
      <c r="AJ555" s="143"/>
      <c r="AK555" s="389"/>
      <c r="AL555" s="389"/>
      <c r="AM555" s="389"/>
    </row>
    <row r="556">
      <c r="A556" s="307"/>
      <c r="B556" s="308"/>
      <c r="C556" s="309"/>
      <c r="D556" s="389"/>
      <c r="E556" s="307"/>
      <c r="F556" s="308"/>
      <c r="G556" s="309"/>
      <c r="H556" s="389"/>
      <c r="I556" s="307"/>
      <c r="J556" s="308"/>
      <c r="K556" s="309"/>
      <c r="L556" s="389"/>
      <c r="M556" s="307"/>
      <c r="N556" s="308"/>
      <c r="O556" s="309"/>
      <c r="P556" s="389"/>
      <c r="Q556" s="192"/>
      <c r="R556" s="149"/>
      <c r="S556" s="392"/>
      <c r="T556" s="393"/>
      <c r="U556" s="192"/>
      <c r="V556" s="149"/>
      <c r="W556" s="392"/>
      <c r="X556" s="393"/>
      <c r="Y556" s="192"/>
      <c r="Z556" s="149"/>
      <c r="AA556" s="392"/>
      <c r="AB556" s="393"/>
      <c r="AC556" s="192"/>
      <c r="AD556" s="149"/>
      <c r="AE556" s="392"/>
      <c r="AF556" s="393"/>
      <c r="AG556" s="143"/>
      <c r="AH556" s="143"/>
      <c r="AI556" s="143"/>
      <c r="AJ556" s="143"/>
      <c r="AK556" s="389"/>
      <c r="AL556" s="389"/>
      <c r="AM556" s="389"/>
    </row>
    <row r="557">
      <c r="A557" s="307"/>
      <c r="B557" s="308"/>
      <c r="C557" s="309"/>
      <c r="D557" s="389"/>
      <c r="E557" s="307"/>
      <c r="F557" s="308"/>
      <c r="G557" s="309"/>
      <c r="H557" s="389"/>
      <c r="I557" s="307"/>
      <c r="J557" s="308"/>
      <c r="K557" s="309"/>
      <c r="L557" s="389"/>
      <c r="M557" s="307"/>
      <c r="N557" s="308"/>
      <c r="O557" s="309"/>
      <c r="P557" s="389"/>
      <c r="Q557" s="192"/>
      <c r="R557" s="149"/>
      <c r="S557" s="392"/>
      <c r="T557" s="393"/>
      <c r="U557" s="192"/>
      <c r="V557" s="149"/>
      <c r="W557" s="392"/>
      <c r="X557" s="393"/>
      <c r="Y557" s="192"/>
      <c r="Z557" s="149"/>
      <c r="AA557" s="392"/>
      <c r="AB557" s="393"/>
      <c r="AC557" s="192"/>
      <c r="AD557" s="149"/>
      <c r="AE557" s="392"/>
      <c r="AF557" s="393"/>
      <c r="AG557" s="143"/>
      <c r="AH557" s="143"/>
      <c r="AI557" s="143"/>
      <c r="AJ557" s="143"/>
      <c r="AK557" s="389"/>
      <c r="AL557" s="389"/>
      <c r="AM557" s="389"/>
    </row>
    <row r="558">
      <c r="A558" s="307"/>
      <c r="B558" s="308"/>
      <c r="C558" s="309"/>
      <c r="D558" s="389"/>
      <c r="E558" s="307"/>
      <c r="F558" s="308"/>
      <c r="G558" s="309"/>
      <c r="H558" s="389"/>
      <c r="I558" s="307"/>
      <c r="J558" s="308"/>
      <c r="K558" s="309"/>
      <c r="L558" s="389"/>
      <c r="M558" s="307"/>
      <c r="N558" s="308"/>
      <c r="O558" s="309"/>
      <c r="P558" s="389"/>
      <c r="Q558" s="192"/>
      <c r="R558" s="149"/>
      <c r="S558" s="392"/>
      <c r="T558" s="393"/>
      <c r="U558" s="192"/>
      <c r="V558" s="149"/>
      <c r="W558" s="392"/>
      <c r="X558" s="393"/>
      <c r="Y558" s="192"/>
      <c r="Z558" s="149"/>
      <c r="AA558" s="392"/>
      <c r="AB558" s="393"/>
      <c r="AC558" s="192"/>
      <c r="AD558" s="149"/>
      <c r="AE558" s="392"/>
      <c r="AF558" s="393"/>
      <c r="AG558" s="143"/>
      <c r="AH558" s="143"/>
      <c r="AI558" s="143"/>
      <c r="AJ558" s="143"/>
      <c r="AK558" s="389"/>
      <c r="AL558" s="389"/>
      <c r="AM558" s="389"/>
    </row>
    <row r="559">
      <c r="A559" s="307"/>
      <c r="B559" s="308"/>
      <c r="C559" s="309"/>
      <c r="D559" s="389"/>
      <c r="E559" s="307"/>
      <c r="F559" s="308"/>
      <c r="G559" s="309"/>
      <c r="H559" s="389"/>
      <c r="I559" s="307"/>
      <c r="J559" s="308"/>
      <c r="K559" s="309"/>
      <c r="L559" s="389"/>
      <c r="M559" s="307"/>
      <c r="N559" s="308"/>
      <c r="O559" s="309"/>
      <c r="P559" s="389"/>
      <c r="Q559" s="192"/>
      <c r="R559" s="149"/>
      <c r="S559" s="392"/>
      <c r="T559" s="393"/>
      <c r="U559" s="192"/>
      <c r="V559" s="149"/>
      <c r="W559" s="392"/>
      <c r="X559" s="393"/>
      <c r="Y559" s="192"/>
      <c r="Z559" s="149"/>
      <c r="AA559" s="392"/>
      <c r="AB559" s="393"/>
      <c r="AC559" s="192"/>
      <c r="AD559" s="149"/>
      <c r="AE559" s="392"/>
      <c r="AF559" s="393"/>
      <c r="AG559" s="143"/>
      <c r="AH559" s="143"/>
      <c r="AI559" s="143"/>
      <c r="AJ559" s="143"/>
      <c r="AK559" s="389"/>
      <c r="AL559" s="389"/>
      <c r="AM559" s="389"/>
    </row>
    <row r="560">
      <c r="A560" s="307"/>
      <c r="B560" s="308"/>
      <c r="C560" s="309"/>
      <c r="D560" s="389"/>
      <c r="E560" s="307"/>
      <c r="F560" s="308"/>
      <c r="G560" s="309"/>
      <c r="H560" s="389"/>
      <c r="I560" s="307"/>
      <c r="J560" s="308"/>
      <c r="K560" s="309"/>
      <c r="L560" s="389"/>
      <c r="M560" s="307"/>
      <c r="N560" s="308"/>
      <c r="O560" s="309"/>
      <c r="P560" s="389"/>
      <c r="Q560" s="192"/>
      <c r="R560" s="149"/>
      <c r="S560" s="392"/>
      <c r="T560" s="393"/>
      <c r="U560" s="192"/>
      <c r="V560" s="149"/>
      <c r="W560" s="392"/>
      <c r="X560" s="393"/>
      <c r="Y560" s="192"/>
      <c r="Z560" s="149"/>
      <c r="AA560" s="392"/>
      <c r="AB560" s="393"/>
      <c r="AC560" s="192"/>
      <c r="AD560" s="149"/>
      <c r="AE560" s="392"/>
      <c r="AF560" s="393"/>
      <c r="AG560" s="143"/>
      <c r="AH560" s="143"/>
      <c r="AI560" s="143"/>
      <c r="AJ560" s="143"/>
      <c r="AK560" s="389"/>
      <c r="AL560" s="389"/>
      <c r="AM560" s="389"/>
    </row>
    <row r="561">
      <c r="A561" s="307"/>
      <c r="B561" s="308"/>
      <c r="C561" s="309"/>
      <c r="D561" s="389"/>
      <c r="E561" s="307"/>
      <c r="F561" s="308"/>
      <c r="G561" s="309"/>
      <c r="H561" s="389"/>
      <c r="I561" s="307"/>
      <c r="J561" s="308"/>
      <c r="K561" s="309"/>
      <c r="L561" s="389"/>
      <c r="M561" s="307"/>
      <c r="N561" s="308"/>
      <c r="O561" s="309"/>
      <c r="P561" s="389"/>
      <c r="Q561" s="192"/>
      <c r="R561" s="149"/>
      <c r="S561" s="392"/>
      <c r="T561" s="393"/>
      <c r="U561" s="192"/>
      <c r="V561" s="149"/>
      <c r="W561" s="392"/>
      <c r="X561" s="393"/>
      <c r="Y561" s="192"/>
      <c r="Z561" s="149"/>
      <c r="AA561" s="392"/>
      <c r="AB561" s="393"/>
      <c r="AC561" s="192"/>
      <c r="AD561" s="149"/>
      <c r="AE561" s="392"/>
      <c r="AF561" s="393"/>
      <c r="AG561" s="143"/>
      <c r="AH561" s="143"/>
      <c r="AI561" s="143"/>
      <c r="AJ561" s="143"/>
      <c r="AK561" s="389"/>
      <c r="AL561" s="389"/>
      <c r="AM561" s="389"/>
    </row>
    <row r="562">
      <c r="A562" s="307"/>
      <c r="B562" s="308"/>
      <c r="C562" s="309"/>
      <c r="D562" s="389"/>
      <c r="E562" s="307"/>
      <c r="F562" s="308"/>
      <c r="G562" s="309"/>
      <c r="H562" s="389"/>
      <c r="I562" s="307"/>
      <c r="J562" s="308"/>
      <c r="K562" s="309"/>
      <c r="L562" s="389"/>
      <c r="M562" s="307"/>
      <c r="N562" s="308"/>
      <c r="O562" s="309"/>
      <c r="P562" s="389"/>
      <c r="Q562" s="192"/>
      <c r="R562" s="149"/>
      <c r="S562" s="392"/>
      <c r="T562" s="393"/>
      <c r="U562" s="192"/>
      <c r="V562" s="149"/>
      <c r="W562" s="392"/>
      <c r="X562" s="393"/>
      <c r="Y562" s="192"/>
      <c r="Z562" s="149"/>
      <c r="AA562" s="392"/>
      <c r="AB562" s="393"/>
      <c r="AC562" s="192"/>
      <c r="AD562" s="149"/>
      <c r="AE562" s="392"/>
      <c r="AF562" s="393"/>
      <c r="AG562" s="143"/>
      <c r="AH562" s="143"/>
      <c r="AI562" s="143"/>
      <c r="AJ562" s="143"/>
      <c r="AK562" s="389"/>
      <c r="AL562" s="389"/>
      <c r="AM562" s="389"/>
    </row>
    <row r="563">
      <c r="A563" s="307"/>
      <c r="B563" s="308"/>
      <c r="C563" s="309"/>
      <c r="D563" s="389"/>
      <c r="E563" s="307"/>
      <c r="F563" s="308"/>
      <c r="G563" s="309"/>
      <c r="H563" s="389"/>
      <c r="I563" s="307"/>
      <c r="J563" s="308"/>
      <c r="K563" s="309"/>
      <c r="L563" s="389"/>
      <c r="M563" s="307"/>
      <c r="N563" s="308"/>
      <c r="O563" s="309"/>
      <c r="P563" s="389"/>
      <c r="Q563" s="192"/>
      <c r="R563" s="149"/>
      <c r="S563" s="392"/>
      <c r="T563" s="393"/>
      <c r="U563" s="192"/>
      <c r="V563" s="149"/>
      <c r="W563" s="392"/>
      <c r="X563" s="393"/>
      <c r="Y563" s="192"/>
      <c r="Z563" s="149"/>
      <c r="AA563" s="392"/>
      <c r="AB563" s="393"/>
      <c r="AC563" s="192"/>
      <c r="AD563" s="149"/>
      <c r="AE563" s="392"/>
      <c r="AF563" s="393"/>
      <c r="AG563" s="143"/>
      <c r="AH563" s="143"/>
      <c r="AI563" s="143"/>
      <c r="AJ563" s="143"/>
      <c r="AK563" s="389"/>
      <c r="AL563" s="389"/>
      <c r="AM563" s="389"/>
    </row>
    <row r="564">
      <c r="A564" s="307"/>
      <c r="B564" s="308"/>
      <c r="C564" s="309"/>
      <c r="D564" s="389"/>
      <c r="E564" s="307"/>
      <c r="F564" s="308"/>
      <c r="G564" s="309"/>
      <c r="H564" s="389"/>
      <c r="I564" s="307"/>
      <c r="J564" s="308"/>
      <c r="K564" s="309"/>
      <c r="L564" s="389"/>
      <c r="M564" s="307"/>
      <c r="N564" s="308"/>
      <c r="O564" s="309"/>
      <c r="P564" s="389"/>
      <c r="Q564" s="192"/>
      <c r="R564" s="149"/>
      <c r="S564" s="392"/>
      <c r="T564" s="393"/>
      <c r="U564" s="192"/>
      <c r="V564" s="149"/>
      <c r="W564" s="392"/>
      <c r="X564" s="393"/>
      <c r="Y564" s="192"/>
      <c r="Z564" s="149"/>
      <c r="AA564" s="392"/>
      <c r="AB564" s="393"/>
      <c r="AC564" s="192"/>
      <c r="AD564" s="149"/>
      <c r="AE564" s="392"/>
      <c r="AF564" s="393"/>
      <c r="AG564" s="143"/>
      <c r="AH564" s="143"/>
      <c r="AI564" s="143"/>
      <c r="AJ564" s="143"/>
      <c r="AK564" s="389"/>
      <c r="AL564" s="389"/>
      <c r="AM564" s="389"/>
    </row>
    <row r="565">
      <c r="A565" s="307"/>
      <c r="B565" s="308"/>
      <c r="C565" s="309"/>
      <c r="D565" s="389"/>
      <c r="E565" s="307"/>
      <c r="F565" s="308"/>
      <c r="G565" s="309"/>
      <c r="H565" s="389"/>
      <c r="I565" s="307"/>
      <c r="J565" s="308"/>
      <c r="K565" s="309"/>
      <c r="L565" s="389"/>
      <c r="M565" s="307"/>
      <c r="N565" s="308"/>
      <c r="O565" s="309"/>
      <c r="P565" s="389"/>
      <c r="Q565" s="192"/>
      <c r="R565" s="149"/>
      <c r="S565" s="392"/>
      <c r="T565" s="393"/>
      <c r="U565" s="192"/>
      <c r="V565" s="149"/>
      <c r="W565" s="392"/>
      <c r="X565" s="393"/>
      <c r="Y565" s="192"/>
      <c r="Z565" s="149"/>
      <c r="AA565" s="392"/>
      <c r="AB565" s="393"/>
      <c r="AC565" s="192"/>
      <c r="AD565" s="149"/>
      <c r="AE565" s="392"/>
      <c r="AF565" s="393"/>
      <c r="AG565" s="143"/>
      <c r="AH565" s="143"/>
      <c r="AI565" s="143"/>
      <c r="AJ565" s="143"/>
      <c r="AK565" s="389"/>
      <c r="AL565" s="389"/>
      <c r="AM565" s="389"/>
    </row>
    <row r="566">
      <c r="A566" s="307"/>
      <c r="B566" s="308"/>
      <c r="C566" s="309"/>
      <c r="D566" s="389"/>
      <c r="E566" s="307"/>
      <c r="F566" s="308"/>
      <c r="G566" s="309"/>
      <c r="H566" s="389"/>
      <c r="I566" s="307"/>
      <c r="J566" s="308"/>
      <c r="K566" s="309"/>
      <c r="L566" s="389"/>
      <c r="M566" s="307"/>
      <c r="N566" s="308"/>
      <c r="O566" s="309"/>
      <c r="P566" s="389"/>
      <c r="Q566" s="192"/>
      <c r="R566" s="149"/>
      <c r="S566" s="392"/>
      <c r="T566" s="393"/>
      <c r="U566" s="192"/>
      <c r="V566" s="149"/>
      <c r="W566" s="392"/>
      <c r="X566" s="393"/>
      <c r="Y566" s="192"/>
      <c r="Z566" s="149"/>
      <c r="AA566" s="392"/>
      <c r="AB566" s="393"/>
      <c r="AC566" s="192"/>
      <c r="AD566" s="149"/>
      <c r="AE566" s="392"/>
      <c r="AF566" s="393"/>
      <c r="AG566" s="143"/>
      <c r="AH566" s="143"/>
      <c r="AI566" s="143"/>
      <c r="AJ566" s="143"/>
      <c r="AK566" s="389"/>
      <c r="AL566" s="389"/>
      <c r="AM566" s="389"/>
    </row>
    <row r="567">
      <c r="A567" s="307"/>
      <c r="B567" s="308"/>
      <c r="C567" s="309"/>
      <c r="D567" s="389"/>
      <c r="E567" s="307"/>
      <c r="F567" s="308"/>
      <c r="G567" s="309"/>
      <c r="H567" s="389"/>
      <c r="I567" s="307"/>
      <c r="J567" s="308"/>
      <c r="K567" s="309"/>
      <c r="L567" s="389"/>
      <c r="M567" s="307"/>
      <c r="N567" s="308"/>
      <c r="O567" s="309"/>
      <c r="P567" s="389"/>
      <c r="Q567" s="192"/>
      <c r="R567" s="149"/>
      <c r="S567" s="392"/>
      <c r="T567" s="393"/>
      <c r="U567" s="192"/>
      <c r="V567" s="149"/>
      <c r="W567" s="392"/>
      <c r="X567" s="393"/>
      <c r="Y567" s="192"/>
      <c r="Z567" s="149"/>
      <c r="AA567" s="392"/>
      <c r="AB567" s="393"/>
      <c r="AC567" s="192"/>
      <c r="AD567" s="149"/>
      <c r="AE567" s="392"/>
      <c r="AF567" s="393"/>
      <c r="AG567" s="143"/>
      <c r="AH567" s="143"/>
      <c r="AI567" s="143"/>
      <c r="AJ567" s="143"/>
      <c r="AK567" s="389"/>
      <c r="AL567" s="389"/>
      <c r="AM567" s="389"/>
    </row>
    <row r="568">
      <c r="A568" s="307"/>
      <c r="B568" s="308"/>
      <c r="C568" s="309"/>
      <c r="D568" s="389"/>
      <c r="E568" s="307"/>
      <c r="F568" s="308"/>
      <c r="G568" s="309"/>
      <c r="H568" s="389"/>
      <c r="I568" s="307"/>
      <c r="J568" s="308"/>
      <c r="K568" s="309"/>
      <c r="L568" s="389"/>
      <c r="M568" s="307"/>
      <c r="N568" s="308"/>
      <c r="O568" s="309"/>
      <c r="P568" s="389"/>
      <c r="Q568" s="192"/>
      <c r="R568" s="149"/>
      <c r="S568" s="392"/>
      <c r="T568" s="393"/>
      <c r="U568" s="192"/>
      <c r="V568" s="149"/>
      <c r="W568" s="392"/>
      <c r="X568" s="393"/>
      <c r="Y568" s="192"/>
      <c r="Z568" s="149"/>
      <c r="AA568" s="392"/>
      <c r="AB568" s="393"/>
      <c r="AC568" s="192"/>
      <c r="AD568" s="149"/>
      <c r="AE568" s="392"/>
      <c r="AF568" s="393"/>
      <c r="AG568" s="143"/>
      <c r="AH568" s="143"/>
      <c r="AI568" s="143"/>
      <c r="AJ568" s="143"/>
      <c r="AK568" s="389"/>
      <c r="AL568" s="389"/>
      <c r="AM568" s="389"/>
    </row>
    <row r="569">
      <c r="A569" s="307"/>
      <c r="B569" s="308"/>
      <c r="C569" s="309"/>
      <c r="D569" s="389"/>
      <c r="E569" s="307"/>
      <c r="F569" s="308"/>
      <c r="G569" s="309"/>
      <c r="H569" s="389"/>
      <c r="I569" s="307"/>
      <c r="J569" s="308"/>
      <c r="K569" s="309"/>
      <c r="L569" s="389"/>
      <c r="M569" s="307"/>
      <c r="N569" s="308"/>
      <c r="O569" s="309"/>
      <c r="P569" s="389"/>
      <c r="Q569" s="192"/>
      <c r="R569" s="149"/>
      <c r="S569" s="392"/>
      <c r="T569" s="393"/>
      <c r="U569" s="192"/>
      <c r="V569" s="149"/>
      <c r="W569" s="392"/>
      <c r="X569" s="393"/>
      <c r="Y569" s="192"/>
      <c r="Z569" s="149"/>
      <c r="AA569" s="392"/>
      <c r="AB569" s="393"/>
      <c r="AC569" s="192"/>
      <c r="AD569" s="149"/>
      <c r="AE569" s="392"/>
      <c r="AF569" s="393"/>
      <c r="AG569" s="143"/>
      <c r="AH569" s="143"/>
      <c r="AI569" s="143"/>
      <c r="AJ569" s="143"/>
      <c r="AK569" s="389"/>
      <c r="AL569" s="389"/>
      <c r="AM569" s="389"/>
    </row>
    <row r="570">
      <c r="A570" s="307"/>
      <c r="B570" s="308"/>
      <c r="C570" s="309"/>
      <c r="D570" s="389"/>
      <c r="E570" s="307"/>
      <c r="F570" s="308"/>
      <c r="G570" s="309"/>
      <c r="H570" s="389"/>
      <c r="I570" s="307"/>
      <c r="J570" s="308"/>
      <c r="K570" s="309"/>
      <c r="L570" s="389"/>
      <c r="M570" s="307"/>
      <c r="N570" s="308"/>
      <c r="O570" s="309"/>
      <c r="P570" s="389"/>
      <c r="Q570" s="192"/>
      <c r="R570" s="149"/>
      <c r="S570" s="392"/>
      <c r="T570" s="393"/>
      <c r="U570" s="192"/>
      <c r="V570" s="149"/>
      <c r="W570" s="392"/>
      <c r="X570" s="393"/>
      <c r="Y570" s="192"/>
      <c r="Z570" s="149"/>
      <c r="AA570" s="392"/>
      <c r="AB570" s="393"/>
      <c r="AC570" s="192"/>
      <c r="AD570" s="149"/>
      <c r="AE570" s="392"/>
      <c r="AF570" s="393"/>
      <c r="AG570" s="143"/>
      <c r="AH570" s="143"/>
      <c r="AI570" s="143"/>
      <c r="AJ570" s="143"/>
      <c r="AK570" s="389"/>
      <c r="AL570" s="389"/>
      <c r="AM570" s="389"/>
    </row>
    <row r="571">
      <c r="A571" s="307"/>
      <c r="B571" s="308"/>
      <c r="C571" s="309"/>
      <c r="D571" s="389"/>
      <c r="E571" s="307"/>
      <c r="F571" s="308"/>
      <c r="G571" s="309"/>
      <c r="H571" s="389"/>
      <c r="I571" s="307"/>
      <c r="J571" s="308"/>
      <c r="K571" s="309"/>
      <c r="L571" s="389"/>
      <c r="M571" s="307"/>
      <c r="N571" s="308"/>
      <c r="O571" s="309"/>
      <c r="P571" s="389"/>
      <c r="Q571" s="192"/>
      <c r="R571" s="149"/>
      <c r="S571" s="392"/>
      <c r="T571" s="393"/>
      <c r="U571" s="192"/>
      <c r="V571" s="149"/>
      <c r="W571" s="392"/>
      <c r="X571" s="393"/>
      <c r="Y571" s="192"/>
      <c r="Z571" s="149"/>
      <c r="AA571" s="392"/>
      <c r="AB571" s="393"/>
      <c r="AC571" s="192"/>
      <c r="AD571" s="149"/>
      <c r="AE571" s="392"/>
      <c r="AF571" s="393"/>
      <c r="AG571" s="143"/>
      <c r="AH571" s="143"/>
      <c r="AI571" s="143"/>
      <c r="AJ571" s="143"/>
      <c r="AK571" s="389"/>
      <c r="AL571" s="389"/>
      <c r="AM571" s="389"/>
    </row>
    <row r="572">
      <c r="A572" s="307"/>
      <c r="B572" s="308"/>
      <c r="C572" s="309"/>
      <c r="D572" s="389"/>
      <c r="E572" s="307"/>
      <c r="F572" s="308"/>
      <c r="G572" s="309"/>
      <c r="H572" s="389"/>
      <c r="I572" s="307"/>
      <c r="J572" s="308"/>
      <c r="K572" s="309"/>
      <c r="L572" s="389"/>
      <c r="M572" s="307"/>
      <c r="N572" s="308"/>
      <c r="O572" s="309"/>
      <c r="P572" s="389"/>
      <c r="Q572" s="192"/>
      <c r="R572" s="149"/>
      <c r="S572" s="392"/>
      <c r="T572" s="393"/>
      <c r="U572" s="192"/>
      <c r="V572" s="149"/>
      <c r="W572" s="392"/>
      <c r="X572" s="393"/>
      <c r="Y572" s="192"/>
      <c r="Z572" s="149"/>
      <c r="AA572" s="392"/>
      <c r="AB572" s="393"/>
      <c r="AC572" s="192"/>
      <c r="AD572" s="149"/>
      <c r="AE572" s="392"/>
      <c r="AF572" s="393"/>
      <c r="AG572" s="143"/>
      <c r="AH572" s="143"/>
      <c r="AI572" s="143"/>
      <c r="AJ572" s="143"/>
      <c r="AK572" s="389"/>
      <c r="AL572" s="389"/>
      <c r="AM572" s="389"/>
    </row>
    <row r="573">
      <c r="A573" s="307"/>
      <c r="B573" s="308"/>
      <c r="C573" s="309"/>
      <c r="D573" s="389"/>
      <c r="E573" s="307"/>
      <c r="F573" s="308"/>
      <c r="G573" s="309"/>
      <c r="H573" s="389"/>
      <c r="I573" s="307"/>
      <c r="J573" s="308"/>
      <c r="K573" s="309"/>
      <c r="L573" s="389"/>
      <c r="M573" s="307"/>
      <c r="N573" s="308"/>
      <c r="O573" s="309"/>
      <c r="P573" s="389"/>
      <c r="Q573" s="192"/>
      <c r="R573" s="149"/>
      <c r="S573" s="392"/>
      <c r="T573" s="393"/>
      <c r="U573" s="192"/>
      <c r="V573" s="149"/>
      <c r="W573" s="392"/>
      <c r="X573" s="393"/>
      <c r="Y573" s="192"/>
      <c r="Z573" s="149"/>
      <c r="AA573" s="392"/>
      <c r="AB573" s="393"/>
      <c r="AC573" s="192"/>
      <c r="AD573" s="149"/>
      <c r="AE573" s="392"/>
      <c r="AF573" s="393"/>
      <c r="AG573" s="143"/>
      <c r="AH573" s="143"/>
      <c r="AI573" s="143"/>
      <c r="AJ573" s="143"/>
      <c r="AK573" s="389"/>
      <c r="AL573" s="389"/>
      <c r="AM573" s="389"/>
    </row>
    <row r="574">
      <c r="A574" s="307"/>
      <c r="B574" s="308"/>
      <c r="C574" s="309"/>
      <c r="D574" s="389"/>
      <c r="E574" s="307"/>
      <c r="F574" s="308"/>
      <c r="G574" s="309"/>
      <c r="H574" s="389"/>
      <c r="I574" s="307"/>
      <c r="J574" s="308"/>
      <c r="K574" s="309"/>
      <c r="L574" s="389"/>
      <c r="M574" s="307"/>
      <c r="N574" s="308"/>
      <c r="O574" s="309"/>
      <c r="P574" s="389"/>
      <c r="Q574" s="192"/>
      <c r="R574" s="149"/>
      <c r="S574" s="392"/>
      <c r="T574" s="393"/>
      <c r="U574" s="192"/>
      <c r="V574" s="149"/>
      <c r="W574" s="392"/>
      <c r="X574" s="393"/>
      <c r="Y574" s="192"/>
      <c r="Z574" s="149"/>
      <c r="AA574" s="392"/>
      <c r="AB574" s="393"/>
      <c r="AC574" s="192"/>
      <c r="AD574" s="149"/>
      <c r="AE574" s="392"/>
      <c r="AF574" s="393"/>
      <c r="AG574" s="143"/>
      <c r="AH574" s="143"/>
      <c r="AI574" s="143"/>
      <c r="AJ574" s="143"/>
      <c r="AK574" s="389"/>
      <c r="AL574" s="389"/>
      <c r="AM574" s="389"/>
    </row>
    <row r="575">
      <c r="A575" s="307"/>
      <c r="B575" s="308"/>
      <c r="C575" s="309"/>
      <c r="D575" s="389"/>
      <c r="E575" s="307"/>
      <c r="F575" s="308"/>
      <c r="G575" s="309"/>
      <c r="H575" s="389"/>
      <c r="I575" s="307"/>
      <c r="J575" s="308"/>
      <c r="K575" s="309"/>
      <c r="L575" s="389"/>
      <c r="M575" s="307"/>
      <c r="N575" s="308"/>
      <c r="O575" s="309"/>
      <c r="P575" s="389"/>
      <c r="Q575" s="192"/>
      <c r="R575" s="149"/>
      <c r="S575" s="392"/>
      <c r="T575" s="393"/>
      <c r="U575" s="192"/>
      <c r="V575" s="149"/>
      <c r="W575" s="392"/>
      <c r="X575" s="393"/>
      <c r="Y575" s="192"/>
      <c r="Z575" s="149"/>
      <c r="AA575" s="392"/>
      <c r="AB575" s="393"/>
      <c r="AC575" s="192"/>
      <c r="AD575" s="149"/>
      <c r="AE575" s="392"/>
      <c r="AF575" s="393"/>
      <c r="AG575" s="143"/>
      <c r="AH575" s="143"/>
      <c r="AI575" s="143"/>
      <c r="AJ575" s="143"/>
      <c r="AK575" s="389"/>
      <c r="AL575" s="389"/>
      <c r="AM575" s="389"/>
    </row>
    <row r="576">
      <c r="A576" s="307"/>
      <c r="B576" s="308"/>
      <c r="C576" s="309"/>
      <c r="D576" s="389"/>
      <c r="E576" s="307"/>
      <c r="F576" s="308"/>
      <c r="G576" s="309"/>
      <c r="H576" s="389"/>
      <c r="I576" s="307"/>
      <c r="J576" s="308"/>
      <c r="K576" s="309"/>
      <c r="L576" s="389"/>
      <c r="M576" s="307"/>
      <c r="N576" s="308"/>
      <c r="O576" s="309"/>
      <c r="P576" s="389"/>
      <c r="Q576" s="192"/>
      <c r="R576" s="149"/>
      <c r="S576" s="392"/>
      <c r="T576" s="393"/>
      <c r="U576" s="192"/>
      <c r="V576" s="149"/>
      <c r="W576" s="392"/>
      <c r="X576" s="393"/>
      <c r="Y576" s="192"/>
      <c r="Z576" s="149"/>
      <c r="AA576" s="392"/>
      <c r="AB576" s="393"/>
      <c r="AC576" s="192"/>
      <c r="AD576" s="149"/>
      <c r="AE576" s="392"/>
      <c r="AF576" s="393"/>
      <c r="AG576" s="143"/>
      <c r="AH576" s="143"/>
      <c r="AI576" s="143"/>
      <c r="AJ576" s="143"/>
      <c r="AK576" s="389"/>
      <c r="AL576" s="389"/>
      <c r="AM576" s="389"/>
    </row>
    <row r="577">
      <c r="A577" s="307"/>
      <c r="B577" s="308"/>
      <c r="C577" s="309"/>
      <c r="D577" s="389"/>
      <c r="E577" s="307"/>
      <c r="F577" s="308"/>
      <c r="G577" s="309"/>
      <c r="H577" s="389"/>
      <c r="I577" s="307"/>
      <c r="J577" s="308"/>
      <c r="K577" s="309"/>
      <c r="L577" s="389"/>
      <c r="M577" s="307"/>
      <c r="N577" s="308"/>
      <c r="O577" s="309"/>
      <c r="P577" s="389"/>
      <c r="Q577" s="192"/>
      <c r="R577" s="149"/>
      <c r="S577" s="392"/>
      <c r="T577" s="393"/>
      <c r="U577" s="192"/>
      <c r="V577" s="149"/>
      <c r="W577" s="392"/>
      <c r="X577" s="393"/>
      <c r="Y577" s="192"/>
      <c r="Z577" s="149"/>
      <c r="AA577" s="392"/>
      <c r="AB577" s="393"/>
      <c r="AC577" s="192"/>
      <c r="AD577" s="149"/>
      <c r="AE577" s="392"/>
      <c r="AF577" s="393"/>
      <c r="AG577" s="143"/>
      <c r="AH577" s="143"/>
      <c r="AI577" s="143"/>
      <c r="AJ577" s="143"/>
      <c r="AK577" s="389"/>
      <c r="AL577" s="389"/>
      <c r="AM577" s="389"/>
    </row>
    <row r="578">
      <c r="A578" s="307"/>
      <c r="B578" s="308"/>
      <c r="C578" s="309"/>
      <c r="D578" s="389"/>
      <c r="E578" s="307"/>
      <c r="F578" s="308"/>
      <c r="G578" s="309"/>
      <c r="H578" s="389"/>
      <c r="I578" s="307"/>
      <c r="J578" s="308"/>
      <c r="K578" s="309"/>
      <c r="L578" s="389"/>
      <c r="M578" s="307"/>
      <c r="N578" s="308"/>
      <c r="O578" s="309"/>
      <c r="P578" s="389"/>
      <c r="Q578" s="192"/>
      <c r="R578" s="149"/>
      <c r="S578" s="392"/>
      <c r="T578" s="393"/>
      <c r="U578" s="192"/>
      <c r="V578" s="149"/>
      <c r="W578" s="392"/>
      <c r="X578" s="393"/>
      <c r="Y578" s="192"/>
      <c r="Z578" s="149"/>
      <c r="AA578" s="392"/>
      <c r="AB578" s="393"/>
      <c r="AC578" s="192"/>
      <c r="AD578" s="149"/>
      <c r="AE578" s="392"/>
      <c r="AF578" s="393"/>
      <c r="AG578" s="143"/>
      <c r="AH578" s="143"/>
      <c r="AI578" s="143"/>
      <c r="AJ578" s="143"/>
      <c r="AK578" s="389"/>
      <c r="AL578" s="389"/>
      <c r="AM578" s="389"/>
    </row>
    <row r="579">
      <c r="A579" s="307"/>
      <c r="B579" s="308"/>
      <c r="C579" s="309"/>
      <c r="D579" s="389"/>
      <c r="E579" s="307"/>
      <c r="F579" s="308"/>
      <c r="G579" s="309"/>
      <c r="H579" s="389"/>
      <c r="I579" s="307"/>
      <c r="J579" s="308"/>
      <c r="K579" s="309"/>
      <c r="L579" s="389"/>
      <c r="M579" s="307"/>
      <c r="N579" s="308"/>
      <c r="O579" s="309"/>
      <c r="P579" s="389"/>
      <c r="Q579" s="192"/>
      <c r="R579" s="149"/>
      <c r="S579" s="392"/>
      <c r="T579" s="393"/>
      <c r="U579" s="192"/>
      <c r="V579" s="149"/>
      <c r="W579" s="392"/>
      <c r="X579" s="393"/>
      <c r="Y579" s="192"/>
      <c r="Z579" s="149"/>
      <c r="AA579" s="392"/>
      <c r="AB579" s="393"/>
      <c r="AC579" s="192"/>
      <c r="AD579" s="149"/>
      <c r="AE579" s="392"/>
      <c r="AF579" s="393"/>
      <c r="AG579" s="143"/>
      <c r="AH579" s="143"/>
      <c r="AI579" s="143"/>
      <c r="AJ579" s="143"/>
      <c r="AK579" s="389"/>
      <c r="AL579" s="389"/>
      <c r="AM579" s="389"/>
    </row>
    <row r="580">
      <c r="A580" s="307"/>
      <c r="B580" s="308"/>
      <c r="C580" s="309"/>
      <c r="D580" s="389"/>
      <c r="E580" s="307"/>
      <c r="F580" s="308"/>
      <c r="G580" s="309"/>
      <c r="H580" s="389"/>
      <c r="I580" s="307"/>
      <c r="J580" s="308"/>
      <c r="K580" s="309"/>
      <c r="L580" s="389"/>
      <c r="M580" s="307"/>
      <c r="N580" s="308"/>
      <c r="O580" s="309"/>
      <c r="P580" s="389"/>
      <c r="Q580" s="192"/>
      <c r="R580" s="149"/>
      <c r="S580" s="392"/>
      <c r="T580" s="393"/>
      <c r="U580" s="192"/>
      <c r="V580" s="149"/>
      <c r="W580" s="392"/>
      <c r="X580" s="393"/>
      <c r="Y580" s="192"/>
      <c r="Z580" s="149"/>
      <c r="AA580" s="392"/>
      <c r="AB580" s="393"/>
      <c r="AC580" s="192"/>
      <c r="AD580" s="149"/>
      <c r="AE580" s="392"/>
      <c r="AF580" s="393"/>
      <c r="AG580" s="143"/>
      <c r="AH580" s="143"/>
      <c r="AI580" s="143"/>
      <c r="AJ580" s="143"/>
      <c r="AK580" s="389"/>
      <c r="AL580" s="389"/>
      <c r="AM580" s="389"/>
    </row>
    <row r="581">
      <c r="A581" s="307"/>
      <c r="B581" s="308"/>
      <c r="C581" s="309"/>
      <c r="D581" s="389"/>
      <c r="E581" s="307"/>
      <c r="F581" s="308"/>
      <c r="G581" s="309"/>
      <c r="H581" s="389"/>
      <c r="I581" s="307"/>
      <c r="J581" s="308"/>
      <c r="K581" s="309"/>
      <c r="L581" s="389"/>
      <c r="M581" s="307"/>
      <c r="N581" s="308"/>
      <c r="O581" s="309"/>
      <c r="P581" s="389"/>
      <c r="Q581" s="192"/>
      <c r="R581" s="149"/>
      <c r="S581" s="392"/>
      <c r="T581" s="393"/>
      <c r="U581" s="192"/>
      <c r="V581" s="149"/>
      <c r="W581" s="392"/>
      <c r="X581" s="393"/>
      <c r="Y581" s="192"/>
      <c r="Z581" s="149"/>
      <c r="AA581" s="392"/>
      <c r="AB581" s="393"/>
      <c r="AC581" s="192"/>
      <c r="AD581" s="149"/>
      <c r="AE581" s="392"/>
      <c r="AF581" s="393"/>
      <c r="AG581" s="143"/>
      <c r="AH581" s="143"/>
      <c r="AI581" s="143"/>
      <c r="AJ581" s="143"/>
      <c r="AK581" s="389"/>
      <c r="AL581" s="389"/>
      <c r="AM581" s="389"/>
    </row>
    <row r="582">
      <c r="A582" s="307"/>
      <c r="B582" s="308"/>
      <c r="C582" s="309"/>
      <c r="D582" s="389"/>
      <c r="E582" s="307"/>
      <c r="F582" s="308"/>
      <c r="G582" s="309"/>
      <c r="H582" s="389"/>
      <c r="I582" s="307"/>
      <c r="J582" s="308"/>
      <c r="K582" s="309"/>
      <c r="L582" s="389"/>
      <c r="M582" s="307"/>
      <c r="N582" s="308"/>
      <c r="O582" s="309"/>
      <c r="P582" s="389"/>
      <c r="Q582" s="192"/>
      <c r="R582" s="149"/>
      <c r="S582" s="392"/>
      <c r="T582" s="393"/>
      <c r="U582" s="192"/>
      <c r="V582" s="149"/>
      <c r="W582" s="392"/>
      <c r="X582" s="393"/>
      <c r="Y582" s="192"/>
      <c r="Z582" s="149"/>
      <c r="AA582" s="392"/>
      <c r="AB582" s="393"/>
      <c r="AC582" s="192"/>
      <c r="AD582" s="149"/>
      <c r="AE582" s="392"/>
      <c r="AF582" s="393"/>
      <c r="AG582" s="143"/>
      <c r="AH582" s="143"/>
      <c r="AI582" s="143"/>
      <c r="AJ582" s="143"/>
      <c r="AK582" s="389"/>
      <c r="AL582" s="389"/>
      <c r="AM582" s="389"/>
    </row>
    <row r="583">
      <c r="A583" s="307"/>
      <c r="B583" s="308"/>
      <c r="C583" s="309"/>
      <c r="D583" s="389"/>
      <c r="E583" s="307"/>
      <c r="F583" s="308"/>
      <c r="G583" s="309"/>
      <c r="H583" s="389"/>
      <c r="I583" s="307"/>
      <c r="J583" s="308"/>
      <c r="K583" s="309"/>
      <c r="L583" s="389"/>
      <c r="M583" s="307"/>
      <c r="N583" s="308"/>
      <c r="O583" s="309"/>
      <c r="P583" s="389"/>
      <c r="Q583" s="192"/>
      <c r="R583" s="149"/>
      <c r="S583" s="392"/>
      <c r="T583" s="393"/>
      <c r="U583" s="192"/>
      <c r="V583" s="149"/>
      <c r="W583" s="392"/>
      <c r="X583" s="393"/>
      <c r="Y583" s="192"/>
      <c r="Z583" s="149"/>
      <c r="AA583" s="392"/>
      <c r="AB583" s="393"/>
      <c r="AC583" s="192"/>
      <c r="AD583" s="149"/>
      <c r="AE583" s="392"/>
      <c r="AF583" s="393"/>
      <c r="AG583" s="143"/>
      <c r="AH583" s="143"/>
      <c r="AI583" s="143"/>
      <c r="AJ583" s="143"/>
      <c r="AK583" s="389"/>
      <c r="AL583" s="389"/>
      <c r="AM583" s="389"/>
    </row>
    <row r="584">
      <c r="A584" s="307"/>
      <c r="B584" s="308"/>
      <c r="C584" s="309"/>
      <c r="D584" s="389"/>
      <c r="E584" s="307"/>
      <c r="F584" s="308"/>
      <c r="G584" s="309"/>
      <c r="H584" s="389"/>
      <c r="I584" s="307"/>
      <c r="J584" s="308"/>
      <c r="K584" s="309"/>
      <c r="L584" s="389"/>
      <c r="M584" s="307"/>
      <c r="N584" s="308"/>
      <c r="O584" s="309"/>
      <c r="P584" s="389"/>
      <c r="Q584" s="192"/>
      <c r="R584" s="149"/>
      <c r="S584" s="392"/>
      <c r="T584" s="393"/>
      <c r="U584" s="192"/>
      <c r="V584" s="149"/>
      <c r="W584" s="392"/>
      <c r="X584" s="393"/>
      <c r="Y584" s="192"/>
      <c r="Z584" s="149"/>
      <c r="AA584" s="392"/>
      <c r="AB584" s="393"/>
      <c r="AC584" s="192"/>
      <c r="AD584" s="149"/>
      <c r="AE584" s="392"/>
      <c r="AF584" s="393"/>
      <c r="AG584" s="143"/>
      <c r="AH584" s="143"/>
      <c r="AI584" s="143"/>
      <c r="AJ584" s="143"/>
      <c r="AK584" s="389"/>
      <c r="AL584" s="389"/>
      <c r="AM584" s="389"/>
    </row>
    <row r="585">
      <c r="A585" s="307"/>
      <c r="B585" s="308"/>
      <c r="C585" s="309"/>
      <c r="D585" s="389"/>
      <c r="E585" s="307"/>
      <c r="F585" s="308"/>
      <c r="G585" s="309"/>
      <c r="H585" s="389"/>
      <c r="I585" s="307"/>
      <c r="J585" s="308"/>
      <c r="K585" s="309"/>
      <c r="L585" s="389"/>
      <c r="M585" s="307"/>
      <c r="N585" s="308"/>
      <c r="O585" s="309"/>
      <c r="P585" s="389"/>
      <c r="Q585" s="192"/>
      <c r="R585" s="149"/>
      <c r="S585" s="392"/>
      <c r="T585" s="393"/>
      <c r="U585" s="192"/>
      <c r="V585" s="149"/>
      <c r="W585" s="392"/>
      <c r="X585" s="393"/>
      <c r="Y585" s="192"/>
      <c r="Z585" s="149"/>
      <c r="AA585" s="392"/>
      <c r="AB585" s="393"/>
      <c r="AC585" s="192"/>
      <c r="AD585" s="149"/>
      <c r="AE585" s="392"/>
      <c r="AF585" s="393"/>
      <c r="AG585" s="143"/>
      <c r="AH585" s="143"/>
      <c r="AI585" s="143"/>
      <c r="AJ585" s="143"/>
      <c r="AK585" s="389"/>
      <c r="AL585" s="389"/>
      <c r="AM585" s="389"/>
    </row>
    <row r="586">
      <c r="A586" s="307"/>
      <c r="B586" s="308"/>
      <c r="C586" s="309"/>
      <c r="D586" s="389"/>
      <c r="E586" s="307"/>
      <c r="F586" s="308"/>
      <c r="G586" s="309"/>
      <c r="H586" s="389"/>
      <c r="I586" s="307"/>
      <c r="J586" s="308"/>
      <c r="K586" s="309"/>
      <c r="L586" s="389"/>
      <c r="M586" s="307"/>
      <c r="N586" s="308"/>
      <c r="O586" s="309"/>
      <c r="P586" s="389"/>
      <c r="Q586" s="192"/>
      <c r="R586" s="149"/>
      <c r="S586" s="392"/>
      <c r="T586" s="393"/>
      <c r="U586" s="192"/>
      <c r="V586" s="149"/>
      <c r="W586" s="392"/>
      <c r="X586" s="393"/>
      <c r="Y586" s="192"/>
      <c r="Z586" s="149"/>
      <c r="AA586" s="392"/>
      <c r="AB586" s="393"/>
      <c r="AC586" s="192"/>
      <c r="AD586" s="149"/>
      <c r="AE586" s="392"/>
      <c r="AF586" s="393"/>
      <c r="AG586" s="143"/>
      <c r="AH586" s="143"/>
      <c r="AI586" s="143"/>
      <c r="AJ586" s="143"/>
      <c r="AK586" s="389"/>
      <c r="AL586" s="389"/>
      <c r="AM586" s="389"/>
    </row>
    <row r="587">
      <c r="A587" s="307"/>
      <c r="B587" s="308"/>
      <c r="C587" s="309"/>
      <c r="D587" s="389"/>
      <c r="E587" s="307"/>
      <c r="F587" s="308"/>
      <c r="G587" s="309"/>
      <c r="H587" s="389"/>
      <c r="I587" s="307"/>
      <c r="J587" s="308"/>
      <c r="K587" s="309"/>
      <c r="L587" s="389"/>
      <c r="M587" s="307"/>
      <c r="N587" s="308"/>
      <c r="O587" s="309"/>
      <c r="P587" s="389"/>
      <c r="Q587" s="192"/>
      <c r="R587" s="149"/>
      <c r="S587" s="392"/>
      <c r="T587" s="393"/>
      <c r="U587" s="192"/>
      <c r="V587" s="149"/>
      <c r="W587" s="392"/>
      <c r="X587" s="393"/>
      <c r="Y587" s="192"/>
      <c r="Z587" s="149"/>
      <c r="AA587" s="392"/>
      <c r="AB587" s="393"/>
      <c r="AC587" s="192"/>
      <c r="AD587" s="149"/>
      <c r="AE587" s="392"/>
      <c r="AF587" s="393"/>
      <c r="AG587" s="143"/>
      <c r="AH587" s="143"/>
      <c r="AI587" s="143"/>
      <c r="AJ587" s="143"/>
      <c r="AK587" s="389"/>
      <c r="AL587" s="389"/>
      <c r="AM587" s="389"/>
    </row>
    <row r="588">
      <c r="A588" s="307"/>
      <c r="B588" s="308"/>
      <c r="C588" s="309"/>
      <c r="D588" s="389"/>
      <c r="E588" s="307"/>
      <c r="F588" s="308"/>
      <c r="G588" s="309"/>
      <c r="H588" s="389"/>
      <c r="I588" s="307"/>
      <c r="J588" s="308"/>
      <c r="K588" s="309"/>
      <c r="L588" s="389"/>
      <c r="M588" s="307"/>
      <c r="N588" s="308"/>
      <c r="O588" s="309"/>
      <c r="P588" s="389"/>
      <c r="Q588" s="192"/>
      <c r="R588" s="149"/>
      <c r="S588" s="392"/>
      <c r="T588" s="393"/>
      <c r="U588" s="192"/>
      <c r="V588" s="149"/>
      <c r="W588" s="392"/>
      <c r="X588" s="393"/>
      <c r="Y588" s="192"/>
      <c r="Z588" s="149"/>
      <c r="AA588" s="392"/>
      <c r="AB588" s="393"/>
      <c r="AC588" s="192"/>
      <c r="AD588" s="149"/>
      <c r="AE588" s="392"/>
      <c r="AF588" s="393"/>
      <c r="AG588" s="143"/>
      <c r="AH588" s="143"/>
      <c r="AI588" s="143"/>
      <c r="AJ588" s="143"/>
      <c r="AK588" s="389"/>
      <c r="AL588" s="389"/>
      <c r="AM588" s="389"/>
    </row>
    <row r="589">
      <c r="A589" s="307"/>
      <c r="B589" s="308"/>
      <c r="C589" s="309"/>
      <c r="D589" s="389"/>
      <c r="E589" s="307"/>
      <c r="F589" s="308"/>
      <c r="G589" s="309"/>
      <c r="H589" s="389"/>
      <c r="I589" s="307"/>
      <c r="J589" s="308"/>
      <c r="K589" s="309"/>
      <c r="L589" s="389"/>
      <c r="M589" s="307"/>
      <c r="N589" s="308"/>
      <c r="O589" s="309"/>
      <c r="P589" s="389"/>
      <c r="Q589" s="192"/>
      <c r="R589" s="149"/>
      <c r="S589" s="392"/>
      <c r="T589" s="393"/>
      <c r="U589" s="192"/>
      <c r="V589" s="149"/>
      <c r="W589" s="392"/>
      <c r="X589" s="393"/>
      <c r="Y589" s="192"/>
      <c r="Z589" s="149"/>
      <c r="AA589" s="392"/>
      <c r="AB589" s="393"/>
      <c r="AC589" s="192"/>
      <c r="AD589" s="149"/>
      <c r="AE589" s="392"/>
      <c r="AF589" s="393"/>
      <c r="AG589" s="143"/>
      <c r="AH589" s="143"/>
      <c r="AI589" s="143"/>
      <c r="AJ589" s="143"/>
      <c r="AK589" s="389"/>
      <c r="AL589" s="389"/>
      <c r="AM589" s="389"/>
    </row>
    <row r="590">
      <c r="A590" s="307"/>
      <c r="B590" s="308"/>
      <c r="C590" s="309"/>
      <c r="D590" s="389"/>
      <c r="E590" s="307"/>
      <c r="F590" s="308"/>
      <c r="G590" s="309"/>
      <c r="H590" s="389"/>
      <c r="I590" s="307"/>
      <c r="J590" s="308"/>
      <c r="K590" s="309"/>
      <c r="L590" s="389"/>
      <c r="M590" s="307"/>
      <c r="N590" s="308"/>
      <c r="O590" s="309"/>
      <c r="P590" s="389"/>
      <c r="Q590" s="192"/>
      <c r="R590" s="149"/>
      <c r="S590" s="392"/>
      <c r="T590" s="393"/>
      <c r="U590" s="192"/>
      <c r="V590" s="149"/>
      <c r="W590" s="392"/>
      <c r="X590" s="393"/>
      <c r="Y590" s="192"/>
      <c r="Z590" s="149"/>
      <c r="AA590" s="392"/>
      <c r="AB590" s="393"/>
      <c r="AC590" s="192"/>
      <c r="AD590" s="149"/>
      <c r="AE590" s="392"/>
      <c r="AF590" s="393"/>
      <c r="AG590" s="143"/>
      <c r="AH590" s="143"/>
      <c r="AI590" s="143"/>
      <c r="AJ590" s="143"/>
      <c r="AK590" s="389"/>
      <c r="AL590" s="389"/>
      <c r="AM590" s="389"/>
    </row>
    <row r="591">
      <c r="A591" s="307"/>
      <c r="B591" s="308"/>
      <c r="C591" s="309"/>
      <c r="D591" s="389"/>
      <c r="E591" s="307"/>
      <c r="F591" s="308"/>
      <c r="G591" s="309"/>
      <c r="H591" s="389"/>
      <c r="I591" s="307"/>
      <c r="J591" s="308"/>
      <c r="K591" s="309"/>
      <c r="L591" s="389"/>
      <c r="M591" s="307"/>
      <c r="N591" s="308"/>
      <c r="O591" s="309"/>
      <c r="P591" s="389"/>
      <c r="Q591" s="192"/>
      <c r="R591" s="149"/>
      <c r="S591" s="392"/>
      <c r="T591" s="393"/>
      <c r="U591" s="192"/>
      <c r="V591" s="149"/>
      <c r="W591" s="392"/>
      <c r="X591" s="393"/>
      <c r="Y591" s="192"/>
      <c r="Z591" s="149"/>
      <c r="AA591" s="392"/>
      <c r="AB591" s="393"/>
      <c r="AC591" s="192"/>
      <c r="AD591" s="149"/>
      <c r="AE591" s="392"/>
      <c r="AF591" s="393"/>
      <c r="AG591" s="143"/>
      <c r="AH591" s="143"/>
      <c r="AI591" s="143"/>
      <c r="AJ591" s="143"/>
      <c r="AK591" s="389"/>
      <c r="AL591" s="389"/>
      <c r="AM591" s="389"/>
    </row>
    <row r="592">
      <c r="A592" s="307"/>
      <c r="B592" s="308"/>
      <c r="C592" s="309"/>
      <c r="D592" s="389"/>
      <c r="E592" s="307"/>
      <c r="F592" s="308"/>
      <c r="G592" s="309"/>
      <c r="H592" s="389"/>
      <c r="I592" s="307"/>
      <c r="J592" s="308"/>
      <c r="K592" s="309"/>
      <c r="L592" s="389"/>
      <c r="M592" s="307"/>
      <c r="N592" s="308"/>
      <c r="O592" s="309"/>
      <c r="P592" s="389"/>
      <c r="Q592" s="192"/>
      <c r="R592" s="149"/>
      <c r="S592" s="392"/>
      <c r="T592" s="393"/>
      <c r="U592" s="192"/>
      <c r="V592" s="149"/>
      <c r="W592" s="392"/>
      <c r="X592" s="393"/>
      <c r="Y592" s="192"/>
      <c r="Z592" s="149"/>
      <c r="AA592" s="392"/>
      <c r="AB592" s="393"/>
      <c r="AC592" s="192"/>
      <c r="AD592" s="149"/>
      <c r="AE592" s="392"/>
      <c r="AF592" s="393"/>
      <c r="AG592" s="143"/>
      <c r="AH592" s="143"/>
      <c r="AI592" s="143"/>
      <c r="AJ592" s="143"/>
      <c r="AK592" s="389"/>
      <c r="AL592" s="389"/>
      <c r="AM592" s="389"/>
    </row>
    <row r="593">
      <c r="A593" s="307"/>
      <c r="B593" s="308"/>
      <c r="C593" s="309"/>
      <c r="D593" s="389"/>
      <c r="E593" s="307"/>
      <c r="F593" s="308"/>
      <c r="G593" s="309"/>
      <c r="H593" s="389"/>
      <c r="I593" s="307"/>
      <c r="J593" s="308"/>
      <c r="K593" s="309"/>
      <c r="L593" s="389"/>
      <c r="M593" s="307"/>
      <c r="N593" s="308"/>
      <c r="O593" s="309"/>
      <c r="P593" s="389"/>
      <c r="Q593" s="192"/>
      <c r="R593" s="149"/>
      <c r="S593" s="392"/>
      <c r="T593" s="393"/>
      <c r="U593" s="192"/>
      <c r="V593" s="149"/>
      <c r="W593" s="392"/>
      <c r="X593" s="393"/>
      <c r="Y593" s="192"/>
      <c r="Z593" s="149"/>
      <c r="AA593" s="392"/>
      <c r="AB593" s="393"/>
      <c r="AC593" s="192"/>
      <c r="AD593" s="149"/>
      <c r="AE593" s="392"/>
      <c r="AF593" s="393"/>
      <c r="AG593" s="143"/>
      <c r="AH593" s="143"/>
      <c r="AI593" s="143"/>
      <c r="AJ593" s="143"/>
      <c r="AK593" s="389"/>
      <c r="AL593" s="389"/>
      <c r="AM593" s="389"/>
    </row>
    <row r="594">
      <c r="A594" s="307"/>
      <c r="B594" s="308"/>
      <c r="C594" s="309"/>
      <c r="D594" s="389"/>
      <c r="E594" s="307"/>
      <c r="F594" s="308"/>
      <c r="G594" s="309"/>
      <c r="H594" s="389"/>
      <c r="I594" s="307"/>
      <c r="J594" s="308"/>
      <c r="K594" s="309"/>
      <c r="L594" s="389"/>
      <c r="M594" s="307"/>
      <c r="N594" s="308"/>
      <c r="O594" s="309"/>
      <c r="P594" s="389"/>
      <c r="Q594" s="192"/>
      <c r="R594" s="149"/>
      <c r="S594" s="392"/>
      <c r="T594" s="393"/>
      <c r="U594" s="192"/>
      <c r="V594" s="149"/>
      <c r="W594" s="392"/>
      <c r="X594" s="393"/>
      <c r="Y594" s="192"/>
      <c r="Z594" s="149"/>
      <c r="AA594" s="392"/>
      <c r="AB594" s="393"/>
      <c r="AC594" s="192"/>
      <c r="AD594" s="149"/>
      <c r="AE594" s="392"/>
      <c r="AF594" s="393"/>
      <c r="AG594" s="143"/>
      <c r="AH594" s="143"/>
      <c r="AI594" s="143"/>
      <c r="AJ594" s="143"/>
      <c r="AK594" s="389"/>
      <c r="AL594" s="389"/>
      <c r="AM594" s="389"/>
    </row>
    <row r="595">
      <c r="A595" s="307"/>
      <c r="B595" s="308"/>
      <c r="C595" s="309"/>
      <c r="D595" s="389"/>
      <c r="E595" s="307"/>
      <c r="F595" s="308"/>
      <c r="G595" s="309"/>
      <c r="H595" s="389"/>
      <c r="I595" s="307"/>
      <c r="J595" s="308"/>
      <c r="K595" s="309"/>
      <c r="L595" s="389"/>
      <c r="M595" s="307"/>
      <c r="N595" s="308"/>
      <c r="O595" s="309"/>
      <c r="P595" s="389"/>
      <c r="Q595" s="192"/>
      <c r="R595" s="149"/>
      <c r="S595" s="392"/>
      <c r="T595" s="393"/>
      <c r="U595" s="192"/>
      <c r="V595" s="149"/>
      <c r="W595" s="392"/>
      <c r="X595" s="393"/>
      <c r="Y595" s="192"/>
      <c r="Z595" s="149"/>
      <c r="AA595" s="392"/>
      <c r="AB595" s="393"/>
      <c r="AC595" s="192"/>
      <c r="AD595" s="149"/>
      <c r="AE595" s="392"/>
      <c r="AF595" s="393"/>
      <c r="AG595" s="143"/>
      <c r="AH595" s="143"/>
      <c r="AI595" s="143"/>
      <c r="AJ595" s="143"/>
      <c r="AK595" s="389"/>
      <c r="AL595" s="389"/>
      <c r="AM595" s="389"/>
    </row>
    <row r="596">
      <c r="A596" s="307"/>
      <c r="B596" s="308"/>
      <c r="C596" s="309"/>
      <c r="D596" s="389"/>
      <c r="E596" s="307"/>
      <c r="F596" s="308"/>
      <c r="G596" s="309"/>
      <c r="H596" s="389"/>
      <c r="I596" s="307"/>
      <c r="J596" s="308"/>
      <c r="K596" s="309"/>
      <c r="L596" s="389"/>
      <c r="M596" s="307"/>
      <c r="N596" s="308"/>
      <c r="O596" s="309"/>
      <c r="P596" s="389"/>
      <c r="Q596" s="192"/>
      <c r="R596" s="149"/>
      <c r="S596" s="392"/>
      <c r="T596" s="393"/>
      <c r="U596" s="192"/>
      <c r="V596" s="149"/>
      <c r="W596" s="392"/>
      <c r="X596" s="393"/>
      <c r="Y596" s="192"/>
      <c r="Z596" s="149"/>
      <c r="AA596" s="392"/>
      <c r="AB596" s="393"/>
      <c r="AC596" s="192"/>
      <c r="AD596" s="149"/>
      <c r="AE596" s="392"/>
      <c r="AF596" s="393"/>
      <c r="AG596" s="143"/>
      <c r="AH596" s="143"/>
      <c r="AI596" s="143"/>
      <c r="AJ596" s="143"/>
      <c r="AK596" s="389"/>
      <c r="AL596" s="389"/>
      <c r="AM596" s="389"/>
    </row>
    <row r="597">
      <c r="A597" s="307"/>
      <c r="B597" s="308"/>
      <c r="C597" s="309"/>
      <c r="D597" s="389"/>
      <c r="E597" s="307"/>
      <c r="F597" s="308"/>
      <c r="G597" s="309"/>
      <c r="H597" s="389"/>
      <c r="I597" s="307"/>
      <c r="J597" s="308"/>
      <c r="K597" s="309"/>
      <c r="L597" s="389"/>
      <c r="M597" s="307"/>
      <c r="N597" s="308"/>
      <c r="O597" s="309"/>
      <c r="P597" s="389"/>
      <c r="Q597" s="192"/>
      <c r="R597" s="149"/>
      <c r="S597" s="392"/>
      <c r="T597" s="393"/>
      <c r="U597" s="192"/>
      <c r="V597" s="149"/>
      <c r="W597" s="392"/>
      <c r="X597" s="393"/>
      <c r="Y597" s="192"/>
      <c r="Z597" s="149"/>
      <c r="AA597" s="392"/>
      <c r="AB597" s="393"/>
      <c r="AC597" s="192"/>
      <c r="AD597" s="149"/>
      <c r="AE597" s="392"/>
      <c r="AF597" s="393"/>
      <c r="AG597" s="143"/>
      <c r="AH597" s="143"/>
      <c r="AI597" s="143"/>
      <c r="AJ597" s="143"/>
      <c r="AK597" s="389"/>
      <c r="AL597" s="389"/>
      <c r="AM597" s="389"/>
    </row>
    <row r="598">
      <c r="A598" s="307"/>
      <c r="B598" s="308"/>
      <c r="C598" s="309"/>
      <c r="D598" s="389"/>
      <c r="E598" s="307"/>
      <c r="F598" s="308"/>
      <c r="G598" s="309"/>
      <c r="H598" s="389"/>
      <c r="I598" s="307"/>
      <c r="J598" s="308"/>
      <c r="K598" s="309"/>
      <c r="L598" s="389"/>
      <c r="M598" s="307"/>
      <c r="N598" s="308"/>
      <c r="O598" s="309"/>
      <c r="P598" s="389"/>
      <c r="Q598" s="192"/>
      <c r="R598" s="149"/>
      <c r="S598" s="392"/>
      <c r="T598" s="393"/>
      <c r="U598" s="192"/>
      <c r="V598" s="149"/>
      <c r="W598" s="392"/>
      <c r="X598" s="393"/>
      <c r="Y598" s="192"/>
      <c r="Z598" s="149"/>
      <c r="AA598" s="392"/>
      <c r="AB598" s="393"/>
      <c r="AC598" s="192"/>
      <c r="AD598" s="149"/>
      <c r="AE598" s="392"/>
      <c r="AF598" s="393"/>
      <c r="AG598" s="143"/>
      <c r="AH598" s="143"/>
      <c r="AI598" s="143"/>
      <c r="AJ598" s="143"/>
      <c r="AK598" s="389"/>
      <c r="AL598" s="389"/>
      <c r="AM598" s="389"/>
    </row>
    <row r="599">
      <c r="A599" s="307"/>
      <c r="B599" s="308"/>
      <c r="C599" s="309"/>
      <c r="D599" s="389"/>
      <c r="E599" s="307"/>
      <c r="F599" s="308"/>
      <c r="G599" s="309"/>
      <c r="H599" s="389"/>
      <c r="I599" s="307"/>
      <c r="J599" s="308"/>
      <c r="K599" s="309"/>
      <c r="L599" s="389"/>
      <c r="M599" s="307"/>
      <c r="N599" s="308"/>
      <c r="O599" s="309"/>
      <c r="P599" s="389"/>
      <c r="Q599" s="192"/>
      <c r="R599" s="149"/>
      <c r="S599" s="392"/>
      <c r="T599" s="393"/>
      <c r="U599" s="192"/>
      <c r="V599" s="149"/>
      <c r="W599" s="392"/>
      <c r="X599" s="393"/>
      <c r="Y599" s="192"/>
      <c r="Z599" s="149"/>
      <c r="AA599" s="392"/>
      <c r="AB599" s="393"/>
      <c r="AC599" s="192"/>
      <c r="AD599" s="149"/>
      <c r="AE599" s="392"/>
      <c r="AF599" s="393"/>
      <c r="AG599" s="143"/>
      <c r="AH599" s="143"/>
      <c r="AI599" s="143"/>
      <c r="AJ599" s="143"/>
      <c r="AK599" s="389"/>
      <c r="AL599" s="389"/>
      <c r="AM599" s="389"/>
    </row>
    <row r="600">
      <c r="A600" s="307"/>
      <c r="B600" s="308"/>
      <c r="C600" s="309"/>
      <c r="D600" s="389"/>
      <c r="E600" s="307"/>
      <c r="F600" s="308"/>
      <c r="G600" s="309"/>
      <c r="H600" s="389"/>
      <c r="I600" s="307"/>
      <c r="J600" s="308"/>
      <c r="K600" s="309"/>
      <c r="L600" s="389"/>
      <c r="M600" s="307"/>
      <c r="N600" s="308"/>
      <c r="O600" s="309"/>
      <c r="P600" s="389"/>
      <c r="Q600" s="192"/>
      <c r="R600" s="149"/>
      <c r="S600" s="392"/>
      <c r="T600" s="393"/>
      <c r="U600" s="192"/>
      <c r="V600" s="149"/>
      <c r="W600" s="392"/>
      <c r="X600" s="393"/>
      <c r="Y600" s="192"/>
      <c r="Z600" s="149"/>
      <c r="AA600" s="392"/>
      <c r="AB600" s="393"/>
      <c r="AC600" s="192"/>
      <c r="AD600" s="149"/>
      <c r="AE600" s="392"/>
      <c r="AF600" s="393"/>
      <c r="AG600" s="143"/>
      <c r="AH600" s="143"/>
      <c r="AI600" s="143"/>
      <c r="AJ600" s="143"/>
      <c r="AK600" s="389"/>
      <c r="AL600" s="389"/>
      <c r="AM600" s="389"/>
    </row>
    <row r="601">
      <c r="A601" s="307"/>
      <c r="B601" s="308"/>
      <c r="C601" s="309"/>
      <c r="D601" s="389"/>
      <c r="E601" s="307"/>
      <c r="F601" s="308"/>
      <c r="G601" s="309"/>
      <c r="H601" s="389"/>
      <c r="I601" s="307"/>
      <c r="J601" s="308"/>
      <c r="K601" s="309"/>
      <c r="L601" s="389"/>
      <c r="M601" s="307"/>
      <c r="N601" s="308"/>
      <c r="O601" s="309"/>
      <c r="P601" s="389"/>
      <c r="Q601" s="192"/>
      <c r="R601" s="149"/>
      <c r="S601" s="392"/>
      <c r="T601" s="393"/>
      <c r="U601" s="192"/>
      <c r="V601" s="149"/>
      <c r="W601" s="392"/>
      <c r="X601" s="393"/>
      <c r="Y601" s="192"/>
      <c r="Z601" s="149"/>
      <c r="AA601" s="392"/>
      <c r="AB601" s="393"/>
      <c r="AC601" s="192"/>
      <c r="AD601" s="149"/>
      <c r="AE601" s="392"/>
      <c r="AF601" s="393"/>
      <c r="AG601" s="143"/>
      <c r="AH601" s="143"/>
      <c r="AI601" s="143"/>
      <c r="AJ601" s="143"/>
      <c r="AK601" s="389"/>
      <c r="AL601" s="389"/>
      <c r="AM601" s="389"/>
    </row>
    <row r="602">
      <c r="A602" s="307"/>
      <c r="B602" s="308"/>
      <c r="C602" s="309"/>
      <c r="D602" s="389"/>
      <c r="E602" s="307"/>
      <c r="F602" s="308"/>
      <c r="G602" s="309"/>
      <c r="H602" s="389"/>
      <c r="I602" s="307"/>
      <c r="J602" s="308"/>
      <c r="K602" s="309"/>
      <c r="L602" s="389"/>
      <c r="M602" s="307"/>
      <c r="N602" s="308"/>
      <c r="O602" s="309"/>
      <c r="P602" s="389"/>
      <c r="Q602" s="192"/>
      <c r="R602" s="149"/>
      <c r="S602" s="392"/>
      <c r="T602" s="393"/>
      <c r="U602" s="192"/>
      <c r="V602" s="149"/>
      <c r="W602" s="392"/>
      <c r="X602" s="393"/>
      <c r="Y602" s="192"/>
      <c r="Z602" s="149"/>
      <c r="AA602" s="392"/>
      <c r="AB602" s="393"/>
      <c r="AC602" s="192"/>
      <c r="AD602" s="149"/>
      <c r="AE602" s="392"/>
      <c r="AF602" s="393"/>
      <c r="AG602" s="143"/>
      <c r="AH602" s="143"/>
      <c r="AI602" s="143"/>
      <c r="AJ602" s="143"/>
      <c r="AK602" s="389"/>
      <c r="AL602" s="389"/>
      <c r="AM602" s="389"/>
    </row>
    <row r="603">
      <c r="A603" s="307"/>
      <c r="B603" s="308"/>
      <c r="C603" s="309"/>
      <c r="D603" s="389"/>
      <c r="E603" s="307"/>
      <c r="F603" s="308"/>
      <c r="G603" s="309"/>
      <c r="H603" s="389"/>
      <c r="I603" s="307"/>
      <c r="J603" s="308"/>
      <c r="K603" s="309"/>
      <c r="L603" s="389"/>
      <c r="M603" s="307"/>
      <c r="N603" s="308"/>
      <c r="O603" s="309"/>
      <c r="P603" s="389"/>
      <c r="Q603" s="192"/>
      <c r="R603" s="149"/>
      <c r="S603" s="392"/>
      <c r="T603" s="393"/>
      <c r="U603" s="192"/>
      <c r="V603" s="149"/>
      <c r="W603" s="392"/>
      <c r="X603" s="393"/>
      <c r="Y603" s="192"/>
      <c r="Z603" s="149"/>
      <c r="AA603" s="392"/>
      <c r="AB603" s="393"/>
      <c r="AC603" s="192"/>
      <c r="AD603" s="149"/>
      <c r="AE603" s="392"/>
      <c r="AF603" s="393"/>
      <c r="AG603" s="143"/>
      <c r="AH603" s="143"/>
      <c r="AI603" s="143"/>
      <c r="AJ603" s="143"/>
      <c r="AK603" s="389"/>
      <c r="AL603" s="389"/>
      <c r="AM603" s="389"/>
    </row>
    <row r="604">
      <c r="A604" s="307"/>
      <c r="B604" s="308"/>
      <c r="C604" s="309"/>
      <c r="D604" s="389"/>
      <c r="E604" s="307"/>
      <c r="F604" s="308"/>
      <c r="G604" s="309"/>
      <c r="H604" s="389"/>
      <c r="I604" s="307"/>
      <c r="J604" s="308"/>
      <c r="K604" s="309"/>
      <c r="L604" s="389"/>
      <c r="M604" s="307"/>
      <c r="N604" s="308"/>
      <c r="O604" s="309"/>
      <c r="P604" s="389"/>
      <c r="Q604" s="192"/>
      <c r="R604" s="149"/>
      <c r="S604" s="392"/>
      <c r="T604" s="393"/>
      <c r="U604" s="192"/>
      <c r="V604" s="149"/>
      <c r="W604" s="392"/>
      <c r="X604" s="393"/>
      <c r="Y604" s="192"/>
      <c r="Z604" s="149"/>
      <c r="AA604" s="392"/>
      <c r="AB604" s="393"/>
      <c r="AC604" s="192"/>
      <c r="AD604" s="149"/>
      <c r="AE604" s="392"/>
      <c r="AF604" s="393"/>
      <c r="AG604" s="143"/>
      <c r="AH604" s="143"/>
      <c r="AI604" s="143"/>
      <c r="AJ604" s="143"/>
      <c r="AK604" s="389"/>
      <c r="AL604" s="389"/>
      <c r="AM604" s="389"/>
    </row>
    <row r="605">
      <c r="A605" s="307"/>
      <c r="B605" s="308"/>
      <c r="C605" s="309"/>
      <c r="D605" s="389"/>
      <c r="E605" s="307"/>
      <c r="F605" s="308"/>
      <c r="G605" s="309"/>
      <c r="H605" s="389"/>
      <c r="I605" s="307"/>
      <c r="J605" s="308"/>
      <c r="K605" s="309"/>
      <c r="L605" s="389"/>
      <c r="M605" s="307"/>
      <c r="N605" s="308"/>
      <c r="O605" s="309"/>
      <c r="P605" s="389"/>
      <c r="Q605" s="192"/>
      <c r="R605" s="149"/>
      <c r="S605" s="392"/>
      <c r="T605" s="393"/>
      <c r="U605" s="192"/>
      <c r="V605" s="149"/>
      <c r="W605" s="392"/>
      <c r="X605" s="393"/>
      <c r="Y605" s="192"/>
      <c r="Z605" s="149"/>
      <c r="AA605" s="392"/>
      <c r="AB605" s="393"/>
      <c r="AC605" s="192"/>
      <c r="AD605" s="149"/>
      <c r="AE605" s="392"/>
      <c r="AF605" s="393"/>
      <c r="AG605" s="143"/>
      <c r="AH605" s="143"/>
      <c r="AI605" s="143"/>
      <c r="AJ605" s="143"/>
      <c r="AK605" s="389"/>
      <c r="AL605" s="389"/>
      <c r="AM605" s="389"/>
    </row>
    <row r="606">
      <c r="A606" s="307"/>
      <c r="B606" s="308"/>
      <c r="C606" s="309"/>
      <c r="D606" s="389"/>
      <c r="E606" s="307"/>
      <c r="F606" s="308"/>
      <c r="G606" s="309"/>
      <c r="H606" s="389"/>
      <c r="I606" s="307"/>
      <c r="J606" s="308"/>
      <c r="K606" s="309"/>
      <c r="L606" s="389"/>
      <c r="M606" s="307"/>
      <c r="N606" s="308"/>
      <c r="O606" s="309"/>
      <c r="P606" s="389"/>
      <c r="Q606" s="192"/>
      <c r="R606" s="149"/>
      <c r="S606" s="392"/>
      <c r="T606" s="393"/>
      <c r="U606" s="192"/>
      <c r="V606" s="149"/>
      <c r="W606" s="392"/>
      <c r="X606" s="393"/>
      <c r="Y606" s="192"/>
      <c r="Z606" s="149"/>
      <c r="AA606" s="392"/>
      <c r="AB606" s="393"/>
      <c r="AC606" s="192"/>
      <c r="AD606" s="149"/>
      <c r="AE606" s="392"/>
      <c r="AF606" s="393"/>
      <c r="AG606" s="143"/>
      <c r="AH606" s="143"/>
      <c r="AI606" s="143"/>
      <c r="AJ606" s="143"/>
      <c r="AK606" s="389"/>
      <c r="AL606" s="389"/>
      <c r="AM606" s="389"/>
    </row>
    <row r="607">
      <c r="A607" s="307"/>
      <c r="B607" s="308"/>
      <c r="C607" s="309"/>
      <c r="D607" s="389"/>
      <c r="E607" s="307"/>
      <c r="F607" s="308"/>
      <c r="G607" s="309"/>
      <c r="H607" s="389"/>
      <c r="I607" s="307"/>
      <c r="J607" s="308"/>
      <c r="K607" s="309"/>
      <c r="L607" s="389"/>
      <c r="M607" s="307"/>
      <c r="N607" s="308"/>
      <c r="O607" s="309"/>
      <c r="P607" s="389"/>
      <c r="Q607" s="192"/>
      <c r="R607" s="149"/>
      <c r="S607" s="392"/>
      <c r="T607" s="393"/>
      <c r="U607" s="192"/>
      <c r="V607" s="149"/>
      <c r="W607" s="392"/>
      <c r="X607" s="393"/>
      <c r="Y607" s="192"/>
      <c r="Z607" s="149"/>
      <c r="AA607" s="392"/>
      <c r="AB607" s="393"/>
      <c r="AC607" s="192"/>
      <c r="AD607" s="149"/>
      <c r="AE607" s="392"/>
      <c r="AF607" s="393"/>
      <c r="AG607" s="143"/>
      <c r="AH607" s="143"/>
      <c r="AI607" s="143"/>
      <c r="AJ607" s="143"/>
      <c r="AK607" s="389"/>
      <c r="AL607" s="389"/>
      <c r="AM607" s="389"/>
    </row>
    <row r="608">
      <c r="A608" s="307"/>
      <c r="B608" s="308"/>
      <c r="C608" s="309"/>
      <c r="D608" s="389"/>
      <c r="E608" s="307"/>
      <c r="F608" s="308"/>
      <c r="G608" s="309"/>
      <c r="H608" s="389"/>
      <c r="I608" s="307"/>
      <c r="J608" s="308"/>
      <c r="K608" s="309"/>
      <c r="L608" s="389"/>
      <c r="M608" s="307"/>
      <c r="N608" s="308"/>
      <c r="O608" s="309"/>
      <c r="P608" s="389"/>
      <c r="Q608" s="192"/>
      <c r="R608" s="149"/>
      <c r="S608" s="392"/>
      <c r="T608" s="393"/>
      <c r="U608" s="192"/>
      <c r="V608" s="149"/>
      <c r="W608" s="392"/>
      <c r="X608" s="393"/>
      <c r="Y608" s="192"/>
      <c r="Z608" s="149"/>
      <c r="AA608" s="392"/>
      <c r="AB608" s="393"/>
      <c r="AC608" s="192"/>
      <c r="AD608" s="149"/>
      <c r="AE608" s="392"/>
      <c r="AF608" s="393"/>
      <c r="AG608" s="143"/>
      <c r="AH608" s="143"/>
      <c r="AI608" s="143"/>
      <c r="AJ608" s="143"/>
      <c r="AK608" s="389"/>
      <c r="AL608" s="389"/>
      <c r="AM608" s="389"/>
    </row>
    <row r="609">
      <c r="A609" s="307"/>
      <c r="B609" s="308"/>
      <c r="C609" s="309"/>
      <c r="D609" s="389"/>
      <c r="E609" s="307"/>
      <c r="F609" s="308"/>
      <c r="G609" s="309"/>
      <c r="H609" s="389"/>
      <c r="I609" s="307"/>
      <c r="J609" s="308"/>
      <c r="K609" s="309"/>
      <c r="L609" s="389"/>
      <c r="M609" s="307"/>
      <c r="N609" s="308"/>
      <c r="O609" s="309"/>
      <c r="P609" s="389"/>
      <c r="Q609" s="192"/>
      <c r="R609" s="149"/>
      <c r="S609" s="392"/>
      <c r="T609" s="393"/>
      <c r="U609" s="192"/>
      <c r="V609" s="149"/>
      <c r="W609" s="392"/>
      <c r="X609" s="393"/>
      <c r="Y609" s="192"/>
      <c r="Z609" s="149"/>
      <c r="AA609" s="392"/>
      <c r="AB609" s="393"/>
      <c r="AC609" s="192"/>
      <c r="AD609" s="149"/>
      <c r="AE609" s="392"/>
      <c r="AF609" s="393"/>
      <c r="AG609" s="143"/>
      <c r="AH609" s="143"/>
      <c r="AI609" s="143"/>
      <c r="AJ609" s="143"/>
      <c r="AK609" s="389"/>
      <c r="AL609" s="389"/>
      <c r="AM609" s="389"/>
    </row>
    <row r="610">
      <c r="A610" s="307"/>
      <c r="B610" s="308"/>
      <c r="C610" s="309"/>
      <c r="D610" s="389"/>
      <c r="E610" s="307"/>
      <c r="F610" s="308"/>
      <c r="G610" s="309"/>
      <c r="H610" s="389"/>
      <c r="I610" s="307"/>
      <c r="J610" s="308"/>
      <c r="K610" s="309"/>
      <c r="L610" s="389"/>
      <c r="M610" s="307"/>
      <c r="N610" s="308"/>
      <c r="O610" s="309"/>
      <c r="P610" s="389"/>
      <c r="Q610" s="192"/>
      <c r="R610" s="149"/>
      <c r="S610" s="392"/>
      <c r="T610" s="393"/>
      <c r="U610" s="192"/>
      <c r="V610" s="149"/>
      <c r="W610" s="392"/>
      <c r="X610" s="393"/>
      <c r="Y610" s="192"/>
      <c r="Z610" s="149"/>
      <c r="AA610" s="392"/>
      <c r="AB610" s="393"/>
      <c r="AC610" s="192"/>
      <c r="AD610" s="149"/>
      <c r="AE610" s="392"/>
      <c r="AF610" s="393"/>
      <c r="AG610" s="143"/>
      <c r="AH610" s="143"/>
      <c r="AI610" s="143"/>
      <c r="AJ610" s="143"/>
      <c r="AK610" s="389"/>
      <c r="AL610" s="389"/>
      <c r="AM610" s="389"/>
    </row>
    <row r="611">
      <c r="A611" s="307"/>
      <c r="B611" s="308"/>
      <c r="C611" s="309"/>
      <c r="D611" s="389"/>
      <c r="E611" s="307"/>
      <c r="F611" s="308"/>
      <c r="G611" s="309"/>
      <c r="H611" s="389"/>
      <c r="I611" s="307"/>
      <c r="J611" s="308"/>
      <c r="K611" s="309"/>
      <c r="L611" s="389"/>
      <c r="M611" s="307"/>
      <c r="N611" s="308"/>
      <c r="O611" s="309"/>
      <c r="P611" s="389"/>
      <c r="Q611" s="192"/>
      <c r="R611" s="149"/>
      <c r="S611" s="392"/>
      <c r="T611" s="393"/>
      <c r="U611" s="192"/>
      <c r="V611" s="149"/>
      <c r="W611" s="392"/>
      <c r="X611" s="393"/>
      <c r="Y611" s="192"/>
      <c r="Z611" s="149"/>
      <c r="AA611" s="392"/>
      <c r="AB611" s="393"/>
      <c r="AC611" s="192"/>
      <c r="AD611" s="149"/>
      <c r="AE611" s="392"/>
      <c r="AF611" s="393"/>
      <c r="AG611" s="143"/>
      <c r="AH611" s="143"/>
      <c r="AI611" s="143"/>
      <c r="AJ611" s="143"/>
      <c r="AK611" s="389"/>
      <c r="AL611" s="389"/>
      <c r="AM611" s="389"/>
    </row>
    <row r="612">
      <c r="A612" s="307"/>
      <c r="B612" s="308"/>
      <c r="C612" s="309"/>
      <c r="D612" s="389"/>
      <c r="E612" s="307"/>
      <c r="F612" s="308"/>
      <c r="G612" s="309"/>
      <c r="H612" s="389"/>
      <c r="I612" s="307"/>
      <c r="J612" s="308"/>
      <c r="K612" s="309"/>
      <c r="L612" s="389"/>
      <c r="M612" s="307"/>
      <c r="N612" s="308"/>
      <c r="O612" s="309"/>
      <c r="P612" s="389"/>
      <c r="Q612" s="192"/>
      <c r="R612" s="149"/>
      <c r="S612" s="392"/>
      <c r="T612" s="393"/>
      <c r="U612" s="192"/>
      <c r="V612" s="149"/>
      <c r="W612" s="392"/>
      <c r="X612" s="393"/>
      <c r="Y612" s="192"/>
      <c r="Z612" s="149"/>
      <c r="AA612" s="392"/>
      <c r="AB612" s="393"/>
      <c r="AC612" s="192"/>
      <c r="AD612" s="149"/>
      <c r="AE612" s="392"/>
      <c r="AF612" s="393"/>
      <c r="AG612" s="143"/>
      <c r="AH612" s="143"/>
      <c r="AI612" s="143"/>
      <c r="AJ612" s="143"/>
      <c r="AK612" s="389"/>
      <c r="AL612" s="389"/>
      <c r="AM612" s="389"/>
    </row>
    <row r="613">
      <c r="A613" s="307"/>
      <c r="B613" s="308"/>
      <c r="C613" s="309"/>
      <c r="D613" s="389"/>
      <c r="E613" s="307"/>
      <c r="F613" s="308"/>
      <c r="G613" s="309"/>
      <c r="H613" s="389"/>
      <c r="I613" s="307"/>
      <c r="J613" s="308"/>
      <c r="K613" s="309"/>
      <c r="L613" s="389"/>
      <c r="M613" s="307"/>
      <c r="N613" s="308"/>
      <c r="O613" s="309"/>
      <c r="P613" s="389"/>
      <c r="Q613" s="192"/>
      <c r="R613" s="149"/>
      <c r="S613" s="392"/>
      <c r="T613" s="393"/>
      <c r="U613" s="192"/>
      <c r="V613" s="149"/>
      <c r="W613" s="392"/>
      <c r="X613" s="393"/>
      <c r="Y613" s="192"/>
      <c r="Z613" s="149"/>
      <c r="AA613" s="392"/>
      <c r="AB613" s="393"/>
      <c r="AC613" s="192"/>
      <c r="AD613" s="149"/>
      <c r="AE613" s="392"/>
      <c r="AF613" s="393"/>
      <c r="AG613" s="143"/>
      <c r="AH613" s="143"/>
      <c r="AI613" s="143"/>
      <c r="AJ613" s="143"/>
      <c r="AK613" s="389"/>
      <c r="AL613" s="389"/>
      <c r="AM613" s="389"/>
    </row>
    <row r="614">
      <c r="A614" s="307"/>
      <c r="B614" s="308"/>
      <c r="C614" s="309"/>
      <c r="D614" s="389"/>
      <c r="E614" s="307"/>
      <c r="F614" s="308"/>
      <c r="G614" s="309"/>
      <c r="H614" s="389"/>
      <c r="I614" s="307"/>
      <c r="J614" s="308"/>
      <c r="K614" s="309"/>
      <c r="L614" s="389"/>
      <c r="M614" s="307"/>
      <c r="N614" s="308"/>
      <c r="O614" s="309"/>
      <c r="P614" s="389"/>
      <c r="Q614" s="192"/>
      <c r="R614" s="149"/>
      <c r="S614" s="392"/>
      <c r="T614" s="393"/>
      <c r="U614" s="192"/>
      <c r="V614" s="149"/>
      <c r="W614" s="392"/>
      <c r="X614" s="393"/>
      <c r="Y614" s="192"/>
      <c r="Z614" s="149"/>
      <c r="AA614" s="392"/>
      <c r="AB614" s="393"/>
      <c r="AC614" s="192"/>
      <c r="AD614" s="149"/>
      <c r="AE614" s="392"/>
      <c r="AF614" s="393"/>
      <c r="AG614" s="143"/>
      <c r="AH614" s="143"/>
      <c r="AI614" s="143"/>
      <c r="AJ614" s="143"/>
      <c r="AK614" s="389"/>
      <c r="AL614" s="389"/>
      <c r="AM614" s="389"/>
    </row>
    <row r="615">
      <c r="A615" s="307"/>
      <c r="B615" s="308"/>
      <c r="C615" s="309"/>
      <c r="D615" s="389"/>
      <c r="E615" s="307"/>
      <c r="F615" s="308"/>
      <c r="G615" s="309"/>
      <c r="H615" s="389"/>
      <c r="I615" s="307"/>
      <c r="J615" s="308"/>
      <c r="K615" s="309"/>
      <c r="L615" s="389"/>
      <c r="M615" s="307"/>
      <c r="N615" s="308"/>
      <c r="O615" s="309"/>
      <c r="P615" s="389"/>
      <c r="Q615" s="192"/>
      <c r="R615" s="149"/>
      <c r="S615" s="392"/>
      <c r="T615" s="393"/>
      <c r="U615" s="192"/>
      <c r="V615" s="149"/>
      <c r="W615" s="392"/>
      <c r="X615" s="393"/>
      <c r="Y615" s="192"/>
      <c r="Z615" s="149"/>
      <c r="AA615" s="392"/>
      <c r="AB615" s="393"/>
      <c r="AC615" s="192"/>
      <c r="AD615" s="149"/>
      <c r="AE615" s="392"/>
      <c r="AF615" s="393"/>
      <c r="AG615" s="143"/>
      <c r="AH615" s="143"/>
      <c r="AI615" s="143"/>
      <c r="AJ615" s="143"/>
      <c r="AK615" s="389"/>
      <c r="AL615" s="389"/>
      <c r="AM615" s="389"/>
    </row>
    <row r="616">
      <c r="A616" s="307"/>
      <c r="B616" s="308"/>
      <c r="C616" s="309"/>
      <c r="D616" s="389"/>
      <c r="E616" s="307"/>
      <c r="F616" s="308"/>
      <c r="G616" s="309"/>
      <c r="H616" s="389"/>
      <c r="I616" s="307"/>
      <c r="J616" s="308"/>
      <c r="K616" s="309"/>
      <c r="L616" s="389"/>
      <c r="M616" s="307"/>
      <c r="N616" s="308"/>
      <c r="O616" s="309"/>
      <c r="P616" s="389"/>
      <c r="Q616" s="192"/>
      <c r="R616" s="149"/>
      <c r="S616" s="392"/>
      <c r="T616" s="393"/>
      <c r="U616" s="192"/>
      <c r="V616" s="149"/>
      <c r="W616" s="392"/>
      <c r="X616" s="393"/>
      <c r="Y616" s="192"/>
      <c r="Z616" s="149"/>
      <c r="AA616" s="392"/>
      <c r="AB616" s="393"/>
      <c r="AC616" s="192"/>
      <c r="AD616" s="149"/>
      <c r="AE616" s="392"/>
      <c r="AF616" s="393"/>
      <c r="AG616" s="143"/>
      <c r="AH616" s="143"/>
      <c r="AI616" s="143"/>
      <c r="AJ616" s="143"/>
      <c r="AK616" s="389"/>
      <c r="AL616" s="389"/>
      <c r="AM616" s="389"/>
    </row>
    <row r="617">
      <c r="A617" s="307"/>
      <c r="B617" s="308"/>
      <c r="C617" s="309"/>
      <c r="D617" s="389"/>
      <c r="E617" s="307"/>
      <c r="F617" s="308"/>
      <c r="G617" s="309"/>
      <c r="H617" s="389"/>
      <c r="I617" s="307"/>
      <c r="J617" s="308"/>
      <c r="K617" s="309"/>
      <c r="L617" s="389"/>
      <c r="M617" s="307"/>
      <c r="N617" s="308"/>
      <c r="O617" s="309"/>
      <c r="P617" s="389"/>
      <c r="Q617" s="192"/>
      <c r="R617" s="149"/>
      <c r="S617" s="392"/>
      <c r="T617" s="393"/>
      <c r="U617" s="192"/>
      <c r="V617" s="149"/>
      <c r="W617" s="392"/>
      <c r="X617" s="393"/>
      <c r="Y617" s="192"/>
      <c r="Z617" s="149"/>
      <c r="AA617" s="392"/>
      <c r="AB617" s="393"/>
      <c r="AC617" s="192"/>
      <c r="AD617" s="149"/>
      <c r="AE617" s="392"/>
      <c r="AF617" s="393"/>
      <c r="AG617" s="143"/>
      <c r="AH617" s="143"/>
      <c r="AI617" s="143"/>
      <c r="AJ617" s="143"/>
      <c r="AK617" s="389"/>
      <c r="AL617" s="389"/>
      <c r="AM617" s="389"/>
    </row>
    <row r="618">
      <c r="A618" s="307"/>
      <c r="B618" s="308"/>
      <c r="C618" s="309"/>
      <c r="D618" s="389"/>
      <c r="E618" s="307"/>
      <c r="F618" s="308"/>
      <c r="G618" s="309"/>
      <c r="H618" s="389"/>
      <c r="I618" s="307"/>
      <c r="J618" s="308"/>
      <c r="K618" s="309"/>
      <c r="L618" s="389"/>
      <c r="M618" s="307"/>
      <c r="N618" s="308"/>
      <c r="O618" s="309"/>
      <c r="P618" s="389"/>
      <c r="Q618" s="192"/>
      <c r="R618" s="149"/>
      <c r="S618" s="392"/>
      <c r="T618" s="393"/>
      <c r="U618" s="192"/>
      <c r="V618" s="149"/>
      <c r="W618" s="392"/>
      <c r="X618" s="393"/>
      <c r="Y618" s="192"/>
      <c r="Z618" s="149"/>
      <c r="AA618" s="392"/>
      <c r="AB618" s="393"/>
      <c r="AC618" s="192"/>
      <c r="AD618" s="149"/>
      <c r="AE618" s="392"/>
      <c r="AF618" s="393"/>
      <c r="AG618" s="143"/>
      <c r="AH618" s="143"/>
      <c r="AI618" s="143"/>
      <c r="AJ618" s="143"/>
      <c r="AK618" s="389"/>
      <c r="AL618" s="389"/>
      <c r="AM618" s="389"/>
    </row>
    <row r="619">
      <c r="A619" s="307"/>
      <c r="B619" s="308"/>
      <c r="C619" s="309"/>
      <c r="D619" s="389"/>
      <c r="E619" s="307"/>
      <c r="F619" s="308"/>
      <c r="G619" s="309"/>
      <c r="H619" s="389"/>
      <c r="I619" s="307"/>
      <c r="J619" s="308"/>
      <c r="K619" s="309"/>
      <c r="L619" s="389"/>
      <c r="M619" s="307"/>
      <c r="N619" s="308"/>
      <c r="O619" s="309"/>
      <c r="P619" s="389"/>
      <c r="Q619" s="192"/>
      <c r="R619" s="149"/>
      <c r="S619" s="392"/>
      <c r="T619" s="393"/>
      <c r="U619" s="192"/>
      <c r="V619" s="149"/>
      <c r="W619" s="392"/>
      <c r="X619" s="393"/>
      <c r="Y619" s="192"/>
      <c r="Z619" s="149"/>
      <c r="AA619" s="392"/>
      <c r="AB619" s="393"/>
      <c r="AC619" s="192"/>
      <c r="AD619" s="149"/>
      <c r="AE619" s="392"/>
      <c r="AF619" s="393"/>
      <c r="AG619" s="143"/>
      <c r="AH619" s="143"/>
      <c r="AI619" s="143"/>
      <c r="AJ619" s="143"/>
      <c r="AK619" s="389"/>
      <c r="AL619" s="389"/>
      <c r="AM619" s="389"/>
    </row>
    <row r="620">
      <c r="A620" s="307"/>
      <c r="B620" s="308"/>
      <c r="C620" s="309"/>
      <c r="D620" s="389"/>
      <c r="E620" s="307"/>
      <c r="F620" s="308"/>
      <c r="G620" s="309"/>
      <c r="H620" s="389"/>
      <c r="I620" s="307"/>
      <c r="J620" s="308"/>
      <c r="K620" s="309"/>
      <c r="L620" s="389"/>
      <c r="M620" s="307"/>
      <c r="N620" s="308"/>
      <c r="O620" s="309"/>
      <c r="P620" s="389"/>
      <c r="Q620" s="192"/>
      <c r="R620" s="149"/>
      <c r="S620" s="392"/>
      <c r="T620" s="393"/>
      <c r="U620" s="192"/>
      <c r="V620" s="149"/>
      <c r="W620" s="392"/>
      <c r="X620" s="393"/>
      <c r="Y620" s="192"/>
      <c r="Z620" s="149"/>
      <c r="AA620" s="392"/>
      <c r="AB620" s="393"/>
      <c r="AC620" s="192"/>
      <c r="AD620" s="149"/>
      <c r="AE620" s="392"/>
      <c r="AF620" s="393"/>
      <c r="AG620" s="143"/>
      <c r="AH620" s="143"/>
      <c r="AI620" s="143"/>
      <c r="AJ620" s="143"/>
      <c r="AK620" s="389"/>
      <c r="AL620" s="389"/>
      <c r="AM620" s="389"/>
    </row>
    <row r="621">
      <c r="A621" s="307"/>
      <c r="B621" s="308"/>
      <c r="C621" s="309"/>
      <c r="D621" s="389"/>
      <c r="E621" s="307"/>
      <c r="F621" s="308"/>
      <c r="G621" s="309"/>
      <c r="H621" s="389"/>
      <c r="I621" s="307"/>
      <c r="J621" s="308"/>
      <c r="K621" s="309"/>
      <c r="L621" s="389"/>
      <c r="M621" s="307"/>
      <c r="N621" s="308"/>
      <c r="O621" s="309"/>
      <c r="P621" s="389"/>
      <c r="Q621" s="192"/>
      <c r="R621" s="149"/>
      <c r="S621" s="392"/>
      <c r="T621" s="393"/>
      <c r="U621" s="192"/>
      <c r="V621" s="149"/>
      <c r="W621" s="392"/>
      <c r="X621" s="393"/>
      <c r="Y621" s="192"/>
      <c r="Z621" s="149"/>
      <c r="AA621" s="392"/>
      <c r="AB621" s="393"/>
      <c r="AC621" s="192"/>
      <c r="AD621" s="149"/>
      <c r="AE621" s="392"/>
      <c r="AF621" s="393"/>
      <c r="AG621" s="143"/>
      <c r="AH621" s="143"/>
      <c r="AI621" s="143"/>
      <c r="AJ621" s="143"/>
      <c r="AK621" s="389"/>
      <c r="AL621" s="389"/>
      <c r="AM621" s="389"/>
    </row>
    <row r="622">
      <c r="A622" s="307"/>
      <c r="B622" s="308"/>
      <c r="C622" s="309"/>
      <c r="D622" s="389"/>
      <c r="E622" s="307"/>
      <c r="F622" s="308"/>
      <c r="G622" s="309"/>
      <c r="H622" s="389"/>
      <c r="I622" s="307"/>
      <c r="J622" s="308"/>
      <c r="K622" s="309"/>
      <c r="L622" s="389"/>
      <c r="M622" s="307"/>
      <c r="N622" s="308"/>
      <c r="O622" s="309"/>
      <c r="P622" s="389"/>
      <c r="Q622" s="192"/>
      <c r="R622" s="149"/>
      <c r="S622" s="392"/>
      <c r="T622" s="393"/>
      <c r="U622" s="192"/>
      <c r="V622" s="149"/>
      <c r="W622" s="392"/>
      <c r="X622" s="393"/>
      <c r="Y622" s="192"/>
      <c r="Z622" s="149"/>
      <c r="AA622" s="392"/>
      <c r="AB622" s="393"/>
      <c r="AC622" s="192"/>
      <c r="AD622" s="149"/>
      <c r="AE622" s="392"/>
      <c r="AF622" s="393"/>
      <c r="AG622" s="143"/>
      <c r="AH622" s="143"/>
      <c r="AI622" s="143"/>
      <c r="AJ622" s="143"/>
      <c r="AK622" s="389"/>
      <c r="AL622" s="389"/>
      <c r="AM622" s="389"/>
    </row>
    <row r="623">
      <c r="A623" s="307"/>
      <c r="B623" s="308"/>
      <c r="C623" s="309"/>
      <c r="D623" s="389"/>
      <c r="E623" s="307"/>
      <c r="F623" s="308"/>
      <c r="G623" s="309"/>
      <c r="H623" s="389"/>
      <c r="I623" s="307"/>
      <c r="J623" s="308"/>
      <c r="K623" s="309"/>
      <c r="L623" s="389"/>
      <c r="M623" s="307"/>
      <c r="N623" s="308"/>
      <c r="O623" s="309"/>
      <c r="P623" s="389"/>
      <c r="Q623" s="192"/>
      <c r="R623" s="149"/>
      <c r="S623" s="392"/>
      <c r="T623" s="393"/>
      <c r="U623" s="192"/>
      <c r="V623" s="149"/>
      <c r="W623" s="392"/>
      <c r="X623" s="393"/>
      <c r="Y623" s="192"/>
      <c r="Z623" s="149"/>
      <c r="AA623" s="392"/>
      <c r="AB623" s="393"/>
      <c r="AC623" s="192"/>
      <c r="AD623" s="149"/>
      <c r="AE623" s="392"/>
      <c r="AF623" s="393"/>
      <c r="AG623" s="143"/>
      <c r="AH623" s="143"/>
      <c r="AI623" s="143"/>
      <c r="AJ623" s="143"/>
      <c r="AK623" s="389"/>
      <c r="AL623" s="389"/>
      <c r="AM623" s="389"/>
    </row>
    <row r="624">
      <c r="A624" s="307"/>
      <c r="B624" s="308"/>
      <c r="C624" s="309"/>
      <c r="D624" s="389"/>
      <c r="E624" s="307"/>
      <c r="F624" s="308"/>
      <c r="G624" s="309"/>
      <c r="H624" s="389"/>
      <c r="I624" s="307"/>
      <c r="J624" s="308"/>
      <c r="K624" s="309"/>
      <c r="L624" s="389"/>
      <c r="M624" s="307"/>
      <c r="N624" s="308"/>
      <c r="O624" s="309"/>
      <c r="P624" s="389"/>
      <c r="Q624" s="192"/>
      <c r="R624" s="149"/>
      <c r="S624" s="392"/>
      <c r="T624" s="393"/>
      <c r="U624" s="192"/>
      <c r="V624" s="149"/>
      <c r="W624" s="392"/>
      <c r="X624" s="393"/>
      <c r="Y624" s="192"/>
      <c r="Z624" s="149"/>
      <c r="AA624" s="392"/>
      <c r="AB624" s="393"/>
      <c r="AC624" s="192"/>
      <c r="AD624" s="149"/>
      <c r="AE624" s="392"/>
      <c r="AF624" s="393"/>
      <c r="AG624" s="143"/>
      <c r="AH624" s="143"/>
      <c r="AI624" s="143"/>
      <c r="AJ624" s="143"/>
      <c r="AK624" s="389"/>
      <c r="AL624" s="389"/>
      <c r="AM624" s="389"/>
    </row>
    <row r="625">
      <c r="A625" s="307"/>
      <c r="B625" s="308"/>
      <c r="C625" s="309"/>
      <c r="D625" s="389"/>
      <c r="E625" s="307"/>
      <c r="F625" s="308"/>
      <c r="G625" s="309"/>
      <c r="H625" s="389"/>
      <c r="I625" s="307"/>
      <c r="J625" s="308"/>
      <c r="K625" s="309"/>
      <c r="L625" s="389"/>
      <c r="M625" s="307"/>
      <c r="N625" s="308"/>
      <c r="O625" s="309"/>
      <c r="P625" s="389"/>
      <c r="Q625" s="192"/>
      <c r="R625" s="149"/>
      <c r="S625" s="392"/>
      <c r="T625" s="393"/>
      <c r="U625" s="192"/>
      <c r="V625" s="149"/>
      <c r="W625" s="392"/>
      <c r="X625" s="393"/>
      <c r="Y625" s="192"/>
      <c r="Z625" s="149"/>
      <c r="AA625" s="392"/>
      <c r="AB625" s="393"/>
      <c r="AC625" s="192"/>
      <c r="AD625" s="149"/>
      <c r="AE625" s="392"/>
      <c r="AF625" s="393"/>
      <c r="AG625" s="143"/>
      <c r="AH625" s="143"/>
      <c r="AI625" s="143"/>
      <c r="AJ625" s="143"/>
      <c r="AK625" s="389"/>
      <c r="AL625" s="389"/>
      <c r="AM625" s="389"/>
    </row>
    <row r="626">
      <c r="A626" s="307"/>
      <c r="B626" s="308"/>
      <c r="C626" s="309"/>
      <c r="D626" s="389"/>
      <c r="E626" s="307"/>
      <c r="F626" s="308"/>
      <c r="G626" s="309"/>
      <c r="H626" s="389"/>
      <c r="I626" s="307"/>
      <c r="J626" s="308"/>
      <c r="K626" s="309"/>
      <c r="L626" s="389"/>
      <c r="M626" s="307"/>
      <c r="N626" s="308"/>
      <c r="O626" s="309"/>
      <c r="P626" s="389"/>
      <c r="Q626" s="192"/>
      <c r="R626" s="149"/>
      <c r="S626" s="392"/>
      <c r="T626" s="393"/>
      <c r="U626" s="192"/>
      <c r="V626" s="149"/>
      <c r="W626" s="392"/>
      <c r="X626" s="393"/>
      <c r="Y626" s="192"/>
      <c r="Z626" s="149"/>
      <c r="AA626" s="392"/>
      <c r="AB626" s="393"/>
      <c r="AC626" s="192"/>
      <c r="AD626" s="149"/>
      <c r="AE626" s="392"/>
      <c r="AF626" s="393"/>
      <c r="AG626" s="143"/>
      <c r="AH626" s="143"/>
      <c r="AI626" s="143"/>
      <c r="AJ626" s="143"/>
      <c r="AK626" s="389"/>
      <c r="AL626" s="389"/>
      <c r="AM626" s="389"/>
    </row>
    <row r="627">
      <c r="A627" s="307"/>
      <c r="B627" s="308"/>
      <c r="C627" s="309"/>
      <c r="D627" s="389"/>
      <c r="E627" s="307"/>
      <c r="F627" s="308"/>
      <c r="G627" s="309"/>
      <c r="H627" s="389"/>
      <c r="I627" s="307"/>
      <c r="J627" s="308"/>
      <c r="K627" s="309"/>
      <c r="L627" s="389"/>
      <c r="M627" s="307"/>
      <c r="N627" s="308"/>
      <c r="O627" s="309"/>
      <c r="P627" s="389"/>
      <c r="Q627" s="192"/>
      <c r="R627" s="149"/>
      <c r="S627" s="392"/>
      <c r="T627" s="393"/>
      <c r="U627" s="192"/>
      <c r="V627" s="149"/>
      <c r="W627" s="392"/>
      <c r="X627" s="393"/>
      <c r="Y627" s="192"/>
      <c r="Z627" s="149"/>
      <c r="AA627" s="392"/>
      <c r="AB627" s="393"/>
      <c r="AC627" s="192"/>
      <c r="AD627" s="149"/>
      <c r="AE627" s="392"/>
      <c r="AF627" s="393"/>
      <c r="AG627" s="143"/>
      <c r="AH627" s="143"/>
      <c r="AI627" s="143"/>
      <c r="AJ627" s="143"/>
      <c r="AK627" s="389"/>
      <c r="AL627" s="389"/>
      <c r="AM627" s="389"/>
    </row>
    <row r="628">
      <c r="A628" s="307"/>
      <c r="B628" s="308"/>
      <c r="C628" s="309"/>
      <c r="D628" s="389"/>
      <c r="E628" s="307"/>
      <c r="F628" s="308"/>
      <c r="G628" s="309"/>
      <c r="H628" s="389"/>
      <c r="I628" s="307"/>
      <c r="J628" s="308"/>
      <c r="K628" s="309"/>
      <c r="L628" s="389"/>
      <c r="M628" s="307"/>
      <c r="N628" s="308"/>
      <c r="O628" s="309"/>
      <c r="P628" s="389"/>
      <c r="Q628" s="192"/>
      <c r="R628" s="149"/>
      <c r="S628" s="392"/>
      <c r="T628" s="393"/>
      <c r="U628" s="192"/>
      <c r="V628" s="149"/>
      <c r="W628" s="392"/>
      <c r="X628" s="393"/>
      <c r="Y628" s="192"/>
      <c r="Z628" s="149"/>
      <c r="AA628" s="392"/>
      <c r="AB628" s="393"/>
      <c r="AC628" s="192"/>
      <c r="AD628" s="149"/>
      <c r="AE628" s="392"/>
      <c r="AF628" s="393"/>
      <c r="AG628" s="143"/>
      <c r="AH628" s="143"/>
      <c r="AI628" s="143"/>
      <c r="AJ628" s="143"/>
      <c r="AK628" s="389"/>
      <c r="AL628" s="389"/>
      <c r="AM628" s="389"/>
    </row>
    <row r="629">
      <c r="A629" s="307"/>
      <c r="B629" s="308"/>
      <c r="C629" s="309"/>
      <c r="D629" s="389"/>
      <c r="E629" s="307"/>
      <c r="F629" s="308"/>
      <c r="G629" s="309"/>
      <c r="H629" s="389"/>
      <c r="I629" s="307"/>
      <c r="J629" s="308"/>
      <c r="K629" s="309"/>
      <c r="L629" s="389"/>
      <c r="M629" s="307"/>
      <c r="N629" s="308"/>
      <c r="O629" s="309"/>
      <c r="P629" s="389"/>
      <c r="Q629" s="192"/>
      <c r="R629" s="149"/>
      <c r="S629" s="392"/>
      <c r="T629" s="393"/>
      <c r="U629" s="192"/>
      <c r="V629" s="149"/>
      <c r="W629" s="392"/>
      <c r="X629" s="393"/>
      <c r="Y629" s="192"/>
      <c r="Z629" s="149"/>
      <c r="AA629" s="392"/>
      <c r="AB629" s="393"/>
      <c r="AC629" s="192"/>
      <c r="AD629" s="149"/>
      <c r="AE629" s="392"/>
      <c r="AF629" s="393"/>
      <c r="AG629" s="143"/>
      <c r="AH629" s="143"/>
      <c r="AI629" s="143"/>
      <c r="AJ629" s="143"/>
      <c r="AK629" s="389"/>
      <c r="AL629" s="389"/>
      <c r="AM629" s="389"/>
    </row>
    <row r="630">
      <c r="A630" s="307"/>
      <c r="B630" s="308"/>
      <c r="C630" s="309"/>
      <c r="D630" s="389"/>
      <c r="E630" s="307"/>
      <c r="F630" s="308"/>
      <c r="G630" s="309"/>
      <c r="H630" s="389"/>
      <c r="I630" s="307"/>
      <c r="J630" s="308"/>
      <c r="K630" s="309"/>
      <c r="L630" s="389"/>
      <c r="M630" s="307"/>
      <c r="N630" s="308"/>
      <c r="O630" s="309"/>
      <c r="P630" s="389"/>
      <c r="Q630" s="192"/>
      <c r="R630" s="149"/>
      <c r="S630" s="392"/>
      <c r="T630" s="393"/>
      <c r="U630" s="192"/>
      <c r="V630" s="149"/>
      <c r="W630" s="392"/>
      <c r="X630" s="393"/>
      <c r="Y630" s="192"/>
      <c r="Z630" s="149"/>
      <c r="AA630" s="392"/>
      <c r="AB630" s="393"/>
      <c r="AC630" s="192"/>
      <c r="AD630" s="149"/>
      <c r="AE630" s="392"/>
      <c r="AF630" s="393"/>
      <c r="AG630" s="143"/>
      <c r="AH630" s="143"/>
      <c r="AI630" s="143"/>
      <c r="AJ630" s="143"/>
      <c r="AK630" s="389"/>
      <c r="AL630" s="389"/>
      <c r="AM630" s="389"/>
    </row>
    <row r="631">
      <c r="A631" s="307"/>
      <c r="B631" s="308"/>
      <c r="C631" s="309"/>
      <c r="D631" s="389"/>
      <c r="E631" s="307"/>
      <c r="F631" s="308"/>
      <c r="G631" s="309"/>
      <c r="H631" s="389"/>
      <c r="I631" s="307"/>
      <c r="J631" s="308"/>
      <c r="K631" s="309"/>
      <c r="L631" s="389"/>
      <c r="M631" s="307"/>
      <c r="N631" s="308"/>
      <c r="O631" s="309"/>
      <c r="P631" s="389"/>
      <c r="Q631" s="192"/>
      <c r="R631" s="149"/>
      <c r="S631" s="392"/>
      <c r="T631" s="393"/>
      <c r="U631" s="192"/>
      <c r="V631" s="149"/>
      <c r="W631" s="392"/>
      <c r="X631" s="393"/>
      <c r="Y631" s="192"/>
      <c r="Z631" s="149"/>
      <c r="AA631" s="392"/>
      <c r="AB631" s="393"/>
      <c r="AC631" s="192"/>
      <c r="AD631" s="149"/>
      <c r="AE631" s="392"/>
      <c r="AF631" s="393"/>
      <c r="AG631" s="143"/>
      <c r="AH631" s="143"/>
      <c r="AI631" s="143"/>
      <c r="AJ631" s="143"/>
      <c r="AK631" s="389"/>
      <c r="AL631" s="389"/>
      <c r="AM631" s="389"/>
    </row>
    <row r="632">
      <c r="A632" s="307"/>
      <c r="B632" s="308"/>
      <c r="C632" s="309"/>
      <c r="D632" s="389"/>
      <c r="E632" s="307"/>
      <c r="F632" s="308"/>
      <c r="G632" s="309"/>
      <c r="H632" s="389"/>
      <c r="I632" s="307"/>
      <c r="J632" s="308"/>
      <c r="K632" s="309"/>
      <c r="L632" s="389"/>
      <c r="M632" s="307"/>
      <c r="N632" s="308"/>
      <c r="O632" s="309"/>
      <c r="P632" s="389"/>
      <c r="Q632" s="192"/>
      <c r="R632" s="149"/>
      <c r="S632" s="392"/>
      <c r="T632" s="393"/>
      <c r="U632" s="192"/>
      <c r="V632" s="149"/>
      <c r="W632" s="392"/>
      <c r="X632" s="393"/>
      <c r="Y632" s="192"/>
      <c r="Z632" s="149"/>
      <c r="AA632" s="392"/>
      <c r="AB632" s="393"/>
      <c r="AC632" s="192"/>
      <c r="AD632" s="149"/>
      <c r="AE632" s="392"/>
      <c r="AF632" s="393"/>
      <c r="AG632" s="143"/>
      <c r="AH632" s="143"/>
      <c r="AI632" s="143"/>
      <c r="AJ632" s="143"/>
      <c r="AK632" s="389"/>
      <c r="AL632" s="389"/>
      <c r="AM632" s="389"/>
    </row>
    <row r="633">
      <c r="A633" s="307"/>
      <c r="B633" s="308"/>
      <c r="C633" s="309"/>
      <c r="D633" s="389"/>
      <c r="E633" s="307"/>
      <c r="F633" s="308"/>
      <c r="G633" s="309"/>
      <c r="H633" s="389"/>
      <c r="I633" s="307"/>
      <c r="J633" s="308"/>
      <c r="K633" s="309"/>
      <c r="L633" s="389"/>
      <c r="M633" s="307"/>
      <c r="N633" s="308"/>
      <c r="O633" s="309"/>
      <c r="P633" s="389"/>
      <c r="Q633" s="192"/>
      <c r="R633" s="149"/>
      <c r="S633" s="392"/>
      <c r="T633" s="393"/>
      <c r="U633" s="192"/>
      <c r="V633" s="149"/>
      <c r="W633" s="392"/>
      <c r="X633" s="393"/>
      <c r="Y633" s="192"/>
      <c r="Z633" s="149"/>
      <c r="AA633" s="392"/>
      <c r="AB633" s="393"/>
      <c r="AC633" s="192"/>
      <c r="AD633" s="149"/>
      <c r="AE633" s="392"/>
      <c r="AF633" s="393"/>
      <c r="AG633" s="143"/>
      <c r="AH633" s="143"/>
      <c r="AI633" s="143"/>
      <c r="AJ633" s="143"/>
      <c r="AK633" s="389"/>
      <c r="AL633" s="389"/>
      <c r="AM633" s="389"/>
    </row>
    <row r="634">
      <c r="A634" s="307"/>
      <c r="B634" s="308"/>
      <c r="C634" s="309"/>
      <c r="D634" s="389"/>
      <c r="E634" s="307"/>
      <c r="F634" s="308"/>
      <c r="G634" s="309"/>
      <c r="H634" s="389"/>
      <c r="I634" s="307"/>
      <c r="J634" s="308"/>
      <c r="K634" s="309"/>
      <c r="L634" s="389"/>
      <c r="M634" s="307"/>
      <c r="N634" s="308"/>
      <c r="O634" s="309"/>
      <c r="P634" s="389"/>
      <c r="Q634" s="192"/>
      <c r="R634" s="149"/>
      <c r="S634" s="392"/>
      <c r="T634" s="393"/>
      <c r="U634" s="192"/>
      <c r="V634" s="149"/>
      <c r="W634" s="392"/>
      <c r="X634" s="393"/>
      <c r="Y634" s="192"/>
      <c r="Z634" s="149"/>
      <c r="AA634" s="392"/>
      <c r="AB634" s="393"/>
      <c r="AC634" s="192"/>
      <c r="AD634" s="149"/>
      <c r="AE634" s="392"/>
      <c r="AF634" s="393"/>
      <c r="AG634" s="143"/>
      <c r="AH634" s="143"/>
      <c r="AI634" s="143"/>
      <c r="AJ634" s="143"/>
      <c r="AK634" s="389"/>
      <c r="AL634" s="389"/>
      <c r="AM634" s="389"/>
    </row>
    <row r="635">
      <c r="A635" s="307"/>
      <c r="B635" s="308"/>
      <c r="C635" s="309"/>
      <c r="D635" s="389"/>
      <c r="E635" s="307"/>
      <c r="F635" s="308"/>
      <c r="G635" s="309"/>
      <c r="H635" s="389"/>
      <c r="I635" s="307"/>
      <c r="J635" s="308"/>
      <c r="K635" s="309"/>
      <c r="L635" s="389"/>
      <c r="M635" s="307"/>
      <c r="N635" s="308"/>
      <c r="O635" s="309"/>
      <c r="P635" s="389"/>
      <c r="Q635" s="192"/>
      <c r="R635" s="149"/>
      <c r="S635" s="392"/>
      <c r="T635" s="393"/>
      <c r="U635" s="192"/>
      <c r="V635" s="149"/>
      <c r="W635" s="392"/>
      <c r="X635" s="393"/>
      <c r="Y635" s="192"/>
      <c r="Z635" s="149"/>
      <c r="AA635" s="392"/>
      <c r="AB635" s="393"/>
      <c r="AC635" s="192"/>
      <c r="AD635" s="149"/>
      <c r="AE635" s="392"/>
      <c r="AF635" s="393"/>
      <c r="AG635" s="143"/>
      <c r="AH635" s="143"/>
      <c r="AI635" s="143"/>
      <c r="AJ635" s="143"/>
      <c r="AK635" s="389"/>
      <c r="AL635" s="389"/>
      <c r="AM635" s="389"/>
    </row>
    <row r="636">
      <c r="A636" s="307"/>
      <c r="B636" s="308"/>
      <c r="C636" s="309"/>
      <c r="D636" s="389"/>
      <c r="E636" s="307"/>
      <c r="F636" s="308"/>
      <c r="G636" s="309"/>
      <c r="H636" s="389"/>
      <c r="I636" s="307"/>
      <c r="J636" s="308"/>
      <c r="K636" s="309"/>
      <c r="L636" s="389"/>
      <c r="M636" s="307"/>
      <c r="N636" s="308"/>
      <c r="O636" s="309"/>
      <c r="P636" s="389"/>
      <c r="Q636" s="192"/>
      <c r="R636" s="149"/>
      <c r="S636" s="392"/>
      <c r="T636" s="393"/>
      <c r="U636" s="192"/>
      <c r="V636" s="149"/>
      <c r="W636" s="392"/>
      <c r="X636" s="393"/>
      <c r="Y636" s="192"/>
      <c r="Z636" s="149"/>
      <c r="AA636" s="392"/>
      <c r="AB636" s="393"/>
      <c r="AC636" s="192"/>
      <c r="AD636" s="149"/>
      <c r="AE636" s="392"/>
      <c r="AF636" s="393"/>
      <c r="AG636" s="143"/>
      <c r="AH636" s="143"/>
      <c r="AI636" s="143"/>
      <c r="AJ636" s="143"/>
      <c r="AK636" s="389"/>
      <c r="AL636" s="389"/>
      <c r="AM636" s="389"/>
    </row>
    <row r="637">
      <c r="A637" s="307"/>
      <c r="B637" s="308"/>
      <c r="C637" s="309"/>
      <c r="D637" s="389"/>
      <c r="E637" s="307"/>
      <c r="F637" s="308"/>
      <c r="G637" s="309"/>
      <c r="H637" s="389"/>
      <c r="I637" s="307"/>
      <c r="J637" s="308"/>
      <c r="K637" s="309"/>
      <c r="L637" s="389"/>
      <c r="M637" s="307"/>
      <c r="N637" s="308"/>
      <c r="O637" s="309"/>
      <c r="P637" s="389"/>
      <c r="Q637" s="192"/>
      <c r="R637" s="149"/>
      <c r="S637" s="392"/>
      <c r="T637" s="393"/>
      <c r="U637" s="192"/>
      <c r="V637" s="149"/>
      <c r="W637" s="392"/>
      <c r="X637" s="393"/>
      <c r="Y637" s="192"/>
      <c r="Z637" s="149"/>
      <c r="AA637" s="392"/>
      <c r="AB637" s="393"/>
      <c r="AC637" s="192"/>
      <c r="AD637" s="149"/>
      <c r="AE637" s="392"/>
      <c r="AF637" s="393"/>
      <c r="AG637" s="143"/>
      <c r="AH637" s="143"/>
      <c r="AI637" s="143"/>
      <c r="AJ637" s="143"/>
      <c r="AK637" s="389"/>
      <c r="AL637" s="389"/>
      <c r="AM637" s="389"/>
    </row>
    <row r="638">
      <c r="A638" s="307"/>
      <c r="B638" s="308"/>
      <c r="C638" s="309"/>
      <c r="D638" s="389"/>
      <c r="E638" s="307"/>
      <c r="F638" s="308"/>
      <c r="G638" s="309"/>
      <c r="H638" s="389"/>
      <c r="I638" s="307"/>
      <c r="J638" s="308"/>
      <c r="K638" s="309"/>
      <c r="L638" s="389"/>
      <c r="M638" s="307"/>
      <c r="N638" s="308"/>
      <c r="O638" s="309"/>
      <c r="P638" s="389"/>
      <c r="Q638" s="192"/>
      <c r="R638" s="149"/>
      <c r="S638" s="392"/>
      <c r="T638" s="393"/>
      <c r="U638" s="192"/>
      <c r="V638" s="149"/>
      <c r="W638" s="392"/>
      <c r="X638" s="393"/>
      <c r="Y638" s="192"/>
      <c r="Z638" s="149"/>
      <c r="AA638" s="392"/>
      <c r="AB638" s="393"/>
      <c r="AC638" s="192"/>
      <c r="AD638" s="149"/>
      <c r="AE638" s="392"/>
      <c r="AF638" s="393"/>
      <c r="AG638" s="143"/>
      <c r="AH638" s="143"/>
      <c r="AI638" s="143"/>
      <c r="AJ638" s="143"/>
      <c r="AK638" s="389"/>
      <c r="AL638" s="389"/>
      <c r="AM638" s="389"/>
    </row>
    <row r="639">
      <c r="A639" s="307"/>
      <c r="B639" s="308"/>
      <c r="C639" s="309"/>
      <c r="D639" s="389"/>
      <c r="E639" s="307"/>
      <c r="F639" s="308"/>
      <c r="G639" s="309"/>
      <c r="H639" s="389"/>
      <c r="I639" s="307"/>
      <c r="J639" s="308"/>
      <c r="K639" s="309"/>
      <c r="L639" s="389"/>
      <c r="M639" s="307"/>
      <c r="N639" s="308"/>
      <c r="O639" s="309"/>
      <c r="P639" s="389"/>
      <c r="Q639" s="192"/>
      <c r="R639" s="149"/>
      <c r="S639" s="392"/>
      <c r="T639" s="393"/>
      <c r="U639" s="192"/>
      <c r="V639" s="149"/>
      <c r="W639" s="392"/>
      <c r="X639" s="393"/>
      <c r="Y639" s="192"/>
      <c r="Z639" s="149"/>
      <c r="AA639" s="392"/>
      <c r="AB639" s="393"/>
      <c r="AC639" s="192"/>
      <c r="AD639" s="149"/>
      <c r="AE639" s="392"/>
      <c r="AF639" s="393"/>
      <c r="AG639" s="143"/>
      <c r="AH639" s="143"/>
      <c r="AI639" s="143"/>
      <c r="AJ639" s="143"/>
      <c r="AK639" s="389"/>
      <c r="AL639" s="389"/>
      <c r="AM639" s="389"/>
    </row>
    <row r="640">
      <c r="A640" s="307"/>
      <c r="B640" s="308"/>
      <c r="C640" s="309"/>
      <c r="D640" s="389"/>
      <c r="E640" s="307"/>
      <c r="F640" s="308"/>
      <c r="G640" s="309"/>
      <c r="H640" s="389"/>
      <c r="I640" s="307"/>
      <c r="J640" s="308"/>
      <c r="K640" s="309"/>
      <c r="L640" s="389"/>
      <c r="M640" s="307"/>
      <c r="N640" s="308"/>
      <c r="O640" s="309"/>
      <c r="P640" s="389"/>
      <c r="Q640" s="192"/>
      <c r="R640" s="149"/>
      <c r="S640" s="392"/>
      <c r="T640" s="393"/>
      <c r="U640" s="192"/>
      <c r="V640" s="149"/>
      <c r="W640" s="392"/>
      <c r="X640" s="393"/>
      <c r="Y640" s="192"/>
      <c r="Z640" s="149"/>
      <c r="AA640" s="392"/>
      <c r="AB640" s="393"/>
      <c r="AC640" s="192"/>
      <c r="AD640" s="149"/>
      <c r="AE640" s="392"/>
      <c r="AF640" s="393"/>
      <c r="AG640" s="143"/>
      <c r="AH640" s="143"/>
      <c r="AI640" s="143"/>
      <c r="AJ640" s="143"/>
      <c r="AK640" s="389"/>
      <c r="AL640" s="389"/>
      <c r="AM640" s="389"/>
    </row>
    <row r="641">
      <c r="A641" s="307"/>
      <c r="B641" s="308"/>
      <c r="C641" s="309"/>
      <c r="D641" s="389"/>
      <c r="E641" s="307"/>
      <c r="F641" s="308"/>
      <c r="G641" s="309"/>
      <c r="H641" s="389"/>
      <c r="I641" s="307"/>
      <c r="J641" s="308"/>
      <c r="K641" s="309"/>
      <c r="L641" s="389"/>
      <c r="M641" s="307"/>
      <c r="N641" s="308"/>
      <c r="O641" s="309"/>
      <c r="P641" s="389"/>
      <c r="Q641" s="192"/>
      <c r="R641" s="149"/>
      <c r="S641" s="392"/>
      <c r="T641" s="393"/>
      <c r="U641" s="192"/>
      <c r="V641" s="149"/>
      <c r="W641" s="392"/>
      <c r="X641" s="393"/>
      <c r="Y641" s="192"/>
      <c r="Z641" s="149"/>
      <c r="AA641" s="392"/>
      <c r="AB641" s="393"/>
      <c r="AC641" s="192"/>
      <c r="AD641" s="149"/>
      <c r="AE641" s="392"/>
      <c r="AF641" s="393"/>
      <c r="AG641" s="143"/>
      <c r="AH641" s="143"/>
      <c r="AI641" s="143"/>
      <c r="AJ641" s="143"/>
      <c r="AK641" s="389"/>
      <c r="AL641" s="389"/>
      <c r="AM641" s="389"/>
    </row>
    <row r="642">
      <c r="A642" s="307"/>
      <c r="B642" s="308"/>
      <c r="C642" s="309"/>
      <c r="D642" s="389"/>
      <c r="E642" s="307"/>
      <c r="F642" s="308"/>
      <c r="G642" s="309"/>
      <c r="H642" s="389"/>
      <c r="I642" s="307"/>
      <c r="J642" s="308"/>
      <c r="K642" s="309"/>
      <c r="L642" s="389"/>
      <c r="M642" s="307"/>
      <c r="N642" s="308"/>
      <c r="O642" s="309"/>
      <c r="P642" s="389"/>
      <c r="Q642" s="192"/>
      <c r="R642" s="149"/>
      <c r="S642" s="392"/>
      <c r="T642" s="393"/>
      <c r="U642" s="192"/>
      <c r="V642" s="149"/>
      <c r="W642" s="392"/>
      <c r="X642" s="393"/>
      <c r="Y642" s="192"/>
      <c r="Z642" s="149"/>
      <c r="AA642" s="392"/>
      <c r="AB642" s="393"/>
      <c r="AC642" s="192"/>
      <c r="AD642" s="149"/>
      <c r="AE642" s="392"/>
      <c r="AF642" s="393"/>
      <c r="AG642" s="143"/>
      <c r="AH642" s="143"/>
      <c r="AI642" s="143"/>
      <c r="AJ642" s="143"/>
      <c r="AK642" s="389"/>
      <c r="AL642" s="389"/>
      <c r="AM642" s="389"/>
    </row>
    <row r="643">
      <c r="A643" s="307"/>
      <c r="B643" s="308"/>
      <c r="C643" s="309"/>
      <c r="D643" s="389"/>
      <c r="E643" s="307"/>
      <c r="F643" s="308"/>
      <c r="G643" s="309"/>
      <c r="H643" s="389"/>
      <c r="I643" s="307"/>
      <c r="J643" s="308"/>
      <c r="K643" s="309"/>
      <c r="L643" s="389"/>
      <c r="M643" s="307"/>
      <c r="N643" s="308"/>
      <c r="O643" s="309"/>
      <c r="P643" s="389"/>
      <c r="Q643" s="192"/>
      <c r="R643" s="149"/>
      <c r="S643" s="392"/>
      <c r="T643" s="393"/>
      <c r="U643" s="192"/>
      <c r="V643" s="149"/>
      <c r="W643" s="392"/>
      <c r="X643" s="393"/>
      <c r="Y643" s="192"/>
      <c r="Z643" s="149"/>
      <c r="AA643" s="392"/>
      <c r="AB643" s="393"/>
      <c r="AC643" s="192"/>
      <c r="AD643" s="149"/>
      <c r="AE643" s="392"/>
      <c r="AF643" s="393"/>
      <c r="AG643" s="143"/>
      <c r="AH643" s="143"/>
      <c r="AI643" s="143"/>
      <c r="AJ643" s="143"/>
      <c r="AK643" s="389"/>
      <c r="AL643" s="389"/>
      <c r="AM643" s="389"/>
    </row>
    <row r="644">
      <c r="A644" s="307"/>
      <c r="B644" s="308"/>
      <c r="C644" s="309"/>
      <c r="D644" s="389"/>
      <c r="E644" s="307"/>
      <c r="F644" s="308"/>
      <c r="G644" s="309"/>
      <c r="H644" s="389"/>
      <c r="I644" s="307"/>
      <c r="J644" s="308"/>
      <c r="K644" s="309"/>
      <c r="L644" s="389"/>
      <c r="M644" s="307"/>
      <c r="N644" s="308"/>
      <c r="O644" s="309"/>
      <c r="P644" s="389"/>
      <c r="Q644" s="192"/>
      <c r="R644" s="149"/>
      <c r="S644" s="392"/>
      <c r="T644" s="393"/>
      <c r="U644" s="192"/>
      <c r="V644" s="149"/>
      <c r="W644" s="392"/>
      <c r="X644" s="393"/>
      <c r="Y644" s="192"/>
      <c r="Z644" s="149"/>
      <c r="AA644" s="392"/>
      <c r="AB644" s="393"/>
      <c r="AC644" s="192"/>
      <c r="AD644" s="149"/>
      <c r="AE644" s="392"/>
      <c r="AF644" s="393"/>
      <c r="AG644" s="143"/>
      <c r="AH644" s="143"/>
      <c r="AI644" s="143"/>
      <c r="AJ644" s="143"/>
      <c r="AK644" s="389"/>
      <c r="AL644" s="389"/>
      <c r="AM644" s="389"/>
    </row>
    <row r="645">
      <c r="A645" s="307"/>
      <c r="B645" s="308"/>
      <c r="C645" s="309"/>
      <c r="D645" s="389"/>
      <c r="E645" s="307"/>
      <c r="F645" s="308"/>
      <c r="G645" s="309"/>
      <c r="H645" s="389"/>
      <c r="I645" s="307"/>
      <c r="J645" s="308"/>
      <c r="K645" s="309"/>
      <c r="L645" s="389"/>
      <c r="M645" s="307"/>
      <c r="N645" s="308"/>
      <c r="O645" s="309"/>
      <c r="P645" s="389"/>
      <c r="Q645" s="192"/>
      <c r="R645" s="149"/>
      <c r="S645" s="392"/>
      <c r="T645" s="393"/>
      <c r="U645" s="192"/>
      <c r="V645" s="149"/>
      <c r="W645" s="392"/>
      <c r="X645" s="393"/>
      <c r="Y645" s="192"/>
      <c r="Z645" s="149"/>
      <c r="AA645" s="392"/>
      <c r="AB645" s="393"/>
      <c r="AC645" s="192"/>
      <c r="AD645" s="149"/>
      <c r="AE645" s="392"/>
      <c r="AF645" s="393"/>
      <c r="AG645" s="143"/>
      <c r="AH645" s="143"/>
      <c r="AI645" s="143"/>
      <c r="AJ645" s="143"/>
      <c r="AK645" s="389"/>
      <c r="AL645" s="389"/>
      <c r="AM645" s="389"/>
    </row>
    <row r="646">
      <c r="A646" s="307"/>
      <c r="B646" s="308"/>
      <c r="C646" s="309"/>
      <c r="D646" s="389"/>
      <c r="E646" s="307"/>
      <c r="F646" s="308"/>
      <c r="G646" s="309"/>
      <c r="H646" s="389"/>
      <c r="I646" s="307"/>
      <c r="J646" s="308"/>
      <c r="K646" s="309"/>
      <c r="L646" s="389"/>
      <c r="M646" s="307"/>
      <c r="N646" s="308"/>
      <c r="O646" s="309"/>
      <c r="P646" s="389"/>
      <c r="Q646" s="192"/>
      <c r="R646" s="149"/>
      <c r="S646" s="392"/>
      <c r="T646" s="393"/>
      <c r="U646" s="192"/>
      <c r="V646" s="149"/>
      <c r="W646" s="392"/>
      <c r="X646" s="393"/>
      <c r="Y646" s="192"/>
      <c r="Z646" s="149"/>
      <c r="AA646" s="392"/>
      <c r="AB646" s="393"/>
      <c r="AC646" s="192"/>
      <c r="AD646" s="149"/>
      <c r="AE646" s="392"/>
      <c r="AF646" s="393"/>
      <c r="AG646" s="143"/>
      <c r="AH646" s="143"/>
      <c r="AI646" s="143"/>
      <c r="AJ646" s="143"/>
      <c r="AK646" s="389"/>
      <c r="AL646" s="389"/>
      <c r="AM646" s="389"/>
    </row>
    <row r="647">
      <c r="A647" s="307"/>
      <c r="B647" s="308"/>
      <c r="C647" s="309"/>
      <c r="D647" s="389"/>
      <c r="E647" s="307"/>
      <c r="F647" s="308"/>
      <c r="G647" s="309"/>
      <c r="H647" s="389"/>
      <c r="I647" s="307"/>
      <c r="J647" s="308"/>
      <c r="K647" s="309"/>
      <c r="L647" s="389"/>
      <c r="M647" s="307"/>
      <c r="N647" s="308"/>
      <c r="O647" s="309"/>
      <c r="P647" s="389"/>
      <c r="Q647" s="192"/>
      <c r="R647" s="149"/>
      <c r="S647" s="392"/>
      <c r="T647" s="393"/>
      <c r="U647" s="192"/>
      <c r="V647" s="149"/>
      <c r="W647" s="392"/>
      <c r="X647" s="393"/>
      <c r="Y647" s="192"/>
      <c r="Z647" s="149"/>
      <c r="AA647" s="392"/>
      <c r="AB647" s="393"/>
      <c r="AC647" s="192"/>
      <c r="AD647" s="149"/>
      <c r="AE647" s="392"/>
      <c r="AF647" s="393"/>
      <c r="AG647" s="143"/>
      <c r="AH647" s="143"/>
      <c r="AI647" s="143"/>
      <c r="AJ647" s="143"/>
      <c r="AK647" s="389"/>
      <c r="AL647" s="389"/>
      <c r="AM647" s="389"/>
    </row>
    <row r="648">
      <c r="A648" s="307"/>
      <c r="B648" s="308"/>
      <c r="C648" s="309"/>
      <c r="D648" s="389"/>
      <c r="E648" s="307"/>
      <c r="F648" s="308"/>
      <c r="G648" s="309"/>
      <c r="H648" s="389"/>
      <c r="I648" s="307"/>
      <c r="J648" s="308"/>
      <c r="K648" s="309"/>
      <c r="L648" s="389"/>
      <c r="M648" s="307"/>
      <c r="N648" s="308"/>
      <c r="O648" s="309"/>
      <c r="P648" s="389"/>
      <c r="Q648" s="192"/>
      <c r="R648" s="149"/>
      <c r="S648" s="392"/>
      <c r="T648" s="393"/>
      <c r="U648" s="192"/>
      <c r="V648" s="149"/>
      <c r="W648" s="392"/>
      <c r="X648" s="393"/>
      <c r="Y648" s="192"/>
      <c r="Z648" s="149"/>
      <c r="AA648" s="392"/>
      <c r="AB648" s="393"/>
      <c r="AC648" s="192"/>
      <c r="AD648" s="149"/>
      <c r="AE648" s="392"/>
      <c r="AF648" s="393"/>
      <c r="AG648" s="143"/>
      <c r="AH648" s="143"/>
      <c r="AI648" s="143"/>
      <c r="AJ648" s="143"/>
      <c r="AK648" s="389"/>
      <c r="AL648" s="389"/>
      <c r="AM648" s="389"/>
    </row>
    <row r="649">
      <c r="A649" s="307"/>
      <c r="B649" s="308"/>
      <c r="C649" s="309"/>
      <c r="D649" s="389"/>
      <c r="E649" s="307"/>
      <c r="F649" s="308"/>
      <c r="G649" s="309"/>
      <c r="H649" s="389"/>
      <c r="I649" s="307"/>
      <c r="J649" s="308"/>
      <c r="K649" s="309"/>
      <c r="L649" s="389"/>
      <c r="M649" s="307"/>
      <c r="N649" s="308"/>
      <c r="O649" s="309"/>
      <c r="P649" s="389"/>
      <c r="Q649" s="192"/>
      <c r="R649" s="149"/>
      <c r="S649" s="392"/>
      <c r="T649" s="393"/>
      <c r="U649" s="192"/>
      <c r="V649" s="149"/>
      <c r="W649" s="392"/>
      <c r="X649" s="393"/>
      <c r="Y649" s="192"/>
      <c r="Z649" s="149"/>
      <c r="AA649" s="392"/>
      <c r="AB649" s="393"/>
      <c r="AC649" s="192"/>
      <c r="AD649" s="149"/>
      <c r="AE649" s="392"/>
      <c r="AF649" s="393"/>
      <c r="AG649" s="143"/>
      <c r="AH649" s="143"/>
      <c r="AI649" s="143"/>
      <c r="AJ649" s="143"/>
      <c r="AK649" s="389"/>
      <c r="AL649" s="389"/>
      <c r="AM649" s="389"/>
    </row>
    <row r="650">
      <c r="A650" s="307"/>
      <c r="B650" s="308"/>
      <c r="C650" s="309"/>
      <c r="D650" s="389"/>
      <c r="E650" s="307"/>
      <c r="F650" s="308"/>
      <c r="G650" s="309"/>
      <c r="H650" s="389"/>
      <c r="I650" s="307"/>
      <c r="J650" s="308"/>
      <c r="K650" s="309"/>
      <c r="L650" s="389"/>
      <c r="M650" s="307"/>
      <c r="N650" s="308"/>
      <c r="O650" s="309"/>
      <c r="P650" s="389"/>
      <c r="Q650" s="192"/>
      <c r="R650" s="149"/>
      <c r="S650" s="392"/>
      <c r="T650" s="393"/>
      <c r="U650" s="192"/>
      <c r="V650" s="149"/>
      <c r="W650" s="392"/>
      <c r="X650" s="393"/>
      <c r="Y650" s="192"/>
      <c r="Z650" s="149"/>
      <c r="AA650" s="392"/>
      <c r="AB650" s="393"/>
      <c r="AC650" s="192"/>
      <c r="AD650" s="149"/>
      <c r="AE650" s="392"/>
      <c r="AF650" s="393"/>
      <c r="AG650" s="143"/>
      <c r="AH650" s="143"/>
      <c r="AI650" s="143"/>
      <c r="AJ650" s="143"/>
      <c r="AK650" s="389"/>
      <c r="AL650" s="389"/>
      <c r="AM650" s="389"/>
    </row>
    <row r="651">
      <c r="A651" s="307"/>
      <c r="B651" s="308"/>
      <c r="C651" s="309"/>
      <c r="D651" s="389"/>
      <c r="E651" s="307"/>
      <c r="F651" s="308"/>
      <c r="G651" s="309"/>
      <c r="H651" s="389"/>
      <c r="I651" s="307"/>
      <c r="J651" s="308"/>
      <c r="K651" s="309"/>
      <c r="L651" s="389"/>
      <c r="M651" s="307"/>
      <c r="N651" s="308"/>
      <c r="O651" s="309"/>
      <c r="P651" s="389"/>
      <c r="Q651" s="192"/>
      <c r="R651" s="149"/>
      <c r="S651" s="392"/>
      <c r="T651" s="393"/>
      <c r="U651" s="192"/>
      <c r="V651" s="149"/>
      <c r="W651" s="392"/>
      <c r="X651" s="393"/>
      <c r="Y651" s="192"/>
      <c r="Z651" s="149"/>
      <c r="AA651" s="392"/>
      <c r="AB651" s="393"/>
      <c r="AC651" s="192"/>
      <c r="AD651" s="149"/>
      <c r="AE651" s="392"/>
      <c r="AF651" s="393"/>
      <c r="AG651" s="143"/>
      <c r="AH651" s="143"/>
      <c r="AI651" s="143"/>
      <c r="AJ651" s="143"/>
      <c r="AK651" s="389"/>
      <c r="AL651" s="389"/>
      <c r="AM651" s="389"/>
    </row>
    <row r="652">
      <c r="A652" s="307"/>
      <c r="B652" s="308"/>
      <c r="C652" s="309"/>
      <c r="D652" s="389"/>
      <c r="E652" s="307"/>
      <c r="F652" s="308"/>
      <c r="G652" s="309"/>
      <c r="H652" s="389"/>
      <c r="I652" s="307"/>
      <c r="J652" s="308"/>
      <c r="K652" s="309"/>
      <c r="L652" s="389"/>
      <c r="M652" s="307"/>
      <c r="N652" s="308"/>
      <c r="O652" s="309"/>
      <c r="P652" s="389"/>
      <c r="Q652" s="192"/>
      <c r="R652" s="149"/>
      <c r="S652" s="392"/>
      <c r="T652" s="393"/>
      <c r="U652" s="192"/>
      <c r="V652" s="149"/>
      <c r="W652" s="392"/>
      <c r="X652" s="393"/>
      <c r="Y652" s="192"/>
      <c r="Z652" s="149"/>
      <c r="AA652" s="392"/>
      <c r="AB652" s="393"/>
      <c r="AC652" s="192"/>
      <c r="AD652" s="149"/>
      <c r="AE652" s="392"/>
      <c r="AF652" s="393"/>
      <c r="AG652" s="143"/>
      <c r="AH652" s="143"/>
      <c r="AI652" s="143"/>
      <c r="AJ652" s="143"/>
      <c r="AK652" s="389"/>
      <c r="AL652" s="389"/>
      <c r="AM652" s="389"/>
    </row>
    <row r="653">
      <c r="A653" s="307"/>
      <c r="B653" s="308"/>
      <c r="C653" s="309"/>
      <c r="D653" s="389"/>
      <c r="E653" s="307"/>
      <c r="F653" s="308"/>
      <c r="G653" s="309"/>
      <c r="H653" s="389"/>
      <c r="I653" s="307"/>
      <c r="J653" s="308"/>
      <c r="K653" s="309"/>
      <c r="L653" s="389"/>
      <c r="M653" s="307"/>
      <c r="N653" s="308"/>
      <c r="O653" s="309"/>
      <c r="P653" s="389"/>
      <c r="Q653" s="192"/>
      <c r="R653" s="149"/>
      <c r="S653" s="392"/>
      <c r="T653" s="393"/>
      <c r="U653" s="192"/>
      <c r="V653" s="149"/>
      <c r="W653" s="392"/>
      <c r="X653" s="393"/>
      <c r="Y653" s="192"/>
      <c r="Z653" s="149"/>
      <c r="AA653" s="392"/>
      <c r="AB653" s="393"/>
      <c r="AC653" s="192"/>
      <c r="AD653" s="149"/>
      <c r="AE653" s="392"/>
      <c r="AF653" s="393"/>
      <c r="AG653" s="143"/>
      <c r="AH653" s="143"/>
      <c r="AI653" s="143"/>
      <c r="AJ653" s="143"/>
      <c r="AK653" s="389"/>
      <c r="AL653" s="389"/>
      <c r="AM653" s="389"/>
    </row>
    <row r="654">
      <c r="A654" s="307"/>
      <c r="B654" s="308"/>
      <c r="C654" s="309"/>
      <c r="D654" s="389"/>
      <c r="E654" s="307"/>
      <c r="F654" s="308"/>
      <c r="G654" s="309"/>
      <c r="H654" s="389"/>
      <c r="I654" s="307"/>
      <c r="J654" s="308"/>
      <c r="K654" s="309"/>
      <c r="L654" s="389"/>
      <c r="M654" s="307"/>
      <c r="N654" s="308"/>
      <c r="O654" s="309"/>
      <c r="P654" s="389"/>
      <c r="Q654" s="192"/>
      <c r="R654" s="149"/>
      <c r="S654" s="392"/>
      <c r="T654" s="393"/>
      <c r="U654" s="192"/>
      <c r="V654" s="149"/>
      <c r="W654" s="392"/>
      <c r="X654" s="393"/>
      <c r="Y654" s="192"/>
      <c r="Z654" s="149"/>
      <c r="AA654" s="392"/>
      <c r="AB654" s="393"/>
      <c r="AC654" s="192"/>
      <c r="AD654" s="149"/>
      <c r="AE654" s="392"/>
      <c r="AF654" s="393"/>
      <c r="AG654" s="143"/>
      <c r="AH654" s="143"/>
      <c r="AI654" s="143"/>
      <c r="AJ654" s="143"/>
      <c r="AK654" s="389"/>
      <c r="AL654" s="389"/>
      <c r="AM654" s="389"/>
    </row>
    <row r="655">
      <c r="A655" s="307"/>
      <c r="B655" s="308"/>
      <c r="C655" s="309"/>
      <c r="D655" s="389"/>
      <c r="E655" s="307"/>
      <c r="F655" s="308"/>
      <c r="G655" s="309"/>
      <c r="H655" s="389"/>
      <c r="I655" s="307"/>
      <c r="J655" s="308"/>
      <c r="K655" s="309"/>
      <c r="L655" s="389"/>
      <c r="M655" s="307"/>
      <c r="N655" s="308"/>
      <c r="O655" s="309"/>
      <c r="P655" s="389"/>
      <c r="Q655" s="192"/>
      <c r="R655" s="149"/>
      <c r="S655" s="392"/>
      <c r="T655" s="393"/>
      <c r="U655" s="192"/>
      <c r="V655" s="149"/>
      <c r="W655" s="392"/>
      <c r="X655" s="393"/>
      <c r="Y655" s="192"/>
      <c r="Z655" s="149"/>
      <c r="AA655" s="392"/>
      <c r="AB655" s="393"/>
      <c r="AC655" s="192"/>
      <c r="AD655" s="149"/>
      <c r="AE655" s="392"/>
      <c r="AF655" s="393"/>
      <c r="AG655" s="143"/>
      <c r="AH655" s="143"/>
      <c r="AI655" s="143"/>
      <c r="AJ655" s="143"/>
      <c r="AK655" s="389"/>
      <c r="AL655" s="389"/>
      <c r="AM655" s="389"/>
    </row>
    <row r="656">
      <c r="A656" s="307"/>
      <c r="B656" s="308"/>
      <c r="C656" s="309"/>
      <c r="D656" s="389"/>
      <c r="E656" s="307"/>
      <c r="F656" s="308"/>
      <c r="G656" s="309"/>
      <c r="H656" s="389"/>
      <c r="I656" s="307"/>
      <c r="J656" s="308"/>
      <c r="K656" s="309"/>
      <c r="L656" s="389"/>
      <c r="M656" s="307"/>
      <c r="N656" s="308"/>
      <c r="O656" s="309"/>
      <c r="P656" s="389"/>
      <c r="Q656" s="192"/>
      <c r="R656" s="149"/>
      <c r="S656" s="392"/>
      <c r="T656" s="393"/>
      <c r="U656" s="192"/>
      <c r="V656" s="149"/>
      <c r="W656" s="392"/>
      <c r="X656" s="393"/>
      <c r="Y656" s="192"/>
      <c r="Z656" s="149"/>
      <c r="AA656" s="392"/>
      <c r="AB656" s="393"/>
      <c r="AC656" s="192"/>
      <c r="AD656" s="149"/>
      <c r="AE656" s="392"/>
      <c r="AF656" s="393"/>
      <c r="AG656" s="143"/>
      <c r="AH656" s="143"/>
      <c r="AI656" s="143"/>
      <c r="AJ656" s="143"/>
      <c r="AK656" s="389"/>
      <c r="AL656" s="389"/>
      <c r="AM656" s="389"/>
    </row>
    <row r="657">
      <c r="A657" s="307"/>
      <c r="B657" s="308"/>
      <c r="C657" s="309"/>
      <c r="D657" s="389"/>
      <c r="E657" s="307"/>
      <c r="F657" s="308"/>
      <c r="G657" s="309"/>
      <c r="H657" s="389"/>
      <c r="I657" s="307"/>
      <c r="J657" s="308"/>
      <c r="K657" s="309"/>
      <c r="L657" s="389"/>
      <c r="M657" s="307"/>
      <c r="N657" s="308"/>
      <c r="O657" s="309"/>
      <c r="P657" s="389"/>
      <c r="Q657" s="192"/>
      <c r="R657" s="149"/>
      <c r="S657" s="392"/>
      <c r="T657" s="393"/>
      <c r="U657" s="192"/>
      <c r="V657" s="149"/>
      <c r="W657" s="392"/>
      <c r="X657" s="393"/>
      <c r="Y657" s="192"/>
      <c r="Z657" s="149"/>
      <c r="AA657" s="392"/>
      <c r="AB657" s="393"/>
      <c r="AC657" s="192"/>
      <c r="AD657" s="149"/>
      <c r="AE657" s="392"/>
      <c r="AF657" s="393"/>
      <c r="AG657" s="143"/>
      <c r="AH657" s="143"/>
      <c r="AI657" s="143"/>
      <c r="AJ657" s="143"/>
      <c r="AK657" s="389"/>
      <c r="AL657" s="389"/>
      <c r="AM657" s="389"/>
    </row>
    <row r="658">
      <c r="A658" s="307"/>
      <c r="B658" s="308"/>
      <c r="C658" s="309"/>
      <c r="D658" s="389"/>
      <c r="E658" s="307"/>
      <c r="F658" s="308"/>
      <c r="G658" s="309"/>
      <c r="H658" s="389"/>
      <c r="I658" s="307"/>
      <c r="J658" s="308"/>
      <c r="K658" s="309"/>
      <c r="L658" s="389"/>
      <c r="M658" s="307"/>
      <c r="N658" s="308"/>
      <c r="O658" s="309"/>
      <c r="P658" s="389"/>
      <c r="Q658" s="192"/>
      <c r="R658" s="149"/>
      <c r="S658" s="392"/>
      <c r="T658" s="393"/>
      <c r="U658" s="192"/>
      <c r="V658" s="149"/>
      <c r="W658" s="392"/>
      <c r="X658" s="393"/>
      <c r="Y658" s="192"/>
      <c r="Z658" s="149"/>
      <c r="AA658" s="392"/>
      <c r="AB658" s="393"/>
      <c r="AC658" s="192"/>
      <c r="AD658" s="149"/>
      <c r="AE658" s="392"/>
      <c r="AF658" s="393"/>
      <c r="AG658" s="143"/>
      <c r="AH658" s="143"/>
      <c r="AI658" s="143"/>
      <c r="AJ658" s="143"/>
      <c r="AK658" s="389"/>
      <c r="AL658" s="389"/>
      <c r="AM658" s="389"/>
    </row>
    <row r="659">
      <c r="A659" s="307"/>
      <c r="B659" s="308"/>
      <c r="C659" s="309"/>
      <c r="D659" s="389"/>
      <c r="E659" s="307"/>
      <c r="F659" s="308"/>
      <c r="G659" s="309"/>
      <c r="H659" s="389"/>
      <c r="I659" s="307"/>
      <c r="J659" s="308"/>
      <c r="K659" s="309"/>
      <c r="L659" s="389"/>
      <c r="M659" s="307"/>
      <c r="N659" s="308"/>
      <c r="O659" s="309"/>
      <c r="P659" s="389"/>
      <c r="Q659" s="192"/>
      <c r="R659" s="149"/>
      <c r="S659" s="392"/>
      <c r="T659" s="393"/>
      <c r="U659" s="192"/>
      <c r="V659" s="149"/>
      <c r="W659" s="392"/>
      <c r="X659" s="393"/>
      <c r="Y659" s="192"/>
      <c r="Z659" s="149"/>
      <c r="AA659" s="392"/>
      <c r="AB659" s="393"/>
      <c r="AC659" s="192"/>
      <c r="AD659" s="149"/>
      <c r="AE659" s="392"/>
      <c r="AF659" s="393"/>
      <c r="AG659" s="143"/>
      <c r="AH659" s="143"/>
      <c r="AI659" s="143"/>
      <c r="AJ659" s="143"/>
      <c r="AK659" s="389"/>
      <c r="AL659" s="389"/>
      <c r="AM659" s="389"/>
    </row>
    <row r="660">
      <c r="A660" s="307"/>
      <c r="B660" s="308"/>
      <c r="C660" s="309"/>
      <c r="D660" s="389"/>
      <c r="E660" s="307"/>
      <c r="F660" s="308"/>
      <c r="G660" s="309"/>
      <c r="H660" s="389"/>
      <c r="I660" s="307"/>
      <c r="J660" s="308"/>
      <c r="K660" s="309"/>
      <c r="L660" s="389"/>
      <c r="M660" s="307"/>
      <c r="N660" s="308"/>
      <c r="O660" s="309"/>
      <c r="P660" s="389"/>
      <c r="Q660" s="192"/>
      <c r="R660" s="149"/>
      <c r="S660" s="392"/>
      <c r="T660" s="393"/>
      <c r="U660" s="192"/>
      <c r="V660" s="149"/>
      <c r="W660" s="392"/>
      <c r="X660" s="393"/>
      <c r="Y660" s="192"/>
      <c r="Z660" s="149"/>
      <c r="AA660" s="392"/>
      <c r="AB660" s="393"/>
      <c r="AC660" s="192"/>
      <c r="AD660" s="149"/>
      <c r="AE660" s="392"/>
      <c r="AF660" s="393"/>
      <c r="AG660" s="143"/>
      <c r="AH660" s="143"/>
      <c r="AI660" s="143"/>
      <c r="AJ660" s="143"/>
      <c r="AK660" s="389"/>
      <c r="AL660" s="389"/>
      <c r="AM660" s="389"/>
    </row>
    <row r="661">
      <c r="A661" s="307"/>
      <c r="B661" s="308"/>
      <c r="C661" s="309"/>
      <c r="D661" s="389"/>
      <c r="E661" s="307"/>
      <c r="F661" s="308"/>
      <c r="G661" s="309"/>
      <c r="H661" s="389"/>
      <c r="I661" s="307"/>
      <c r="J661" s="308"/>
      <c r="K661" s="309"/>
      <c r="L661" s="389"/>
      <c r="M661" s="307"/>
      <c r="N661" s="308"/>
      <c r="O661" s="309"/>
      <c r="P661" s="389"/>
      <c r="Q661" s="192"/>
      <c r="R661" s="149"/>
      <c r="S661" s="392"/>
      <c r="T661" s="393"/>
      <c r="U661" s="192"/>
      <c r="V661" s="149"/>
      <c r="W661" s="392"/>
      <c r="X661" s="393"/>
      <c r="Y661" s="192"/>
      <c r="Z661" s="149"/>
      <c r="AA661" s="392"/>
      <c r="AB661" s="393"/>
      <c r="AC661" s="192"/>
      <c r="AD661" s="149"/>
      <c r="AE661" s="392"/>
      <c r="AF661" s="393"/>
      <c r="AG661" s="143"/>
      <c r="AH661" s="143"/>
      <c r="AI661" s="143"/>
      <c r="AJ661" s="143"/>
      <c r="AK661" s="389"/>
      <c r="AL661" s="389"/>
      <c r="AM661" s="389"/>
    </row>
    <row r="662">
      <c r="A662" s="307"/>
      <c r="B662" s="308"/>
      <c r="C662" s="309"/>
      <c r="D662" s="389"/>
      <c r="E662" s="307"/>
      <c r="F662" s="308"/>
      <c r="G662" s="309"/>
      <c r="H662" s="389"/>
      <c r="I662" s="307"/>
      <c r="J662" s="308"/>
      <c r="K662" s="309"/>
      <c r="L662" s="389"/>
      <c r="M662" s="307"/>
      <c r="N662" s="308"/>
      <c r="O662" s="309"/>
      <c r="P662" s="389"/>
      <c r="Q662" s="192"/>
      <c r="R662" s="149"/>
      <c r="S662" s="392"/>
      <c r="T662" s="393"/>
      <c r="U662" s="192"/>
      <c r="V662" s="149"/>
      <c r="W662" s="392"/>
      <c r="X662" s="393"/>
      <c r="Y662" s="192"/>
      <c r="Z662" s="149"/>
      <c r="AA662" s="392"/>
      <c r="AB662" s="393"/>
      <c r="AC662" s="192"/>
      <c r="AD662" s="149"/>
      <c r="AE662" s="392"/>
      <c r="AF662" s="393"/>
      <c r="AG662" s="143"/>
      <c r="AH662" s="143"/>
      <c r="AI662" s="143"/>
      <c r="AJ662" s="143"/>
      <c r="AK662" s="389"/>
      <c r="AL662" s="389"/>
      <c r="AM662" s="389"/>
    </row>
    <row r="663">
      <c r="A663" s="307"/>
      <c r="B663" s="308"/>
      <c r="C663" s="309"/>
      <c r="D663" s="389"/>
      <c r="E663" s="307"/>
      <c r="F663" s="308"/>
      <c r="G663" s="309"/>
      <c r="H663" s="389"/>
      <c r="I663" s="307"/>
      <c r="J663" s="308"/>
      <c r="K663" s="309"/>
      <c r="L663" s="389"/>
      <c r="M663" s="307"/>
      <c r="N663" s="308"/>
      <c r="O663" s="309"/>
      <c r="P663" s="389"/>
      <c r="Q663" s="192"/>
      <c r="R663" s="149"/>
      <c r="S663" s="392"/>
      <c r="T663" s="393"/>
      <c r="U663" s="192"/>
      <c r="V663" s="149"/>
      <c r="W663" s="392"/>
      <c r="X663" s="393"/>
      <c r="Y663" s="192"/>
      <c r="Z663" s="149"/>
      <c r="AA663" s="392"/>
      <c r="AB663" s="393"/>
      <c r="AC663" s="192"/>
      <c r="AD663" s="149"/>
      <c r="AE663" s="392"/>
      <c r="AF663" s="393"/>
      <c r="AG663" s="143"/>
      <c r="AH663" s="143"/>
      <c r="AI663" s="143"/>
      <c r="AJ663" s="143"/>
      <c r="AK663" s="389"/>
      <c r="AL663" s="389"/>
      <c r="AM663" s="389"/>
    </row>
    <row r="664">
      <c r="A664" s="307"/>
      <c r="B664" s="308"/>
      <c r="C664" s="309"/>
      <c r="D664" s="389"/>
      <c r="E664" s="307"/>
      <c r="F664" s="308"/>
      <c r="G664" s="309"/>
      <c r="H664" s="389"/>
      <c r="I664" s="307"/>
      <c r="J664" s="308"/>
      <c r="K664" s="309"/>
      <c r="L664" s="389"/>
      <c r="M664" s="307"/>
      <c r="N664" s="308"/>
      <c r="O664" s="309"/>
      <c r="P664" s="389"/>
      <c r="Q664" s="192"/>
      <c r="R664" s="149"/>
      <c r="S664" s="392"/>
      <c r="T664" s="393"/>
      <c r="U664" s="192"/>
      <c r="V664" s="149"/>
      <c r="W664" s="392"/>
      <c r="X664" s="393"/>
      <c r="Y664" s="192"/>
      <c r="Z664" s="149"/>
      <c r="AA664" s="392"/>
      <c r="AB664" s="393"/>
      <c r="AC664" s="192"/>
      <c r="AD664" s="149"/>
      <c r="AE664" s="392"/>
      <c r="AF664" s="393"/>
      <c r="AG664" s="143"/>
      <c r="AH664" s="143"/>
      <c r="AI664" s="143"/>
      <c r="AJ664" s="143"/>
      <c r="AK664" s="389"/>
      <c r="AL664" s="389"/>
      <c r="AM664" s="389"/>
    </row>
    <row r="665">
      <c r="A665" s="307"/>
      <c r="B665" s="308"/>
      <c r="C665" s="309"/>
      <c r="D665" s="389"/>
      <c r="E665" s="307"/>
      <c r="F665" s="308"/>
      <c r="G665" s="309"/>
      <c r="H665" s="389"/>
      <c r="I665" s="307"/>
      <c r="J665" s="308"/>
      <c r="K665" s="309"/>
      <c r="L665" s="389"/>
      <c r="M665" s="307"/>
      <c r="N665" s="308"/>
      <c r="O665" s="309"/>
      <c r="P665" s="389"/>
      <c r="Q665" s="192"/>
      <c r="R665" s="149"/>
      <c r="S665" s="392"/>
      <c r="T665" s="393"/>
      <c r="U665" s="192"/>
      <c r="V665" s="149"/>
      <c r="W665" s="392"/>
      <c r="X665" s="393"/>
      <c r="Y665" s="192"/>
      <c r="Z665" s="149"/>
      <c r="AA665" s="392"/>
      <c r="AB665" s="393"/>
      <c r="AC665" s="192"/>
      <c r="AD665" s="149"/>
      <c r="AE665" s="392"/>
      <c r="AF665" s="393"/>
      <c r="AG665" s="143"/>
      <c r="AH665" s="143"/>
      <c r="AI665" s="143"/>
      <c r="AJ665" s="143"/>
      <c r="AK665" s="389"/>
      <c r="AL665" s="389"/>
      <c r="AM665" s="389"/>
    </row>
    <row r="666">
      <c r="A666" s="307"/>
      <c r="B666" s="308"/>
      <c r="C666" s="309"/>
      <c r="D666" s="389"/>
      <c r="E666" s="307"/>
      <c r="F666" s="308"/>
      <c r="G666" s="309"/>
      <c r="H666" s="389"/>
      <c r="I666" s="307"/>
      <c r="J666" s="308"/>
      <c r="K666" s="309"/>
      <c r="L666" s="389"/>
      <c r="M666" s="307"/>
      <c r="N666" s="308"/>
      <c r="O666" s="309"/>
      <c r="P666" s="389"/>
      <c r="Q666" s="192"/>
      <c r="R666" s="149"/>
      <c r="S666" s="392"/>
      <c r="T666" s="393"/>
      <c r="U666" s="192"/>
      <c r="V666" s="149"/>
      <c r="W666" s="392"/>
      <c r="X666" s="393"/>
      <c r="Y666" s="192"/>
      <c r="Z666" s="149"/>
      <c r="AA666" s="392"/>
      <c r="AB666" s="393"/>
      <c r="AC666" s="192"/>
      <c r="AD666" s="149"/>
      <c r="AE666" s="392"/>
      <c r="AF666" s="393"/>
      <c r="AG666" s="143"/>
      <c r="AH666" s="143"/>
      <c r="AI666" s="143"/>
      <c r="AJ666" s="143"/>
      <c r="AK666" s="389"/>
      <c r="AL666" s="389"/>
      <c r="AM666" s="389"/>
    </row>
    <row r="667">
      <c r="A667" s="307"/>
      <c r="B667" s="308"/>
      <c r="C667" s="309"/>
      <c r="D667" s="389"/>
      <c r="E667" s="307"/>
      <c r="F667" s="308"/>
      <c r="G667" s="309"/>
      <c r="H667" s="389"/>
      <c r="I667" s="307"/>
      <c r="J667" s="308"/>
      <c r="K667" s="309"/>
      <c r="L667" s="389"/>
      <c r="M667" s="307"/>
      <c r="N667" s="308"/>
      <c r="O667" s="309"/>
      <c r="P667" s="389"/>
      <c r="Q667" s="192"/>
      <c r="R667" s="149"/>
      <c r="S667" s="392"/>
      <c r="T667" s="393"/>
      <c r="U667" s="192"/>
      <c r="V667" s="149"/>
      <c r="W667" s="392"/>
      <c r="X667" s="393"/>
      <c r="Y667" s="192"/>
      <c r="Z667" s="149"/>
      <c r="AA667" s="392"/>
      <c r="AB667" s="393"/>
      <c r="AC667" s="192"/>
      <c r="AD667" s="149"/>
      <c r="AE667" s="392"/>
      <c r="AF667" s="393"/>
      <c r="AG667" s="143"/>
      <c r="AH667" s="143"/>
      <c r="AI667" s="143"/>
      <c r="AJ667" s="143"/>
      <c r="AK667" s="389"/>
      <c r="AL667" s="389"/>
      <c r="AM667" s="389"/>
    </row>
    <row r="668">
      <c r="A668" s="307"/>
      <c r="B668" s="308"/>
      <c r="C668" s="309"/>
      <c r="D668" s="389"/>
      <c r="E668" s="307"/>
      <c r="F668" s="308"/>
      <c r="G668" s="309"/>
      <c r="H668" s="389"/>
      <c r="I668" s="307"/>
      <c r="J668" s="308"/>
      <c r="K668" s="309"/>
      <c r="L668" s="389"/>
      <c r="M668" s="307"/>
      <c r="N668" s="308"/>
      <c r="O668" s="309"/>
      <c r="P668" s="389"/>
      <c r="Q668" s="192"/>
      <c r="R668" s="149"/>
      <c r="S668" s="392"/>
      <c r="T668" s="393"/>
      <c r="U668" s="192"/>
      <c r="V668" s="149"/>
      <c r="W668" s="392"/>
      <c r="X668" s="393"/>
      <c r="Y668" s="192"/>
      <c r="Z668" s="149"/>
      <c r="AA668" s="392"/>
      <c r="AB668" s="393"/>
      <c r="AC668" s="192"/>
      <c r="AD668" s="149"/>
      <c r="AE668" s="392"/>
      <c r="AF668" s="393"/>
      <c r="AG668" s="143"/>
      <c r="AH668" s="143"/>
      <c r="AI668" s="143"/>
      <c r="AJ668" s="143"/>
      <c r="AK668" s="389"/>
      <c r="AL668" s="389"/>
      <c r="AM668" s="389"/>
    </row>
    <row r="669">
      <c r="A669" s="307"/>
      <c r="B669" s="308"/>
      <c r="C669" s="309"/>
      <c r="D669" s="389"/>
      <c r="E669" s="307"/>
      <c r="F669" s="308"/>
      <c r="G669" s="309"/>
      <c r="H669" s="389"/>
      <c r="I669" s="307"/>
      <c r="J669" s="308"/>
      <c r="K669" s="309"/>
      <c r="L669" s="389"/>
      <c r="M669" s="307"/>
      <c r="N669" s="308"/>
      <c r="O669" s="309"/>
      <c r="P669" s="389"/>
      <c r="Q669" s="192"/>
      <c r="R669" s="149"/>
      <c r="S669" s="392"/>
      <c r="T669" s="393"/>
      <c r="U669" s="192"/>
      <c r="V669" s="149"/>
      <c r="W669" s="392"/>
      <c r="X669" s="393"/>
      <c r="Y669" s="192"/>
      <c r="Z669" s="149"/>
      <c r="AA669" s="392"/>
      <c r="AB669" s="393"/>
      <c r="AC669" s="192"/>
      <c r="AD669" s="149"/>
      <c r="AE669" s="392"/>
      <c r="AF669" s="393"/>
      <c r="AG669" s="143"/>
      <c r="AH669" s="143"/>
      <c r="AI669" s="143"/>
      <c r="AJ669" s="143"/>
      <c r="AK669" s="389"/>
      <c r="AL669" s="389"/>
      <c r="AM669" s="389"/>
    </row>
    <row r="670">
      <c r="A670" s="307"/>
      <c r="B670" s="308"/>
      <c r="C670" s="309"/>
      <c r="D670" s="389"/>
      <c r="E670" s="307"/>
      <c r="F670" s="308"/>
      <c r="G670" s="309"/>
      <c r="H670" s="389"/>
      <c r="I670" s="307"/>
      <c r="J670" s="308"/>
      <c r="K670" s="309"/>
      <c r="L670" s="389"/>
      <c r="M670" s="307"/>
      <c r="N670" s="308"/>
      <c r="O670" s="309"/>
      <c r="P670" s="389"/>
      <c r="Q670" s="192"/>
      <c r="R670" s="149"/>
      <c r="S670" s="392"/>
      <c r="T670" s="393"/>
      <c r="U670" s="192"/>
      <c r="V670" s="149"/>
      <c r="W670" s="392"/>
      <c r="X670" s="393"/>
      <c r="Y670" s="192"/>
      <c r="Z670" s="149"/>
      <c r="AA670" s="392"/>
      <c r="AB670" s="393"/>
      <c r="AC670" s="192"/>
      <c r="AD670" s="149"/>
      <c r="AE670" s="392"/>
      <c r="AF670" s="393"/>
      <c r="AG670" s="143"/>
      <c r="AH670" s="143"/>
      <c r="AI670" s="143"/>
      <c r="AJ670" s="143"/>
      <c r="AK670" s="389"/>
      <c r="AL670" s="389"/>
      <c r="AM670" s="389"/>
    </row>
    <row r="671">
      <c r="A671" s="307"/>
      <c r="B671" s="308"/>
      <c r="C671" s="309"/>
      <c r="D671" s="389"/>
      <c r="E671" s="307"/>
      <c r="F671" s="308"/>
      <c r="G671" s="309"/>
      <c r="H671" s="389"/>
      <c r="I671" s="307"/>
      <c r="J671" s="308"/>
      <c r="K671" s="309"/>
      <c r="L671" s="389"/>
      <c r="M671" s="307"/>
      <c r="N671" s="308"/>
      <c r="O671" s="309"/>
      <c r="P671" s="389"/>
      <c r="Q671" s="192"/>
      <c r="R671" s="149"/>
      <c r="S671" s="392"/>
      <c r="T671" s="393"/>
      <c r="U671" s="192"/>
      <c r="V671" s="149"/>
      <c r="W671" s="392"/>
      <c r="X671" s="393"/>
      <c r="Y671" s="192"/>
      <c r="Z671" s="149"/>
      <c r="AA671" s="392"/>
      <c r="AB671" s="393"/>
      <c r="AC671" s="192"/>
      <c r="AD671" s="149"/>
      <c r="AE671" s="392"/>
      <c r="AF671" s="393"/>
      <c r="AG671" s="143"/>
      <c r="AH671" s="143"/>
      <c r="AI671" s="143"/>
      <c r="AJ671" s="143"/>
      <c r="AK671" s="389"/>
      <c r="AL671" s="389"/>
      <c r="AM671" s="389"/>
    </row>
    <row r="672">
      <c r="A672" s="307"/>
      <c r="B672" s="308"/>
      <c r="C672" s="309"/>
      <c r="D672" s="389"/>
      <c r="E672" s="307"/>
      <c r="F672" s="308"/>
      <c r="G672" s="309"/>
      <c r="H672" s="389"/>
      <c r="I672" s="307"/>
      <c r="J672" s="308"/>
      <c r="K672" s="309"/>
      <c r="L672" s="389"/>
      <c r="M672" s="307"/>
      <c r="N672" s="308"/>
      <c r="O672" s="309"/>
      <c r="P672" s="389"/>
      <c r="Q672" s="192"/>
      <c r="R672" s="149"/>
      <c r="S672" s="392"/>
      <c r="T672" s="393"/>
      <c r="U672" s="192"/>
      <c r="V672" s="149"/>
      <c r="W672" s="392"/>
      <c r="X672" s="393"/>
      <c r="Y672" s="192"/>
      <c r="Z672" s="149"/>
      <c r="AA672" s="392"/>
      <c r="AB672" s="393"/>
      <c r="AC672" s="192"/>
      <c r="AD672" s="149"/>
      <c r="AE672" s="392"/>
      <c r="AF672" s="393"/>
      <c r="AG672" s="143"/>
      <c r="AH672" s="143"/>
      <c r="AI672" s="143"/>
      <c r="AJ672" s="143"/>
      <c r="AK672" s="389"/>
      <c r="AL672" s="389"/>
      <c r="AM672" s="389"/>
    </row>
    <row r="673">
      <c r="A673" s="307"/>
      <c r="B673" s="308"/>
      <c r="C673" s="309"/>
      <c r="D673" s="389"/>
      <c r="E673" s="307"/>
      <c r="F673" s="308"/>
      <c r="G673" s="309"/>
      <c r="H673" s="389"/>
      <c r="I673" s="307"/>
      <c r="J673" s="308"/>
      <c r="K673" s="309"/>
      <c r="L673" s="389"/>
      <c r="M673" s="307"/>
      <c r="N673" s="308"/>
      <c r="O673" s="309"/>
      <c r="P673" s="389"/>
      <c r="Q673" s="192"/>
      <c r="R673" s="149"/>
      <c r="S673" s="392"/>
      <c r="T673" s="393"/>
      <c r="U673" s="192"/>
      <c r="V673" s="149"/>
      <c r="W673" s="392"/>
      <c r="X673" s="393"/>
      <c r="Y673" s="192"/>
      <c r="Z673" s="149"/>
      <c r="AA673" s="392"/>
      <c r="AB673" s="393"/>
      <c r="AC673" s="192"/>
      <c r="AD673" s="149"/>
      <c r="AE673" s="392"/>
      <c r="AF673" s="393"/>
      <c r="AG673" s="143"/>
      <c r="AH673" s="143"/>
      <c r="AI673" s="143"/>
      <c r="AJ673" s="143"/>
      <c r="AK673" s="389"/>
      <c r="AL673" s="389"/>
      <c r="AM673" s="389"/>
    </row>
    <row r="674">
      <c r="A674" s="307"/>
      <c r="B674" s="308"/>
      <c r="C674" s="309"/>
      <c r="D674" s="389"/>
      <c r="E674" s="307"/>
      <c r="F674" s="308"/>
      <c r="G674" s="309"/>
      <c r="H674" s="389"/>
      <c r="I674" s="307"/>
      <c r="J674" s="308"/>
      <c r="K674" s="309"/>
      <c r="L674" s="389"/>
      <c r="M674" s="307"/>
      <c r="N674" s="308"/>
      <c r="O674" s="309"/>
      <c r="P674" s="389"/>
      <c r="Q674" s="192"/>
      <c r="R674" s="149"/>
      <c r="S674" s="392"/>
      <c r="T674" s="393"/>
      <c r="U674" s="192"/>
      <c r="V674" s="149"/>
      <c r="W674" s="392"/>
      <c r="X674" s="393"/>
      <c r="Y674" s="192"/>
      <c r="Z674" s="149"/>
      <c r="AA674" s="392"/>
      <c r="AB674" s="393"/>
      <c r="AC674" s="192"/>
      <c r="AD674" s="149"/>
      <c r="AE674" s="392"/>
      <c r="AF674" s="393"/>
      <c r="AG674" s="143"/>
      <c r="AH674" s="143"/>
      <c r="AI674" s="143"/>
      <c r="AJ674" s="143"/>
      <c r="AK674" s="389"/>
      <c r="AL674" s="389"/>
      <c r="AM674" s="389"/>
    </row>
    <row r="675">
      <c r="A675" s="307"/>
      <c r="B675" s="308"/>
      <c r="C675" s="309"/>
      <c r="D675" s="389"/>
      <c r="E675" s="307"/>
      <c r="F675" s="308"/>
      <c r="G675" s="309"/>
      <c r="H675" s="389"/>
      <c r="I675" s="307"/>
      <c r="J675" s="308"/>
      <c r="K675" s="309"/>
      <c r="L675" s="389"/>
      <c r="M675" s="307"/>
      <c r="N675" s="308"/>
      <c r="O675" s="309"/>
      <c r="P675" s="389"/>
      <c r="Q675" s="192"/>
      <c r="R675" s="149"/>
      <c r="S675" s="392"/>
      <c r="T675" s="393"/>
      <c r="U675" s="192"/>
      <c r="V675" s="149"/>
      <c r="W675" s="392"/>
      <c r="X675" s="393"/>
      <c r="Y675" s="192"/>
      <c r="Z675" s="149"/>
      <c r="AA675" s="392"/>
      <c r="AB675" s="393"/>
      <c r="AC675" s="192"/>
      <c r="AD675" s="149"/>
      <c r="AE675" s="392"/>
      <c r="AF675" s="393"/>
      <c r="AG675" s="143"/>
      <c r="AH675" s="143"/>
      <c r="AI675" s="143"/>
      <c r="AJ675" s="143"/>
      <c r="AK675" s="389"/>
      <c r="AL675" s="389"/>
      <c r="AM675" s="389"/>
    </row>
    <row r="676">
      <c r="A676" s="307"/>
      <c r="B676" s="308"/>
      <c r="C676" s="309"/>
      <c r="D676" s="389"/>
      <c r="E676" s="307"/>
      <c r="F676" s="308"/>
      <c r="G676" s="309"/>
      <c r="H676" s="389"/>
      <c r="I676" s="307"/>
      <c r="J676" s="308"/>
      <c r="K676" s="309"/>
      <c r="L676" s="389"/>
      <c r="M676" s="307"/>
      <c r="N676" s="308"/>
      <c r="O676" s="309"/>
      <c r="P676" s="389"/>
      <c r="Q676" s="192"/>
      <c r="R676" s="149"/>
      <c r="S676" s="392"/>
      <c r="T676" s="393"/>
      <c r="U676" s="192"/>
      <c r="V676" s="149"/>
      <c r="W676" s="392"/>
      <c r="X676" s="393"/>
      <c r="Y676" s="192"/>
      <c r="Z676" s="149"/>
      <c r="AA676" s="392"/>
      <c r="AB676" s="393"/>
      <c r="AC676" s="192"/>
      <c r="AD676" s="149"/>
      <c r="AE676" s="392"/>
      <c r="AF676" s="393"/>
      <c r="AG676" s="143"/>
      <c r="AH676" s="143"/>
      <c r="AI676" s="143"/>
      <c r="AJ676" s="143"/>
      <c r="AK676" s="389"/>
      <c r="AL676" s="389"/>
      <c r="AM676" s="389"/>
    </row>
    <row r="677">
      <c r="A677" s="307"/>
      <c r="B677" s="308"/>
      <c r="C677" s="309"/>
      <c r="D677" s="389"/>
      <c r="E677" s="307"/>
      <c r="F677" s="308"/>
      <c r="G677" s="309"/>
      <c r="H677" s="389"/>
      <c r="I677" s="307"/>
      <c r="J677" s="308"/>
      <c r="K677" s="309"/>
      <c r="L677" s="389"/>
      <c r="M677" s="307"/>
      <c r="N677" s="308"/>
      <c r="O677" s="309"/>
      <c r="P677" s="389"/>
      <c r="Q677" s="192"/>
      <c r="R677" s="149"/>
      <c r="S677" s="392"/>
      <c r="T677" s="393"/>
      <c r="U677" s="192"/>
      <c r="V677" s="149"/>
      <c r="W677" s="392"/>
      <c r="X677" s="393"/>
      <c r="Y677" s="192"/>
      <c r="Z677" s="149"/>
      <c r="AA677" s="392"/>
      <c r="AB677" s="393"/>
      <c r="AC677" s="192"/>
      <c r="AD677" s="149"/>
      <c r="AE677" s="392"/>
      <c r="AF677" s="393"/>
      <c r="AG677" s="143"/>
      <c r="AH677" s="143"/>
      <c r="AI677" s="143"/>
      <c r="AJ677" s="143"/>
      <c r="AK677" s="389"/>
      <c r="AL677" s="389"/>
      <c r="AM677" s="389"/>
    </row>
    <row r="678">
      <c r="A678" s="307"/>
      <c r="B678" s="308"/>
      <c r="C678" s="309"/>
      <c r="D678" s="389"/>
      <c r="E678" s="307"/>
      <c r="F678" s="308"/>
      <c r="G678" s="309"/>
      <c r="H678" s="389"/>
      <c r="I678" s="307"/>
      <c r="J678" s="308"/>
      <c r="K678" s="309"/>
      <c r="L678" s="389"/>
      <c r="M678" s="307"/>
      <c r="N678" s="308"/>
      <c r="O678" s="309"/>
      <c r="P678" s="389"/>
      <c r="Q678" s="192"/>
      <c r="R678" s="149"/>
      <c r="S678" s="392"/>
      <c r="T678" s="393"/>
      <c r="U678" s="192"/>
      <c r="V678" s="149"/>
      <c r="W678" s="392"/>
      <c r="X678" s="393"/>
      <c r="Y678" s="192"/>
      <c r="Z678" s="149"/>
      <c r="AA678" s="392"/>
      <c r="AB678" s="393"/>
      <c r="AC678" s="192"/>
      <c r="AD678" s="149"/>
      <c r="AE678" s="392"/>
      <c r="AF678" s="393"/>
      <c r="AG678" s="143"/>
      <c r="AH678" s="143"/>
      <c r="AI678" s="143"/>
      <c r="AJ678" s="143"/>
      <c r="AK678" s="389"/>
      <c r="AL678" s="389"/>
      <c r="AM678" s="389"/>
    </row>
    <row r="679">
      <c r="A679" s="307"/>
      <c r="B679" s="308"/>
      <c r="C679" s="309"/>
      <c r="D679" s="389"/>
      <c r="E679" s="307"/>
      <c r="F679" s="308"/>
      <c r="G679" s="309"/>
      <c r="H679" s="389"/>
      <c r="I679" s="307"/>
      <c r="J679" s="308"/>
      <c r="K679" s="309"/>
      <c r="L679" s="389"/>
      <c r="M679" s="307"/>
      <c r="N679" s="308"/>
      <c r="O679" s="309"/>
      <c r="P679" s="389"/>
      <c r="Q679" s="192"/>
      <c r="R679" s="149"/>
      <c r="S679" s="392"/>
      <c r="T679" s="393"/>
      <c r="U679" s="192"/>
      <c r="V679" s="149"/>
      <c r="W679" s="392"/>
      <c r="X679" s="393"/>
      <c r="Y679" s="192"/>
      <c r="Z679" s="149"/>
      <c r="AA679" s="392"/>
      <c r="AB679" s="393"/>
      <c r="AC679" s="192"/>
      <c r="AD679" s="149"/>
      <c r="AE679" s="392"/>
      <c r="AF679" s="393"/>
      <c r="AG679" s="143"/>
      <c r="AH679" s="143"/>
      <c r="AI679" s="143"/>
      <c r="AJ679" s="143"/>
      <c r="AK679" s="389"/>
      <c r="AL679" s="389"/>
      <c r="AM679" s="389"/>
    </row>
    <row r="680">
      <c r="A680" s="307"/>
      <c r="B680" s="308"/>
      <c r="C680" s="309"/>
      <c r="D680" s="389"/>
      <c r="E680" s="307"/>
      <c r="F680" s="308"/>
      <c r="G680" s="309"/>
      <c r="H680" s="389"/>
      <c r="I680" s="307"/>
      <c r="J680" s="308"/>
      <c r="K680" s="309"/>
      <c r="L680" s="389"/>
      <c r="M680" s="307"/>
      <c r="N680" s="308"/>
      <c r="O680" s="309"/>
      <c r="P680" s="389"/>
      <c r="Q680" s="192"/>
      <c r="R680" s="149"/>
      <c r="S680" s="392"/>
      <c r="T680" s="393"/>
      <c r="U680" s="192"/>
      <c r="V680" s="149"/>
      <c r="W680" s="392"/>
      <c r="X680" s="393"/>
      <c r="Y680" s="192"/>
      <c r="Z680" s="149"/>
      <c r="AA680" s="392"/>
      <c r="AB680" s="393"/>
      <c r="AC680" s="192"/>
      <c r="AD680" s="149"/>
      <c r="AE680" s="392"/>
      <c r="AF680" s="393"/>
      <c r="AG680" s="143"/>
      <c r="AH680" s="143"/>
      <c r="AI680" s="143"/>
      <c r="AJ680" s="143"/>
      <c r="AK680" s="389"/>
      <c r="AL680" s="389"/>
      <c r="AM680" s="389"/>
    </row>
    <row r="681">
      <c r="A681" s="307"/>
      <c r="B681" s="308"/>
      <c r="C681" s="309"/>
      <c r="D681" s="389"/>
      <c r="E681" s="307"/>
      <c r="F681" s="308"/>
      <c r="G681" s="309"/>
      <c r="H681" s="389"/>
      <c r="I681" s="307"/>
      <c r="J681" s="308"/>
      <c r="K681" s="309"/>
      <c r="L681" s="389"/>
      <c r="M681" s="307"/>
      <c r="N681" s="308"/>
      <c r="O681" s="309"/>
      <c r="P681" s="389"/>
      <c r="Q681" s="192"/>
      <c r="R681" s="149"/>
      <c r="S681" s="392"/>
      <c r="T681" s="393"/>
      <c r="U681" s="192"/>
      <c r="V681" s="149"/>
      <c r="W681" s="392"/>
      <c r="X681" s="393"/>
      <c r="Y681" s="192"/>
      <c r="Z681" s="149"/>
      <c r="AA681" s="392"/>
      <c r="AB681" s="393"/>
      <c r="AC681" s="192"/>
      <c r="AD681" s="149"/>
      <c r="AE681" s="392"/>
      <c r="AF681" s="393"/>
      <c r="AG681" s="143"/>
      <c r="AH681" s="143"/>
      <c r="AI681" s="143"/>
      <c r="AJ681" s="143"/>
      <c r="AK681" s="389"/>
      <c r="AL681" s="389"/>
      <c r="AM681" s="389"/>
    </row>
    <row r="682">
      <c r="A682" s="307"/>
      <c r="B682" s="308"/>
      <c r="C682" s="309"/>
      <c r="D682" s="389"/>
      <c r="E682" s="307"/>
      <c r="F682" s="308"/>
      <c r="G682" s="309"/>
      <c r="H682" s="389"/>
      <c r="I682" s="307"/>
      <c r="J682" s="308"/>
      <c r="K682" s="309"/>
      <c r="L682" s="389"/>
      <c r="M682" s="307"/>
      <c r="N682" s="308"/>
      <c r="O682" s="309"/>
      <c r="P682" s="389"/>
      <c r="Q682" s="192"/>
      <c r="R682" s="149"/>
      <c r="S682" s="392"/>
      <c r="T682" s="393"/>
      <c r="U682" s="192"/>
      <c r="V682" s="149"/>
      <c r="W682" s="392"/>
      <c r="X682" s="393"/>
      <c r="Y682" s="192"/>
      <c r="Z682" s="149"/>
      <c r="AA682" s="392"/>
      <c r="AB682" s="393"/>
      <c r="AC682" s="192"/>
      <c r="AD682" s="149"/>
      <c r="AE682" s="392"/>
      <c r="AF682" s="393"/>
      <c r="AG682" s="143"/>
      <c r="AH682" s="143"/>
      <c r="AI682" s="143"/>
      <c r="AJ682" s="143"/>
      <c r="AK682" s="389"/>
      <c r="AL682" s="389"/>
      <c r="AM682" s="389"/>
    </row>
    <row r="683">
      <c r="A683" s="307"/>
      <c r="B683" s="308"/>
      <c r="C683" s="309"/>
      <c r="D683" s="389"/>
      <c r="E683" s="307"/>
      <c r="F683" s="308"/>
      <c r="G683" s="309"/>
      <c r="H683" s="389"/>
      <c r="I683" s="307"/>
      <c r="J683" s="308"/>
      <c r="K683" s="309"/>
      <c r="L683" s="389"/>
      <c r="M683" s="307"/>
      <c r="N683" s="308"/>
      <c r="O683" s="309"/>
      <c r="P683" s="389"/>
      <c r="Q683" s="192"/>
      <c r="R683" s="149"/>
      <c r="S683" s="392"/>
      <c r="T683" s="393"/>
      <c r="U683" s="192"/>
      <c r="V683" s="149"/>
      <c r="W683" s="392"/>
      <c r="X683" s="393"/>
      <c r="Y683" s="192"/>
      <c r="Z683" s="149"/>
      <c r="AA683" s="392"/>
      <c r="AB683" s="393"/>
      <c r="AC683" s="192"/>
      <c r="AD683" s="149"/>
      <c r="AE683" s="392"/>
      <c r="AF683" s="393"/>
      <c r="AG683" s="143"/>
      <c r="AH683" s="143"/>
      <c r="AI683" s="143"/>
      <c r="AJ683" s="143"/>
      <c r="AK683" s="389"/>
      <c r="AL683" s="389"/>
      <c r="AM683" s="389"/>
    </row>
    <row r="684">
      <c r="A684" s="307"/>
      <c r="B684" s="308"/>
      <c r="C684" s="309"/>
      <c r="D684" s="389"/>
      <c r="E684" s="307"/>
      <c r="F684" s="308"/>
      <c r="G684" s="309"/>
      <c r="H684" s="389"/>
      <c r="I684" s="307"/>
      <c r="J684" s="308"/>
      <c r="K684" s="309"/>
      <c r="L684" s="389"/>
      <c r="M684" s="307"/>
      <c r="N684" s="308"/>
      <c r="O684" s="309"/>
      <c r="P684" s="389"/>
      <c r="Q684" s="192"/>
      <c r="R684" s="149"/>
      <c r="S684" s="392"/>
      <c r="T684" s="393"/>
      <c r="U684" s="192"/>
      <c r="V684" s="149"/>
      <c r="W684" s="392"/>
      <c r="X684" s="393"/>
      <c r="Y684" s="192"/>
      <c r="Z684" s="149"/>
      <c r="AA684" s="392"/>
      <c r="AB684" s="393"/>
      <c r="AC684" s="192"/>
      <c r="AD684" s="149"/>
      <c r="AE684" s="392"/>
      <c r="AF684" s="393"/>
      <c r="AG684" s="143"/>
      <c r="AH684" s="143"/>
      <c r="AI684" s="143"/>
      <c r="AJ684" s="143"/>
      <c r="AK684" s="389"/>
      <c r="AL684" s="389"/>
      <c r="AM684" s="389"/>
    </row>
    <row r="685">
      <c r="A685" s="307"/>
      <c r="B685" s="308"/>
      <c r="C685" s="309"/>
      <c r="D685" s="389"/>
      <c r="E685" s="307"/>
      <c r="F685" s="308"/>
      <c r="G685" s="309"/>
      <c r="H685" s="389"/>
      <c r="I685" s="307"/>
      <c r="J685" s="308"/>
      <c r="K685" s="309"/>
      <c r="L685" s="389"/>
      <c r="M685" s="307"/>
      <c r="N685" s="308"/>
      <c r="O685" s="309"/>
      <c r="P685" s="389"/>
      <c r="Q685" s="192"/>
      <c r="R685" s="149"/>
      <c r="S685" s="392"/>
      <c r="T685" s="393"/>
      <c r="U685" s="192"/>
      <c r="V685" s="149"/>
      <c r="W685" s="392"/>
      <c r="X685" s="393"/>
      <c r="Y685" s="192"/>
      <c r="Z685" s="149"/>
      <c r="AA685" s="392"/>
      <c r="AB685" s="393"/>
      <c r="AC685" s="192"/>
      <c r="AD685" s="149"/>
      <c r="AE685" s="392"/>
      <c r="AF685" s="393"/>
      <c r="AG685" s="143"/>
      <c r="AH685" s="143"/>
      <c r="AI685" s="143"/>
      <c r="AJ685" s="143"/>
      <c r="AK685" s="389"/>
      <c r="AL685" s="389"/>
      <c r="AM685" s="389"/>
    </row>
    <row r="686">
      <c r="A686" s="307"/>
      <c r="B686" s="308"/>
      <c r="C686" s="309"/>
      <c r="D686" s="389"/>
      <c r="E686" s="307"/>
      <c r="F686" s="308"/>
      <c r="G686" s="309"/>
      <c r="H686" s="389"/>
      <c r="I686" s="307"/>
      <c r="J686" s="308"/>
      <c r="K686" s="309"/>
      <c r="L686" s="389"/>
      <c r="M686" s="307"/>
      <c r="N686" s="308"/>
      <c r="O686" s="309"/>
      <c r="P686" s="389"/>
      <c r="Q686" s="192"/>
      <c r="R686" s="149"/>
      <c r="S686" s="392"/>
      <c r="T686" s="393"/>
      <c r="U686" s="192"/>
      <c r="V686" s="149"/>
      <c r="W686" s="392"/>
      <c r="X686" s="393"/>
      <c r="Y686" s="192"/>
      <c r="Z686" s="149"/>
      <c r="AA686" s="392"/>
      <c r="AB686" s="393"/>
      <c r="AC686" s="192"/>
      <c r="AD686" s="149"/>
      <c r="AE686" s="392"/>
      <c r="AF686" s="393"/>
      <c r="AG686" s="143"/>
      <c r="AH686" s="143"/>
      <c r="AI686" s="143"/>
      <c r="AJ686" s="143"/>
      <c r="AK686" s="389"/>
      <c r="AL686" s="389"/>
      <c r="AM686" s="389"/>
    </row>
    <row r="687">
      <c r="A687" s="307"/>
      <c r="B687" s="308"/>
      <c r="C687" s="309"/>
      <c r="D687" s="389"/>
      <c r="E687" s="307"/>
      <c r="F687" s="308"/>
      <c r="G687" s="309"/>
      <c r="H687" s="389"/>
      <c r="I687" s="307"/>
      <c r="J687" s="308"/>
      <c r="K687" s="309"/>
      <c r="L687" s="389"/>
      <c r="M687" s="307"/>
      <c r="N687" s="308"/>
      <c r="O687" s="309"/>
      <c r="P687" s="389"/>
      <c r="Q687" s="192"/>
      <c r="R687" s="149"/>
      <c r="S687" s="392"/>
      <c r="T687" s="393"/>
      <c r="U687" s="192"/>
      <c r="V687" s="149"/>
      <c r="W687" s="392"/>
      <c r="X687" s="393"/>
      <c r="Y687" s="192"/>
      <c r="Z687" s="149"/>
      <c r="AA687" s="392"/>
      <c r="AB687" s="393"/>
      <c r="AC687" s="192"/>
      <c r="AD687" s="149"/>
      <c r="AE687" s="392"/>
      <c r="AF687" s="393"/>
      <c r="AG687" s="143"/>
      <c r="AH687" s="143"/>
      <c r="AI687" s="143"/>
      <c r="AJ687" s="143"/>
      <c r="AK687" s="389"/>
      <c r="AL687" s="389"/>
      <c r="AM687" s="389"/>
    </row>
    <row r="688">
      <c r="A688" s="307"/>
      <c r="B688" s="308"/>
      <c r="C688" s="309"/>
      <c r="D688" s="389"/>
      <c r="E688" s="307"/>
      <c r="F688" s="308"/>
      <c r="G688" s="309"/>
      <c r="H688" s="389"/>
      <c r="I688" s="307"/>
      <c r="J688" s="308"/>
      <c r="K688" s="309"/>
      <c r="L688" s="389"/>
      <c r="M688" s="307"/>
      <c r="N688" s="308"/>
      <c r="O688" s="309"/>
      <c r="P688" s="389"/>
      <c r="Q688" s="192"/>
      <c r="R688" s="149"/>
      <c r="S688" s="392"/>
      <c r="T688" s="393"/>
      <c r="U688" s="192"/>
      <c r="V688" s="149"/>
      <c r="W688" s="392"/>
      <c r="X688" s="393"/>
      <c r="Y688" s="192"/>
      <c r="Z688" s="149"/>
      <c r="AA688" s="392"/>
      <c r="AB688" s="393"/>
      <c r="AC688" s="192"/>
      <c r="AD688" s="149"/>
      <c r="AE688" s="392"/>
      <c r="AF688" s="393"/>
      <c r="AG688" s="143"/>
      <c r="AH688" s="143"/>
      <c r="AI688" s="143"/>
      <c r="AJ688" s="143"/>
      <c r="AK688" s="389"/>
      <c r="AL688" s="389"/>
      <c r="AM688" s="389"/>
    </row>
    <row r="689">
      <c r="A689" s="307"/>
      <c r="B689" s="308"/>
      <c r="C689" s="309"/>
      <c r="D689" s="389"/>
      <c r="E689" s="307"/>
      <c r="F689" s="308"/>
      <c r="G689" s="309"/>
      <c r="H689" s="389"/>
      <c r="I689" s="307"/>
      <c r="J689" s="308"/>
      <c r="K689" s="309"/>
      <c r="L689" s="389"/>
      <c r="M689" s="307"/>
      <c r="N689" s="308"/>
      <c r="O689" s="309"/>
      <c r="P689" s="389"/>
      <c r="Q689" s="192"/>
      <c r="R689" s="149"/>
      <c r="S689" s="392"/>
      <c r="T689" s="393"/>
      <c r="U689" s="192"/>
      <c r="V689" s="149"/>
      <c r="W689" s="392"/>
      <c r="X689" s="393"/>
      <c r="Y689" s="192"/>
      <c r="Z689" s="149"/>
      <c r="AA689" s="392"/>
      <c r="AB689" s="393"/>
      <c r="AC689" s="192"/>
      <c r="AD689" s="149"/>
      <c r="AE689" s="392"/>
      <c r="AF689" s="393"/>
      <c r="AG689" s="143"/>
      <c r="AH689" s="143"/>
      <c r="AI689" s="143"/>
      <c r="AJ689" s="143"/>
      <c r="AK689" s="389"/>
      <c r="AL689" s="389"/>
      <c r="AM689" s="389"/>
    </row>
    <row r="690">
      <c r="A690" s="307"/>
      <c r="B690" s="308"/>
      <c r="C690" s="309"/>
      <c r="D690" s="389"/>
      <c r="E690" s="307"/>
      <c r="F690" s="308"/>
      <c r="G690" s="309"/>
      <c r="H690" s="389"/>
      <c r="I690" s="307"/>
      <c r="J690" s="308"/>
      <c r="K690" s="309"/>
      <c r="L690" s="389"/>
      <c r="M690" s="307"/>
      <c r="N690" s="308"/>
      <c r="O690" s="309"/>
      <c r="P690" s="389"/>
      <c r="Q690" s="192"/>
      <c r="R690" s="149"/>
      <c r="S690" s="392"/>
      <c r="T690" s="393"/>
      <c r="U690" s="192"/>
      <c r="V690" s="149"/>
      <c r="W690" s="392"/>
      <c r="X690" s="393"/>
      <c r="Y690" s="192"/>
      <c r="Z690" s="149"/>
      <c r="AA690" s="392"/>
      <c r="AB690" s="393"/>
      <c r="AC690" s="192"/>
      <c r="AD690" s="149"/>
      <c r="AE690" s="392"/>
      <c r="AF690" s="393"/>
      <c r="AG690" s="143"/>
      <c r="AH690" s="143"/>
      <c r="AI690" s="143"/>
      <c r="AJ690" s="143"/>
      <c r="AK690" s="389"/>
      <c r="AL690" s="389"/>
      <c r="AM690" s="389"/>
    </row>
    <row r="691">
      <c r="A691" s="307"/>
      <c r="B691" s="308"/>
      <c r="C691" s="309"/>
      <c r="D691" s="389"/>
      <c r="E691" s="307"/>
      <c r="F691" s="308"/>
      <c r="G691" s="309"/>
      <c r="H691" s="389"/>
      <c r="I691" s="307"/>
      <c r="J691" s="308"/>
      <c r="K691" s="309"/>
      <c r="L691" s="389"/>
      <c r="M691" s="307"/>
      <c r="N691" s="308"/>
      <c r="O691" s="309"/>
      <c r="P691" s="389"/>
      <c r="Q691" s="192"/>
      <c r="R691" s="149"/>
      <c r="S691" s="392"/>
      <c r="T691" s="393"/>
      <c r="U691" s="192"/>
      <c r="V691" s="149"/>
      <c r="W691" s="392"/>
      <c r="X691" s="393"/>
      <c r="Y691" s="192"/>
      <c r="Z691" s="149"/>
      <c r="AA691" s="392"/>
      <c r="AB691" s="393"/>
      <c r="AC691" s="192"/>
      <c r="AD691" s="149"/>
      <c r="AE691" s="392"/>
      <c r="AF691" s="393"/>
      <c r="AG691" s="143"/>
      <c r="AH691" s="143"/>
      <c r="AI691" s="143"/>
      <c r="AJ691" s="143"/>
      <c r="AK691" s="389"/>
      <c r="AL691" s="389"/>
      <c r="AM691" s="389"/>
    </row>
    <row r="692">
      <c r="A692" s="307"/>
      <c r="B692" s="308"/>
      <c r="C692" s="309"/>
      <c r="D692" s="389"/>
      <c r="E692" s="307"/>
      <c r="F692" s="308"/>
      <c r="G692" s="309"/>
      <c r="H692" s="389"/>
      <c r="I692" s="307"/>
      <c r="J692" s="308"/>
      <c r="K692" s="309"/>
      <c r="L692" s="389"/>
      <c r="M692" s="307"/>
      <c r="N692" s="308"/>
      <c r="O692" s="309"/>
      <c r="P692" s="389"/>
      <c r="Q692" s="192"/>
      <c r="R692" s="149"/>
      <c r="S692" s="392"/>
      <c r="T692" s="393"/>
      <c r="U692" s="192"/>
      <c r="V692" s="149"/>
      <c r="W692" s="392"/>
      <c r="X692" s="393"/>
      <c r="Y692" s="192"/>
      <c r="Z692" s="149"/>
      <c r="AA692" s="392"/>
      <c r="AB692" s="393"/>
      <c r="AC692" s="192"/>
      <c r="AD692" s="149"/>
      <c r="AE692" s="392"/>
      <c r="AF692" s="393"/>
      <c r="AG692" s="143"/>
      <c r="AH692" s="143"/>
      <c r="AI692" s="143"/>
      <c r="AJ692" s="143"/>
      <c r="AK692" s="389"/>
      <c r="AL692" s="389"/>
      <c r="AM692" s="389"/>
    </row>
    <row r="693">
      <c r="A693" s="307"/>
      <c r="B693" s="308"/>
      <c r="C693" s="309"/>
      <c r="D693" s="389"/>
      <c r="E693" s="307"/>
      <c r="F693" s="308"/>
      <c r="G693" s="309"/>
      <c r="H693" s="389"/>
      <c r="I693" s="307"/>
      <c r="J693" s="308"/>
      <c r="K693" s="309"/>
      <c r="L693" s="389"/>
      <c r="M693" s="307"/>
      <c r="N693" s="308"/>
      <c r="O693" s="309"/>
      <c r="P693" s="389"/>
      <c r="Q693" s="192"/>
      <c r="R693" s="149"/>
      <c r="S693" s="392"/>
      <c r="T693" s="393"/>
      <c r="U693" s="192"/>
      <c r="V693" s="149"/>
      <c r="W693" s="392"/>
      <c r="X693" s="393"/>
      <c r="Y693" s="192"/>
      <c r="Z693" s="149"/>
      <c r="AA693" s="392"/>
      <c r="AB693" s="393"/>
      <c r="AC693" s="192"/>
      <c r="AD693" s="149"/>
      <c r="AE693" s="392"/>
      <c r="AF693" s="393"/>
      <c r="AG693" s="143"/>
      <c r="AH693" s="143"/>
      <c r="AI693" s="143"/>
      <c r="AJ693" s="143"/>
      <c r="AK693" s="389"/>
      <c r="AL693" s="389"/>
      <c r="AM693" s="389"/>
    </row>
    <row r="694">
      <c r="A694" s="307"/>
      <c r="B694" s="308"/>
      <c r="C694" s="309"/>
      <c r="D694" s="389"/>
      <c r="E694" s="307"/>
      <c r="F694" s="308"/>
      <c r="G694" s="309"/>
      <c r="H694" s="389"/>
      <c r="I694" s="307"/>
      <c r="J694" s="308"/>
      <c r="K694" s="309"/>
      <c r="L694" s="389"/>
      <c r="M694" s="307"/>
      <c r="N694" s="308"/>
      <c r="O694" s="309"/>
      <c r="P694" s="389"/>
      <c r="Q694" s="192"/>
      <c r="R694" s="149"/>
      <c r="S694" s="392"/>
      <c r="T694" s="393"/>
      <c r="U694" s="192"/>
      <c r="V694" s="149"/>
      <c r="W694" s="392"/>
      <c r="X694" s="393"/>
      <c r="Y694" s="192"/>
      <c r="Z694" s="149"/>
      <c r="AA694" s="392"/>
      <c r="AB694" s="393"/>
      <c r="AC694" s="192"/>
      <c r="AD694" s="149"/>
      <c r="AE694" s="392"/>
      <c r="AF694" s="393"/>
      <c r="AG694" s="143"/>
      <c r="AH694" s="143"/>
      <c r="AI694" s="143"/>
      <c r="AJ694" s="143"/>
      <c r="AK694" s="389"/>
      <c r="AL694" s="389"/>
      <c r="AM694" s="389"/>
    </row>
    <row r="695">
      <c r="A695" s="307"/>
      <c r="B695" s="308"/>
      <c r="C695" s="309"/>
      <c r="D695" s="389"/>
      <c r="E695" s="307"/>
      <c r="F695" s="308"/>
      <c r="G695" s="309"/>
      <c r="H695" s="389"/>
      <c r="I695" s="307"/>
      <c r="J695" s="308"/>
      <c r="K695" s="309"/>
      <c r="L695" s="389"/>
      <c r="M695" s="307"/>
      <c r="N695" s="308"/>
      <c r="O695" s="309"/>
      <c r="P695" s="389"/>
      <c r="Q695" s="192"/>
      <c r="R695" s="149"/>
      <c r="S695" s="392"/>
      <c r="T695" s="393"/>
      <c r="U695" s="192"/>
      <c r="V695" s="149"/>
      <c r="W695" s="392"/>
      <c r="X695" s="393"/>
      <c r="Y695" s="192"/>
      <c r="Z695" s="149"/>
      <c r="AA695" s="392"/>
      <c r="AB695" s="393"/>
      <c r="AC695" s="192"/>
      <c r="AD695" s="149"/>
      <c r="AE695" s="392"/>
      <c r="AF695" s="393"/>
      <c r="AG695" s="143"/>
      <c r="AH695" s="143"/>
      <c r="AI695" s="143"/>
      <c r="AJ695" s="143"/>
      <c r="AK695" s="389"/>
      <c r="AL695" s="389"/>
      <c r="AM695" s="389"/>
    </row>
    <row r="696">
      <c r="A696" s="307"/>
      <c r="B696" s="308"/>
      <c r="C696" s="309"/>
      <c r="D696" s="389"/>
      <c r="E696" s="307"/>
      <c r="F696" s="308"/>
      <c r="G696" s="309"/>
      <c r="H696" s="389"/>
      <c r="I696" s="307"/>
      <c r="J696" s="308"/>
      <c r="K696" s="309"/>
      <c r="L696" s="389"/>
      <c r="M696" s="307"/>
      <c r="N696" s="308"/>
      <c r="O696" s="309"/>
      <c r="P696" s="389"/>
      <c r="Q696" s="192"/>
      <c r="R696" s="149"/>
      <c r="S696" s="392"/>
      <c r="T696" s="393"/>
      <c r="U696" s="192"/>
      <c r="V696" s="149"/>
      <c r="W696" s="392"/>
      <c r="X696" s="393"/>
      <c r="Y696" s="192"/>
      <c r="Z696" s="149"/>
      <c r="AA696" s="392"/>
      <c r="AB696" s="393"/>
      <c r="AC696" s="192"/>
      <c r="AD696" s="149"/>
      <c r="AE696" s="392"/>
      <c r="AF696" s="393"/>
      <c r="AG696" s="143"/>
      <c r="AH696" s="143"/>
      <c r="AI696" s="143"/>
      <c r="AJ696" s="143"/>
      <c r="AK696" s="389"/>
      <c r="AL696" s="389"/>
      <c r="AM696" s="389"/>
    </row>
    <row r="697">
      <c r="A697" s="307"/>
      <c r="B697" s="308"/>
      <c r="C697" s="309"/>
      <c r="D697" s="389"/>
      <c r="E697" s="307"/>
      <c r="F697" s="308"/>
      <c r="G697" s="309"/>
      <c r="H697" s="389"/>
      <c r="I697" s="307"/>
      <c r="J697" s="308"/>
      <c r="K697" s="309"/>
      <c r="L697" s="389"/>
      <c r="M697" s="307"/>
      <c r="N697" s="308"/>
      <c r="O697" s="309"/>
      <c r="P697" s="389"/>
      <c r="Q697" s="192"/>
      <c r="R697" s="149"/>
      <c r="S697" s="392"/>
      <c r="T697" s="393"/>
      <c r="U697" s="192"/>
      <c r="V697" s="149"/>
      <c r="W697" s="392"/>
      <c r="X697" s="393"/>
      <c r="Y697" s="192"/>
      <c r="Z697" s="149"/>
      <c r="AA697" s="392"/>
      <c r="AB697" s="393"/>
      <c r="AC697" s="192"/>
      <c r="AD697" s="149"/>
      <c r="AE697" s="392"/>
      <c r="AF697" s="393"/>
      <c r="AG697" s="143"/>
      <c r="AH697" s="143"/>
      <c r="AI697" s="143"/>
      <c r="AJ697" s="143"/>
      <c r="AK697" s="389"/>
      <c r="AL697" s="389"/>
      <c r="AM697" s="389"/>
    </row>
    <row r="698">
      <c r="A698" s="307"/>
      <c r="B698" s="308"/>
      <c r="C698" s="309"/>
      <c r="D698" s="389"/>
      <c r="E698" s="307"/>
      <c r="F698" s="308"/>
      <c r="G698" s="309"/>
      <c r="H698" s="389"/>
      <c r="I698" s="307"/>
      <c r="J698" s="308"/>
      <c r="K698" s="309"/>
      <c r="L698" s="389"/>
      <c r="M698" s="307"/>
      <c r="N698" s="308"/>
      <c r="O698" s="309"/>
      <c r="P698" s="389"/>
      <c r="Q698" s="192"/>
      <c r="R698" s="149"/>
      <c r="S698" s="392"/>
      <c r="T698" s="393"/>
      <c r="U698" s="192"/>
      <c r="V698" s="149"/>
      <c r="W698" s="392"/>
      <c r="X698" s="393"/>
      <c r="Y698" s="192"/>
      <c r="Z698" s="149"/>
      <c r="AA698" s="392"/>
      <c r="AB698" s="393"/>
      <c r="AC698" s="192"/>
      <c r="AD698" s="149"/>
      <c r="AE698" s="392"/>
      <c r="AF698" s="393"/>
      <c r="AG698" s="143"/>
      <c r="AH698" s="143"/>
      <c r="AI698" s="143"/>
      <c r="AJ698" s="143"/>
      <c r="AK698" s="389"/>
      <c r="AL698" s="389"/>
      <c r="AM698" s="389"/>
    </row>
    <row r="699">
      <c r="A699" s="307"/>
      <c r="B699" s="308"/>
      <c r="C699" s="309"/>
      <c r="D699" s="389"/>
      <c r="E699" s="307"/>
      <c r="F699" s="308"/>
      <c r="G699" s="309"/>
      <c r="H699" s="389"/>
      <c r="I699" s="307"/>
      <c r="J699" s="308"/>
      <c r="K699" s="309"/>
      <c r="L699" s="389"/>
      <c r="M699" s="307"/>
      <c r="N699" s="308"/>
      <c r="O699" s="309"/>
      <c r="P699" s="389"/>
      <c r="Q699" s="192"/>
      <c r="R699" s="149"/>
      <c r="S699" s="392"/>
      <c r="T699" s="393"/>
      <c r="U699" s="192"/>
      <c r="V699" s="149"/>
      <c r="W699" s="392"/>
      <c r="X699" s="393"/>
      <c r="Y699" s="192"/>
      <c r="Z699" s="149"/>
      <c r="AA699" s="392"/>
      <c r="AB699" s="393"/>
      <c r="AC699" s="192"/>
      <c r="AD699" s="149"/>
      <c r="AE699" s="392"/>
      <c r="AF699" s="393"/>
      <c r="AG699" s="143"/>
      <c r="AH699" s="143"/>
      <c r="AI699" s="143"/>
      <c r="AJ699" s="143"/>
      <c r="AK699" s="389"/>
      <c r="AL699" s="389"/>
      <c r="AM699" s="389"/>
    </row>
    <row r="700">
      <c r="A700" s="307"/>
      <c r="B700" s="308"/>
      <c r="C700" s="309"/>
      <c r="D700" s="389"/>
      <c r="E700" s="307"/>
      <c r="F700" s="308"/>
      <c r="G700" s="309"/>
      <c r="H700" s="389"/>
      <c r="I700" s="307"/>
      <c r="J700" s="308"/>
      <c r="K700" s="309"/>
      <c r="L700" s="389"/>
      <c r="M700" s="307"/>
      <c r="N700" s="308"/>
      <c r="O700" s="309"/>
      <c r="P700" s="389"/>
      <c r="Q700" s="192"/>
      <c r="R700" s="149"/>
      <c r="S700" s="392"/>
      <c r="T700" s="393"/>
      <c r="U700" s="192"/>
      <c r="V700" s="149"/>
      <c r="W700" s="392"/>
      <c r="X700" s="393"/>
      <c r="Y700" s="192"/>
      <c r="Z700" s="149"/>
      <c r="AA700" s="392"/>
      <c r="AB700" s="393"/>
      <c r="AC700" s="192"/>
      <c r="AD700" s="149"/>
      <c r="AE700" s="392"/>
      <c r="AF700" s="393"/>
      <c r="AG700" s="143"/>
      <c r="AH700" s="143"/>
      <c r="AI700" s="143"/>
      <c r="AJ700" s="143"/>
      <c r="AK700" s="389"/>
      <c r="AL700" s="389"/>
      <c r="AM700" s="389"/>
    </row>
    <row r="701">
      <c r="A701" s="307"/>
      <c r="B701" s="308"/>
      <c r="C701" s="309"/>
      <c r="D701" s="389"/>
      <c r="E701" s="307"/>
      <c r="F701" s="308"/>
      <c r="G701" s="309"/>
      <c r="H701" s="389"/>
      <c r="I701" s="307"/>
      <c r="J701" s="308"/>
      <c r="K701" s="309"/>
      <c r="L701" s="389"/>
      <c r="M701" s="307"/>
      <c r="N701" s="308"/>
      <c r="O701" s="309"/>
      <c r="P701" s="389"/>
      <c r="Q701" s="192"/>
      <c r="R701" s="149"/>
      <c r="S701" s="392"/>
      <c r="T701" s="393"/>
      <c r="U701" s="192"/>
      <c r="V701" s="149"/>
      <c r="W701" s="392"/>
      <c r="X701" s="393"/>
      <c r="Y701" s="192"/>
      <c r="Z701" s="149"/>
      <c r="AA701" s="392"/>
      <c r="AB701" s="393"/>
      <c r="AC701" s="192"/>
      <c r="AD701" s="149"/>
      <c r="AE701" s="392"/>
      <c r="AF701" s="393"/>
      <c r="AG701" s="143"/>
      <c r="AH701" s="143"/>
      <c r="AI701" s="143"/>
      <c r="AJ701" s="143"/>
      <c r="AK701" s="389"/>
      <c r="AL701" s="389"/>
      <c r="AM701" s="389"/>
    </row>
    <row r="702">
      <c r="A702" s="307"/>
      <c r="B702" s="308"/>
      <c r="C702" s="309"/>
      <c r="D702" s="389"/>
      <c r="E702" s="307"/>
      <c r="F702" s="308"/>
      <c r="G702" s="309"/>
      <c r="H702" s="389"/>
      <c r="I702" s="307"/>
      <c r="J702" s="308"/>
      <c r="K702" s="309"/>
      <c r="L702" s="389"/>
      <c r="M702" s="307"/>
      <c r="N702" s="308"/>
      <c r="O702" s="309"/>
      <c r="P702" s="389"/>
      <c r="Q702" s="192"/>
      <c r="R702" s="149"/>
      <c r="S702" s="392"/>
      <c r="T702" s="393"/>
      <c r="U702" s="192"/>
      <c r="V702" s="149"/>
      <c r="W702" s="392"/>
      <c r="X702" s="393"/>
      <c r="Y702" s="192"/>
      <c r="Z702" s="149"/>
      <c r="AA702" s="392"/>
      <c r="AB702" s="393"/>
      <c r="AC702" s="192"/>
      <c r="AD702" s="149"/>
      <c r="AE702" s="392"/>
      <c r="AF702" s="393"/>
      <c r="AG702" s="143"/>
      <c r="AH702" s="143"/>
      <c r="AI702" s="143"/>
      <c r="AJ702" s="143"/>
      <c r="AK702" s="389"/>
      <c r="AL702" s="389"/>
      <c r="AM702" s="389"/>
    </row>
    <row r="703">
      <c r="A703" s="307"/>
      <c r="B703" s="308"/>
      <c r="C703" s="309"/>
      <c r="D703" s="389"/>
      <c r="E703" s="307"/>
      <c r="F703" s="308"/>
      <c r="G703" s="309"/>
      <c r="H703" s="389"/>
      <c r="I703" s="307"/>
      <c r="J703" s="308"/>
      <c r="K703" s="309"/>
      <c r="L703" s="389"/>
      <c r="M703" s="307"/>
      <c r="N703" s="308"/>
      <c r="O703" s="309"/>
      <c r="P703" s="389"/>
      <c r="Q703" s="192"/>
      <c r="R703" s="149"/>
      <c r="S703" s="392"/>
      <c r="T703" s="393"/>
      <c r="U703" s="192"/>
      <c r="V703" s="149"/>
      <c r="W703" s="392"/>
      <c r="X703" s="393"/>
      <c r="Y703" s="192"/>
      <c r="Z703" s="149"/>
      <c r="AA703" s="392"/>
      <c r="AB703" s="393"/>
      <c r="AC703" s="192"/>
      <c r="AD703" s="149"/>
      <c r="AE703" s="392"/>
      <c r="AF703" s="393"/>
      <c r="AG703" s="143"/>
      <c r="AH703" s="143"/>
      <c r="AI703" s="143"/>
      <c r="AJ703" s="143"/>
      <c r="AK703" s="389"/>
      <c r="AL703" s="389"/>
      <c r="AM703" s="389"/>
    </row>
    <row r="704">
      <c r="A704" s="307"/>
      <c r="B704" s="308"/>
      <c r="C704" s="309"/>
      <c r="D704" s="389"/>
      <c r="E704" s="307"/>
      <c r="F704" s="308"/>
      <c r="G704" s="309"/>
      <c r="H704" s="389"/>
      <c r="I704" s="307"/>
      <c r="J704" s="308"/>
      <c r="K704" s="309"/>
      <c r="L704" s="389"/>
      <c r="M704" s="307"/>
      <c r="N704" s="308"/>
      <c r="O704" s="309"/>
      <c r="P704" s="389"/>
      <c r="Q704" s="192"/>
      <c r="R704" s="149"/>
      <c r="S704" s="392"/>
      <c r="T704" s="393"/>
      <c r="U704" s="192"/>
      <c r="V704" s="149"/>
      <c r="W704" s="392"/>
      <c r="X704" s="393"/>
      <c r="Y704" s="192"/>
      <c r="Z704" s="149"/>
      <c r="AA704" s="392"/>
      <c r="AB704" s="393"/>
      <c r="AC704" s="192"/>
      <c r="AD704" s="149"/>
      <c r="AE704" s="392"/>
      <c r="AF704" s="393"/>
      <c r="AG704" s="143"/>
      <c r="AH704" s="143"/>
      <c r="AI704" s="143"/>
      <c r="AJ704" s="143"/>
      <c r="AK704" s="389"/>
      <c r="AL704" s="389"/>
      <c r="AM704" s="389"/>
    </row>
    <row r="705">
      <c r="A705" s="307"/>
      <c r="B705" s="308"/>
      <c r="C705" s="309"/>
      <c r="D705" s="389"/>
      <c r="E705" s="307"/>
      <c r="F705" s="308"/>
      <c r="G705" s="309"/>
      <c r="H705" s="389"/>
      <c r="I705" s="307"/>
      <c r="J705" s="308"/>
      <c r="K705" s="309"/>
      <c r="L705" s="389"/>
      <c r="M705" s="307"/>
      <c r="N705" s="308"/>
      <c r="O705" s="309"/>
      <c r="P705" s="389"/>
      <c r="Q705" s="192"/>
      <c r="R705" s="149"/>
      <c r="S705" s="392"/>
      <c r="T705" s="393"/>
      <c r="U705" s="192"/>
      <c r="V705" s="149"/>
      <c r="W705" s="392"/>
      <c r="X705" s="393"/>
      <c r="Y705" s="192"/>
      <c r="Z705" s="149"/>
      <c r="AA705" s="392"/>
      <c r="AB705" s="393"/>
      <c r="AC705" s="192"/>
      <c r="AD705" s="149"/>
      <c r="AE705" s="392"/>
      <c r="AF705" s="393"/>
      <c r="AG705" s="143"/>
      <c r="AH705" s="143"/>
      <c r="AI705" s="143"/>
      <c r="AJ705" s="143"/>
      <c r="AK705" s="389"/>
      <c r="AL705" s="389"/>
      <c r="AM705" s="389"/>
    </row>
    <row r="706">
      <c r="A706" s="307"/>
      <c r="B706" s="308"/>
      <c r="C706" s="309"/>
      <c r="D706" s="389"/>
      <c r="E706" s="307"/>
      <c r="F706" s="308"/>
      <c r="G706" s="309"/>
      <c r="H706" s="389"/>
      <c r="I706" s="307"/>
      <c r="J706" s="308"/>
      <c r="K706" s="309"/>
      <c r="L706" s="389"/>
      <c r="M706" s="307"/>
      <c r="N706" s="308"/>
      <c r="O706" s="309"/>
      <c r="P706" s="389"/>
      <c r="Q706" s="192"/>
      <c r="R706" s="149"/>
      <c r="S706" s="392"/>
      <c r="T706" s="393"/>
      <c r="U706" s="192"/>
      <c r="V706" s="149"/>
      <c r="W706" s="392"/>
      <c r="X706" s="393"/>
      <c r="Y706" s="192"/>
      <c r="Z706" s="149"/>
      <c r="AA706" s="392"/>
      <c r="AB706" s="393"/>
      <c r="AC706" s="192"/>
      <c r="AD706" s="149"/>
      <c r="AE706" s="392"/>
      <c r="AF706" s="393"/>
      <c r="AG706" s="143"/>
      <c r="AH706" s="143"/>
      <c r="AI706" s="143"/>
      <c r="AJ706" s="143"/>
      <c r="AK706" s="389"/>
      <c r="AL706" s="389"/>
      <c r="AM706" s="389"/>
    </row>
    <row r="707">
      <c r="A707" s="307"/>
      <c r="B707" s="308"/>
      <c r="C707" s="309"/>
      <c r="D707" s="389"/>
      <c r="E707" s="307"/>
      <c r="F707" s="308"/>
      <c r="G707" s="309"/>
      <c r="H707" s="389"/>
      <c r="I707" s="307"/>
      <c r="J707" s="308"/>
      <c r="K707" s="309"/>
      <c r="L707" s="389"/>
      <c r="M707" s="307"/>
      <c r="N707" s="308"/>
      <c r="O707" s="309"/>
      <c r="P707" s="389"/>
      <c r="Q707" s="192"/>
      <c r="R707" s="149"/>
      <c r="S707" s="392"/>
      <c r="T707" s="393"/>
      <c r="U707" s="192"/>
      <c r="V707" s="149"/>
      <c r="W707" s="392"/>
      <c r="X707" s="393"/>
      <c r="Y707" s="192"/>
      <c r="Z707" s="149"/>
      <c r="AA707" s="392"/>
      <c r="AB707" s="393"/>
      <c r="AC707" s="192"/>
      <c r="AD707" s="149"/>
      <c r="AE707" s="392"/>
      <c r="AF707" s="393"/>
      <c r="AG707" s="143"/>
      <c r="AH707" s="143"/>
      <c r="AI707" s="143"/>
      <c r="AJ707" s="143"/>
      <c r="AK707" s="389"/>
      <c r="AL707" s="389"/>
      <c r="AM707" s="389"/>
    </row>
    <row r="708">
      <c r="A708" s="307"/>
      <c r="B708" s="308"/>
      <c r="C708" s="309"/>
      <c r="D708" s="389"/>
      <c r="E708" s="307"/>
      <c r="F708" s="308"/>
      <c r="G708" s="309"/>
      <c r="H708" s="389"/>
      <c r="I708" s="307"/>
      <c r="J708" s="308"/>
      <c r="K708" s="309"/>
      <c r="L708" s="389"/>
      <c r="M708" s="307"/>
      <c r="N708" s="308"/>
      <c r="O708" s="309"/>
      <c r="P708" s="389"/>
      <c r="Q708" s="192"/>
      <c r="R708" s="149"/>
      <c r="S708" s="392"/>
      <c r="T708" s="393"/>
      <c r="U708" s="192"/>
      <c r="V708" s="149"/>
      <c r="W708" s="392"/>
      <c r="X708" s="393"/>
      <c r="Y708" s="192"/>
      <c r="Z708" s="149"/>
      <c r="AA708" s="392"/>
      <c r="AB708" s="393"/>
      <c r="AC708" s="192"/>
      <c r="AD708" s="149"/>
      <c r="AE708" s="392"/>
      <c r="AF708" s="393"/>
      <c r="AG708" s="143"/>
      <c r="AH708" s="143"/>
      <c r="AI708" s="143"/>
      <c r="AJ708" s="143"/>
      <c r="AK708" s="389"/>
      <c r="AL708" s="389"/>
      <c r="AM708" s="389"/>
    </row>
    <row r="709">
      <c r="A709" s="307"/>
      <c r="B709" s="308"/>
      <c r="C709" s="309"/>
      <c r="D709" s="389"/>
      <c r="E709" s="307"/>
      <c r="F709" s="308"/>
      <c r="G709" s="309"/>
      <c r="H709" s="389"/>
      <c r="I709" s="307"/>
      <c r="J709" s="308"/>
      <c r="K709" s="309"/>
      <c r="L709" s="389"/>
      <c r="M709" s="307"/>
      <c r="N709" s="308"/>
      <c r="O709" s="309"/>
      <c r="P709" s="389"/>
      <c r="Q709" s="192"/>
      <c r="R709" s="149"/>
      <c r="S709" s="392"/>
      <c r="T709" s="393"/>
      <c r="U709" s="192"/>
      <c r="V709" s="149"/>
      <c r="W709" s="392"/>
      <c r="X709" s="393"/>
      <c r="Y709" s="192"/>
      <c r="Z709" s="149"/>
      <c r="AA709" s="392"/>
      <c r="AB709" s="393"/>
      <c r="AC709" s="192"/>
      <c r="AD709" s="149"/>
      <c r="AE709" s="392"/>
      <c r="AF709" s="393"/>
      <c r="AG709" s="143"/>
      <c r="AH709" s="143"/>
      <c r="AI709" s="143"/>
      <c r="AJ709" s="143"/>
      <c r="AK709" s="389"/>
      <c r="AL709" s="389"/>
      <c r="AM709" s="389"/>
    </row>
    <row r="710">
      <c r="A710" s="307"/>
      <c r="B710" s="308"/>
      <c r="C710" s="309"/>
      <c r="D710" s="389"/>
      <c r="E710" s="307"/>
      <c r="F710" s="308"/>
      <c r="G710" s="309"/>
      <c r="H710" s="389"/>
      <c r="I710" s="307"/>
      <c r="J710" s="308"/>
      <c r="K710" s="309"/>
      <c r="L710" s="389"/>
      <c r="M710" s="307"/>
      <c r="N710" s="308"/>
      <c r="O710" s="309"/>
      <c r="P710" s="389"/>
      <c r="Q710" s="192"/>
      <c r="R710" s="149"/>
      <c r="S710" s="392"/>
      <c r="T710" s="393"/>
      <c r="U710" s="192"/>
      <c r="V710" s="149"/>
      <c r="W710" s="392"/>
      <c r="X710" s="393"/>
      <c r="Y710" s="192"/>
      <c r="Z710" s="149"/>
      <c r="AA710" s="392"/>
      <c r="AB710" s="393"/>
      <c r="AC710" s="192"/>
      <c r="AD710" s="149"/>
      <c r="AE710" s="392"/>
      <c r="AF710" s="393"/>
      <c r="AG710" s="143"/>
      <c r="AH710" s="143"/>
      <c r="AI710" s="143"/>
      <c r="AJ710" s="143"/>
      <c r="AK710" s="389"/>
      <c r="AL710" s="389"/>
      <c r="AM710" s="389"/>
    </row>
    <row r="711">
      <c r="A711" s="307"/>
      <c r="B711" s="308"/>
      <c r="C711" s="309"/>
      <c r="D711" s="389"/>
      <c r="E711" s="307"/>
      <c r="F711" s="308"/>
      <c r="G711" s="309"/>
      <c r="H711" s="389"/>
      <c r="I711" s="307"/>
      <c r="J711" s="308"/>
      <c r="K711" s="309"/>
      <c r="L711" s="389"/>
      <c r="M711" s="307"/>
      <c r="N711" s="308"/>
      <c r="O711" s="309"/>
      <c r="P711" s="389"/>
      <c r="Q711" s="192"/>
      <c r="R711" s="149"/>
      <c r="S711" s="392"/>
      <c r="T711" s="393"/>
      <c r="U711" s="192"/>
      <c r="V711" s="149"/>
      <c r="W711" s="392"/>
      <c r="X711" s="393"/>
      <c r="Y711" s="192"/>
      <c r="Z711" s="149"/>
      <c r="AA711" s="392"/>
      <c r="AB711" s="393"/>
      <c r="AC711" s="192"/>
      <c r="AD711" s="149"/>
      <c r="AE711" s="392"/>
      <c r="AF711" s="393"/>
      <c r="AG711" s="143"/>
      <c r="AH711" s="143"/>
      <c r="AI711" s="143"/>
      <c r="AJ711" s="143"/>
      <c r="AK711" s="389"/>
      <c r="AL711" s="389"/>
      <c r="AM711" s="389"/>
    </row>
    <row r="712">
      <c r="A712" s="307"/>
      <c r="B712" s="308"/>
      <c r="C712" s="309"/>
      <c r="D712" s="389"/>
      <c r="E712" s="307"/>
      <c r="F712" s="308"/>
      <c r="G712" s="309"/>
      <c r="H712" s="389"/>
      <c r="I712" s="307"/>
      <c r="J712" s="308"/>
      <c r="K712" s="309"/>
      <c r="L712" s="389"/>
      <c r="M712" s="307"/>
      <c r="N712" s="308"/>
      <c r="O712" s="309"/>
      <c r="P712" s="389"/>
      <c r="Q712" s="192"/>
      <c r="R712" s="149"/>
      <c r="S712" s="392"/>
      <c r="T712" s="393"/>
      <c r="U712" s="192"/>
      <c r="V712" s="149"/>
      <c r="W712" s="392"/>
      <c r="X712" s="393"/>
      <c r="Y712" s="192"/>
      <c r="Z712" s="149"/>
      <c r="AA712" s="392"/>
      <c r="AB712" s="393"/>
      <c r="AC712" s="192"/>
      <c r="AD712" s="149"/>
      <c r="AE712" s="392"/>
      <c r="AF712" s="393"/>
      <c r="AG712" s="143"/>
      <c r="AH712" s="143"/>
      <c r="AI712" s="143"/>
      <c r="AJ712" s="143"/>
      <c r="AK712" s="389"/>
      <c r="AL712" s="389"/>
      <c r="AM712" s="389"/>
    </row>
    <row r="713">
      <c r="A713" s="307"/>
      <c r="B713" s="308"/>
      <c r="C713" s="309"/>
      <c r="D713" s="389"/>
      <c r="E713" s="307"/>
      <c r="F713" s="308"/>
      <c r="G713" s="309"/>
      <c r="H713" s="389"/>
      <c r="I713" s="307"/>
      <c r="J713" s="308"/>
      <c r="K713" s="309"/>
      <c r="L713" s="389"/>
      <c r="M713" s="307"/>
      <c r="N713" s="308"/>
      <c r="O713" s="309"/>
      <c r="P713" s="389"/>
      <c r="Q713" s="192"/>
      <c r="R713" s="149"/>
      <c r="S713" s="392"/>
      <c r="T713" s="393"/>
      <c r="U713" s="192"/>
      <c r="V713" s="149"/>
      <c r="W713" s="392"/>
      <c r="X713" s="393"/>
      <c r="Y713" s="192"/>
      <c r="Z713" s="149"/>
      <c r="AA713" s="392"/>
      <c r="AB713" s="393"/>
      <c r="AC713" s="192"/>
      <c r="AD713" s="149"/>
      <c r="AE713" s="392"/>
      <c r="AF713" s="393"/>
      <c r="AG713" s="143"/>
      <c r="AH713" s="143"/>
      <c r="AI713" s="143"/>
      <c r="AJ713" s="143"/>
      <c r="AK713" s="389"/>
      <c r="AL713" s="389"/>
      <c r="AM713" s="389"/>
    </row>
    <row r="714">
      <c r="A714" s="307"/>
      <c r="B714" s="308"/>
      <c r="C714" s="309"/>
      <c r="D714" s="389"/>
      <c r="E714" s="307"/>
      <c r="F714" s="308"/>
      <c r="G714" s="309"/>
      <c r="H714" s="389"/>
      <c r="I714" s="307"/>
      <c r="J714" s="308"/>
      <c r="K714" s="309"/>
      <c r="L714" s="389"/>
      <c r="M714" s="307"/>
      <c r="N714" s="308"/>
      <c r="O714" s="309"/>
      <c r="P714" s="389"/>
      <c r="Q714" s="192"/>
      <c r="R714" s="149"/>
      <c r="S714" s="392"/>
      <c r="T714" s="393"/>
      <c r="U714" s="192"/>
      <c r="V714" s="149"/>
      <c r="W714" s="392"/>
      <c r="X714" s="393"/>
      <c r="Y714" s="192"/>
      <c r="Z714" s="149"/>
      <c r="AA714" s="392"/>
      <c r="AB714" s="393"/>
      <c r="AC714" s="192"/>
      <c r="AD714" s="149"/>
      <c r="AE714" s="392"/>
      <c r="AF714" s="393"/>
      <c r="AG714" s="143"/>
      <c r="AH714" s="143"/>
      <c r="AI714" s="143"/>
      <c r="AJ714" s="143"/>
      <c r="AK714" s="389"/>
      <c r="AL714" s="389"/>
      <c r="AM714" s="389"/>
    </row>
    <row r="715">
      <c r="A715" s="307"/>
      <c r="B715" s="308"/>
      <c r="C715" s="309"/>
      <c r="D715" s="389"/>
      <c r="E715" s="307"/>
      <c r="F715" s="308"/>
      <c r="G715" s="309"/>
      <c r="H715" s="389"/>
      <c r="I715" s="307"/>
      <c r="J715" s="308"/>
      <c r="K715" s="309"/>
      <c r="L715" s="389"/>
      <c r="M715" s="307"/>
      <c r="N715" s="308"/>
      <c r="O715" s="309"/>
      <c r="P715" s="389"/>
      <c r="Q715" s="192"/>
      <c r="R715" s="149"/>
      <c r="S715" s="392"/>
      <c r="T715" s="393"/>
      <c r="U715" s="192"/>
      <c r="V715" s="149"/>
      <c r="W715" s="392"/>
      <c r="X715" s="393"/>
      <c r="Y715" s="192"/>
      <c r="Z715" s="149"/>
      <c r="AA715" s="392"/>
      <c r="AB715" s="393"/>
      <c r="AC715" s="192"/>
      <c r="AD715" s="149"/>
      <c r="AE715" s="392"/>
      <c r="AF715" s="393"/>
      <c r="AG715" s="143"/>
      <c r="AH715" s="143"/>
      <c r="AI715" s="143"/>
      <c r="AJ715" s="143"/>
      <c r="AK715" s="389"/>
      <c r="AL715" s="389"/>
      <c r="AM715" s="389"/>
    </row>
    <row r="716">
      <c r="A716" s="307"/>
      <c r="B716" s="308"/>
      <c r="C716" s="309"/>
      <c r="D716" s="389"/>
      <c r="E716" s="307"/>
      <c r="F716" s="308"/>
      <c r="G716" s="309"/>
      <c r="H716" s="389"/>
      <c r="I716" s="307"/>
      <c r="J716" s="308"/>
      <c r="K716" s="309"/>
      <c r="L716" s="389"/>
      <c r="M716" s="307"/>
      <c r="N716" s="308"/>
      <c r="O716" s="309"/>
      <c r="P716" s="389"/>
      <c r="Q716" s="192"/>
      <c r="R716" s="149"/>
      <c r="S716" s="392"/>
      <c r="T716" s="393"/>
      <c r="U716" s="192"/>
      <c r="V716" s="149"/>
      <c r="W716" s="392"/>
      <c r="X716" s="393"/>
      <c r="Y716" s="192"/>
      <c r="Z716" s="149"/>
      <c r="AA716" s="392"/>
      <c r="AB716" s="393"/>
      <c r="AC716" s="192"/>
      <c r="AD716" s="149"/>
      <c r="AE716" s="392"/>
      <c r="AF716" s="393"/>
      <c r="AG716" s="143"/>
      <c r="AH716" s="143"/>
      <c r="AI716" s="143"/>
      <c r="AJ716" s="143"/>
      <c r="AK716" s="389"/>
      <c r="AL716" s="389"/>
      <c r="AM716" s="389"/>
    </row>
    <row r="717">
      <c r="A717" s="307"/>
      <c r="B717" s="308"/>
      <c r="C717" s="309"/>
      <c r="D717" s="389"/>
      <c r="E717" s="307"/>
      <c r="F717" s="308"/>
      <c r="G717" s="309"/>
      <c r="H717" s="389"/>
      <c r="I717" s="307"/>
      <c r="J717" s="308"/>
      <c r="K717" s="309"/>
      <c r="L717" s="389"/>
      <c r="M717" s="307"/>
      <c r="N717" s="308"/>
      <c r="O717" s="309"/>
      <c r="P717" s="389"/>
      <c r="Q717" s="192"/>
      <c r="R717" s="149"/>
      <c r="S717" s="392"/>
      <c r="T717" s="393"/>
      <c r="U717" s="192"/>
      <c r="V717" s="149"/>
      <c r="W717" s="392"/>
      <c r="X717" s="393"/>
      <c r="Y717" s="192"/>
      <c r="Z717" s="149"/>
      <c r="AA717" s="392"/>
      <c r="AB717" s="393"/>
      <c r="AC717" s="192"/>
      <c r="AD717" s="149"/>
      <c r="AE717" s="392"/>
      <c r="AF717" s="393"/>
      <c r="AG717" s="143"/>
      <c r="AH717" s="143"/>
      <c r="AI717" s="143"/>
      <c r="AJ717" s="143"/>
      <c r="AK717" s="389"/>
      <c r="AL717" s="389"/>
      <c r="AM717" s="389"/>
    </row>
    <row r="718">
      <c r="A718" s="307"/>
      <c r="B718" s="308"/>
      <c r="C718" s="309"/>
      <c r="D718" s="389"/>
      <c r="E718" s="307"/>
      <c r="F718" s="308"/>
      <c r="G718" s="309"/>
      <c r="H718" s="389"/>
      <c r="I718" s="307"/>
      <c r="J718" s="308"/>
      <c r="K718" s="309"/>
      <c r="L718" s="389"/>
      <c r="M718" s="307"/>
      <c r="N718" s="308"/>
      <c r="O718" s="309"/>
      <c r="P718" s="389"/>
      <c r="Q718" s="192"/>
      <c r="R718" s="149"/>
      <c r="S718" s="392"/>
      <c r="T718" s="393"/>
      <c r="U718" s="192"/>
      <c r="V718" s="149"/>
      <c r="W718" s="392"/>
      <c r="X718" s="393"/>
      <c r="Y718" s="192"/>
      <c r="Z718" s="149"/>
      <c r="AA718" s="392"/>
      <c r="AB718" s="393"/>
      <c r="AC718" s="192"/>
      <c r="AD718" s="149"/>
      <c r="AE718" s="392"/>
      <c r="AF718" s="393"/>
      <c r="AG718" s="143"/>
      <c r="AH718" s="143"/>
      <c r="AI718" s="143"/>
      <c r="AJ718" s="143"/>
      <c r="AK718" s="389"/>
      <c r="AL718" s="389"/>
      <c r="AM718" s="389"/>
    </row>
    <row r="719">
      <c r="A719" s="307"/>
      <c r="B719" s="308"/>
      <c r="C719" s="309"/>
      <c r="D719" s="389"/>
      <c r="E719" s="307"/>
      <c r="F719" s="308"/>
      <c r="G719" s="309"/>
      <c r="H719" s="389"/>
      <c r="I719" s="307"/>
      <c r="J719" s="308"/>
      <c r="K719" s="309"/>
      <c r="L719" s="389"/>
      <c r="M719" s="307"/>
      <c r="N719" s="308"/>
      <c r="O719" s="309"/>
      <c r="P719" s="389"/>
      <c r="Q719" s="192"/>
      <c r="R719" s="149"/>
      <c r="S719" s="392"/>
      <c r="T719" s="393"/>
      <c r="U719" s="192"/>
      <c r="V719" s="149"/>
      <c r="W719" s="392"/>
      <c r="X719" s="393"/>
      <c r="Y719" s="192"/>
      <c r="Z719" s="149"/>
      <c r="AA719" s="392"/>
      <c r="AB719" s="393"/>
      <c r="AC719" s="192"/>
      <c r="AD719" s="149"/>
      <c r="AE719" s="392"/>
      <c r="AF719" s="393"/>
      <c r="AG719" s="143"/>
      <c r="AH719" s="143"/>
      <c r="AI719" s="143"/>
      <c r="AJ719" s="143"/>
      <c r="AK719" s="389"/>
      <c r="AL719" s="389"/>
      <c r="AM719" s="389"/>
    </row>
    <row r="720">
      <c r="A720" s="307"/>
      <c r="B720" s="308"/>
      <c r="C720" s="309"/>
      <c r="D720" s="389"/>
      <c r="E720" s="307"/>
      <c r="F720" s="308"/>
      <c r="G720" s="309"/>
      <c r="H720" s="389"/>
      <c r="I720" s="307"/>
      <c r="J720" s="308"/>
      <c r="K720" s="309"/>
      <c r="L720" s="389"/>
      <c r="M720" s="307"/>
      <c r="N720" s="308"/>
      <c r="O720" s="309"/>
      <c r="P720" s="389"/>
      <c r="Q720" s="192"/>
      <c r="R720" s="149"/>
      <c r="S720" s="392"/>
      <c r="T720" s="393"/>
      <c r="U720" s="192"/>
      <c r="V720" s="149"/>
      <c r="W720" s="392"/>
      <c r="X720" s="393"/>
      <c r="Y720" s="192"/>
      <c r="Z720" s="149"/>
      <c r="AA720" s="392"/>
      <c r="AB720" s="393"/>
      <c r="AC720" s="192"/>
      <c r="AD720" s="149"/>
      <c r="AE720" s="392"/>
      <c r="AF720" s="393"/>
      <c r="AG720" s="143"/>
      <c r="AH720" s="143"/>
      <c r="AI720" s="143"/>
      <c r="AJ720" s="143"/>
      <c r="AK720" s="389"/>
      <c r="AL720" s="389"/>
      <c r="AM720" s="389"/>
    </row>
    <row r="721">
      <c r="A721" s="307"/>
      <c r="B721" s="308"/>
      <c r="C721" s="309"/>
      <c r="D721" s="389"/>
      <c r="E721" s="307"/>
      <c r="F721" s="308"/>
      <c r="G721" s="309"/>
      <c r="H721" s="389"/>
      <c r="I721" s="307"/>
      <c r="J721" s="308"/>
      <c r="K721" s="309"/>
      <c r="L721" s="389"/>
      <c r="M721" s="307"/>
      <c r="N721" s="308"/>
      <c r="O721" s="309"/>
      <c r="P721" s="389"/>
      <c r="Q721" s="192"/>
      <c r="R721" s="149"/>
      <c r="S721" s="392"/>
      <c r="T721" s="393"/>
      <c r="U721" s="192"/>
      <c r="V721" s="149"/>
      <c r="W721" s="392"/>
      <c r="X721" s="393"/>
      <c r="Y721" s="192"/>
      <c r="Z721" s="149"/>
      <c r="AA721" s="392"/>
      <c r="AB721" s="393"/>
      <c r="AC721" s="192"/>
      <c r="AD721" s="149"/>
      <c r="AE721" s="392"/>
      <c r="AF721" s="393"/>
      <c r="AG721" s="143"/>
      <c r="AH721" s="143"/>
      <c r="AI721" s="143"/>
      <c r="AJ721" s="143"/>
      <c r="AK721" s="389"/>
      <c r="AL721" s="389"/>
      <c r="AM721" s="389"/>
    </row>
    <row r="722">
      <c r="A722" s="307"/>
      <c r="B722" s="308"/>
      <c r="C722" s="309"/>
      <c r="D722" s="389"/>
      <c r="E722" s="307"/>
      <c r="F722" s="308"/>
      <c r="G722" s="309"/>
      <c r="H722" s="389"/>
      <c r="I722" s="307"/>
      <c r="J722" s="308"/>
      <c r="K722" s="309"/>
      <c r="L722" s="389"/>
      <c r="M722" s="307"/>
      <c r="N722" s="308"/>
      <c r="O722" s="309"/>
      <c r="P722" s="389"/>
      <c r="Q722" s="192"/>
      <c r="R722" s="149"/>
      <c r="S722" s="392"/>
      <c r="T722" s="393"/>
      <c r="U722" s="192"/>
      <c r="V722" s="149"/>
      <c r="W722" s="392"/>
      <c r="X722" s="393"/>
      <c r="Y722" s="192"/>
      <c r="Z722" s="149"/>
      <c r="AA722" s="392"/>
      <c r="AB722" s="393"/>
      <c r="AC722" s="192"/>
      <c r="AD722" s="149"/>
      <c r="AE722" s="392"/>
      <c r="AF722" s="393"/>
      <c r="AG722" s="143"/>
      <c r="AH722" s="143"/>
      <c r="AI722" s="143"/>
      <c r="AJ722" s="143"/>
      <c r="AK722" s="389"/>
      <c r="AL722" s="389"/>
      <c r="AM722" s="389"/>
    </row>
    <row r="723">
      <c r="A723" s="307"/>
      <c r="B723" s="308"/>
      <c r="C723" s="309"/>
      <c r="D723" s="389"/>
      <c r="E723" s="307"/>
      <c r="F723" s="308"/>
      <c r="G723" s="309"/>
      <c r="H723" s="389"/>
      <c r="I723" s="307"/>
      <c r="J723" s="308"/>
      <c r="K723" s="309"/>
      <c r="L723" s="389"/>
      <c r="M723" s="307"/>
      <c r="N723" s="308"/>
      <c r="O723" s="309"/>
      <c r="P723" s="389"/>
      <c r="Q723" s="192"/>
      <c r="R723" s="149"/>
      <c r="S723" s="392"/>
      <c r="T723" s="393"/>
      <c r="U723" s="192"/>
      <c r="V723" s="149"/>
      <c r="W723" s="392"/>
      <c r="X723" s="393"/>
      <c r="Y723" s="192"/>
      <c r="Z723" s="149"/>
      <c r="AA723" s="392"/>
      <c r="AB723" s="393"/>
      <c r="AC723" s="192"/>
      <c r="AD723" s="149"/>
      <c r="AE723" s="392"/>
      <c r="AF723" s="393"/>
      <c r="AG723" s="143"/>
      <c r="AH723" s="143"/>
      <c r="AI723" s="143"/>
      <c r="AJ723" s="143"/>
      <c r="AK723" s="389"/>
      <c r="AL723" s="389"/>
      <c r="AM723" s="389"/>
    </row>
    <row r="724">
      <c r="A724" s="307"/>
      <c r="B724" s="308"/>
      <c r="C724" s="309"/>
      <c r="D724" s="389"/>
      <c r="E724" s="307"/>
      <c r="F724" s="308"/>
      <c r="G724" s="309"/>
      <c r="H724" s="389"/>
      <c r="I724" s="307"/>
      <c r="J724" s="308"/>
      <c r="K724" s="309"/>
      <c r="L724" s="389"/>
      <c r="M724" s="307"/>
      <c r="N724" s="308"/>
      <c r="O724" s="309"/>
      <c r="P724" s="389"/>
      <c r="Q724" s="192"/>
      <c r="R724" s="149"/>
      <c r="S724" s="392"/>
      <c r="T724" s="393"/>
      <c r="U724" s="192"/>
      <c r="V724" s="149"/>
      <c r="W724" s="392"/>
      <c r="X724" s="393"/>
      <c r="Y724" s="192"/>
      <c r="Z724" s="149"/>
      <c r="AA724" s="392"/>
      <c r="AB724" s="393"/>
      <c r="AC724" s="192"/>
      <c r="AD724" s="149"/>
      <c r="AE724" s="392"/>
      <c r="AF724" s="393"/>
      <c r="AG724" s="143"/>
      <c r="AH724" s="143"/>
      <c r="AI724" s="143"/>
      <c r="AJ724" s="143"/>
      <c r="AK724" s="389"/>
      <c r="AL724" s="389"/>
      <c r="AM724" s="389"/>
    </row>
    <row r="725">
      <c r="A725" s="307"/>
      <c r="B725" s="308"/>
      <c r="C725" s="309"/>
      <c r="D725" s="389"/>
      <c r="E725" s="307"/>
      <c r="F725" s="308"/>
      <c r="G725" s="309"/>
      <c r="H725" s="389"/>
      <c r="I725" s="307"/>
      <c r="J725" s="308"/>
      <c r="K725" s="309"/>
      <c r="L725" s="389"/>
      <c r="M725" s="307"/>
      <c r="N725" s="308"/>
      <c r="O725" s="309"/>
      <c r="P725" s="389"/>
      <c r="Q725" s="192"/>
      <c r="R725" s="149"/>
      <c r="S725" s="392"/>
      <c r="T725" s="393"/>
      <c r="U725" s="192"/>
      <c r="V725" s="149"/>
      <c r="W725" s="392"/>
      <c r="X725" s="393"/>
      <c r="Y725" s="192"/>
      <c r="Z725" s="149"/>
      <c r="AA725" s="392"/>
      <c r="AB725" s="393"/>
      <c r="AC725" s="192"/>
      <c r="AD725" s="149"/>
      <c r="AE725" s="392"/>
      <c r="AF725" s="393"/>
      <c r="AG725" s="143"/>
      <c r="AH725" s="143"/>
      <c r="AI725" s="143"/>
      <c r="AJ725" s="143"/>
      <c r="AK725" s="389"/>
      <c r="AL725" s="389"/>
      <c r="AM725" s="389"/>
    </row>
    <row r="726">
      <c r="A726" s="307"/>
      <c r="B726" s="308"/>
      <c r="C726" s="309"/>
      <c r="D726" s="389"/>
      <c r="E726" s="307"/>
      <c r="F726" s="308"/>
      <c r="G726" s="309"/>
      <c r="H726" s="389"/>
      <c r="I726" s="307"/>
      <c r="J726" s="308"/>
      <c r="K726" s="309"/>
      <c r="L726" s="389"/>
      <c r="M726" s="307"/>
      <c r="N726" s="308"/>
      <c r="O726" s="309"/>
      <c r="P726" s="389"/>
      <c r="Q726" s="192"/>
      <c r="R726" s="149"/>
      <c r="S726" s="392"/>
      <c r="T726" s="393"/>
      <c r="U726" s="192"/>
      <c r="V726" s="149"/>
      <c r="W726" s="392"/>
      <c r="X726" s="393"/>
      <c r="Y726" s="192"/>
      <c r="Z726" s="149"/>
      <c r="AA726" s="392"/>
      <c r="AB726" s="393"/>
      <c r="AC726" s="192"/>
      <c r="AD726" s="149"/>
      <c r="AE726" s="392"/>
      <c r="AF726" s="393"/>
      <c r="AG726" s="143"/>
      <c r="AH726" s="143"/>
      <c r="AI726" s="143"/>
      <c r="AJ726" s="143"/>
      <c r="AK726" s="389"/>
      <c r="AL726" s="389"/>
      <c r="AM726" s="389"/>
    </row>
    <row r="727">
      <c r="A727" s="307"/>
      <c r="B727" s="308"/>
      <c r="C727" s="309"/>
      <c r="D727" s="389"/>
      <c r="E727" s="307"/>
      <c r="F727" s="308"/>
      <c r="G727" s="309"/>
      <c r="H727" s="389"/>
      <c r="I727" s="307"/>
      <c r="J727" s="308"/>
      <c r="K727" s="309"/>
      <c r="L727" s="389"/>
      <c r="M727" s="307"/>
      <c r="N727" s="308"/>
      <c r="O727" s="309"/>
      <c r="P727" s="389"/>
      <c r="Q727" s="192"/>
      <c r="R727" s="149"/>
      <c r="S727" s="392"/>
      <c r="T727" s="393"/>
      <c r="U727" s="192"/>
      <c r="V727" s="149"/>
      <c r="W727" s="392"/>
      <c r="X727" s="393"/>
      <c r="Y727" s="192"/>
      <c r="Z727" s="149"/>
      <c r="AA727" s="392"/>
      <c r="AB727" s="393"/>
      <c r="AC727" s="192"/>
      <c r="AD727" s="149"/>
      <c r="AE727" s="392"/>
      <c r="AF727" s="393"/>
      <c r="AG727" s="143"/>
      <c r="AH727" s="143"/>
      <c r="AI727" s="143"/>
      <c r="AJ727" s="143"/>
      <c r="AK727" s="389"/>
      <c r="AL727" s="389"/>
      <c r="AM727" s="389"/>
    </row>
    <row r="728">
      <c r="A728" s="307"/>
      <c r="B728" s="308"/>
      <c r="C728" s="309"/>
      <c r="D728" s="389"/>
      <c r="E728" s="307"/>
      <c r="F728" s="308"/>
      <c r="G728" s="309"/>
      <c r="H728" s="389"/>
      <c r="I728" s="307"/>
      <c r="J728" s="308"/>
      <c r="K728" s="309"/>
      <c r="L728" s="389"/>
      <c r="M728" s="307"/>
      <c r="N728" s="308"/>
      <c r="O728" s="309"/>
      <c r="P728" s="389"/>
      <c r="Q728" s="192"/>
      <c r="R728" s="149"/>
      <c r="S728" s="392"/>
      <c r="T728" s="393"/>
      <c r="U728" s="192"/>
      <c r="V728" s="149"/>
      <c r="W728" s="392"/>
      <c r="X728" s="393"/>
      <c r="Y728" s="192"/>
      <c r="Z728" s="149"/>
      <c r="AA728" s="392"/>
      <c r="AB728" s="393"/>
      <c r="AC728" s="192"/>
      <c r="AD728" s="149"/>
      <c r="AE728" s="392"/>
      <c r="AF728" s="393"/>
      <c r="AG728" s="143"/>
      <c r="AH728" s="143"/>
      <c r="AI728" s="143"/>
      <c r="AJ728" s="143"/>
      <c r="AK728" s="389"/>
      <c r="AL728" s="389"/>
      <c r="AM728" s="389"/>
    </row>
    <row r="729">
      <c r="A729" s="307"/>
      <c r="B729" s="308"/>
      <c r="C729" s="309"/>
      <c r="D729" s="389"/>
      <c r="E729" s="307"/>
      <c r="F729" s="308"/>
      <c r="G729" s="309"/>
      <c r="H729" s="389"/>
      <c r="I729" s="307"/>
      <c r="J729" s="308"/>
      <c r="K729" s="309"/>
      <c r="L729" s="389"/>
      <c r="M729" s="307"/>
      <c r="N729" s="308"/>
      <c r="O729" s="309"/>
      <c r="P729" s="389"/>
      <c r="Q729" s="192"/>
      <c r="R729" s="149"/>
      <c r="S729" s="392"/>
      <c r="T729" s="393"/>
      <c r="U729" s="192"/>
      <c r="V729" s="149"/>
      <c r="W729" s="392"/>
      <c r="X729" s="393"/>
      <c r="Y729" s="192"/>
      <c r="Z729" s="149"/>
      <c r="AA729" s="392"/>
      <c r="AB729" s="393"/>
      <c r="AC729" s="192"/>
      <c r="AD729" s="149"/>
      <c r="AE729" s="392"/>
      <c r="AF729" s="393"/>
      <c r="AG729" s="143"/>
      <c r="AH729" s="143"/>
      <c r="AI729" s="143"/>
      <c r="AJ729" s="143"/>
      <c r="AK729" s="389"/>
      <c r="AL729" s="389"/>
      <c r="AM729" s="389"/>
    </row>
    <row r="730">
      <c r="A730" s="307"/>
      <c r="B730" s="308"/>
      <c r="C730" s="309"/>
      <c r="D730" s="389"/>
      <c r="E730" s="307"/>
      <c r="F730" s="308"/>
      <c r="G730" s="309"/>
      <c r="H730" s="389"/>
      <c r="I730" s="307"/>
      <c r="J730" s="308"/>
      <c r="K730" s="309"/>
      <c r="L730" s="389"/>
      <c r="M730" s="307"/>
      <c r="N730" s="308"/>
      <c r="O730" s="309"/>
      <c r="P730" s="389"/>
      <c r="Q730" s="192"/>
      <c r="R730" s="149"/>
      <c r="S730" s="392"/>
      <c r="T730" s="393"/>
      <c r="U730" s="192"/>
      <c r="V730" s="149"/>
      <c r="W730" s="392"/>
      <c r="X730" s="393"/>
      <c r="Y730" s="192"/>
      <c r="Z730" s="149"/>
      <c r="AA730" s="392"/>
      <c r="AB730" s="393"/>
      <c r="AC730" s="192"/>
      <c r="AD730" s="149"/>
      <c r="AE730" s="392"/>
      <c r="AF730" s="393"/>
      <c r="AG730" s="143"/>
      <c r="AH730" s="143"/>
      <c r="AI730" s="143"/>
      <c r="AJ730" s="143"/>
      <c r="AK730" s="389"/>
      <c r="AL730" s="389"/>
      <c r="AM730" s="389"/>
    </row>
    <row r="731">
      <c r="A731" s="307"/>
      <c r="B731" s="308"/>
      <c r="C731" s="309"/>
      <c r="D731" s="389"/>
      <c r="E731" s="307"/>
      <c r="F731" s="308"/>
      <c r="G731" s="309"/>
      <c r="H731" s="389"/>
      <c r="I731" s="307"/>
      <c r="J731" s="308"/>
      <c r="K731" s="309"/>
      <c r="L731" s="389"/>
      <c r="M731" s="307"/>
      <c r="N731" s="308"/>
      <c r="O731" s="309"/>
      <c r="P731" s="389"/>
      <c r="Q731" s="192"/>
      <c r="R731" s="149"/>
      <c r="S731" s="392"/>
      <c r="T731" s="393"/>
      <c r="U731" s="192"/>
      <c r="V731" s="149"/>
      <c r="W731" s="392"/>
      <c r="X731" s="393"/>
      <c r="Y731" s="192"/>
      <c r="Z731" s="149"/>
      <c r="AA731" s="392"/>
      <c r="AB731" s="393"/>
      <c r="AC731" s="192"/>
      <c r="AD731" s="149"/>
      <c r="AE731" s="392"/>
      <c r="AF731" s="393"/>
      <c r="AG731" s="143"/>
      <c r="AH731" s="143"/>
      <c r="AI731" s="143"/>
      <c r="AJ731" s="143"/>
      <c r="AK731" s="389"/>
      <c r="AL731" s="389"/>
      <c r="AM731" s="389"/>
    </row>
    <row r="732">
      <c r="A732" s="307"/>
      <c r="B732" s="308"/>
      <c r="C732" s="309"/>
      <c r="D732" s="389"/>
      <c r="E732" s="307"/>
      <c r="F732" s="308"/>
      <c r="G732" s="309"/>
      <c r="H732" s="389"/>
      <c r="I732" s="307"/>
      <c r="J732" s="308"/>
      <c r="K732" s="309"/>
      <c r="L732" s="389"/>
      <c r="M732" s="307"/>
      <c r="N732" s="308"/>
      <c r="O732" s="309"/>
      <c r="P732" s="389"/>
      <c r="Q732" s="192"/>
      <c r="R732" s="149"/>
      <c r="S732" s="392"/>
      <c r="T732" s="393"/>
      <c r="U732" s="192"/>
      <c r="V732" s="149"/>
      <c r="W732" s="392"/>
      <c r="X732" s="393"/>
      <c r="Y732" s="192"/>
      <c r="Z732" s="149"/>
      <c r="AA732" s="392"/>
      <c r="AB732" s="393"/>
      <c r="AC732" s="192"/>
      <c r="AD732" s="149"/>
      <c r="AE732" s="392"/>
      <c r="AF732" s="393"/>
      <c r="AG732" s="143"/>
      <c r="AH732" s="143"/>
      <c r="AI732" s="143"/>
      <c r="AJ732" s="143"/>
      <c r="AK732" s="389"/>
      <c r="AL732" s="389"/>
      <c r="AM732" s="389"/>
    </row>
    <row r="733">
      <c r="A733" s="307"/>
      <c r="B733" s="308"/>
      <c r="C733" s="309"/>
      <c r="D733" s="389"/>
      <c r="E733" s="307"/>
      <c r="F733" s="308"/>
      <c r="G733" s="309"/>
      <c r="H733" s="389"/>
      <c r="I733" s="307"/>
      <c r="J733" s="308"/>
      <c r="K733" s="309"/>
      <c r="L733" s="389"/>
      <c r="M733" s="307"/>
      <c r="N733" s="308"/>
      <c r="O733" s="309"/>
      <c r="P733" s="389"/>
      <c r="Q733" s="192"/>
      <c r="R733" s="149"/>
      <c r="S733" s="392"/>
      <c r="T733" s="393"/>
      <c r="U733" s="192"/>
      <c r="V733" s="149"/>
      <c r="W733" s="392"/>
      <c r="X733" s="393"/>
      <c r="Y733" s="192"/>
      <c r="Z733" s="149"/>
      <c r="AA733" s="392"/>
      <c r="AB733" s="393"/>
      <c r="AC733" s="192"/>
      <c r="AD733" s="149"/>
      <c r="AE733" s="392"/>
      <c r="AF733" s="393"/>
      <c r="AG733" s="143"/>
      <c r="AH733" s="143"/>
      <c r="AI733" s="143"/>
      <c r="AJ733" s="143"/>
      <c r="AK733" s="389"/>
      <c r="AL733" s="389"/>
      <c r="AM733" s="389"/>
    </row>
    <row r="734">
      <c r="A734" s="307"/>
      <c r="B734" s="308"/>
      <c r="C734" s="309"/>
      <c r="D734" s="389"/>
      <c r="E734" s="307"/>
      <c r="F734" s="308"/>
      <c r="G734" s="309"/>
      <c r="H734" s="389"/>
      <c r="I734" s="307"/>
      <c r="J734" s="308"/>
      <c r="K734" s="309"/>
      <c r="L734" s="389"/>
      <c r="M734" s="307"/>
      <c r="N734" s="308"/>
      <c r="O734" s="309"/>
      <c r="P734" s="389"/>
      <c r="Q734" s="192"/>
      <c r="R734" s="149"/>
      <c r="S734" s="392"/>
      <c r="T734" s="393"/>
      <c r="U734" s="192"/>
      <c r="V734" s="149"/>
      <c r="W734" s="392"/>
      <c r="X734" s="393"/>
      <c r="Y734" s="192"/>
      <c r="Z734" s="149"/>
      <c r="AA734" s="392"/>
      <c r="AB734" s="393"/>
      <c r="AC734" s="192"/>
      <c r="AD734" s="149"/>
      <c r="AE734" s="392"/>
      <c r="AF734" s="393"/>
      <c r="AG734" s="143"/>
      <c r="AH734" s="143"/>
      <c r="AI734" s="143"/>
      <c r="AJ734" s="143"/>
      <c r="AK734" s="389"/>
      <c r="AL734" s="389"/>
      <c r="AM734" s="389"/>
    </row>
    <row r="735">
      <c r="A735" s="307"/>
      <c r="B735" s="308"/>
      <c r="C735" s="309"/>
      <c r="D735" s="389"/>
      <c r="E735" s="307"/>
      <c r="F735" s="308"/>
      <c r="G735" s="309"/>
      <c r="H735" s="389"/>
      <c r="I735" s="307"/>
      <c r="J735" s="308"/>
      <c r="K735" s="309"/>
      <c r="L735" s="389"/>
      <c r="M735" s="307"/>
      <c r="N735" s="308"/>
      <c r="O735" s="309"/>
      <c r="P735" s="389"/>
      <c r="Q735" s="192"/>
      <c r="R735" s="149"/>
      <c r="S735" s="392"/>
      <c r="T735" s="393"/>
      <c r="U735" s="192"/>
      <c r="V735" s="149"/>
      <c r="W735" s="392"/>
      <c r="X735" s="393"/>
      <c r="Y735" s="192"/>
      <c r="Z735" s="149"/>
      <c r="AA735" s="392"/>
      <c r="AB735" s="393"/>
      <c r="AC735" s="192"/>
      <c r="AD735" s="149"/>
      <c r="AE735" s="392"/>
      <c r="AF735" s="393"/>
      <c r="AG735" s="143"/>
      <c r="AH735" s="143"/>
      <c r="AI735" s="143"/>
      <c r="AJ735" s="143"/>
      <c r="AK735" s="389"/>
      <c r="AL735" s="389"/>
      <c r="AM735" s="389"/>
    </row>
    <row r="736">
      <c r="A736" s="307"/>
      <c r="B736" s="308"/>
      <c r="C736" s="309"/>
      <c r="D736" s="389"/>
      <c r="E736" s="307"/>
      <c r="F736" s="308"/>
      <c r="G736" s="309"/>
      <c r="H736" s="389"/>
      <c r="I736" s="307"/>
      <c r="J736" s="308"/>
      <c r="K736" s="309"/>
      <c r="L736" s="389"/>
      <c r="M736" s="307"/>
      <c r="N736" s="308"/>
      <c r="O736" s="309"/>
      <c r="P736" s="389"/>
      <c r="Q736" s="192"/>
      <c r="R736" s="149"/>
      <c r="S736" s="392"/>
      <c r="T736" s="393"/>
      <c r="U736" s="192"/>
      <c r="V736" s="149"/>
      <c r="W736" s="392"/>
      <c r="X736" s="393"/>
      <c r="Y736" s="192"/>
      <c r="Z736" s="149"/>
      <c r="AA736" s="392"/>
      <c r="AB736" s="393"/>
      <c r="AC736" s="192"/>
      <c r="AD736" s="149"/>
      <c r="AE736" s="392"/>
      <c r="AF736" s="393"/>
      <c r="AG736" s="143"/>
      <c r="AH736" s="143"/>
      <c r="AI736" s="143"/>
      <c r="AJ736" s="143"/>
      <c r="AK736" s="389"/>
      <c r="AL736" s="389"/>
      <c r="AM736" s="389"/>
    </row>
    <row r="737">
      <c r="A737" s="307"/>
      <c r="B737" s="308"/>
      <c r="C737" s="309"/>
      <c r="D737" s="389"/>
      <c r="E737" s="307"/>
      <c r="F737" s="308"/>
      <c r="G737" s="309"/>
      <c r="H737" s="389"/>
      <c r="I737" s="307"/>
      <c r="J737" s="308"/>
      <c r="K737" s="309"/>
      <c r="L737" s="389"/>
      <c r="M737" s="307"/>
      <c r="N737" s="308"/>
      <c r="O737" s="309"/>
      <c r="P737" s="389"/>
      <c r="Q737" s="192"/>
      <c r="R737" s="149"/>
      <c r="S737" s="392"/>
      <c r="T737" s="393"/>
      <c r="U737" s="192"/>
      <c r="V737" s="149"/>
      <c r="W737" s="392"/>
      <c r="X737" s="393"/>
      <c r="Y737" s="192"/>
      <c r="Z737" s="149"/>
      <c r="AA737" s="392"/>
      <c r="AB737" s="393"/>
      <c r="AC737" s="192"/>
      <c r="AD737" s="149"/>
      <c r="AE737" s="392"/>
      <c r="AF737" s="393"/>
      <c r="AG737" s="143"/>
      <c r="AH737" s="143"/>
      <c r="AI737" s="143"/>
      <c r="AJ737" s="143"/>
      <c r="AK737" s="389"/>
      <c r="AL737" s="389"/>
      <c r="AM737" s="389"/>
    </row>
    <row r="738">
      <c r="A738" s="307"/>
      <c r="B738" s="308"/>
      <c r="C738" s="309"/>
      <c r="D738" s="389"/>
      <c r="E738" s="307"/>
      <c r="F738" s="308"/>
      <c r="G738" s="309"/>
      <c r="H738" s="389"/>
      <c r="I738" s="307"/>
      <c r="J738" s="308"/>
      <c r="K738" s="309"/>
      <c r="L738" s="389"/>
      <c r="M738" s="307"/>
      <c r="N738" s="308"/>
      <c r="O738" s="309"/>
      <c r="P738" s="389"/>
      <c r="Q738" s="192"/>
      <c r="R738" s="149"/>
      <c r="S738" s="392"/>
      <c r="T738" s="393"/>
      <c r="U738" s="192"/>
      <c r="V738" s="149"/>
      <c r="W738" s="392"/>
      <c r="X738" s="393"/>
      <c r="Y738" s="192"/>
      <c r="Z738" s="149"/>
      <c r="AA738" s="392"/>
      <c r="AB738" s="393"/>
      <c r="AC738" s="192"/>
      <c r="AD738" s="149"/>
      <c r="AE738" s="392"/>
      <c r="AF738" s="393"/>
      <c r="AG738" s="143"/>
      <c r="AH738" s="143"/>
      <c r="AI738" s="143"/>
      <c r="AJ738" s="143"/>
      <c r="AK738" s="389"/>
      <c r="AL738" s="389"/>
      <c r="AM738" s="389"/>
    </row>
    <row r="739">
      <c r="A739" s="307"/>
      <c r="B739" s="308"/>
      <c r="C739" s="309"/>
      <c r="D739" s="389"/>
      <c r="E739" s="307"/>
      <c r="F739" s="308"/>
      <c r="G739" s="309"/>
      <c r="H739" s="389"/>
      <c r="I739" s="307"/>
      <c r="J739" s="308"/>
      <c r="K739" s="309"/>
      <c r="L739" s="389"/>
      <c r="M739" s="307"/>
      <c r="N739" s="308"/>
      <c r="O739" s="309"/>
      <c r="P739" s="389"/>
      <c r="Q739" s="192"/>
      <c r="R739" s="149"/>
      <c r="S739" s="392"/>
      <c r="T739" s="393"/>
      <c r="U739" s="192"/>
      <c r="V739" s="149"/>
      <c r="W739" s="392"/>
      <c r="X739" s="393"/>
      <c r="Y739" s="192"/>
      <c r="Z739" s="149"/>
      <c r="AA739" s="392"/>
      <c r="AB739" s="393"/>
      <c r="AC739" s="192"/>
      <c r="AD739" s="149"/>
      <c r="AE739" s="392"/>
      <c r="AF739" s="393"/>
      <c r="AG739" s="143"/>
      <c r="AH739" s="143"/>
      <c r="AI739" s="143"/>
      <c r="AJ739" s="143"/>
      <c r="AK739" s="389"/>
      <c r="AL739" s="389"/>
      <c r="AM739" s="389"/>
    </row>
    <row r="740">
      <c r="A740" s="307"/>
      <c r="B740" s="308"/>
      <c r="C740" s="309"/>
      <c r="D740" s="389"/>
      <c r="E740" s="307"/>
      <c r="F740" s="308"/>
      <c r="G740" s="309"/>
      <c r="H740" s="389"/>
      <c r="I740" s="307"/>
      <c r="J740" s="308"/>
      <c r="K740" s="309"/>
      <c r="L740" s="389"/>
      <c r="M740" s="307"/>
      <c r="N740" s="308"/>
      <c r="O740" s="309"/>
      <c r="P740" s="389"/>
      <c r="Q740" s="192"/>
      <c r="R740" s="149"/>
      <c r="S740" s="392"/>
      <c r="T740" s="393"/>
      <c r="U740" s="192"/>
      <c r="V740" s="149"/>
      <c r="W740" s="392"/>
      <c r="X740" s="393"/>
      <c r="Y740" s="192"/>
      <c r="Z740" s="149"/>
      <c r="AA740" s="392"/>
      <c r="AB740" s="393"/>
      <c r="AC740" s="192"/>
      <c r="AD740" s="149"/>
      <c r="AE740" s="392"/>
      <c r="AF740" s="393"/>
      <c r="AG740" s="143"/>
      <c r="AH740" s="143"/>
      <c r="AI740" s="143"/>
      <c r="AJ740" s="143"/>
      <c r="AK740" s="389"/>
      <c r="AL740" s="389"/>
      <c r="AM740" s="389"/>
    </row>
    <row r="741">
      <c r="A741" s="307"/>
      <c r="B741" s="308"/>
      <c r="C741" s="309"/>
      <c r="D741" s="389"/>
      <c r="E741" s="307"/>
      <c r="F741" s="308"/>
      <c r="G741" s="309"/>
      <c r="H741" s="389"/>
      <c r="I741" s="307"/>
      <c r="J741" s="308"/>
      <c r="K741" s="309"/>
      <c r="L741" s="389"/>
      <c r="M741" s="307"/>
      <c r="N741" s="308"/>
      <c r="O741" s="309"/>
      <c r="P741" s="389"/>
      <c r="Q741" s="192"/>
      <c r="R741" s="149"/>
      <c r="S741" s="392"/>
      <c r="T741" s="393"/>
      <c r="U741" s="192"/>
      <c r="V741" s="149"/>
      <c r="W741" s="392"/>
      <c r="X741" s="393"/>
      <c r="Y741" s="192"/>
      <c r="Z741" s="149"/>
      <c r="AA741" s="392"/>
      <c r="AB741" s="393"/>
      <c r="AC741" s="192"/>
      <c r="AD741" s="149"/>
      <c r="AE741" s="392"/>
      <c r="AF741" s="393"/>
      <c r="AG741" s="143"/>
      <c r="AH741" s="143"/>
      <c r="AI741" s="143"/>
      <c r="AJ741" s="143"/>
      <c r="AK741" s="389"/>
      <c r="AL741" s="389"/>
      <c r="AM741" s="389"/>
    </row>
    <row r="742">
      <c r="A742" s="307"/>
      <c r="B742" s="308"/>
      <c r="C742" s="309"/>
      <c r="D742" s="389"/>
      <c r="E742" s="307"/>
      <c r="F742" s="308"/>
      <c r="G742" s="309"/>
      <c r="H742" s="389"/>
      <c r="I742" s="307"/>
      <c r="J742" s="308"/>
      <c r="K742" s="309"/>
      <c r="L742" s="389"/>
      <c r="M742" s="307"/>
      <c r="N742" s="308"/>
      <c r="O742" s="309"/>
      <c r="P742" s="389"/>
      <c r="Q742" s="192"/>
      <c r="R742" s="149"/>
      <c r="S742" s="392"/>
      <c r="T742" s="393"/>
      <c r="U742" s="192"/>
      <c r="V742" s="149"/>
      <c r="W742" s="392"/>
      <c r="X742" s="393"/>
      <c r="Y742" s="192"/>
      <c r="Z742" s="149"/>
      <c r="AA742" s="392"/>
      <c r="AB742" s="393"/>
      <c r="AC742" s="192"/>
      <c r="AD742" s="149"/>
      <c r="AE742" s="392"/>
      <c r="AF742" s="393"/>
      <c r="AG742" s="143"/>
      <c r="AH742" s="143"/>
      <c r="AI742" s="143"/>
      <c r="AJ742" s="143"/>
      <c r="AK742" s="389"/>
      <c r="AL742" s="389"/>
      <c r="AM742" s="389"/>
    </row>
    <row r="743">
      <c r="A743" s="307"/>
      <c r="B743" s="308"/>
      <c r="C743" s="309"/>
      <c r="D743" s="389"/>
      <c r="E743" s="307"/>
      <c r="F743" s="308"/>
      <c r="G743" s="309"/>
      <c r="H743" s="389"/>
      <c r="I743" s="307"/>
      <c r="J743" s="308"/>
      <c r="K743" s="309"/>
      <c r="L743" s="389"/>
      <c r="M743" s="307"/>
      <c r="N743" s="308"/>
      <c r="O743" s="309"/>
      <c r="P743" s="389"/>
      <c r="Q743" s="192"/>
      <c r="R743" s="149"/>
      <c r="S743" s="392"/>
      <c r="T743" s="393"/>
      <c r="U743" s="192"/>
      <c r="V743" s="149"/>
      <c r="W743" s="392"/>
      <c r="X743" s="393"/>
      <c r="Y743" s="192"/>
      <c r="Z743" s="149"/>
      <c r="AA743" s="392"/>
      <c r="AB743" s="393"/>
      <c r="AC743" s="192"/>
      <c r="AD743" s="149"/>
      <c r="AE743" s="392"/>
      <c r="AF743" s="393"/>
      <c r="AG743" s="143"/>
      <c r="AH743" s="143"/>
      <c r="AI743" s="143"/>
      <c r="AJ743" s="143"/>
      <c r="AK743" s="389"/>
      <c r="AL743" s="389"/>
      <c r="AM743" s="389"/>
    </row>
    <row r="744">
      <c r="A744" s="307"/>
      <c r="B744" s="308"/>
      <c r="C744" s="309"/>
      <c r="D744" s="389"/>
      <c r="E744" s="307"/>
      <c r="F744" s="308"/>
      <c r="G744" s="309"/>
      <c r="H744" s="389"/>
      <c r="I744" s="307"/>
      <c r="J744" s="308"/>
      <c r="K744" s="309"/>
      <c r="L744" s="389"/>
      <c r="M744" s="307"/>
      <c r="N744" s="308"/>
      <c r="O744" s="309"/>
      <c r="P744" s="389"/>
      <c r="Q744" s="192"/>
      <c r="R744" s="149"/>
      <c r="S744" s="392"/>
      <c r="T744" s="393"/>
      <c r="U744" s="192"/>
      <c r="V744" s="149"/>
      <c r="W744" s="392"/>
      <c r="X744" s="393"/>
      <c r="Y744" s="192"/>
      <c r="Z744" s="149"/>
      <c r="AA744" s="392"/>
      <c r="AB744" s="393"/>
      <c r="AC744" s="192"/>
      <c r="AD744" s="149"/>
      <c r="AE744" s="392"/>
      <c r="AF744" s="393"/>
      <c r="AG744" s="143"/>
      <c r="AH744" s="143"/>
      <c r="AI744" s="143"/>
      <c r="AJ744" s="143"/>
      <c r="AK744" s="389"/>
      <c r="AL744" s="389"/>
      <c r="AM744" s="389"/>
    </row>
    <row r="745">
      <c r="A745" s="307"/>
      <c r="B745" s="308"/>
      <c r="C745" s="309"/>
      <c r="D745" s="389"/>
      <c r="E745" s="307"/>
      <c r="F745" s="308"/>
      <c r="G745" s="309"/>
      <c r="H745" s="389"/>
      <c r="I745" s="307"/>
      <c r="J745" s="308"/>
      <c r="K745" s="309"/>
      <c r="L745" s="389"/>
      <c r="M745" s="307"/>
      <c r="N745" s="308"/>
      <c r="O745" s="309"/>
      <c r="P745" s="389"/>
      <c r="Q745" s="192"/>
      <c r="R745" s="149"/>
      <c r="S745" s="392"/>
      <c r="T745" s="393"/>
      <c r="U745" s="192"/>
      <c r="V745" s="149"/>
      <c r="W745" s="392"/>
      <c r="X745" s="393"/>
      <c r="Y745" s="192"/>
      <c r="Z745" s="149"/>
      <c r="AA745" s="392"/>
      <c r="AB745" s="393"/>
      <c r="AC745" s="192"/>
      <c r="AD745" s="149"/>
      <c r="AE745" s="392"/>
      <c r="AF745" s="393"/>
      <c r="AG745" s="143"/>
      <c r="AH745" s="143"/>
      <c r="AI745" s="143"/>
      <c r="AJ745" s="143"/>
      <c r="AK745" s="389"/>
      <c r="AL745" s="389"/>
      <c r="AM745" s="389"/>
    </row>
    <row r="746">
      <c r="A746" s="307"/>
      <c r="B746" s="308"/>
      <c r="C746" s="309"/>
      <c r="D746" s="389"/>
      <c r="E746" s="307"/>
      <c r="F746" s="308"/>
      <c r="G746" s="309"/>
      <c r="H746" s="389"/>
      <c r="I746" s="307"/>
      <c r="J746" s="308"/>
      <c r="K746" s="309"/>
      <c r="L746" s="389"/>
      <c r="M746" s="307"/>
      <c r="N746" s="308"/>
      <c r="O746" s="309"/>
      <c r="P746" s="389"/>
      <c r="Q746" s="192"/>
      <c r="R746" s="149"/>
      <c r="S746" s="392"/>
      <c r="T746" s="393"/>
      <c r="U746" s="192"/>
      <c r="V746" s="149"/>
      <c r="W746" s="392"/>
      <c r="X746" s="393"/>
      <c r="Y746" s="192"/>
      <c r="Z746" s="149"/>
      <c r="AA746" s="392"/>
      <c r="AB746" s="393"/>
      <c r="AC746" s="192"/>
      <c r="AD746" s="149"/>
      <c r="AE746" s="392"/>
      <c r="AF746" s="393"/>
      <c r="AG746" s="143"/>
      <c r="AH746" s="143"/>
      <c r="AI746" s="143"/>
      <c r="AJ746" s="143"/>
      <c r="AK746" s="389"/>
      <c r="AL746" s="389"/>
      <c r="AM746" s="389"/>
    </row>
    <row r="747">
      <c r="A747" s="307"/>
      <c r="B747" s="308"/>
      <c r="C747" s="309"/>
      <c r="D747" s="389"/>
      <c r="E747" s="307"/>
      <c r="F747" s="308"/>
      <c r="G747" s="309"/>
      <c r="H747" s="389"/>
      <c r="I747" s="307"/>
      <c r="J747" s="308"/>
      <c r="K747" s="309"/>
      <c r="L747" s="389"/>
      <c r="M747" s="307"/>
      <c r="N747" s="308"/>
      <c r="O747" s="309"/>
      <c r="P747" s="389"/>
      <c r="Q747" s="192"/>
      <c r="R747" s="149"/>
      <c r="S747" s="392"/>
      <c r="T747" s="393"/>
      <c r="U747" s="192"/>
      <c r="V747" s="149"/>
      <c r="W747" s="392"/>
      <c r="X747" s="393"/>
      <c r="Y747" s="192"/>
      <c r="Z747" s="149"/>
      <c r="AA747" s="392"/>
      <c r="AB747" s="393"/>
      <c r="AC747" s="192"/>
      <c r="AD747" s="149"/>
      <c r="AE747" s="392"/>
      <c r="AF747" s="393"/>
      <c r="AG747" s="143"/>
      <c r="AH747" s="143"/>
      <c r="AI747" s="143"/>
      <c r="AJ747" s="143"/>
      <c r="AK747" s="389"/>
      <c r="AL747" s="389"/>
      <c r="AM747" s="389"/>
    </row>
    <row r="748">
      <c r="A748" s="307"/>
      <c r="B748" s="308"/>
      <c r="C748" s="309"/>
      <c r="D748" s="389"/>
      <c r="E748" s="307"/>
      <c r="F748" s="308"/>
      <c r="G748" s="309"/>
      <c r="H748" s="389"/>
      <c r="I748" s="307"/>
      <c r="J748" s="308"/>
      <c r="K748" s="309"/>
      <c r="L748" s="389"/>
      <c r="M748" s="307"/>
      <c r="N748" s="308"/>
      <c r="O748" s="309"/>
      <c r="P748" s="389"/>
      <c r="Q748" s="192"/>
      <c r="R748" s="149"/>
      <c r="S748" s="392"/>
      <c r="T748" s="393"/>
      <c r="U748" s="192"/>
      <c r="V748" s="149"/>
      <c r="W748" s="392"/>
      <c r="X748" s="393"/>
      <c r="Y748" s="192"/>
      <c r="Z748" s="149"/>
      <c r="AA748" s="392"/>
      <c r="AB748" s="393"/>
      <c r="AC748" s="192"/>
      <c r="AD748" s="149"/>
      <c r="AE748" s="392"/>
      <c r="AF748" s="393"/>
      <c r="AG748" s="143"/>
      <c r="AH748" s="143"/>
      <c r="AI748" s="143"/>
      <c r="AJ748" s="143"/>
      <c r="AK748" s="389"/>
      <c r="AL748" s="389"/>
      <c r="AM748" s="389"/>
    </row>
    <row r="749">
      <c r="A749" s="307"/>
      <c r="B749" s="308"/>
      <c r="C749" s="309"/>
      <c r="D749" s="389"/>
      <c r="E749" s="307"/>
      <c r="F749" s="308"/>
      <c r="G749" s="309"/>
      <c r="H749" s="389"/>
      <c r="I749" s="307"/>
      <c r="J749" s="308"/>
      <c r="K749" s="309"/>
      <c r="L749" s="389"/>
      <c r="M749" s="307"/>
      <c r="N749" s="308"/>
      <c r="O749" s="309"/>
      <c r="P749" s="389"/>
      <c r="Q749" s="192"/>
      <c r="R749" s="149"/>
      <c r="S749" s="392"/>
      <c r="T749" s="393"/>
      <c r="U749" s="192"/>
      <c r="V749" s="149"/>
      <c r="W749" s="392"/>
      <c r="X749" s="393"/>
      <c r="Y749" s="192"/>
      <c r="Z749" s="149"/>
      <c r="AA749" s="392"/>
      <c r="AB749" s="393"/>
      <c r="AC749" s="192"/>
      <c r="AD749" s="149"/>
      <c r="AE749" s="392"/>
      <c r="AF749" s="393"/>
      <c r="AG749" s="143"/>
      <c r="AH749" s="143"/>
      <c r="AI749" s="143"/>
      <c r="AJ749" s="143"/>
      <c r="AK749" s="389"/>
      <c r="AL749" s="389"/>
      <c r="AM749" s="389"/>
    </row>
    <row r="750">
      <c r="A750" s="307"/>
      <c r="B750" s="308"/>
      <c r="C750" s="309"/>
      <c r="D750" s="389"/>
      <c r="E750" s="307"/>
      <c r="F750" s="308"/>
      <c r="G750" s="309"/>
      <c r="H750" s="389"/>
      <c r="I750" s="307"/>
      <c r="J750" s="308"/>
      <c r="K750" s="309"/>
      <c r="L750" s="389"/>
      <c r="M750" s="307"/>
      <c r="N750" s="308"/>
      <c r="O750" s="309"/>
      <c r="P750" s="389"/>
      <c r="Q750" s="192"/>
      <c r="R750" s="149"/>
      <c r="S750" s="392"/>
      <c r="T750" s="393"/>
      <c r="U750" s="192"/>
      <c r="V750" s="149"/>
      <c r="W750" s="392"/>
      <c r="X750" s="393"/>
      <c r="Y750" s="192"/>
      <c r="Z750" s="149"/>
      <c r="AA750" s="392"/>
      <c r="AB750" s="393"/>
      <c r="AC750" s="192"/>
      <c r="AD750" s="149"/>
      <c r="AE750" s="392"/>
      <c r="AF750" s="393"/>
      <c r="AG750" s="143"/>
      <c r="AH750" s="143"/>
      <c r="AI750" s="143"/>
      <c r="AJ750" s="143"/>
      <c r="AK750" s="389"/>
      <c r="AL750" s="389"/>
      <c r="AM750" s="389"/>
    </row>
    <row r="751">
      <c r="A751" s="307"/>
      <c r="B751" s="308"/>
      <c r="C751" s="309"/>
      <c r="D751" s="389"/>
      <c r="E751" s="307"/>
      <c r="F751" s="308"/>
      <c r="G751" s="309"/>
      <c r="H751" s="389"/>
      <c r="I751" s="307"/>
      <c r="J751" s="308"/>
      <c r="K751" s="309"/>
      <c r="L751" s="389"/>
      <c r="M751" s="307"/>
      <c r="N751" s="308"/>
      <c r="O751" s="309"/>
      <c r="P751" s="389"/>
      <c r="Q751" s="192"/>
      <c r="R751" s="149"/>
      <c r="S751" s="392"/>
      <c r="T751" s="393"/>
      <c r="U751" s="192"/>
      <c r="V751" s="149"/>
      <c r="W751" s="392"/>
      <c r="X751" s="393"/>
      <c r="Y751" s="192"/>
      <c r="Z751" s="149"/>
      <c r="AA751" s="392"/>
      <c r="AB751" s="393"/>
      <c r="AC751" s="192"/>
      <c r="AD751" s="149"/>
      <c r="AE751" s="392"/>
      <c r="AF751" s="393"/>
      <c r="AG751" s="143"/>
      <c r="AH751" s="143"/>
      <c r="AI751" s="143"/>
      <c r="AJ751" s="143"/>
      <c r="AK751" s="389"/>
      <c r="AL751" s="389"/>
      <c r="AM751" s="389"/>
    </row>
    <row r="752">
      <c r="A752" s="307"/>
      <c r="B752" s="308"/>
      <c r="C752" s="309"/>
      <c r="D752" s="389"/>
      <c r="E752" s="307"/>
      <c r="F752" s="308"/>
      <c r="G752" s="309"/>
      <c r="H752" s="389"/>
      <c r="I752" s="307"/>
      <c r="J752" s="308"/>
      <c r="K752" s="309"/>
      <c r="L752" s="389"/>
      <c r="M752" s="307"/>
      <c r="N752" s="308"/>
      <c r="O752" s="309"/>
      <c r="P752" s="389"/>
      <c r="Q752" s="192"/>
      <c r="R752" s="149"/>
      <c r="S752" s="392"/>
      <c r="T752" s="393"/>
      <c r="U752" s="192"/>
      <c r="V752" s="149"/>
      <c r="W752" s="392"/>
      <c r="X752" s="393"/>
      <c r="Y752" s="192"/>
      <c r="Z752" s="149"/>
      <c r="AA752" s="392"/>
      <c r="AB752" s="393"/>
      <c r="AC752" s="192"/>
      <c r="AD752" s="149"/>
      <c r="AE752" s="392"/>
      <c r="AF752" s="393"/>
      <c r="AG752" s="143"/>
      <c r="AH752" s="143"/>
      <c r="AI752" s="143"/>
      <c r="AJ752" s="143"/>
      <c r="AK752" s="389"/>
      <c r="AL752" s="389"/>
      <c r="AM752" s="389"/>
    </row>
    <row r="753">
      <c r="A753" s="307"/>
      <c r="B753" s="308"/>
      <c r="C753" s="309"/>
      <c r="D753" s="389"/>
      <c r="E753" s="307"/>
      <c r="F753" s="308"/>
      <c r="G753" s="309"/>
      <c r="H753" s="389"/>
      <c r="I753" s="307"/>
      <c r="J753" s="308"/>
      <c r="K753" s="309"/>
      <c r="L753" s="389"/>
      <c r="M753" s="307"/>
      <c r="N753" s="308"/>
      <c r="O753" s="309"/>
      <c r="P753" s="389"/>
      <c r="Q753" s="192"/>
      <c r="R753" s="149"/>
      <c r="S753" s="392"/>
      <c r="T753" s="393"/>
      <c r="U753" s="192"/>
      <c r="V753" s="149"/>
      <c r="W753" s="392"/>
      <c r="X753" s="393"/>
      <c r="Y753" s="192"/>
      <c r="Z753" s="149"/>
      <c r="AA753" s="392"/>
      <c r="AB753" s="393"/>
      <c r="AC753" s="192"/>
      <c r="AD753" s="149"/>
      <c r="AE753" s="392"/>
      <c r="AF753" s="393"/>
      <c r="AG753" s="143"/>
      <c r="AH753" s="143"/>
      <c r="AI753" s="143"/>
      <c r="AJ753" s="143"/>
      <c r="AK753" s="389"/>
      <c r="AL753" s="389"/>
      <c r="AM753" s="389"/>
    </row>
    <row r="754">
      <c r="A754" s="307"/>
      <c r="B754" s="308"/>
      <c r="C754" s="309"/>
      <c r="D754" s="389"/>
      <c r="E754" s="307"/>
      <c r="F754" s="308"/>
      <c r="G754" s="309"/>
      <c r="H754" s="389"/>
      <c r="I754" s="307"/>
      <c r="J754" s="308"/>
      <c r="K754" s="309"/>
      <c r="L754" s="389"/>
      <c r="M754" s="307"/>
      <c r="N754" s="308"/>
      <c r="O754" s="309"/>
      <c r="P754" s="389"/>
      <c r="Q754" s="192"/>
      <c r="R754" s="149"/>
      <c r="S754" s="392"/>
      <c r="T754" s="393"/>
      <c r="U754" s="192"/>
      <c r="V754" s="149"/>
      <c r="W754" s="392"/>
      <c r="X754" s="393"/>
      <c r="Y754" s="192"/>
      <c r="Z754" s="149"/>
      <c r="AA754" s="392"/>
      <c r="AB754" s="393"/>
      <c r="AC754" s="192"/>
      <c r="AD754" s="149"/>
      <c r="AE754" s="392"/>
      <c r="AF754" s="393"/>
      <c r="AG754" s="143"/>
      <c r="AH754" s="143"/>
      <c r="AI754" s="143"/>
      <c r="AJ754" s="143"/>
      <c r="AK754" s="389"/>
      <c r="AL754" s="389"/>
      <c r="AM754" s="389"/>
    </row>
    <row r="755">
      <c r="A755" s="307"/>
      <c r="B755" s="308"/>
      <c r="C755" s="309"/>
      <c r="D755" s="389"/>
      <c r="E755" s="307"/>
      <c r="F755" s="308"/>
      <c r="G755" s="309"/>
      <c r="H755" s="389"/>
      <c r="I755" s="307"/>
      <c r="J755" s="308"/>
      <c r="K755" s="309"/>
      <c r="L755" s="389"/>
      <c r="M755" s="307"/>
      <c r="N755" s="308"/>
      <c r="O755" s="309"/>
      <c r="P755" s="389"/>
      <c r="Q755" s="192"/>
      <c r="R755" s="149"/>
      <c r="S755" s="392"/>
      <c r="T755" s="393"/>
      <c r="U755" s="192"/>
      <c r="V755" s="149"/>
      <c r="W755" s="392"/>
      <c r="X755" s="393"/>
      <c r="Y755" s="192"/>
      <c r="Z755" s="149"/>
      <c r="AA755" s="392"/>
      <c r="AB755" s="393"/>
      <c r="AC755" s="192"/>
      <c r="AD755" s="149"/>
      <c r="AE755" s="392"/>
      <c r="AF755" s="393"/>
      <c r="AG755" s="143"/>
      <c r="AH755" s="143"/>
      <c r="AI755" s="143"/>
      <c r="AJ755" s="143"/>
      <c r="AK755" s="389"/>
      <c r="AL755" s="389"/>
      <c r="AM755" s="389"/>
    </row>
    <row r="756">
      <c r="A756" s="307"/>
      <c r="B756" s="308"/>
      <c r="C756" s="309"/>
      <c r="D756" s="389"/>
      <c r="E756" s="307"/>
      <c r="F756" s="308"/>
      <c r="G756" s="309"/>
      <c r="H756" s="389"/>
      <c r="I756" s="307"/>
      <c r="J756" s="308"/>
      <c r="K756" s="309"/>
      <c r="L756" s="389"/>
      <c r="M756" s="307"/>
      <c r="N756" s="308"/>
      <c r="O756" s="309"/>
      <c r="P756" s="389"/>
      <c r="Q756" s="192"/>
      <c r="R756" s="149"/>
      <c r="S756" s="392"/>
      <c r="T756" s="393"/>
      <c r="U756" s="192"/>
      <c r="V756" s="149"/>
      <c r="W756" s="392"/>
      <c r="X756" s="393"/>
      <c r="Y756" s="192"/>
      <c r="Z756" s="149"/>
      <c r="AA756" s="392"/>
      <c r="AB756" s="393"/>
      <c r="AC756" s="192"/>
      <c r="AD756" s="149"/>
      <c r="AE756" s="392"/>
      <c r="AF756" s="393"/>
      <c r="AG756" s="143"/>
      <c r="AH756" s="143"/>
      <c r="AI756" s="143"/>
      <c r="AJ756" s="143"/>
      <c r="AK756" s="389"/>
      <c r="AL756" s="389"/>
      <c r="AM756" s="389"/>
    </row>
    <row r="757">
      <c r="A757" s="307"/>
      <c r="B757" s="308"/>
      <c r="C757" s="309"/>
      <c r="D757" s="389"/>
      <c r="E757" s="307"/>
      <c r="F757" s="308"/>
      <c r="G757" s="309"/>
      <c r="H757" s="389"/>
      <c r="I757" s="307"/>
      <c r="J757" s="308"/>
      <c r="K757" s="309"/>
      <c r="L757" s="389"/>
      <c r="M757" s="307"/>
      <c r="N757" s="308"/>
      <c r="O757" s="309"/>
      <c r="P757" s="389"/>
      <c r="Q757" s="192"/>
      <c r="R757" s="149"/>
      <c r="S757" s="392"/>
      <c r="T757" s="393"/>
      <c r="U757" s="192"/>
      <c r="V757" s="149"/>
      <c r="W757" s="392"/>
      <c r="X757" s="393"/>
      <c r="Y757" s="192"/>
      <c r="Z757" s="149"/>
      <c r="AA757" s="392"/>
      <c r="AB757" s="393"/>
      <c r="AC757" s="192"/>
      <c r="AD757" s="149"/>
      <c r="AE757" s="392"/>
      <c r="AF757" s="393"/>
      <c r="AG757" s="143"/>
      <c r="AH757" s="143"/>
      <c r="AI757" s="143"/>
      <c r="AJ757" s="143"/>
      <c r="AK757" s="389"/>
      <c r="AL757" s="389"/>
      <c r="AM757" s="389"/>
    </row>
    <row r="758">
      <c r="A758" s="307"/>
      <c r="B758" s="308"/>
      <c r="C758" s="309"/>
      <c r="D758" s="389"/>
      <c r="E758" s="307"/>
      <c r="F758" s="308"/>
      <c r="G758" s="309"/>
      <c r="H758" s="389"/>
      <c r="I758" s="307"/>
      <c r="J758" s="308"/>
      <c r="K758" s="309"/>
      <c r="L758" s="389"/>
      <c r="M758" s="307"/>
      <c r="N758" s="308"/>
      <c r="O758" s="309"/>
      <c r="P758" s="389"/>
      <c r="Q758" s="192"/>
      <c r="R758" s="149"/>
      <c r="S758" s="392"/>
      <c r="T758" s="393"/>
      <c r="U758" s="192"/>
      <c r="V758" s="149"/>
      <c r="W758" s="392"/>
      <c r="X758" s="393"/>
      <c r="Y758" s="192"/>
      <c r="Z758" s="149"/>
      <c r="AA758" s="392"/>
      <c r="AB758" s="393"/>
      <c r="AC758" s="192"/>
      <c r="AD758" s="149"/>
      <c r="AE758" s="392"/>
      <c r="AF758" s="393"/>
      <c r="AG758" s="143"/>
      <c r="AH758" s="143"/>
      <c r="AI758" s="143"/>
      <c r="AJ758" s="143"/>
      <c r="AK758" s="389"/>
      <c r="AL758" s="389"/>
      <c r="AM758" s="389"/>
    </row>
    <row r="759">
      <c r="A759" s="307"/>
      <c r="B759" s="308"/>
      <c r="C759" s="309"/>
      <c r="D759" s="389"/>
      <c r="E759" s="307"/>
      <c r="F759" s="308"/>
      <c r="G759" s="309"/>
      <c r="H759" s="389"/>
      <c r="I759" s="307"/>
      <c r="J759" s="308"/>
      <c r="K759" s="309"/>
      <c r="L759" s="389"/>
      <c r="M759" s="307"/>
      <c r="N759" s="308"/>
      <c r="O759" s="309"/>
      <c r="P759" s="389"/>
      <c r="Q759" s="192"/>
      <c r="R759" s="149"/>
      <c r="S759" s="392"/>
      <c r="T759" s="393"/>
      <c r="U759" s="192"/>
      <c r="V759" s="149"/>
      <c r="W759" s="392"/>
      <c r="X759" s="393"/>
      <c r="Y759" s="192"/>
      <c r="Z759" s="149"/>
      <c r="AA759" s="392"/>
      <c r="AB759" s="393"/>
      <c r="AC759" s="192"/>
      <c r="AD759" s="149"/>
      <c r="AE759" s="392"/>
      <c r="AF759" s="393"/>
      <c r="AG759" s="143"/>
      <c r="AH759" s="143"/>
      <c r="AI759" s="143"/>
      <c r="AJ759" s="143"/>
      <c r="AK759" s="389"/>
      <c r="AL759" s="389"/>
      <c r="AM759" s="389"/>
    </row>
    <row r="760">
      <c r="A760" s="307"/>
      <c r="B760" s="308"/>
      <c r="C760" s="309"/>
      <c r="D760" s="389"/>
      <c r="E760" s="307"/>
      <c r="F760" s="308"/>
      <c r="G760" s="309"/>
      <c r="H760" s="389"/>
      <c r="I760" s="307"/>
      <c r="J760" s="308"/>
      <c r="K760" s="309"/>
      <c r="L760" s="389"/>
      <c r="M760" s="307"/>
      <c r="N760" s="308"/>
      <c r="O760" s="309"/>
      <c r="P760" s="389"/>
      <c r="Q760" s="192"/>
      <c r="R760" s="149"/>
      <c r="S760" s="392"/>
      <c r="T760" s="393"/>
      <c r="U760" s="192"/>
      <c r="V760" s="149"/>
      <c r="W760" s="392"/>
      <c r="X760" s="393"/>
      <c r="Y760" s="192"/>
      <c r="Z760" s="149"/>
      <c r="AA760" s="392"/>
      <c r="AB760" s="393"/>
      <c r="AC760" s="192"/>
      <c r="AD760" s="149"/>
      <c r="AE760" s="392"/>
      <c r="AF760" s="393"/>
      <c r="AG760" s="143"/>
      <c r="AH760" s="143"/>
      <c r="AI760" s="143"/>
      <c r="AJ760" s="143"/>
      <c r="AK760" s="389"/>
      <c r="AL760" s="389"/>
      <c r="AM760" s="389"/>
    </row>
    <row r="761">
      <c r="A761" s="307"/>
      <c r="B761" s="308"/>
      <c r="C761" s="309"/>
      <c r="D761" s="389"/>
      <c r="E761" s="307"/>
      <c r="F761" s="308"/>
      <c r="G761" s="309"/>
      <c r="H761" s="389"/>
      <c r="I761" s="307"/>
      <c r="J761" s="308"/>
      <c r="K761" s="309"/>
      <c r="L761" s="389"/>
      <c r="M761" s="307"/>
      <c r="N761" s="308"/>
      <c r="O761" s="309"/>
      <c r="P761" s="389"/>
      <c r="Q761" s="192"/>
      <c r="R761" s="149"/>
      <c r="S761" s="392"/>
      <c r="T761" s="393"/>
      <c r="U761" s="192"/>
      <c r="V761" s="149"/>
      <c r="W761" s="392"/>
      <c r="X761" s="393"/>
      <c r="Y761" s="192"/>
      <c r="Z761" s="149"/>
      <c r="AA761" s="392"/>
      <c r="AB761" s="393"/>
      <c r="AC761" s="192"/>
      <c r="AD761" s="149"/>
      <c r="AE761" s="392"/>
      <c r="AF761" s="393"/>
      <c r="AG761" s="143"/>
      <c r="AH761" s="143"/>
      <c r="AI761" s="143"/>
      <c r="AJ761" s="143"/>
      <c r="AK761" s="389"/>
      <c r="AL761" s="389"/>
      <c r="AM761" s="389"/>
    </row>
    <row r="762">
      <c r="A762" s="307"/>
      <c r="B762" s="308"/>
      <c r="C762" s="309"/>
      <c r="D762" s="389"/>
      <c r="E762" s="307"/>
      <c r="F762" s="308"/>
      <c r="G762" s="309"/>
      <c r="H762" s="389"/>
      <c r="I762" s="307"/>
      <c r="J762" s="308"/>
      <c r="K762" s="309"/>
      <c r="L762" s="389"/>
      <c r="M762" s="307"/>
      <c r="N762" s="308"/>
      <c r="O762" s="309"/>
      <c r="P762" s="389"/>
      <c r="Q762" s="192"/>
      <c r="R762" s="149"/>
      <c r="S762" s="392"/>
      <c r="T762" s="393"/>
      <c r="U762" s="192"/>
      <c r="V762" s="149"/>
      <c r="W762" s="392"/>
      <c r="X762" s="393"/>
      <c r="Y762" s="192"/>
      <c r="Z762" s="149"/>
      <c r="AA762" s="392"/>
      <c r="AB762" s="393"/>
      <c r="AC762" s="192"/>
      <c r="AD762" s="149"/>
      <c r="AE762" s="392"/>
      <c r="AF762" s="393"/>
      <c r="AG762" s="143"/>
      <c r="AH762" s="143"/>
      <c r="AI762" s="143"/>
      <c r="AJ762" s="143"/>
      <c r="AK762" s="389"/>
      <c r="AL762" s="389"/>
      <c r="AM762" s="389"/>
    </row>
    <row r="763">
      <c r="A763" s="307"/>
      <c r="B763" s="308"/>
      <c r="C763" s="309"/>
      <c r="D763" s="389"/>
      <c r="E763" s="307"/>
      <c r="F763" s="308"/>
      <c r="G763" s="309"/>
      <c r="H763" s="389"/>
      <c r="I763" s="307"/>
      <c r="J763" s="308"/>
      <c r="K763" s="309"/>
      <c r="L763" s="389"/>
      <c r="M763" s="307"/>
      <c r="N763" s="308"/>
      <c r="O763" s="309"/>
      <c r="P763" s="389"/>
      <c r="Q763" s="192"/>
      <c r="R763" s="149"/>
      <c r="S763" s="392"/>
      <c r="T763" s="393"/>
      <c r="U763" s="192"/>
      <c r="V763" s="149"/>
      <c r="W763" s="392"/>
      <c r="X763" s="393"/>
      <c r="Y763" s="192"/>
      <c r="Z763" s="149"/>
      <c r="AA763" s="392"/>
      <c r="AB763" s="393"/>
      <c r="AC763" s="192"/>
      <c r="AD763" s="149"/>
      <c r="AE763" s="392"/>
      <c r="AF763" s="393"/>
      <c r="AG763" s="143"/>
      <c r="AH763" s="143"/>
      <c r="AI763" s="143"/>
      <c r="AJ763" s="143"/>
      <c r="AK763" s="389"/>
      <c r="AL763" s="389"/>
      <c r="AM763" s="389"/>
    </row>
    <row r="764">
      <c r="A764" s="307"/>
      <c r="B764" s="308"/>
      <c r="C764" s="309"/>
      <c r="D764" s="389"/>
      <c r="E764" s="307"/>
      <c r="F764" s="308"/>
      <c r="G764" s="309"/>
      <c r="H764" s="389"/>
      <c r="I764" s="307"/>
      <c r="J764" s="308"/>
      <c r="K764" s="309"/>
      <c r="L764" s="389"/>
      <c r="M764" s="307"/>
      <c r="N764" s="308"/>
      <c r="O764" s="309"/>
      <c r="P764" s="389"/>
      <c r="Q764" s="192"/>
      <c r="R764" s="149"/>
      <c r="S764" s="392"/>
      <c r="T764" s="393"/>
      <c r="U764" s="192"/>
      <c r="V764" s="149"/>
      <c r="W764" s="392"/>
      <c r="X764" s="393"/>
      <c r="Y764" s="192"/>
      <c r="Z764" s="149"/>
      <c r="AA764" s="392"/>
      <c r="AB764" s="393"/>
      <c r="AC764" s="192"/>
      <c r="AD764" s="149"/>
      <c r="AE764" s="392"/>
      <c r="AF764" s="393"/>
      <c r="AG764" s="143"/>
      <c r="AH764" s="143"/>
      <c r="AI764" s="143"/>
      <c r="AJ764" s="143"/>
      <c r="AK764" s="389"/>
      <c r="AL764" s="389"/>
      <c r="AM764" s="389"/>
    </row>
    <row r="765">
      <c r="A765" s="307"/>
      <c r="B765" s="308"/>
      <c r="C765" s="309"/>
      <c r="D765" s="389"/>
      <c r="E765" s="307"/>
      <c r="F765" s="308"/>
      <c r="G765" s="309"/>
      <c r="H765" s="389"/>
      <c r="I765" s="307"/>
      <c r="J765" s="308"/>
      <c r="K765" s="309"/>
      <c r="L765" s="389"/>
      <c r="M765" s="307"/>
      <c r="N765" s="308"/>
      <c r="O765" s="309"/>
      <c r="P765" s="389"/>
      <c r="Q765" s="192"/>
      <c r="R765" s="149"/>
      <c r="S765" s="392"/>
      <c r="T765" s="393"/>
      <c r="U765" s="192"/>
      <c r="V765" s="149"/>
      <c r="W765" s="392"/>
      <c r="X765" s="393"/>
      <c r="Y765" s="192"/>
      <c r="Z765" s="149"/>
      <c r="AA765" s="392"/>
      <c r="AB765" s="393"/>
      <c r="AC765" s="192"/>
      <c r="AD765" s="149"/>
      <c r="AE765" s="392"/>
      <c r="AF765" s="393"/>
      <c r="AG765" s="143"/>
      <c r="AH765" s="143"/>
      <c r="AI765" s="143"/>
      <c r="AJ765" s="143"/>
      <c r="AK765" s="389"/>
      <c r="AL765" s="389"/>
      <c r="AM765" s="389"/>
    </row>
    <row r="766">
      <c r="A766" s="307"/>
      <c r="B766" s="308"/>
      <c r="C766" s="309"/>
      <c r="D766" s="389"/>
      <c r="E766" s="307"/>
      <c r="F766" s="308"/>
      <c r="G766" s="309"/>
      <c r="H766" s="389"/>
      <c r="I766" s="307"/>
      <c r="J766" s="308"/>
      <c r="K766" s="309"/>
      <c r="L766" s="389"/>
      <c r="M766" s="307"/>
      <c r="N766" s="308"/>
      <c r="O766" s="309"/>
      <c r="P766" s="389"/>
      <c r="Q766" s="192"/>
      <c r="R766" s="149"/>
      <c r="S766" s="392"/>
      <c r="T766" s="393"/>
      <c r="U766" s="192"/>
      <c r="V766" s="149"/>
      <c r="W766" s="392"/>
      <c r="X766" s="393"/>
      <c r="Y766" s="192"/>
      <c r="Z766" s="149"/>
      <c r="AA766" s="392"/>
      <c r="AB766" s="393"/>
      <c r="AC766" s="192"/>
      <c r="AD766" s="149"/>
      <c r="AE766" s="392"/>
      <c r="AF766" s="393"/>
      <c r="AG766" s="143"/>
      <c r="AH766" s="143"/>
      <c r="AI766" s="143"/>
      <c r="AJ766" s="143"/>
      <c r="AK766" s="389"/>
      <c r="AL766" s="389"/>
      <c r="AM766" s="389"/>
    </row>
    <row r="767">
      <c r="A767" s="307"/>
      <c r="B767" s="308"/>
      <c r="C767" s="309"/>
      <c r="D767" s="389"/>
      <c r="E767" s="307"/>
      <c r="F767" s="308"/>
      <c r="G767" s="309"/>
      <c r="H767" s="389"/>
      <c r="I767" s="307"/>
      <c r="J767" s="308"/>
      <c r="K767" s="309"/>
      <c r="L767" s="389"/>
      <c r="M767" s="307"/>
      <c r="N767" s="308"/>
      <c r="O767" s="309"/>
      <c r="P767" s="389"/>
      <c r="Q767" s="192"/>
      <c r="R767" s="149"/>
      <c r="S767" s="392"/>
      <c r="T767" s="393"/>
      <c r="U767" s="192"/>
      <c r="V767" s="149"/>
      <c r="W767" s="392"/>
      <c r="X767" s="393"/>
      <c r="Y767" s="192"/>
      <c r="Z767" s="149"/>
      <c r="AA767" s="392"/>
      <c r="AB767" s="393"/>
      <c r="AC767" s="192"/>
      <c r="AD767" s="149"/>
      <c r="AE767" s="392"/>
      <c r="AF767" s="393"/>
      <c r="AG767" s="143"/>
      <c r="AH767" s="143"/>
      <c r="AI767" s="143"/>
      <c r="AJ767" s="143"/>
      <c r="AK767" s="389"/>
      <c r="AL767" s="389"/>
      <c r="AM767" s="389"/>
    </row>
    <row r="768">
      <c r="A768" s="307"/>
      <c r="B768" s="308"/>
      <c r="C768" s="309"/>
      <c r="D768" s="389"/>
      <c r="E768" s="307"/>
      <c r="F768" s="308"/>
      <c r="G768" s="309"/>
      <c r="H768" s="389"/>
      <c r="I768" s="307"/>
      <c r="J768" s="308"/>
      <c r="K768" s="309"/>
      <c r="L768" s="389"/>
      <c r="M768" s="307"/>
      <c r="N768" s="308"/>
      <c r="O768" s="309"/>
      <c r="P768" s="389"/>
      <c r="Q768" s="192"/>
      <c r="R768" s="149"/>
      <c r="S768" s="392"/>
      <c r="T768" s="393"/>
      <c r="U768" s="192"/>
      <c r="V768" s="149"/>
      <c r="W768" s="392"/>
      <c r="X768" s="393"/>
      <c r="Y768" s="192"/>
      <c r="Z768" s="149"/>
      <c r="AA768" s="392"/>
      <c r="AB768" s="393"/>
      <c r="AC768" s="192"/>
      <c r="AD768" s="149"/>
      <c r="AE768" s="392"/>
      <c r="AF768" s="393"/>
      <c r="AG768" s="143"/>
      <c r="AH768" s="143"/>
      <c r="AI768" s="143"/>
      <c r="AJ768" s="143"/>
      <c r="AK768" s="389"/>
      <c r="AL768" s="389"/>
      <c r="AM768" s="389"/>
    </row>
    <row r="769">
      <c r="A769" s="307"/>
      <c r="B769" s="308"/>
      <c r="C769" s="309"/>
      <c r="D769" s="389"/>
      <c r="E769" s="307"/>
      <c r="F769" s="308"/>
      <c r="G769" s="309"/>
      <c r="H769" s="389"/>
      <c r="I769" s="307"/>
      <c r="J769" s="308"/>
      <c r="K769" s="309"/>
      <c r="L769" s="389"/>
      <c r="M769" s="307"/>
      <c r="N769" s="308"/>
      <c r="O769" s="309"/>
      <c r="P769" s="389"/>
      <c r="Q769" s="192"/>
      <c r="R769" s="149"/>
      <c r="S769" s="392"/>
      <c r="T769" s="393"/>
      <c r="U769" s="192"/>
      <c r="V769" s="149"/>
      <c r="W769" s="392"/>
      <c r="X769" s="393"/>
      <c r="Y769" s="192"/>
      <c r="Z769" s="149"/>
      <c r="AA769" s="392"/>
      <c r="AB769" s="393"/>
      <c r="AC769" s="192"/>
      <c r="AD769" s="149"/>
      <c r="AE769" s="392"/>
      <c r="AF769" s="393"/>
      <c r="AG769" s="143"/>
      <c r="AH769" s="143"/>
      <c r="AI769" s="143"/>
      <c r="AJ769" s="143"/>
      <c r="AK769" s="389"/>
      <c r="AL769" s="389"/>
      <c r="AM769" s="389"/>
    </row>
    <row r="770">
      <c r="A770" s="307"/>
      <c r="B770" s="308"/>
      <c r="C770" s="309"/>
      <c r="D770" s="389"/>
      <c r="E770" s="307"/>
      <c r="F770" s="308"/>
      <c r="G770" s="309"/>
      <c r="H770" s="389"/>
      <c r="I770" s="307"/>
      <c r="J770" s="308"/>
      <c r="K770" s="309"/>
      <c r="L770" s="389"/>
      <c r="M770" s="307"/>
      <c r="N770" s="308"/>
      <c r="O770" s="309"/>
      <c r="P770" s="389"/>
      <c r="Q770" s="192"/>
      <c r="R770" s="149"/>
      <c r="S770" s="392"/>
      <c r="T770" s="393"/>
      <c r="U770" s="192"/>
      <c r="V770" s="149"/>
      <c r="W770" s="392"/>
      <c r="X770" s="393"/>
      <c r="Y770" s="192"/>
      <c r="Z770" s="149"/>
      <c r="AA770" s="392"/>
      <c r="AB770" s="393"/>
      <c r="AC770" s="192"/>
      <c r="AD770" s="149"/>
      <c r="AE770" s="392"/>
      <c r="AF770" s="393"/>
      <c r="AG770" s="143"/>
      <c r="AH770" s="143"/>
      <c r="AI770" s="143"/>
      <c r="AJ770" s="143"/>
      <c r="AK770" s="389"/>
      <c r="AL770" s="389"/>
      <c r="AM770" s="389"/>
    </row>
    <row r="771">
      <c r="A771" s="307"/>
      <c r="B771" s="308"/>
      <c r="C771" s="309"/>
      <c r="D771" s="389"/>
      <c r="E771" s="307"/>
      <c r="F771" s="308"/>
      <c r="G771" s="309"/>
      <c r="H771" s="389"/>
      <c r="I771" s="307"/>
      <c r="J771" s="308"/>
      <c r="K771" s="309"/>
      <c r="L771" s="389"/>
      <c r="M771" s="307"/>
      <c r="N771" s="308"/>
      <c r="O771" s="309"/>
      <c r="P771" s="389"/>
      <c r="Q771" s="192"/>
      <c r="R771" s="149"/>
      <c r="S771" s="392"/>
      <c r="T771" s="393"/>
      <c r="U771" s="192"/>
      <c r="V771" s="149"/>
      <c r="W771" s="392"/>
      <c r="X771" s="393"/>
      <c r="Y771" s="192"/>
      <c r="Z771" s="149"/>
      <c r="AA771" s="392"/>
      <c r="AB771" s="393"/>
      <c r="AC771" s="192"/>
      <c r="AD771" s="149"/>
      <c r="AE771" s="392"/>
      <c r="AF771" s="393"/>
      <c r="AG771" s="143"/>
      <c r="AH771" s="143"/>
      <c r="AI771" s="143"/>
      <c r="AJ771" s="143"/>
      <c r="AK771" s="389"/>
      <c r="AL771" s="389"/>
      <c r="AM771" s="389"/>
    </row>
    <row r="772">
      <c r="A772" s="307"/>
      <c r="B772" s="308"/>
      <c r="C772" s="309"/>
      <c r="D772" s="389"/>
      <c r="E772" s="307"/>
      <c r="F772" s="308"/>
      <c r="G772" s="309"/>
      <c r="H772" s="389"/>
      <c r="I772" s="307"/>
      <c r="J772" s="308"/>
      <c r="K772" s="309"/>
      <c r="L772" s="389"/>
      <c r="M772" s="307"/>
      <c r="N772" s="308"/>
      <c r="O772" s="309"/>
      <c r="P772" s="389"/>
      <c r="Q772" s="192"/>
      <c r="R772" s="149"/>
      <c r="S772" s="392"/>
      <c r="T772" s="393"/>
      <c r="U772" s="192"/>
      <c r="V772" s="149"/>
      <c r="W772" s="392"/>
      <c r="X772" s="393"/>
      <c r="Y772" s="192"/>
      <c r="Z772" s="149"/>
      <c r="AA772" s="392"/>
      <c r="AB772" s="393"/>
      <c r="AC772" s="192"/>
      <c r="AD772" s="149"/>
      <c r="AE772" s="392"/>
      <c r="AF772" s="393"/>
      <c r="AG772" s="143"/>
      <c r="AH772" s="143"/>
      <c r="AI772" s="143"/>
      <c r="AJ772" s="143"/>
      <c r="AK772" s="389"/>
      <c r="AL772" s="389"/>
      <c r="AM772" s="389"/>
    </row>
    <row r="773">
      <c r="A773" s="307"/>
      <c r="B773" s="308"/>
      <c r="C773" s="309"/>
      <c r="D773" s="389"/>
      <c r="E773" s="307"/>
      <c r="F773" s="308"/>
      <c r="G773" s="309"/>
      <c r="H773" s="389"/>
      <c r="I773" s="307"/>
      <c r="J773" s="308"/>
      <c r="K773" s="309"/>
      <c r="L773" s="389"/>
      <c r="M773" s="307"/>
      <c r="N773" s="308"/>
      <c r="O773" s="309"/>
      <c r="P773" s="389"/>
      <c r="Q773" s="192"/>
      <c r="R773" s="149"/>
      <c r="S773" s="392"/>
      <c r="T773" s="393"/>
      <c r="U773" s="192"/>
      <c r="V773" s="149"/>
      <c r="W773" s="392"/>
      <c r="X773" s="393"/>
      <c r="Y773" s="192"/>
      <c r="Z773" s="149"/>
      <c r="AA773" s="392"/>
      <c r="AB773" s="393"/>
      <c r="AC773" s="192"/>
      <c r="AD773" s="149"/>
      <c r="AE773" s="392"/>
      <c r="AF773" s="393"/>
      <c r="AG773" s="143"/>
      <c r="AH773" s="143"/>
      <c r="AI773" s="143"/>
      <c r="AJ773" s="143"/>
      <c r="AK773" s="389"/>
      <c r="AL773" s="389"/>
      <c r="AM773" s="389"/>
    </row>
    <row r="774">
      <c r="A774" s="307"/>
      <c r="B774" s="308"/>
      <c r="C774" s="309"/>
      <c r="D774" s="389"/>
      <c r="E774" s="307"/>
      <c r="F774" s="308"/>
      <c r="G774" s="309"/>
      <c r="H774" s="389"/>
      <c r="I774" s="307"/>
      <c r="J774" s="308"/>
      <c r="K774" s="309"/>
      <c r="L774" s="389"/>
      <c r="M774" s="307"/>
      <c r="N774" s="308"/>
      <c r="O774" s="309"/>
      <c r="P774" s="389"/>
      <c r="Q774" s="192"/>
      <c r="R774" s="149"/>
      <c r="S774" s="392"/>
      <c r="T774" s="393"/>
      <c r="U774" s="192"/>
      <c r="V774" s="149"/>
      <c r="W774" s="392"/>
      <c r="X774" s="393"/>
      <c r="Y774" s="192"/>
      <c r="Z774" s="149"/>
      <c r="AA774" s="392"/>
      <c r="AB774" s="393"/>
      <c r="AC774" s="192"/>
      <c r="AD774" s="149"/>
      <c r="AE774" s="392"/>
      <c r="AF774" s="393"/>
      <c r="AG774" s="143"/>
      <c r="AH774" s="143"/>
      <c r="AI774" s="143"/>
      <c r="AJ774" s="143"/>
      <c r="AK774" s="389"/>
      <c r="AL774" s="389"/>
      <c r="AM774" s="389"/>
    </row>
    <row r="775">
      <c r="A775" s="307"/>
      <c r="B775" s="308"/>
      <c r="C775" s="309"/>
      <c r="D775" s="389"/>
      <c r="E775" s="307"/>
      <c r="F775" s="308"/>
      <c r="G775" s="309"/>
      <c r="H775" s="389"/>
      <c r="I775" s="307"/>
      <c r="J775" s="308"/>
      <c r="K775" s="309"/>
      <c r="L775" s="389"/>
      <c r="M775" s="307"/>
      <c r="N775" s="308"/>
      <c r="O775" s="309"/>
      <c r="P775" s="389"/>
      <c r="Q775" s="192"/>
      <c r="R775" s="149"/>
      <c r="S775" s="392"/>
      <c r="T775" s="393"/>
      <c r="U775" s="192"/>
      <c r="V775" s="149"/>
      <c r="W775" s="392"/>
      <c r="X775" s="393"/>
      <c r="Y775" s="192"/>
      <c r="Z775" s="149"/>
      <c r="AA775" s="392"/>
      <c r="AB775" s="393"/>
      <c r="AC775" s="192"/>
      <c r="AD775" s="149"/>
      <c r="AE775" s="392"/>
      <c r="AF775" s="393"/>
      <c r="AG775" s="143"/>
      <c r="AH775" s="143"/>
      <c r="AI775" s="143"/>
      <c r="AJ775" s="143"/>
      <c r="AK775" s="389"/>
      <c r="AL775" s="389"/>
      <c r="AM775" s="389"/>
    </row>
    <row r="776">
      <c r="A776" s="307"/>
      <c r="B776" s="308"/>
      <c r="C776" s="309"/>
      <c r="D776" s="389"/>
      <c r="E776" s="307"/>
      <c r="F776" s="308"/>
      <c r="G776" s="309"/>
      <c r="H776" s="389"/>
      <c r="I776" s="307"/>
      <c r="J776" s="308"/>
      <c r="K776" s="309"/>
      <c r="L776" s="389"/>
      <c r="M776" s="307"/>
      <c r="N776" s="308"/>
      <c r="O776" s="309"/>
      <c r="P776" s="389"/>
      <c r="Q776" s="192"/>
      <c r="R776" s="149"/>
      <c r="S776" s="392"/>
      <c r="T776" s="393"/>
      <c r="U776" s="192"/>
      <c r="V776" s="149"/>
      <c r="W776" s="392"/>
      <c r="X776" s="393"/>
      <c r="Y776" s="192"/>
      <c r="Z776" s="149"/>
      <c r="AA776" s="392"/>
      <c r="AB776" s="393"/>
      <c r="AC776" s="192"/>
      <c r="AD776" s="149"/>
      <c r="AE776" s="392"/>
      <c r="AF776" s="393"/>
      <c r="AG776" s="143"/>
      <c r="AH776" s="143"/>
      <c r="AI776" s="143"/>
      <c r="AJ776" s="143"/>
      <c r="AK776" s="389"/>
      <c r="AL776" s="389"/>
      <c r="AM776" s="389"/>
    </row>
    <row r="777">
      <c r="A777" s="307"/>
      <c r="B777" s="308"/>
      <c r="C777" s="309"/>
      <c r="D777" s="389"/>
      <c r="E777" s="307"/>
      <c r="F777" s="308"/>
      <c r="G777" s="309"/>
      <c r="H777" s="389"/>
      <c r="I777" s="307"/>
      <c r="J777" s="308"/>
      <c r="K777" s="309"/>
      <c r="L777" s="389"/>
      <c r="M777" s="307"/>
      <c r="N777" s="308"/>
      <c r="O777" s="309"/>
      <c r="P777" s="389"/>
      <c r="Q777" s="192"/>
      <c r="R777" s="149"/>
      <c r="S777" s="392"/>
      <c r="T777" s="393"/>
      <c r="U777" s="192"/>
      <c r="V777" s="149"/>
      <c r="W777" s="392"/>
      <c r="X777" s="393"/>
      <c r="Y777" s="192"/>
      <c r="Z777" s="149"/>
      <c r="AA777" s="392"/>
      <c r="AB777" s="393"/>
      <c r="AC777" s="192"/>
      <c r="AD777" s="149"/>
      <c r="AE777" s="392"/>
      <c r="AF777" s="393"/>
      <c r="AG777" s="143"/>
      <c r="AH777" s="143"/>
      <c r="AI777" s="143"/>
      <c r="AJ777" s="143"/>
      <c r="AK777" s="389"/>
      <c r="AL777" s="389"/>
      <c r="AM777" s="389"/>
    </row>
    <row r="778">
      <c r="A778" s="307"/>
      <c r="B778" s="308"/>
      <c r="C778" s="309"/>
      <c r="D778" s="389"/>
      <c r="E778" s="307"/>
      <c r="F778" s="308"/>
      <c r="G778" s="309"/>
      <c r="H778" s="389"/>
      <c r="I778" s="307"/>
      <c r="J778" s="308"/>
      <c r="K778" s="309"/>
      <c r="L778" s="389"/>
      <c r="M778" s="307"/>
      <c r="N778" s="308"/>
      <c r="O778" s="309"/>
      <c r="P778" s="389"/>
      <c r="Q778" s="192"/>
      <c r="R778" s="149"/>
      <c r="S778" s="392"/>
      <c r="T778" s="393"/>
      <c r="U778" s="192"/>
      <c r="V778" s="149"/>
      <c r="W778" s="392"/>
      <c r="X778" s="393"/>
      <c r="Y778" s="192"/>
      <c r="Z778" s="149"/>
      <c r="AA778" s="392"/>
      <c r="AB778" s="393"/>
      <c r="AC778" s="192"/>
      <c r="AD778" s="149"/>
      <c r="AE778" s="392"/>
      <c r="AF778" s="393"/>
      <c r="AG778" s="143"/>
      <c r="AH778" s="143"/>
      <c r="AI778" s="143"/>
      <c r="AJ778" s="143"/>
      <c r="AK778" s="389"/>
      <c r="AL778" s="389"/>
      <c r="AM778" s="389"/>
    </row>
    <row r="779">
      <c r="A779" s="307"/>
      <c r="B779" s="308"/>
      <c r="C779" s="309"/>
      <c r="D779" s="389"/>
      <c r="E779" s="307"/>
      <c r="F779" s="308"/>
      <c r="G779" s="309"/>
      <c r="H779" s="389"/>
      <c r="I779" s="307"/>
      <c r="J779" s="308"/>
      <c r="K779" s="309"/>
      <c r="L779" s="389"/>
      <c r="M779" s="307"/>
      <c r="N779" s="308"/>
      <c r="O779" s="309"/>
      <c r="P779" s="389"/>
      <c r="Q779" s="192"/>
      <c r="R779" s="149"/>
      <c r="S779" s="392"/>
      <c r="T779" s="393"/>
      <c r="U779" s="192"/>
      <c r="V779" s="149"/>
      <c r="W779" s="392"/>
      <c r="X779" s="393"/>
      <c r="Y779" s="192"/>
      <c r="Z779" s="149"/>
      <c r="AA779" s="392"/>
      <c r="AB779" s="393"/>
      <c r="AC779" s="192"/>
      <c r="AD779" s="149"/>
      <c r="AE779" s="392"/>
      <c r="AF779" s="393"/>
      <c r="AG779" s="143"/>
      <c r="AH779" s="143"/>
      <c r="AI779" s="143"/>
      <c r="AJ779" s="143"/>
      <c r="AK779" s="389"/>
      <c r="AL779" s="389"/>
      <c r="AM779" s="389"/>
    </row>
    <row r="780">
      <c r="A780" s="307"/>
      <c r="B780" s="308"/>
      <c r="C780" s="309"/>
      <c r="D780" s="389"/>
      <c r="E780" s="307"/>
      <c r="F780" s="308"/>
      <c r="G780" s="309"/>
      <c r="H780" s="389"/>
      <c r="I780" s="307"/>
      <c r="J780" s="308"/>
      <c r="K780" s="309"/>
      <c r="L780" s="389"/>
      <c r="M780" s="307"/>
      <c r="N780" s="308"/>
      <c r="O780" s="309"/>
      <c r="P780" s="389"/>
      <c r="Q780" s="192"/>
      <c r="R780" s="149"/>
      <c r="S780" s="392"/>
      <c r="T780" s="393"/>
      <c r="U780" s="192"/>
      <c r="V780" s="149"/>
      <c r="W780" s="392"/>
      <c r="X780" s="393"/>
      <c r="Y780" s="192"/>
      <c r="Z780" s="149"/>
      <c r="AA780" s="392"/>
      <c r="AB780" s="393"/>
      <c r="AC780" s="192"/>
      <c r="AD780" s="149"/>
      <c r="AE780" s="392"/>
      <c r="AF780" s="393"/>
      <c r="AG780" s="143"/>
      <c r="AH780" s="143"/>
      <c r="AI780" s="143"/>
      <c r="AJ780" s="143"/>
      <c r="AK780" s="389"/>
      <c r="AL780" s="389"/>
      <c r="AM780" s="389"/>
    </row>
    <row r="781">
      <c r="A781" s="307"/>
      <c r="B781" s="308"/>
      <c r="C781" s="309"/>
      <c r="D781" s="389"/>
      <c r="E781" s="307"/>
      <c r="F781" s="308"/>
      <c r="G781" s="309"/>
      <c r="H781" s="389"/>
      <c r="I781" s="307"/>
      <c r="J781" s="308"/>
      <c r="K781" s="309"/>
      <c r="L781" s="389"/>
      <c r="M781" s="307"/>
      <c r="N781" s="308"/>
      <c r="O781" s="309"/>
      <c r="P781" s="389"/>
      <c r="Q781" s="192"/>
      <c r="R781" s="149"/>
      <c r="S781" s="392"/>
      <c r="T781" s="393"/>
      <c r="U781" s="192"/>
      <c r="V781" s="149"/>
      <c r="W781" s="392"/>
      <c r="X781" s="393"/>
      <c r="Y781" s="192"/>
      <c r="Z781" s="149"/>
      <c r="AA781" s="392"/>
      <c r="AB781" s="393"/>
      <c r="AC781" s="192"/>
      <c r="AD781" s="149"/>
      <c r="AE781" s="392"/>
      <c r="AF781" s="393"/>
      <c r="AG781" s="143"/>
      <c r="AH781" s="143"/>
      <c r="AI781" s="143"/>
      <c r="AJ781" s="143"/>
      <c r="AK781" s="389"/>
      <c r="AL781" s="389"/>
      <c r="AM781" s="389"/>
    </row>
    <row r="782">
      <c r="A782" s="307"/>
      <c r="B782" s="308"/>
      <c r="C782" s="309"/>
      <c r="D782" s="389"/>
      <c r="E782" s="307"/>
      <c r="F782" s="308"/>
      <c r="G782" s="309"/>
      <c r="H782" s="389"/>
      <c r="I782" s="307"/>
      <c r="J782" s="308"/>
      <c r="K782" s="309"/>
      <c r="L782" s="389"/>
      <c r="M782" s="307"/>
      <c r="N782" s="308"/>
      <c r="O782" s="309"/>
      <c r="P782" s="389"/>
      <c r="Q782" s="192"/>
      <c r="R782" s="149"/>
      <c r="S782" s="392"/>
      <c r="T782" s="393"/>
      <c r="U782" s="192"/>
      <c r="V782" s="149"/>
      <c r="W782" s="392"/>
      <c r="X782" s="393"/>
      <c r="Y782" s="192"/>
      <c r="Z782" s="149"/>
      <c r="AA782" s="392"/>
      <c r="AB782" s="393"/>
      <c r="AC782" s="192"/>
      <c r="AD782" s="149"/>
      <c r="AE782" s="392"/>
      <c r="AF782" s="393"/>
      <c r="AG782" s="143"/>
      <c r="AH782" s="143"/>
      <c r="AI782" s="143"/>
      <c r="AJ782" s="143"/>
      <c r="AK782" s="389"/>
      <c r="AL782" s="389"/>
      <c r="AM782" s="389"/>
    </row>
    <row r="783">
      <c r="A783" s="307"/>
      <c r="B783" s="308"/>
      <c r="C783" s="309"/>
      <c r="D783" s="389"/>
      <c r="E783" s="307"/>
      <c r="F783" s="308"/>
      <c r="G783" s="309"/>
      <c r="H783" s="389"/>
      <c r="I783" s="307"/>
      <c r="J783" s="308"/>
      <c r="K783" s="309"/>
      <c r="L783" s="389"/>
      <c r="M783" s="307"/>
      <c r="N783" s="308"/>
      <c r="O783" s="309"/>
      <c r="P783" s="389"/>
      <c r="Q783" s="192"/>
      <c r="R783" s="149"/>
      <c r="S783" s="392"/>
      <c r="T783" s="393"/>
      <c r="U783" s="192"/>
      <c r="V783" s="149"/>
      <c r="W783" s="392"/>
      <c r="X783" s="393"/>
      <c r="Y783" s="192"/>
      <c r="Z783" s="149"/>
      <c r="AA783" s="392"/>
      <c r="AB783" s="393"/>
      <c r="AC783" s="192"/>
      <c r="AD783" s="149"/>
      <c r="AE783" s="392"/>
      <c r="AF783" s="393"/>
      <c r="AG783" s="143"/>
      <c r="AH783" s="143"/>
      <c r="AI783" s="143"/>
      <c r="AJ783" s="143"/>
      <c r="AK783" s="389"/>
      <c r="AL783" s="389"/>
      <c r="AM783" s="389"/>
    </row>
    <row r="784">
      <c r="A784" s="307"/>
      <c r="B784" s="308"/>
      <c r="C784" s="309"/>
      <c r="D784" s="389"/>
      <c r="E784" s="307"/>
      <c r="F784" s="308"/>
      <c r="G784" s="309"/>
      <c r="H784" s="389"/>
      <c r="I784" s="307"/>
      <c r="J784" s="308"/>
      <c r="K784" s="309"/>
      <c r="L784" s="389"/>
      <c r="M784" s="307"/>
      <c r="N784" s="308"/>
      <c r="O784" s="309"/>
      <c r="P784" s="389"/>
      <c r="Q784" s="192"/>
      <c r="R784" s="149"/>
      <c r="S784" s="392"/>
      <c r="T784" s="393"/>
      <c r="U784" s="192"/>
      <c r="V784" s="149"/>
      <c r="W784" s="392"/>
      <c r="X784" s="393"/>
      <c r="Y784" s="192"/>
      <c r="Z784" s="149"/>
      <c r="AA784" s="392"/>
      <c r="AB784" s="393"/>
      <c r="AC784" s="192"/>
      <c r="AD784" s="149"/>
      <c r="AE784" s="392"/>
      <c r="AF784" s="393"/>
      <c r="AG784" s="143"/>
      <c r="AH784" s="143"/>
      <c r="AI784" s="143"/>
      <c r="AJ784" s="143"/>
      <c r="AK784" s="389"/>
      <c r="AL784" s="389"/>
      <c r="AM784" s="389"/>
    </row>
    <row r="785">
      <c r="A785" s="307"/>
      <c r="B785" s="308"/>
      <c r="C785" s="309"/>
      <c r="D785" s="389"/>
      <c r="E785" s="307"/>
      <c r="F785" s="308"/>
      <c r="G785" s="309"/>
      <c r="H785" s="389"/>
      <c r="I785" s="307"/>
      <c r="J785" s="308"/>
      <c r="K785" s="309"/>
      <c r="L785" s="389"/>
      <c r="M785" s="307"/>
      <c r="N785" s="308"/>
      <c r="O785" s="309"/>
      <c r="P785" s="389"/>
      <c r="Q785" s="192"/>
      <c r="R785" s="149"/>
      <c r="S785" s="392"/>
      <c r="T785" s="393"/>
      <c r="U785" s="192"/>
      <c r="V785" s="149"/>
      <c r="W785" s="392"/>
      <c r="X785" s="393"/>
      <c r="Y785" s="192"/>
      <c r="Z785" s="149"/>
      <c r="AA785" s="392"/>
      <c r="AB785" s="393"/>
      <c r="AC785" s="192"/>
      <c r="AD785" s="149"/>
      <c r="AE785" s="392"/>
      <c r="AF785" s="393"/>
      <c r="AG785" s="143"/>
      <c r="AH785" s="143"/>
      <c r="AI785" s="143"/>
      <c r="AJ785" s="143"/>
      <c r="AK785" s="389"/>
      <c r="AL785" s="389"/>
      <c r="AM785" s="389"/>
    </row>
    <row r="786">
      <c r="A786" s="307"/>
      <c r="B786" s="308"/>
      <c r="C786" s="309"/>
      <c r="D786" s="389"/>
      <c r="E786" s="307"/>
      <c r="F786" s="308"/>
      <c r="G786" s="309"/>
      <c r="H786" s="389"/>
      <c r="I786" s="307"/>
      <c r="J786" s="308"/>
      <c r="K786" s="309"/>
      <c r="L786" s="389"/>
      <c r="M786" s="307"/>
      <c r="N786" s="308"/>
      <c r="O786" s="309"/>
      <c r="P786" s="389"/>
      <c r="Q786" s="192"/>
      <c r="R786" s="149"/>
      <c r="S786" s="392"/>
      <c r="T786" s="393"/>
      <c r="U786" s="192"/>
      <c r="V786" s="149"/>
      <c r="W786" s="392"/>
      <c r="X786" s="393"/>
      <c r="Y786" s="192"/>
      <c r="Z786" s="149"/>
      <c r="AA786" s="392"/>
      <c r="AB786" s="393"/>
      <c r="AC786" s="192"/>
      <c r="AD786" s="149"/>
      <c r="AE786" s="392"/>
      <c r="AF786" s="393"/>
      <c r="AG786" s="143"/>
      <c r="AH786" s="143"/>
      <c r="AI786" s="143"/>
      <c r="AJ786" s="143"/>
      <c r="AK786" s="389"/>
      <c r="AL786" s="389"/>
      <c r="AM786" s="389"/>
    </row>
    <row r="787">
      <c r="A787" s="307"/>
      <c r="B787" s="308"/>
      <c r="C787" s="309"/>
      <c r="D787" s="389"/>
      <c r="E787" s="307"/>
      <c r="F787" s="308"/>
      <c r="G787" s="309"/>
      <c r="H787" s="389"/>
      <c r="I787" s="307"/>
      <c r="J787" s="308"/>
      <c r="K787" s="309"/>
      <c r="L787" s="389"/>
      <c r="M787" s="307"/>
      <c r="N787" s="308"/>
      <c r="O787" s="309"/>
      <c r="P787" s="389"/>
      <c r="Q787" s="192"/>
      <c r="R787" s="149"/>
      <c r="S787" s="392"/>
      <c r="T787" s="393"/>
      <c r="U787" s="192"/>
      <c r="V787" s="149"/>
      <c r="W787" s="392"/>
      <c r="X787" s="393"/>
      <c r="Y787" s="192"/>
      <c r="Z787" s="149"/>
      <c r="AA787" s="392"/>
      <c r="AB787" s="393"/>
      <c r="AC787" s="192"/>
      <c r="AD787" s="149"/>
      <c r="AE787" s="392"/>
      <c r="AF787" s="393"/>
      <c r="AG787" s="143"/>
      <c r="AH787" s="143"/>
      <c r="AI787" s="143"/>
      <c r="AJ787" s="143"/>
      <c r="AK787" s="389"/>
      <c r="AL787" s="389"/>
      <c r="AM787" s="389"/>
    </row>
    <row r="788">
      <c r="A788" s="307"/>
      <c r="B788" s="308"/>
      <c r="C788" s="309"/>
      <c r="D788" s="389"/>
      <c r="E788" s="307"/>
      <c r="F788" s="308"/>
      <c r="G788" s="309"/>
      <c r="H788" s="389"/>
      <c r="I788" s="307"/>
      <c r="J788" s="308"/>
      <c r="K788" s="309"/>
      <c r="L788" s="389"/>
      <c r="M788" s="307"/>
      <c r="N788" s="308"/>
      <c r="O788" s="309"/>
      <c r="P788" s="389"/>
      <c r="Q788" s="192"/>
      <c r="R788" s="149"/>
      <c r="S788" s="392"/>
      <c r="T788" s="393"/>
      <c r="U788" s="192"/>
      <c r="V788" s="149"/>
      <c r="W788" s="392"/>
      <c r="X788" s="393"/>
      <c r="Y788" s="192"/>
      <c r="Z788" s="149"/>
      <c r="AA788" s="392"/>
      <c r="AB788" s="393"/>
      <c r="AC788" s="192"/>
      <c r="AD788" s="149"/>
      <c r="AE788" s="392"/>
      <c r="AF788" s="393"/>
      <c r="AG788" s="143"/>
      <c r="AH788" s="143"/>
      <c r="AI788" s="143"/>
      <c r="AJ788" s="143"/>
      <c r="AK788" s="389"/>
      <c r="AL788" s="389"/>
      <c r="AM788" s="389"/>
    </row>
    <row r="789">
      <c r="A789" s="307"/>
      <c r="B789" s="308"/>
      <c r="C789" s="309"/>
      <c r="D789" s="389"/>
      <c r="E789" s="307"/>
      <c r="F789" s="308"/>
      <c r="G789" s="309"/>
      <c r="H789" s="389"/>
      <c r="I789" s="307"/>
      <c r="J789" s="308"/>
      <c r="K789" s="309"/>
      <c r="L789" s="389"/>
      <c r="M789" s="307"/>
      <c r="N789" s="308"/>
      <c r="O789" s="309"/>
      <c r="P789" s="389"/>
      <c r="Q789" s="192"/>
      <c r="R789" s="149"/>
      <c r="S789" s="392"/>
      <c r="T789" s="393"/>
      <c r="U789" s="192"/>
      <c r="V789" s="149"/>
      <c r="W789" s="392"/>
      <c r="X789" s="393"/>
      <c r="Y789" s="192"/>
      <c r="Z789" s="149"/>
      <c r="AA789" s="392"/>
      <c r="AB789" s="393"/>
      <c r="AC789" s="192"/>
      <c r="AD789" s="149"/>
      <c r="AE789" s="392"/>
      <c r="AF789" s="393"/>
      <c r="AG789" s="143"/>
      <c r="AH789" s="143"/>
      <c r="AI789" s="143"/>
      <c r="AJ789" s="143"/>
      <c r="AK789" s="389"/>
      <c r="AL789" s="389"/>
      <c r="AM789" s="389"/>
    </row>
    <row r="790">
      <c r="A790" s="307"/>
      <c r="B790" s="308"/>
      <c r="C790" s="309"/>
      <c r="D790" s="389"/>
      <c r="E790" s="307"/>
      <c r="F790" s="308"/>
      <c r="G790" s="309"/>
      <c r="H790" s="389"/>
      <c r="I790" s="307"/>
      <c r="J790" s="308"/>
      <c r="K790" s="309"/>
      <c r="L790" s="389"/>
      <c r="M790" s="307"/>
      <c r="N790" s="308"/>
      <c r="O790" s="309"/>
      <c r="P790" s="389"/>
      <c r="Q790" s="192"/>
      <c r="R790" s="149"/>
      <c r="S790" s="392"/>
      <c r="T790" s="393"/>
      <c r="U790" s="192"/>
      <c r="V790" s="149"/>
      <c r="W790" s="392"/>
      <c r="X790" s="393"/>
      <c r="Y790" s="192"/>
      <c r="Z790" s="149"/>
      <c r="AA790" s="392"/>
      <c r="AB790" s="393"/>
      <c r="AC790" s="192"/>
      <c r="AD790" s="149"/>
      <c r="AE790" s="392"/>
      <c r="AF790" s="393"/>
      <c r="AG790" s="143"/>
      <c r="AH790" s="143"/>
      <c r="AI790" s="143"/>
      <c r="AJ790" s="143"/>
      <c r="AK790" s="389"/>
      <c r="AL790" s="389"/>
      <c r="AM790" s="389"/>
    </row>
    <row r="791">
      <c r="A791" s="307"/>
      <c r="B791" s="308"/>
      <c r="C791" s="309"/>
      <c r="D791" s="389"/>
      <c r="E791" s="307"/>
      <c r="F791" s="308"/>
      <c r="G791" s="309"/>
      <c r="H791" s="389"/>
      <c r="I791" s="307"/>
      <c r="J791" s="308"/>
      <c r="K791" s="309"/>
      <c r="L791" s="389"/>
      <c r="M791" s="307"/>
      <c r="N791" s="308"/>
      <c r="O791" s="309"/>
      <c r="P791" s="389"/>
      <c r="Q791" s="192"/>
      <c r="R791" s="149"/>
      <c r="S791" s="392"/>
      <c r="T791" s="393"/>
      <c r="U791" s="192"/>
      <c r="V791" s="149"/>
      <c r="W791" s="392"/>
      <c r="X791" s="393"/>
      <c r="Y791" s="192"/>
      <c r="Z791" s="149"/>
      <c r="AA791" s="392"/>
      <c r="AB791" s="393"/>
      <c r="AC791" s="192"/>
      <c r="AD791" s="149"/>
      <c r="AE791" s="392"/>
      <c r="AF791" s="393"/>
      <c r="AG791" s="143"/>
      <c r="AH791" s="143"/>
      <c r="AI791" s="143"/>
      <c r="AJ791" s="143"/>
      <c r="AK791" s="389"/>
      <c r="AL791" s="389"/>
      <c r="AM791" s="389"/>
    </row>
    <row r="792">
      <c r="A792" s="307"/>
      <c r="B792" s="308"/>
      <c r="C792" s="309"/>
      <c r="D792" s="389"/>
      <c r="E792" s="307"/>
      <c r="F792" s="308"/>
      <c r="G792" s="309"/>
      <c r="H792" s="389"/>
      <c r="I792" s="307"/>
      <c r="J792" s="308"/>
      <c r="K792" s="309"/>
      <c r="L792" s="389"/>
      <c r="M792" s="307"/>
      <c r="N792" s="308"/>
      <c r="O792" s="309"/>
      <c r="P792" s="389"/>
      <c r="Q792" s="192"/>
      <c r="R792" s="149"/>
      <c r="S792" s="392"/>
      <c r="T792" s="393"/>
      <c r="U792" s="192"/>
      <c r="V792" s="149"/>
      <c r="W792" s="392"/>
      <c r="X792" s="393"/>
      <c r="Y792" s="192"/>
      <c r="Z792" s="149"/>
      <c r="AA792" s="392"/>
      <c r="AB792" s="393"/>
      <c r="AC792" s="192"/>
      <c r="AD792" s="149"/>
      <c r="AE792" s="392"/>
      <c r="AF792" s="393"/>
      <c r="AG792" s="143"/>
      <c r="AH792" s="143"/>
      <c r="AI792" s="143"/>
      <c r="AJ792" s="143"/>
      <c r="AK792" s="389"/>
      <c r="AL792" s="389"/>
      <c r="AM792" s="389"/>
    </row>
    <row r="793">
      <c r="A793" s="307"/>
      <c r="B793" s="308"/>
      <c r="C793" s="309"/>
      <c r="D793" s="389"/>
      <c r="E793" s="307"/>
      <c r="F793" s="308"/>
      <c r="G793" s="309"/>
      <c r="H793" s="389"/>
      <c r="I793" s="307"/>
      <c r="J793" s="308"/>
      <c r="K793" s="309"/>
      <c r="L793" s="389"/>
      <c r="M793" s="307"/>
      <c r="N793" s="308"/>
      <c r="O793" s="309"/>
      <c r="P793" s="389"/>
      <c r="Q793" s="192"/>
      <c r="R793" s="149"/>
      <c r="S793" s="392"/>
      <c r="T793" s="393"/>
      <c r="U793" s="192"/>
      <c r="V793" s="149"/>
      <c r="W793" s="392"/>
      <c r="X793" s="393"/>
      <c r="Y793" s="192"/>
      <c r="Z793" s="149"/>
      <c r="AA793" s="392"/>
      <c r="AB793" s="393"/>
      <c r="AC793" s="192"/>
      <c r="AD793" s="149"/>
      <c r="AE793" s="392"/>
      <c r="AF793" s="393"/>
      <c r="AG793" s="143"/>
      <c r="AH793" s="143"/>
      <c r="AI793" s="143"/>
      <c r="AJ793" s="143"/>
      <c r="AK793" s="389"/>
      <c r="AL793" s="389"/>
      <c r="AM793" s="389"/>
    </row>
    <row r="794">
      <c r="A794" s="307"/>
      <c r="B794" s="308"/>
      <c r="C794" s="309"/>
      <c r="D794" s="389"/>
      <c r="E794" s="307"/>
      <c r="F794" s="308"/>
      <c r="G794" s="309"/>
      <c r="H794" s="389"/>
      <c r="I794" s="307"/>
      <c r="J794" s="308"/>
      <c r="K794" s="309"/>
      <c r="L794" s="389"/>
      <c r="M794" s="307"/>
      <c r="N794" s="308"/>
      <c r="O794" s="309"/>
      <c r="P794" s="389"/>
      <c r="Q794" s="192"/>
      <c r="R794" s="149"/>
      <c r="S794" s="392"/>
      <c r="T794" s="393"/>
      <c r="U794" s="192"/>
      <c r="V794" s="149"/>
      <c r="W794" s="392"/>
      <c r="X794" s="393"/>
      <c r="Y794" s="192"/>
      <c r="Z794" s="149"/>
      <c r="AA794" s="392"/>
      <c r="AB794" s="393"/>
      <c r="AC794" s="192"/>
      <c r="AD794" s="149"/>
      <c r="AE794" s="392"/>
      <c r="AF794" s="393"/>
      <c r="AG794" s="143"/>
      <c r="AH794" s="143"/>
      <c r="AI794" s="143"/>
      <c r="AJ794" s="143"/>
      <c r="AK794" s="389"/>
      <c r="AL794" s="389"/>
      <c r="AM794" s="389"/>
    </row>
    <row r="795">
      <c r="A795" s="307"/>
      <c r="B795" s="308"/>
      <c r="C795" s="309"/>
      <c r="D795" s="389"/>
      <c r="E795" s="307"/>
      <c r="F795" s="308"/>
      <c r="G795" s="309"/>
      <c r="H795" s="389"/>
      <c r="I795" s="307"/>
      <c r="J795" s="308"/>
      <c r="K795" s="309"/>
      <c r="L795" s="389"/>
      <c r="M795" s="307"/>
      <c r="N795" s="308"/>
      <c r="O795" s="309"/>
      <c r="P795" s="389"/>
      <c r="Q795" s="192"/>
      <c r="R795" s="149"/>
      <c r="S795" s="392"/>
      <c r="T795" s="393"/>
      <c r="U795" s="192"/>
      <c r="V795" s="149"/>
      <c r="W795" s="392"/>
      <c r="X795" s="393"/>
      <c r="Y795" s="192"/>
      <c r="Z795" s="149"/>
      <c r="AA795" s="392"/>
      <c r="AB795" s="393"/>
      <c r="AC795" s="192"/>
      <c r="AD795" s="149"/>
      <c r="AE795" s="392"/>
      <c r="AF795" s="393"/>
      <c r="AG795" s="143"/>
      <c r="AH795" s="143"/>
      <c r="AI795" s="143"/>
      <c r="AJ795" s="143"/>
      <c r="AK795" s="389"/>
      <c r="AL795" s="389"/>
      <c r="AM795" s="389"/>
    </row>
    <row r="796">
      <c r="A796" s="307"/>
      <c r="B796" s="308"/>
      <c r="C796" s="309"/>
      <c r="D796" s="389"/>
      <c r="E796" s="307"/>
      <c r="F796" s="308"/>
      <c r="G796" s="309"/>
      <c r="H796" s="389"/>
      <c r="I796" s="307"/>
      <c r="J796" s="308"/>
      <c r="K796" s="309"/>
      <c r="L796" s="389"/>
      <c r="M796" s="307"/>
      <c r="N796" s="308"/>
      <c r="O796" s="309"/>
      <c r="P796" s="389"/>
      <c r="Q796" s="192"/>
      <c r="R796" s="149"/>
      <c r="S796" s="392"/>
      <c r="T796" s="393"/>
      <c r="U796" s="192"/>
      <c r="V796" s="149"/>
      <c r="W796" s="392"/>
      <c r="X796" s="393"/>
      <c r="Y796" s="192"/>
      <c r="Z796" s="149"/>
      <c r="AA796" s="392"/>
      <c r="AB796" s="393"/>
      <c r="AC796" s="192"/>
      <c r="AD796" s="149"/>
      <c r="AE796" s="392"/>
      <c r="AF796" s="393"/>
      <c r="AG796" s="143"/>
      <c r="AH796" s="143"/>
      <c r="AI796" s="143"/>
      <c r="AJ796" s="143"/>
      <c r="AK796" s="389"/>
      <c r="AL796" s="389"/>
      <c r="AM796" s="389"/>
    </row>
    <row r="797">
      <c r="A797" s="307"/>
      <c r="B797" s="308"/>
      <c r="C797" s="309"/>
      <c r="D797" s="389"/>
      <c r="E797" s="307"/>
      <c r="F797" s="308"/>
      <c r="G797" s="309"/>
      <c r="H797" s="389"/>
      <c r="I797" s="307"/>
      <c r="J797" s="308"/>
      <c r="K797" s="309"/>
      <c r="L797" s="389"/>
      <c r="M797" s="307"/>
      <c r="N797" s="308"/>
      <c r="O797" s="309"/>
      <c r="P797" s="389"/>
      <c r="Q797" s="192"/>
      <c r="R797" s="149"/>
      <c r="S797" s="392"/>
      <c r="T797" s="393"/>
      <c r="U797" s="192"/>
      <c r="V797" s="149"/>
      <c r="W797" s="392"/>
      <c r="X797" s="393"/>
      <c r="Y797" s="192"/>
      <c r="Z797" s="149"/>
      <c r="AA797" s="392"/>
      <c r="AB797" s="393"/>
      <c r="AC797" s="192"/>
      <c r="AD797" s="149"/>
      <c r="AE797" s="392"/>
      <c r="AF797" s="393"/>
      <c r="AG797" s="143"/>
      <c r="AH797" s="143"/>
      <c r="AI797" s="143"/>
      <c r="AJ797" s="143"/>
      <c r="AK797" s="389"/>
      <c r="AL797" s="389"/>
      <c r="AM797" s="389"/>
    </row>
    <row r="798">
      <c r="A798" s="307"/>
      <c r="B798" s="308"/>
      <c r="C798" s="309"/>
      <c r="D798" s="389"/>
      <c r="E798" s="307"/>
      <c r="F798" s="308"/>
      <c r="G798" s="309"/>
      <c r="H798" s="389"/>
      <c r="I798" s="307"/>
      <c r="J798" s="308"/>
      <c r="K798" s="309"/>
      <c r="L798" s="389"/>
      <c r="M798" s="307"/>
      <c r="N798" s="308"/>
      <c r="O798" s="309"/>
      <c r="P798" s="389"/>
      <c r="Q798" s="192"/>
      <c r="R798" s="149"/>
      <c r="S798" s="392"/>
      <c r="T798" s="393"/>
      <c r="U798" s="192"/>
      <c r="V798" s="149"/>
      <c r="W798" s="392"/>
      <c r="X798" s="393"/>
      <c r="Y798" s="192"/>
      <c r="Z798" s="149"/>
      <c r="AA798" s="392"/>
      <c r="AB798" s="393"/>
      <c r="AC798" s="192"/>
      <c r="AD798" s="149"/>
      <c r="AE798" s="392"/>
      <c r="AF798" s="393"/>
      <c r="AG798" s="143"/>
      <c r="AH798" s="143"/>
      <c r="AI798" s="143"/>
      <c r="AJ798" s="143"/>
      <c r="AK798" s="389"/>
      <c r="AL798" s="389"/>
      <c r="AM798" s="389"/>
    </row>
    <row r="799">
      <c r="A799" s="307"/>
      <c r="B799" s="308"/>
      <c r="C799" s="309"/>
      <c r="D799" s="389"/>
      <c r="E799" s="307"/>
      <c r="F799" s="308"/>
      <c r="G799" s="309"/>
      <c r="H799" s="389"/>
      <c r="I799" s="307"/>
      <c r="J799" s="308"/>
      <c r="K799" s="309"/>
      <c r="L799" s="389"/>
      <c r="M799" s="307"/>
      <c r="N799" s="308"/>
      <c r="O799" s="309"/>
      <c r="P799" s="389"/>
      <c r="Q799" s="192"/>
      <c r="R799" s="149"/>
      <c r="S799" s="392"/>
      <c r="T799" s="393"/>
      <c r="U799" s="192"/>
      <c r="V799" s="149"/>
      <c r="W799" s="392"/>
      <c r="X799" s="393"/>
      <c r="Y799" s="192"/>
      <c r="Z799" s="149"/>
      <c r="AA799" s="392"/>
      <c r="AB799" s="393"/>
      <c r="AC799" s="192"/>
      <c r="AD799" s="149"/>
      <c r="AE799" s="392"/>
      <c r="AF799" s="393"/>
      <c r="AG799" s="143"/>
      <c r="AH799" s="143"/>
      <c r="AI799" s="143"/>
      <c r="AJ799" s="143"/>
      <c r="AK799" s="389"/>
      <c r="AL799" s="389"/>
      <c r="AM799" s="389"/>
    </row>
    <row r="800">
      <c r="A800" s="307"/>
      <c r="B800" s="308"/>
      <c r="C800" s="309"/>
      <c r="D800" s="389"/>
      <c r="E800" s="307"/>
      <c r="F800" s="308"/>
      <c r="G800" s="309"/>
      <c r="H800" s="389"/>
      <c r="I800" s="307"/>
      <c r="J800" s="308"/>
      <c r="K800" s="309"/>
      <c r="L800" s="389"/>
      <c r="M800" s="307"/>
      <c r="N800" s="308"/>
      <c r="O800" s="309"/>
      <c r="P800" s="389"/>
      <c r="Q800" s="192"/>
      <c r="R800" s="149"/>
      <c r="S800" s="392"/>
      <c r="T800" s="393"/>
      <c r="U800" s="192"/>
      <c r="V800" s="149"/>
      <c r="W800" s="392"/>
      <c r="X800" s="393"/>
      <c r="Y800" s="192"/>
      <c r="Z800" s="149"/>
      <c r="AA800" s="392"/>
      <c r="AB800" s="393"/>
      <c r="AC800" s="192"/>
      <c r="AD800" s="149"/>
      <c r="AE800" s="392"/>
      <c r="AF800" s="393"/>
      <c r="AG800" s="143"/>
      <c r="AH800" s="143"/>
      <c r="AI800" s="143"/>
      <c r="AJ800" s="143"/>
      <c r="AK800" s="389"/>
      <c r="AL800" s="389"/>
      <c r="AM800" s="389"/>
    </row>
    <row r="801">
      <c r="A801" s="307"/>
      <c r="B801" s="308"/>
      <c r="C801" s="309"/>
      <c r="D801" s="389"/>
      <c r="E801" s="307"/>
      <c r="F801" s="308"/>
      <c r="G801" s="309"/>
      <c r="H801" s="389"/>
      <c r="I801" s="307"/>
      <c r="J801" s="308"/>
      <c r="K801" s="309"/>
      <c r="L801" s="389"/>
      <c r="M801" s="307"/>
      <c r="N801" s="308"/>
      <c r="O801" s="309"/>
      <c r="P801" s="389"/>
      <c r="Q801" s="192"/>
      <c r="R801" s="149"/>
      <c r="S801" s="392"/>
      <c r="T801" s="393"/>
      <c r="U801" s="192"/>
      <c r="V801" s="149"/>
      <c r="W801" s="392"/>
      <c r="X801" s="393"/>
      <c r="Y801" s="192"/>
      <c r="Z801" s="149"/>
      <c r="AA801" s="392"/>
      <c r="AB801" s="393"/>
      <c r="AC801" s="192"/>
      <c r="AD801" s="149"/>
      <c r="AE801" s="392"/>
      <c r="AF801" s="393"/>
      <c r="AG801" s="143"/>
      <c r="AH801" s="143"/>
      <c r="AI801" s="143"/>
      <c r="AJ801" s="143"/>
      <c r="AK801" s="389"/>
      <c r="AL801" s="389"/>
      <c r="AM801" s="389"/>
    </row>
    <row r="802">
      <c r="A802" s="307"/>
      <c r="B802" s="308"/>
      <c r="C802" s="309"/>
      <c r="D802" s="389"/>
      <c r="E802" s="307"/>
      <c r="F802" s="308"/>
      <c r="G802" s="309"/>
      <c r="H802" s="389"/>
      <c r="I802" s="307"/>
      <c r="J802" s="308"/>
      <c r="K802" s="309"/>
      <c r="L802" s="389"/>
      <c r="M802" s="307"/>
      <c r="N802" s="308"/>
      <c r="O802" s="309"/>
      <c r="P802" s="389"/>
      <c r="Q802" s="192"/>
      <c r="R802" s="149"/>
      <c r="S802" s="392"/>
      <c r="T802" s="393"/>
      <c r="U802" s="192"/>
      <c r="V802" s="149"/>
      <c r="W802" s="392"/>
      <c r="X802" s="393"/>
      <c r="Y802" s="192"/>
      <c r="Z802" s="149"/>
      <c r="AA802" s="392"/>
      <c r="AB802" s="393"/>
      <c r="AC802" s="192"/>
      <c r="AD802" s="149"/>
      <c r="AE802" s="392"/>
      <c r="AF802" s="393"/>
      <c r="AG802" s="143"/>
      <c r="AH802" s="143"/>
      <c r="AI802" s="143"/>
      <c r="AJ802" s="143"/>
      <c r="AK802" s="389"/>
      <c r="AL802" s="389"/>
      <c r="AM802" s="389"/>
    </row>
    <row r="803">
      <c r="A803" s="307"/>
      <c r="B803" s="308"/>
      <c r="C803" s="309"/>
      <c r="D803" s="389"/>
      <c r="E803" s="307"/>
      <c r="F803" s="308"/>
      <c r="G803" s="309"/>
      <c r="H803" s="389"/>
      <c r="I803" s="307"/>
      <c r="J803" s="308"/>
      <c r="K803" s="309"/>
      <c r="L803" s="389"/>
      <c r="M803" s="307"/>
      <c r="N803" s="308"/>
      <c r="O803" s="309"/>
      <c r="P803" s="389"/>
      <c r="Q803" s="192"/>
      <c r="R803" s="149"/>
      <c r="S803" s="392"/>
      <c r="T803" s="393"/>
      <c r="U803" s="192"/>
      <c r="V803" s="149"/>
      <c r="W803" s="392"/>
      <c r="X803" s="393"/>
      <c r="Y803" s="192"/>
      <c r="Z803" s="149"/>
      <c r="AA803" s="392"/>
      <c r="AB803" s="393"/>
      <c r="AC803" s="192"/>
      <c r="AD803" s="149"/>
      <c r="AE803" s="392"/>
      <c r="AF803" s="393"/>
      <c r="AG803" s="143"/>
      <c r="AH803" s="143"/>
      <c r="AI803" s="143"/>
      <c r="AJ803" s="143"/>
      <c r="AK803" s="389"/>
      <c r="AL803" s="389"/>
      <c r="AM803" s="389"/>
    </row>
    <row r="804">
      <c r="A804" s="307"/>
      <c r="B804" s="308"/>
      <c r="C804" s="309"/>
      <c r="D804" s="389"/>
      <c r="E804" s="307"/>
      <c r="F804" s="308"/>
      <c r="G804" s="309"/>
      <c r="H804" s="389"/>
      <c r="I804" s="307"/>
      <c r="J804" s="308"/>
      <c r="K804" s="309"/>
      <c r="L804" s="389"/>
      <c r="M804" s="307"/>
      <c r="N804" s="308"/>
      <c r="O804" s="309"/>
      <c r="P804" s="389"/>
      <c r="Q804" s="192"/>
      <c r="R804" s="149"/>
      <c r="S804" s="392"/>
      <c r="T804" s="393"/>
      <c r="U804" s="192"/>
      <c r="V804" s="149"/>
      <c r="W804" s="392"/>
      <c r="X804" s="393"/>
      <c r="Y804" s="192"/>
      <c r="Z804" s="149"/>
      <c r="AA804" s="392"/>
      <c r="AB804" s="393"/>
      <c r="AC804" s="192"/>
      <c r="AD804" s="149"/>
      <c r="AE804" s="392"/>
      <c r="AF804" s="393"/>
      <c r="AG804" s="143"/>
      <c r="AH804" s="143"/>
      <c r="AI804" s="143"/>
      <c r="AJ804" s="143"/>
      <c r="AK804" s="389"/>
      <c r="AL804" s="389"/>
      <c r="AM804" s="389"/>
    </row>
    <row r="805">
      <c r="A805" s="307"/>
      <c r="B805" s="308"/>
      <c r="C805" s="309"/>
      <c r="D805" s="389"/>
      <c r="E805" s="307"/>
      <c r="F805" s="308"/>
      <c r="G805" s="309"/>
      <c r="H805" s="389"/>
      <c r="I805" s="307"/>
      <c r="J805" s="308"/>
      <c r="K805" s="309"/>
      <c r="L805" s="389"/>
      <c r="M805" s="307"/>
      <c r="N805" s="308"/>
      <c r="O805" s="309"/>
      <c r="P805" s="389"/>
      <c r="Q805" s="192"/>
      <c r="R805" s="149"/>
      <c r="S805" s="392"/>
      <c r="T805" s="393"/>
      <c r="U805" s="192"/>
      <c r="V805" s="149"/>
      <c r="W805" s="392"/>
      <c r="X805" s="393"/>
      <c r="Y805" s="192"/>
      <c r="Z805" s="149"/>
      <c r="AA805" s="392"/>
      <c r="AB805" s="393"/>
      <c r="AC805" s="192"/>
      <c r="AD805" s="149"/>
      <c r="AE805" s="392"/>
      <c r="AF805" s="393"/>
      <c r="AG805" s="143"/>
      <c r="AH805" s="143"/>
      <c r="AI805" s="143"/>
      <c r="AJ805" s="143"/>
      <c r="AK805" s="389"/>
      <c r="AL805" s="389"/>
      <c r="AM805" s="389"/>
    </row>
    <row r="806">
      <c r="A806" s="307"/>
      <c r="B806" s="308"/>
      <c r="C806" s="309"/>
      <c r="D806" s="389"/>
      <c r="E806" s="307"/>
      <c r="F806" s="308"/>
      <c r="G806" s="309"/>
      <c r="H806" s="389"/>
      <c r="I806" s="307"/>
      <c r="J806" s="308"/>
      <c r="K806" s="309"/>
      <c r="L806" s="389"/>
      <c r="M806" s="307"/>
      <c r="N806" s="308"/>
      <c r="O806" s="309"/>
      <c r="P806" s="389"/>
      <c r="Q806" s="192"/>
      <c r="R806" s="149"/>
      <c r="S806" s="392"/>
      <c r="T806" s="393"/>
      <c r="U806" s="192"/>
      <c r="V806" s="149"/>
      <c r="W806" s="392"/>
      <c r="X806" s="393"/>
      <c r="Y806" s="192"/>
      <c r="Z806" s="149"/>
      <c r="AA806" s="392"/>
      <c r="AB806" s="393"/>
      <c r="AC806" s="192"/>
      <c r="AD806" s="149"/>
      <c r="AE806" s="392"/>
      <c r="AF806" s="393"/>
      <c r="AG806" s="143"/>
      <c r="AH806" s="143"/>
      <c r="AI806" s="143"/>
      <c r="AJ806" s="143"/>
      <c r="AK806" s="389"/>
      <c r="AL806" s="389"/>
      <c r="AM806" s="389"/>
    </row>
    <row r="807">
      <c r="A807" s="307"/>
      <c r="B807" s="308"/>
      <c r="C807" s="309"/>
      <c r="D807" s="389"/>
      <c r="E807" s="307"/>
      <c r="F807" s="308"/>
      <c r="G807" s="309"/>
      <c r="H807" s="389"/>
      <c r="I807" s="307"/>
      <c r="J807" s="308"/>
      <c r="K807" s="309"/>
      <c r="L807" s="389"/>
      <c r="M807" s="307"/>
      <c r="N807" s="308"/>
      <c r="O807" s="309"/>
      <c r="P807" s="389"/>
      <c r="Q807" s="192"/>
      <c r="R807" s="149"/>
      <c r="S807" s="392"/>
      <c r="T807" s="393"/>
      <c r="U807" s="192"/>
      <c r="V807" s="149"/>
      <c r="W807" s="392"/>
      <c r="X807" s="393"/>
      <c r="Y807" s="192"/>
      <c r="Z807" s="149"/>
      <c r="AA807" s="392"/>
      <c r="AB807" s="393"/>
      <c r="AC807" s="192"/>
      <c r="AD807" s="149"/>
      <c r="AE807" s="392"/>
      <c r="AF807" s="393"/>
      <c r="AG807" s="143"/>
      <c r="AH807" s="143"/>
      <c r="AI807" s="143"/>
      <c r="AJ807" s="143"/>
      <c r="AK807" s="389"/>
      <c r="AL807" s="389"/>
      <c r="AM807" s="389"/>
    </row>
    <row r="808">
      <c r="A808" s="307"/>
      <c r="B808" s="308"/>
      <c r="C808" s="309"/>
      <c r="D808" s="389"/>
      <c r="E808" s="307"/>
      <c r="F808" s="308"/>
      <c r="G808" s="309"/>
      <c r="H808" s="389"/>
      <c r="I808" s="307"/>
      <c r="J808" s="308"/>
      <c r="K808" s="309"/>
      <c r="L808" s="389"/>
      <c r="M808" s="307"/>
      <c r="N808" s="308"/>
      <c r="O808" s="309"/>
      <c r="P808" s="389"/>
      <c r="Q808" s="192"/>
      <c r="R808" s="149"/>
      <c r="S808" s="392"/>
      <c r="T808" s="393"/>
      <c r="U808" s="192"/>
      <c r="V808" s="149"/>
      <c r="W808" s="392"/>
      <c r="X808" s="393"/>
      <c r="Y808" s="192"/>
      <c r="Z808" s="149"/>
      <c r="AA808" s="392"/>
      <c r="AB808" s="393"/>
      <c r="AC808" s="192"/>
      <c r="AD808" s="149"/>
      <c r="AE808" s="392"/>
      <c r="AF808" s="393"/>
      <c r="AG808" s="143"/>
      <c r="AH808" s="143"/>
      <c r="AI808" s="143"/>
      <c r="AJ808" s="143"/>
      <c r="AK808" s="389"/>
      <c r="AL808" s="389"/>
      <c r="AM808" s="389"/>
    </row>
    <row r="809">
      <c r="A809" s="307"/>
      <c r="B809" s="308"/>
      <c r="C809" s="309"/>
      <c r="D809" s="389"/>
      <c r="E809" s="307"/>
      <c r="F809" s="308"/>
      <c r="G809" s="309"/>
      <c r="H809" s="389"/>
      <c r="I809" s="307"/>
      <c r="J809" s="308"/>
      <c r="K809" s="309"/>
      <c r="L809" s="389"/>
      <c r="M809" s="307"/>
      <c r="N809" s="308"/>
      <c r="O809" s="309"/>
      <c r="P809" s="389"/>
      <c r="Q809" s="192"/>
      <c r="R809" s="149"/>
      <c r="S809" s="392"/>
      <c r="T809" s="393"/>
      <c r="U809" s="192"/>
      <c r="V809" s="149"/>
      <c r="W809" s="392"/>
      <c r="X809" s="393"/>
      <c r="Y809" s="192"/>
      <c r="Z809" s="149"/>
      <c r="AA809" s="392"/>
      <c r="AB809" s="393"/>
      <c r="AC809" s="192"/>
      <c r="AD809" s="149"/>
      <c r="AE809" s="392"/>
      <c r="AF809" s="393"/>
      <c r="AG809" s="143"/>
      <c r="AH809" s="143"/>
      <c r="AI809" s="143"/>
      <c r="AJ809" s="143"/>
      <c r="AK809" s="389"/>
      <c r="AL809" s="389"/>
      <c r="AM809" s="389"/>
    </row>
    <row r="810">
      <c r="A810" s="307"/>
      <c r="B810" s="308"/>
      <c r="C810" s="309"/>
      <c r="D810" s="389"/>
      <c r="E810" s="307"/>
      <c r="F810" s="308"/>
      <c r="G810" s="309"/>
      <c r="H810" s="389"/>
      <c r="I810" s="307"/>
      <c r="J810" s="308"/>
      <c r="K810" s="309"/>
      <c r="L810" s="389"/>
      <c r="M810" s="307"/>
      <c r="N810" s="308"/>
      <c r="O810" s="309"/>
      <c r="P810" s="389"/>
      <c r="Q810" s="192"/>
      <c r="R810" s="149"/>
      <c r="S810" s="392"/>
      <c r="T810" s="393"/>
      <c r="U810" s="192"/>
      <c r="V810" s="149"/>
      <c r="W810" s="392"/>
      <c r="X810" s="393"/>
      <c r="Y810" s="192"/>
      <c r="Z810" s="149"/>
      <c r="AA810" s="392"/>
      <c r="AB810" s="393"/>
      <c r="AC810" s="192"/>
      <c r="AD810" s="149"/>
      <c r="AE810" s="392"/>
      <c r="AF810" s="393"/>
      <c r="AG810" s="143"/>
      <c r="AH810" s="143"/>
      <c r="AI810" s="143"/>
      <c r="AJ810" s="143"/>
      <c r="AK810" s="389"/>
      <c r="AL810" s="389"/>
      <c r="AM810" s="389"/>
    </row>
    <row r="811">
      <c r="A811" s="307"/>
      <c r="B811" s="308"/>
      <c r="C811" s="309"/>
      <c r="D811" s="389"/>
      <c r="E811" s="307"/>
      <c r="F811" s="308"/>
      <c r="G811" s="309"/>
      <c r="H811" s="389"/>
      <c r="I811" s="307"/>
      <c r="J811" s="308"/>
      <c r="K811" s="309"/>
      <c r="L811" s="389"/>
      <c r="M811" s="307"/>
      <c r="N811" s="308"/>
      <c r="O811" s="309"/>
      <c r="P811" s="389"/>
      <c r="Q811" s="192"/>
      <c r="R811" s="149"/>
      <c r="S811" s="392"/>
      <c r="T811" s="393"/>
      <c r="U811" s="192"/>
      <c r="V811" s="149"/>
      <c r="W811" s="392"/>
      <c r="X811" s="393"/>
      <c r="Y811" s="192"/>
      <c r="Z811" s="149"/>
      <c r="AA811" s="392"/>
      <c r="AB811" s="393"/>
      <c r="AC811" s="192"/>
      <c r="AD811" s="149"/>
      <c r="AE811" s="392"/>
      <c r="AF811" s="393"/>
      <c r="AG811" s="143"/>
      <c r="AH811" s="143"/>
      <c r="AI811" s="143"/>
      <c r="AJ811" s="143"/>
      <c r="AK811" s="389"/>
      <c r="AL811" s="389"/>
      <c r="AM811" s="389"/>
    </row>
    <row r="812">
      <c r="A812" s="307"/>
      <c r="B812" s="308"/>
      <c r="C812" s="309"/>
      <c r="D812" s="389"/>
      <c r="E812" s="307"/>
      <c r="F812" s="308"/>
      <c r="G812" s="309"/>
      <c r="H812" s="389"/>
      <c r="I812" s="307"/>
      <c r="J812" s="308"/>
      <c r="K812" s="309"/>
      <c r="L812" s="389"/>
      <c r="M812" s="307"/>
      <c r="N812" s="308"/>
      <c r="O812" s="309"/>
      <c r="P812" s="389"/>
      <c r="Q812" s="192"/>
      <c r="R812" s="149"/>
      <c r="S812" s="392"/>
      <c r="T812" s="393"/>
      <c r="U812" s="192"/>
      <c r="V812" s="149"/>
      <c r="W812" s="392"/>
      <c r="X812" s="393"/>
      <c r="Y812" s="192"/>
      <c r="Z812" s="149"/>
      <c r="AA812" s="392"/>
      <c r="AB812" s="393"/>
      <c r="AC812" s="192"/>
      <c r="AD812" s="149"/>
      <c r="AE812" s="392"/>
      <c r="AF812" s="393"/>
      <c r="AG812" s="143"/>
      <c r="AH812" s="143"/>
      <c r="AI812" s="143"/>
      <c r="AJ812" s="143"/>
      <c r="AK812" s="389"/>
      <c r="AL812" s="389"/>
      <c r="AM812" s="389"/>
    </row>
    <row r="813">
      <c r="A813" s="307"/>
      <c r="B813" s="308"/>
      <c r="C813" s="309"/>
      <c r="D813" s="389"/>
      <c r="E813" s="307"/>
      <c r="F813" s="308"/>
      <c r="G813" s="309"/>
      <c r="H813" s="389"/>
      <c r="I813" s="307"/>
      <c r="J813" s="308"/>
      <c r="K813" s="309"/>
      <c r="L813" s="389"/>
      <c r="M813" s="307"/>
      <c r="N813" s="308"/>
      <c r="O813" s="309"/>
      <c r="P813" s="389"/>
      <c r="Q813" s="192"/>
      <c r="R813" s="149"/>
      <c r="S813" s="392"/>
      <c r="T813" s="393"/>
      <c r="U813" s="192"/>
      <c r="V813" s="149"/>
      <c r="W813" s="392"/>
      <c r="X813" s="393"/>
      <c r="Y813" s="192"/>
      <c r="Z813" s="149"/>
      <c r="AA813" s="392"/>
      <c r="AB813" s="393"/>
      <c r="AC813" s="192"/>
      <c r="AD813" s="149"/>
      <c r="AE813" s="392"/>
      <c r="AF813" s="393"/>
      <c r="AG813" s="143"/>
      <c r="AH813" s="143"/>
      <c r="AI813" s="143"/>
      <c r="AJ813" s="143"/>
      <c r="AK813" s="389"/>
      <c r="AL813" s="389"/>
      <c r="AM813" s="389"/>
    </row>
    <row r="814">
      <c r="A814" s="307"/>
      <c r="B814" s="308"/>
      <c r="C814" s="309"/>
      <c r="D814" s="389"/>
      <c r="E814" s="307"/>
      <c r="F814" s="308"/>
      <c r="G814" s="309"/>
      <c r="H814" s="389"/>
      <c r="I814" s="307"/>
      <c r="J814" s="308"/>
      <c r="K814" s="309"/>
      <c r="L814" s="389"/>
      <c r="M814" s="307"/>
      <c r="N814" s="308"/>
      <c r="O814" s="309"/>
      <c r="P814" s="389"/>
      <c r="Q814" s="192"/>
      <c r="R814" s="149"/>
      <c r="S814" s="392"/>
      <c r="T814" s="393"/>
      <c r="U814" s="192"/>
      <c r="V814" s="149"/>
      <c r="W814" s="392"/>
      <c r="X814" s="393"/>
      <c r="Y814" s="192"/>
      <c r="Z814" s="149"/>
      <c r="AA814" s="392"/>
      <c r="AB814" s="393"/>
      <c r="AC814" s="192"/>
      <c r="AD814" s="149"/>
      <c r="AE814" s="392"/>
      <c r="AF814" s="393"/>
      <c r="AG814" s="143"/>
      <c r="AH814" s="143"/>
      <c r="AI814" s="143"/>
      <c r="AJ814" s="143"/>
      <c r="AK814" s="389"/>
      <c r="AL814" s="389"/>
      <c r="AM814" s="389"/>
    </row>
    <row r="815">
      <c r="A815" s="307"/>
      <c r="B815" s="308"/>
      <c r="C815" s="309"/>
      <c r="D815" s="389"/>
      <c r="E815" s="307"/>
      <c r="F815" s="308"/>
      <c r="G815" s="309"/>
      <c r="H815" s="389"/>
      <c r="I815" s="307"/>
      <c r="J815" s="308"/>
      <c r="K815" s="309"/>
      <c r="L815" s="389"/>
      <c r="M815" s="307"/>
      <c r="N815" s="308"/>
      <c r="O815" s="309"/>
      <c r="P815" s="389"/>
      <c r="Q815" s="192"/>
      <c r="R815" s="149"/>
      <c r="S815" s="392"/>
      <c r="T815" s="393"/>
      <c r="U815" s="192"/>
      <c r="V815" s="149"/>
      <c r="W815" s="392"/>
      <c r="X815" s="393"/>
      <c r="Y815" s="192"/>
      <c r="Z815" s="149"/>
      <c r="AA815" s="392"/>
      <c r="AB815" s="393"/>
      <c r="AC815" s="192"/>
      <c r="AD815" s="149"/>
      <c r="AE815" s="392"/>
      <c r="AF815" s="393"/>
      <c r="AG815" s="143"/>
      <c r="AH815" s="143"/>
      <c r="AI815" s="143"/>
      <c r="AJ815" s="143"/>
      <c r="AK815" s="389"/>
      <c r="AL815" s="389"/>
      <c r="AM815" s="389"/>
    </row>
    <row r="816">
      <c r="A816" s="307"/>
      <c r="B816" s="308"/>
      <c r="C816" s="309"/>
      <c r="D816" s="389"/>
      <c r="E816" s="307"/>
      <c r="F816" s="308"/>
      <c r="G816" s="309"/>
      <c r="H816" s="389"/>
      <c r="I816" s="307"/>
      <c r="J816" s="308"/>
      <c r="K816" s="309"/>
      <c r="L816" s="389"/>
      <c r="M816" s="307"/>
      <c r="N816" s="308"/>
      <c r="O816" s="309"/>
      <c r="P816" s="389"/>
      <c r="Q816" s="192"/>
      <c r="R816" s="149"/>
      <c r="S816" s="392"/>
      <c r="T816" s="393"/>
      <c r="U816" s="192"/>
      <c r="V816" s="149"/>
      <c r="W816" s="392"/>
      <c r="X816" s="393"/>
      <c r="Y816" s="192"/>
      <c r="Z816" s="149"/>
      <c r="AA816" s="392"/>
      <c r="AB816" s="393"/>
      <c r="AC816" s="192"/>
      <c r="AD816" s="149"/>
      <c r="AE816" s="392"/>
      <c r="AF816" s="393"/>
      <c r="AG816" s="143"/>
      <c r="AH816" s="143"/>
      <c r="AI816" s="143"/>
      <c r="AJ816" s="143"/>
      <c r="AK816" s="389"/>
      <c r="AL816" s="389"/>
      <c r="AM816" s="389"/>
    </row>
    <row r="817">
      <c r="A817" s="307"/>
      <c r="B817" s="308"/>
      <c r="C817" s="309"/>
      <c r="D817" s="389"/>
      <c r="E817" s="307"/>
      <c r="F817" s="308"/>
      <c r="G817" s="309"/>
      <c r="H817" s="389"/>
      <c r="I817" s="307"/>
      <c r="J817" s="308"/>
      <c r="K817" s="309"/>
      <c r="L817" s="389"/>
      <c r="M817" s="307"/>
      <c r="N817" s="308"/>
      <c r="O817" s="309"/>
      <c r="P817" s="389"/>
      <c r="Q817" s="192"/>
      <c r="R817" s="149"/>
      <c r="S817" s="392"/>
      <c r="T817" s="393"/>
      <c r="U817" s="192"/>
      <c r="V817" s="149"/>
      <c r="W817" s="392"/>
      <c r="X817" s="393"/>
      <c r="Y817" s="192"/>
      <c r="Z817" s="149"/>
      <c r="AA817" s="392"/>
      <c r="AB817" s="393"/>
      <c r="AC817" s="192"/>
      <c r="AD817" s="149"/>
      <c r="AE817" s="392"/>
      <c r="AF817" s="393"/>
      <c r="AG817" s="143"/>
      <c r="AH817" s="143"/>
      <c r="AI817" s="143"/>
      <c r="AJ817" s="143"/>
      <c r="AK817" s="389"/>
      <c r="AL817" s="389"/>
      <c r="AM817" s="389"/>
    </row>
    <row r="818">
      <c r="A818" s="307"/>
      <c r="B818" s="308"/>
      <c r="C818" s="309"/>
      <c r="D818" s="389"/>
      <c r="E818" s="307"/>
      <c r="F818" s="308"/>
      <c r="G818" s="309"/>
      <c r="H818" s="389"/>
      <c r="I818" s="307"/>
      <c r="J818" s="308"/>
      <c r="K818" s="309"/>
      <c r="L818" s="389"/>
      <c r="M818" s="307"/>
      <c r="N818" s="308"/>
      <c r="O818" s="309"/>
      <c r="P818" s="389"/>
      <c r="Q818" s="192"/>
      <c r="R818" s="149"/>
      <c r="S818" s="392"/>
      <c r="T818" s="393"/>
      <c r="U818" s="192"/>
      <c r="V818" s="149"/>
      <c r="W818" s="392"/>
      <c r="X818" s="393"/>
      <c r="Y818" s="192"/>
      <c r="Z818" s="149"/>
      <c r="AA818" s="392"/>
      <c r="AB818" s="393"/>
      <c r="AC818" s="192"/>
      <c r="AD818" s="149"/>
      <c r="AE818" s="392"/>
      <c r="AF818" s="393"/>
      <c r="AG818" s="143"/>
      <c r="AH818" s="143"/>
      <c r="AI818" s="143"/>
      <c r="AJ818" s="143"/>
      <c r="AK818" s="389"/>
      <c r="AL818" s="389"/>
      <c r="AM818" s="389"/>
    </row>
    <row r="819">
      <c r="A819" s="307"/>
      <c r="B819" s="308"/>
      <c r="C819" s="309"/>
      <c r="D819" s="389"/>
      <c r="E819" s="307"/>
      <c r="F819" s="308"/>
      <c r="G819" s="309"/>
      <c r="H819" s="389"/>
      <c r="I819" s="307"/>
      <c r="J819" s="308"/>
      <c r="K819" s="309"/>
      <c r="L819" s="389"/>
      <c r="M819" s="307"/>
      <c r="N819" s="308"/>
      <c r="O819" s="309"/>
      <c r="P819" s="389"/>
      <c r="Q819" s="192"/>
      <c r="R819" s="149"/>
      <c r="S819" s="392"/>
      <c r="T819" s="393"/>
      <c r="U819" s="192"/>
      <c r="V819" s="149"/>
      <c r="W819" s="392"/>
      <c r="X819" s="393"/>
      <c r="Y819" s="192"/>
      <c r="Z819" s="149"/>
      <c r="AA819" s="392"/>
      <c r="AB819" s="393"/>
      <c r="AC819" s="192"/>
      <c r="AD819" s="149"/>
      <c r="AE819" s="392"/>
      <c r="AF819" s="393"/>
      <c r="AG819" s="143"/>
      <c r="AH819" s="143"/>
      <c r="AI819" s="143"/>
      <c r="AJ819" s="143"/>
      <c r="AK819" s="389"/>
      <c r="AL819" s="389"/>
      <c r="AM819" s="389"/>
    </row>
    <row r="820">
      <c r="A820" s="307"/>
      <c r="B820" s="308"/>
      <c r="C820" s="309"/>
      <c r="D820" s="389"/>
      <c r="E820" s="307"/>
      <c r="F820" s="308"/>
      <c r="G820" s="309"/>
      <c r="H820" s="389"/>
      <c r="I820" s="307"/>
      <c r="J820" s="308"/>
      <c r="K820" s="309"/>
      <c r="L820" s="389"/>
      <c r="M820" s="307"/>
      <c r="N820" s="308"/>
      <c r="O820" s="309"/>
      <c r="P820" s="389"/>
      <c r="Q820" s="192"/>
      <c r="R820" s="149"/>
      <c r="S820" s="392"/>
      <c r="T820" s="393"/>
      <c r="U820" s="192"/>
      <c r="V820" s="149"/>
      <c r="W820" s="392"/>
      <c r="X820" s="393"/>
      <c r="Y820" s="192"/>
      <c r="Z820" s="149"/>
      <c r="AA820" s="392"/>
      <c r="AB820" s="393"/>
      <c r="AC820" s="192"/>
      <c r="AD820" s="149"/>
      <c r="AE820" s="392"/>
      <c r="AF820" s="393"/>
      <c r="AG820" s="143"/>
      <c r="AH820" s="143"/>
      <c r="AI820" s="143"/>
      <c r="AJ820" s="143"/>
      <c r="AK820" s="389"/>
      <c r="AL820" s="389"/>
      <c r="AM820" s="389"/>
    </row>
    <row r="821">
      <c r="A821" s="307"/>
      <c r="B821" s="308"/>
      <c r="C821" s="309"/>
      <c r="D821" s="389"/>
      <c r="E821" s="307"/>
      <c r="F821" s="308"/>
      <c r="G821" s="309"/>
      <c r="H821" s="389"/>
      <c r="I821" s="307"/>
      <c r="J821" s="308"/>
      <c r="K821" s="309"/>
      <c r="L821" s="389"/>
      <c r="M821" s="307"/>
      <c r="N821" s="308"/>
      <c r="O821" s="309"/>
      <c r="P821" s="389"/>
      <c r="Q821" s="192"/>
      <c r="R821" s="149"/>
      <c r="S821" s="392"/>
      <c r="T821" s="393"/>
      <c r="U821" s="192"/>
      <c r="V821" s="149"/>
      <c r="W821" s="392"/>
      <c r="X821" s="393"/>
      <c r="Y821" s="192"/>
      <c r="Z821" s="149"/>
      <c r="AA821" s="392"/>
      <c r="AB821" s="393"/>
      <c r="AC821" s="192"/>
      <c r="AD821" s="149"/>
      <c r="AE821" s="392"/>
      <c r="AF821" s="393"/>
      <c r="AG821" s="143"/>
      <c r="AH821" s="143"/>
      <c r="AI821" s="143"/>
      <c r="AJ821" s="143"/>
      <c r="AK821" s="389"/>
      <c r="AL821" s="389"/>
      <c r="AM821" s="389"/>
    </row>
    <row r="822">
      <c r="A822" s="307"/>
      <c r="B822" s="308"/>
      <c r="C822" s="309"/>
      <c r="D822" s="389"/>
      <c r="E822" s="307"/>
      <c r="F822" s="308"/>
      <c r="G822" s="309"/>
      <c r="H822" s="389"/>
      <c r="I822" s="307"/>
      <c r="J822" s="308"/>
      <c r="K822" s="309"/>
      <c r="L822" s="389"/>
      <c r="M822" s="307"/>
      <c r="N822" s="308"/>
      <c r="O822" s="309"/>
      <c r="P822" s="389"/>
      <c r="Q822" s="192"/>
      <c r="R822" s="149"/>
      <c r="S822" s="392"/>
      <c r="T822" s="393"/>
      <c r="U822" s="192"/>
      <c r="V822" s="149"/>
      <c r="W822" s="392"/>
      <c r="X822" s="393"/>
      <c r="Y822" s="192"/>
      <c r="Z822" s="149"/>
      <c r="AA822" s="392"/>
      <c r="AB822" s="393"/>
      <c r="AC822" s="192"/>
      <c r="AD822" s="149"/>
      <c r="AE822" s="392"/>
      <c r="AF822" s="393"/>
      <c r="AG822" s="143"/>
      <c r="AH822" s="143"/>
      <c r="AI822" s="143"/>
      <c r="AJ822" s="143"/>
      <c r="AK822" s="389"/>
      <c r="AL822" s="389"/>
      <c r="AM822" s="389"/>
    </row>
    <row r="823">
      <c r="A823" s="307"/>
      <c r="B823" s="308"/>
      <c r="C823" s="309"/>
      <c r="D823" s="389"/>
      <c r="E823" s="307"/>
      <c r="F823" s="308"/>
      <c r="G823" s="309"/>
      <c r="H823" s="389"/>
      <c r="I823" s="307"/>
      <c r="J823" s="308"/>
      <c r="K823" s="309"/>
      <c r="L823" s="389"/>
      <c r="M823" s="307"/>
      <c r="N823" s="308"/>
      <c r="O823" s="309"/>
      <c r="P823" s="389"/>
      <c r="Q823" s="192"/>
      <c r="R823" s="149"/>
      <c r="S823" s="392"/>
      <c r="T823" s="393"/>
      <c r="U823" s="192"/>
      <c r="V823" s="149"/>
      <c r="W823" s="392"/>
      <c r="X823" s="393"/>
      <c r="Y823" s="192"/>
      <c r="Z823" s="149"/>
      <c r="AA823" s="392"/>
      <c r="AB823" s="393"/>
      <c r="AC823" s="192"/>
      <c r="AD823" s="149"/>
      <c r="AE823" s="392"/>
      <c r="AF823" s="393"/>
      <c r="AG823" s="143"/>
      <c r="AH823" s="143"/>
      <c r="AI823" s="143"/>
      <c r="AJ823" s="143"/>
      <c r="AK823" s="389"/>
      <c r="AL823" s="389"/>
      <c r="AM823" s="389"/>
    </row>
    <row r="824">
      <c r="A824" s="307"/>
      <c r="B824" s="308"/>
      <c r="C824" s="309"/>
      <c r="D824" s="389"/>
      <c r="E824" s="307"/>
      <c r="F824" s="308"/>
      <c r="G824" s="309"/>
      <c r="H824" s="389"/>
      <c r="I824" s="307"/>
      <c r="J824" s="308"/>
      <c r="K824" s="309"/>
      <c r="L824" s="389"/>
      <c r="M824" s="307"/>
      <c r="N824" s="308"/>
      <c r="O824" s="309"/>
      <c r="P824" s="389"/>
      <c r="Q824" s="192"/>
      <c r="R824" s="149"/>
      <c r="S824" s="392"/>
      <c r="T824" s="393"/>
      <c r="U824" s="192"/>
      <c r="V824" s="149"/>
      <c r="W824" s="392"/>
      <c r="X824" s="393"/>
      <c r="Y824" s="192"/>
      <c r="Z824" s="149"/>
      <c r="AA824" s="392"/>
      <c r="AB824" s="393"/>
      <c r="AC824" s="192"/>
      <c r="AD824" s="149"/>
      <c r="AE824" s="392"/>
      <c r="AF824" s="393"/>
      <c r="AG824" s="143"/>
      <c r="AH824" s="143"/>
      <c r="AI824" s="143"/>
      <c r="AJ824" s="143"/>
      <c r="AK824" s="389"/>
      <c r="AL824" s="389"/>
      <c r="AM824" s="389"/>
    </row>
    <row r="825">
      <c r="A825" s="307"/>
      <c r="B825" s="308"/>
      <c r="C825" s="309"/>
      <c r="D825" s="389"/>
      <c r="E825" s="307"/>
      <c r="F825" s="308"/>
      <c r="G825" s="309"/>
      <c r="H825" s="389"/>
      <c r="I825" s="307"/>
      <c r="J825" s="308"/>
      <c r="K825" s="309"/>
      <c r="L825" s="389"/>
      <c r="M825" s="307"/>
      <c r="N825" s="308"/>
      <c r="O825" s="309"/>
      <c r="P825" s="389"/>
      <c r="Q825" s="192"/>
      <c r="R825" s="149"/>
      <c r="S825" s="392"/>
      <c r="T825" s="393"/>
      <c r="U825" s="192"/>
      <c r="V825" s="149"/>
      <c r="W825" s="392"/>
      <c r="X825" s="393"/>
      <c r="Y825" s="192"/>
      <c r="Z825" s="149"/>
      <c r="AA825" s="392"/>
      <c r="AB825" s="393"/>
      <c r="AC825" s="192"/>
      <c r="AD825" s="149"/>
      <c r="AE825" s="392"/>
      <c r="AF825" s="393"/>
      <c r="AG825" s="143"/>
      <c r="AH825" s="143"/>
      <c r="AI825" s="143"/>
      <c r="AJ825" s="143"/>
      <c r="AK825" s="389"/>
      <c r="AL825" s="389"/>
      <c r="AM825" s="389"/>
    </row>
    <row r="826">
      <c r="A826" s="307"/>
      <c r="B826" s="308"/>
      <c r="C826" s="309"/>
      <c r="D826" s="389"/>
      <c r="E826" s="307"/>
      <c r="F826" s="308"/>
      <c r="G826" s="309"/>
      <c r="H826" s="389"/>
      <c r="I826" s="307"/>
      <c r="J826" s="308"/>
      <c r="K826" s="309"/>
      <c r="L826" s="389"/>
      <c r="M826" s="307"/>
      <c r="N826" s="308"/>
      <c r="O826" s="309"/>
      <c r="P826" s="389"/>
      <c r="Q826" s="192"/>
      <c r="R826" s="149"/>
      <c r="S826" s="392"/>
      <c r="T826" s="393"/>
      <c r="U826" s="192"/>
      <c r="V826" s="149"/>
      <c r="W826" s="392"/>
      <c r="X826" s="393"/>
      <c r="Y826" s="192"/>
      <c r="Z826" s="149"/>
      <c r="AA826" s="392"/>
      <c r="AB826" s="393"/>
      <c r="AC826" s="192"/>
      <c r="AD826" s="149"/>
      <c r="AE826" s="392"/>
      <c r="AF826" s="393"/>
      <c r="AG826" s="143"/>
      <c r="AH826" s="143"/>
      <c r="AI826" s="143"/>
      <c r="AJ826" s="143"/>
      <c r="AK826" s="389"/>
      <c r="AL826" s="389"/>
      <c r="AM826" s="389"/>
    </row>
    <row r="827">
      <c r="A827" s="307"/>
      <c r="B827" s="308"/>
      <c r="C827" s="309"/>
      <c r="D827" s="389"/>
      <c r="E827" s="307"/>
      <c r="F827" s="308"/>
      <c r="G827" s="309"/>
      <c r="H827" s="389"/>
      <c r="I827" s="307"/>
      <c r="J827" s="308"/>
      <c r="K827" s="309"/>
      <c r="L827" s="389"/>
      <c r="M827" s="307"/>
      <c r="N827" s="308"/>
      <c r="O827" s="309"/>
      <c r="P827" s="389"/>
      <c r="Q827" s="192"/>
      <c r="R827" s="149"/>
      <c r="S827" s="392"/>
      <c r="T827" s="393"/>
      <c r="U827" s="192"/>
      <c r="V827" s="149"/>
      <c r="W827" s="392"/>
      <c r="X827" s="393"/>
      <c r="Y827" s="192"/>
      <c r="Z827" s="149"/>
      <c r="AA827" s="392"/>
      <c r="AB827" s="393"/>
      <c r="AC827" s="192"/>
      <c r="AD827" s="149"/>
      <c r="AE827" s="392"/>
      <c r="AF827" s="393"/>
      <c r="AG827" s="143"/>
      <c r="AH827" s="143"/>
      <c r="AI827" s="143"/>
      <c r="AJ827" s="143"/>
      <c r="AK827" s="389"/>
      <c r="AL827" s="389"/>
      <c r="AM827" s="389"/>
    </row>
    <row r="828">
      <c r="A828" s="307"/>
      <c r="B828" s="308"/>
      <c r="C828" s="309"/>
      <c r="D828" s="389"/>
      <c r="E828" s="307"/>
      <c r="F828" s="308"/>
      <c r="G828" s="309"/>
      <c r="H828" s="389"/>
      <c r="I828" s="307"/>
      <c r="J828" s="308"/>
      <c r="K828" s="309"/>
      <c r="L828" s="389"/>
      <c r="M828" s="307"/>
      <c r="N828" s="308"/>
      <c r="O828" s="309"/>
      <c r="P828" s="389"/>
      <c r="Q828" s="192"/>
      <c r="R828" s="149"/>
      <c r="S828" s="392"/>
      <c r="T828" s="393"/>
      <c r="U828" s="192"/>
      <c r="V828" s="149"/>
      <c r="W828" s="392"/>
      <c r="X828" s="393"/>
      <c r="Y828" s="192"/>
      <c r="Z828" s="149"/>
      <c r="AA828" s="392"/>
      <c r="AB828" s="393"/>
      <c r="AC828" s="192"/>
      <c r="AD828" s="149"/>
      <c r="AE828" s="392"/>
      <c r="AF828" s="393"/>
      <c r="AG828" s="143"/>
      <c r="AH828" s="143"/>
      <c r="AI828" s="143"/>
      <c r="AJ828" s="143"/>
      <c r="AK828" s="389"/>
      <c r="AL828" s="389"/>
      <c r="AM828" s="389"/>
    </row>
    <row r="829">
      <c r="A829" s="307"/>
      <c r="B829" s="308"/>
      <c r="C829" s="309"/>
      <c r="D829" s="389"/>
      <c r="E829" s="307"/>
      <c r="F829" s="308"/>
      <c r="G829" s="309"/>
      <c r="H829" s="389"/>
      <c r="I829" s="307"/>
      <c r="J829" s="308"/>
      <c r="K829" s="309"/>
      <c r="L829" s="389"/>
      <c r="M829" s="307"/>
      <c r="N829" s="308"/>
      <c r="O829" s="309"/>
      <c r="P829" s="389"/>
      <c r="Q829" s="192"/>
      <c r="R829" s="149"/>
      <c r="S829" s="392"/>
      <c r="T829" s="393"/>
      <c r="U829" s="192"/>
      <c r="V829" s="149"/>
      <c r="W829" s="392"/>
      <c r="X829" s="393"/>
      <c r="Y829" s="192"/>
      <c r="Z829" s="149"/>
      <c r="AA829" s="392"/>
      <c r="AB829" s="393"/>
      <c r="AC829" s="192"/>
      <c r="AD829" s="149"/>
      <c r="AE829" s="392"/>
      <c r="AF829" s="393"/>
      <c r="AG829" s="143"/>
      <c r="AH829" s="143"/>
      <c r="AI829" s="143"/>
      <c r="AJ829" s="143"/>
      <c r="AK829" s="389"/>
      <c r="AL829" s="389"/>
      <c r="AM829" s="389"/>
    </row>
    <row r="830">
      <c r="A830" s="307"/>
      <c r="B830" s="308"/>
      <c r="C830" s="309"/>
      <c r="D830" s="389"/>
      <c r="E830" s="307"/>
      <c r="F830" s="308"/>
      <c r="G830" s="309"/>
      <c r="H830" s="389"/>
      <c r="I830" s="307"/>
      <c r="J830" s="308"/>
      <c r="K830" s="309"/>
      <c r="L830" s="389"/>
      <c r="M830" s="307"/>
      <c r="N830" s="308"/>
      <c r="O830" s="309"/>
      <c r="P830" s="389"/>
      <c r="Q830" s="192"/>
      <c r="R830" s="149"/>
      <c r="S830" s="392"/>
      <c r="T830" s="393"/>
      <c r="U830" s="192"/>
      <c r="V830" s="149"/>
      <c r="W830" s="392"/>
      <c r="X830" s="393"/>
      <c r="Y830" s="192"/>
      <c r="Z830" s="149"/>
      <c r="AA830" s="392"/>
      <c r="AB830" s="393"/>
      <c r="AC830" s="192"/>
      <c r="AD830" s="149"/>
      <c r="AE830" s="392"/>
      <c r="AF830" s="393"/>
      <c r="AG830" s="143"/>
      <c r="AH830" s="143"/>
      <c r="AI830" s="143"/>
      <c r="AJ830" s="143"/>
      <c r="AK830" s="389"/>
      <c r="AL830" s="389"/>
      <c r="AM830" s="389"/>
    </row>
    <row r="831">
      <c r="A831" s="307"/>
      <c r="B831" s="308"/>
      <c r="C831" s="309"/>
      <c r="D831" s="389"/>
      <c r="E831" s="307"/>
      <c r="F831" s="308"/>
      <c r="G831" s="309"/>
      <c r="H831" s="389"/>
      <c r="I831" s="307"/>
      <c r="J831" s="308"/>
      <c r="K831" s="309"/>
      <c r="L831" s="389"/>
      <c r="M831" s="307"/>
      <c r="N831" s="308"/>
      <c r="O831" s="309"/>
      <c r="P831" s="389"/>
      <c r="Q831" s="192"/>
      <c r="R831" s="149"/>
      <c r="S831" s="392"/>
      <c r="T831" s="393"/>
      <c r="U831" s="192"/>
      <c r="V831" s="149"/>
      <c r="W831" s="392"/>
      <c r="X831" s="393"/>
      <c r="Y831" s="192"/>
      <c r="Z831" s="149"/>
      <c r="AA831" s="392"/>
      <c r="AB831" s="393"/>
      <c r="AC831" s="192"/>
      <c r="AD831" s="149"/>
      <c r="AE831" s="392"/>
      <c r="AF831" s="393"/>
      <c r="AG831" s="143"/>
      <c r="AH831" s="143"/>
      <c r="AI831" s="143"/>
      <c r="AJ831" s="143"/>
      <c r="AK831" s="389"/>
      <c r="AL831" s="389"/>
      <c r="AM831" s="389"/>
    </row>
    <row r="832">
      <c r="A832" s="307"/>
      <c r="B832" s="308"/>
      <c r="C832" s="309"/>
      <c r="D832" s="389"/>
      <c r="E832" s="307"/>
      <c r="F832" s="308"/>
      <c r="G832" s="309"/>
      <c r="H832" s="389"/>
      <c r="I832" s="307"/>
      <c r="J832" s="308"/>
      <c r="K832" s="309"/>
      <c r="L832" s="389"/>
      <c r="M832" s="307"/>
      <c r="N832" s="308"/>
      <c r="O832" s="309"/>
      <c r="P832" s="389"/>
      <c r="Q832" s="192"/>
      <c r="R832" s="149"/>
      <c r="S832" s="392"/>
      <c r="T832" s="393"/>
      <c r="U832" s="192"/>
      <c r="V832" s="149"/>
      <c r="W832" s="392"/>
      <c r="X832" s="393"/>
      <c r="Y832" s="192"/>
      <c r="Z832" s="149"/>
      <c r="AA832" s="392"/>
      <c r="AB832" s="393"/>
      <c r="AC832" s="192"/>
      <c r="AD832" s="149"/>
      <c r="AE832" s="392"/>
      <c r="AF832" s="393"/>
      <c r="AG832" s="143"/>
      <c r="AH832" s="143"/>
      <c r="AI832" s="143"/>
      <c r="AJ832" s="143"/>
      <c r="AK832" s="389"/>
      <c r="AL832" s="389"/>
      <c r="AM832" s="389"/>
    </row>
    <row r="833">
      <c r="A833" s="307"/>
      <c r="B833" s="308"/>
      <c r="C833" s="309"/>
      <c r="D833" s="389"/>
      <c r="E833" s="307"/>
      <c r="F833" s="308"/>
      <c r="G833" s="309"/>
      <c r="H833" s="389"/>
      <c r="I833" s="307"/>
      <c r="J833" s="308"/>
      <c r="K833" s="309"/>
      <c r="L833" s="389"/>
      <c r="M833" s="307"/>
      <c r="N833" s="308"/>
      <c r="O833" s="309"/>
      <c r="P833" s="389"/>
      <c r="Q833" s="192"/>
      <c r="R833" s="149"/>
      <c r="S833" s="392"/>
      <c r="T833" s="393"/>
      <c r="U833" s="192"/>
      <c r="V833" s="149"/>
      <c r="W833" s="392"/>
      <c r="X833" s="393"/>
      <c r="Y833" s="192"/>
      <c r="Z833" s="149"/>
      <c r="AA833" s="392"/>
      <c r="AB833" s="393"/>
      <c r="AC833" s="192"/>
      <c r="AD833" s="149"/>
      <c r="AE833" s="392"/>
      <c r="AF833" s="393"/>
      <c r="AG833" s="143"/>
      <c r="AH833" s="143"/>
      <c r="AI833" s="143"/>
      <c r="AJ833" s="143"/>
      <c r="AK833" s="389"/>
      <c r="AL833" s="389"/>
      <c r="AM833" s="389"/>
    </row>
    <row r="834">
      <c r="A834" s="307"/>
      <c r="B834" s="308"/>
      <c r="C834" s="309"/>
      <c r="D834" s="389"/>
      <c r="E834" s="307"/>
      <c r="F834" s="308"/>
      <c r="G834" s="309"/>
      <c r="H834" s="389"/>
      <c r="I834" s="307"/>
      <c r="J834" s="308"/>
      <c r="K834" s="309"/>
      <c r="L834" s="389"/>
      <c r="M834" s="307"/>
      <c r="N834" s="308"/>
      <c r="O834" s="309"/>
      <c r="P834" s="389"/>
      <c r="Q834" s="192"/>
      <c r="R834" s="149"/>
      <c r="S834" s="392"/>
      <c r="T834" s="393"/>
      <c r="U834" s="192"/>
      <c r="V834" s="149"/>
      <c r="W834" s="392"/>
      <c r="X834" s="393"/>
      <c r="Y834" s="192"/>
      <c r="Z834" s="149"/>
      <c r="AA834" s="392"/>
      <c r="AB834" s="393"/>
      <c r="AC834" s="192"/>
      <c r="AD834" s="149"/>
      <c r="AE834" s="392"/>
      <c r="AF834" s="393"/>
      <c r="AG834" s="143"/>
      <c r="AH834" s="143"/>
      <c r="AI834" s="143"/>
      <c r="AJ834" s="143"/>
      <c r="AK834" s="389"/>
      <c r="AL834" s="389"/>
      <c r="AM834" s="389"/>
    </row>
    <row r="835">
      <c r="A835" s="307"/>
      <c r="B835" s="308"/>
      <c r="C835" s="309"/>
      <c r="D835" s="389"/>
      <c r="E835" s="307"/>
      <c r="F835" s="308"/>
      <c r="G835" s="309"/>
      <c r="H835" s="389"/>
      <c r="I835" s="307"/>
      <c r="J835" s="308"/>
      <c r="K835" s="309"/>
      <c r="L835" s="389"/>
      <c r="M835" s="307"/>
      <c r="N835" s="308"/>
      <c r="O835" s="309"/>
      <c r="P835" s="389"/>
      <c r="Q835" s="192"/>
      <c r="R835" s="149"/>
      <c r="S835" s="392"/>
      <c r="T835" s="393"/>
      <c r="U835" s="192"/>
      <c r="V835" s="149"/>
      <c r="W835" s="392"/>
      <c r="X835" s="393"/>
      <c r="Y835" s="192"/>
      <c r="Z835" s="149"/>
      <c r="AA835" s="392"/>
      <c r="AB835" s="393"/>
      <c r="AC835" s="192"/>
      <c r="AD835" s="149"/>
      <c r="AE835" s="392"/>
      <c r="AF835" s="393"/>
      <c r="AG835" s="143"/>
      <c r="AH835" s="143"/>
      <c r="AI835" s="143"/>
      <c r="AJ835" s="143"/>
      <c r="AK835" s="389"/>
      <c r="AL835" s="389"/>
      <c r="AM835" s="389"/>
    </row>
    <row r="836">
      <c r="A836" s="307"/>
      <c r="B836" s="308"/>
      <c r="C836" s="309"/>
      <c r="D836" s="389"/>
      <c r="E836" s="307"/>
      <c r="F836" s="308"/>
      <c r="G836" s="309"/>
      <c r="H836" s="389"/>
      <c r="I836" s="307"/>
      <c r="J836" s="308"/>
      <c r="K836" s="309"/>
      <c r="L836" s="389"/>
      <c r="M836" s="307"/>
      <c r="N836" s="308"/>
      <c r="O836" s="309"/>
      <c r="P836" s="389"/>
      <c r="Q836" s="192"/>
      <c r="R836" s="149"/>
      <c r="S836" s="392"/>
      <c r="T836" s="393"/>
      <c r="U836" s="192"/>
      <c r="V836" s="149"/>
      <c r="W836" s="392"/>
      <c r="X836" s="393"/>
      <c r="Y836" s="192"/>
      <c r="Z836" s="149"/>
      <c r="AA836" s="392"/>
      <c r="AB836" s="393"/>
      <c r="AC836" s="192"/>
      <c r="AD836" s="149"/>
      <c r="AE836" s="392"/>
      <c r="AF836" s="393"/>
      <c r="AG836" s="143"/>
      <c r="AH836" s="143"/>
      <c r="AI836" s="143"/>
      <c r="AJ836" s="143"/>
      <c r="AK836" s="389"/>
      <c r="AL836" s="389"/>
      <c r="AM836" s="389"/>
    </row>
    <row r="837">
      <c r="A837" s="307"/>
      <c r="B837" s="308"/>
      <c r="C837" s="309"/>
      <c r="D837" s="389"/>
      <c r="E837" s="307"/>
      <c r="F837" s="308"/>
      <c r="G837" s="309"/>
      <c r="H837" s="389"/>
      <c r="I837" s="307"/>
      <c r="J837" s="308"/>
      <c r="K837" s="309"/>
      <c r="L837" s="389"/>
      <c r="M837" s="307"/>
      <c r="N837" s="308"/>
      <c r="O837" s="309"/>
      <c r="P837" s="389"/>
      <c r="Q837" s="192"/>
      <c r="R837" s="149"/>
      <c r="S837" s="392"/>
      <c r="T837" s="393"/>
      <c r="U837" s="192"/>
      <c r="V837" s="149"/>
      <c r="W837" s="392"/>
      <c r="X837" s="393"/>
      <c r="Y837" s="192"/>
      <c r="Z837" s="149"/>
      <c r="AA837" s="392"/>
      <c r="AB837" s="393"/>
      <c r="AC837" s="192"/>
      <c r="AD837" s="149"/>
      <c r="AE837" s="392"/>
      <c r="AF837" s="393"/>
      <c r="AG837" s="143"/>
      <c r="AH837" s="143"/>
      <c r="AI837" s="143"/>
      <c r="AJ837" s="143"/>
      <c r="AK837" s="389"/>
      <c r="AL837" s="389"/>
      <c r="AM837" s="389"/>
    </row>
    <row r="838">
      <c r="A838" s="307"/>
      <c r="B838" s="308"/>
      <c r="C838" s="309"/>
      <c r="D838" s="389"/>
      <c r="E838" s="307"/>
      <c r="F838" s="308"/>
      <c r="G838" s="309"/>
      <c r="H838" s="389"/>
      <c r="I838" s="307"/>
      <c r="J838" s="308"/>
      <c r="K838" s="309"/>
      <c r="L838" s="389"/>
      <c r="M838" s="307"/>
      <c r="N838" s="308"/>
      <c r="O838" s="309"/>
      <c r="P838" s="389"/>
      <c r="Q838" s="192"/>
      <c r="R838" s="149"/>
      <c r="S838" s="392"/>
      <c r="T838" s="393"/>
      <c r="U838" s="192"/>
      <c r="V838" s="149"/>
      <c r="W838" s="392"/>
      <c r="X838" s="393"/>
      <c r="Y838" s="192"/>
      <c r="Z838" s="149"/>
      <c r="AA838" s="392"/>
      <c r="AB838" s="393"/>
      <c r="AC838" s="192"/>
      <c r="AD838" s="149"/>
      <c r="AE838" s="392"/>
      <c r="AF838" s="393"/>
      <c r="AG838" s="143"/>
      <c r="AH838" s="143"/>
      <c r="AI838" s="143"/>
      <c r="AJ838" s="143"/>
      <c r="AK838" s="389"/>
      <c r="AL838" s="389"/>
      <c r="AM838" s="389"/>
    </row>
    <row r="839">
      <c r="A839" s="307"/>
      <c r="B839" s="308"/>
      <c r="C839" s="309"/>
      <c r="D839" s="389"/>
      <c r="E839" s="307"/>
      <c r="F839" s="308"/>
      <c r="G839" s="309"/>
      <c r="H839" s="389"/>
      <c r="I839" s="307"/>
      <c r="J839" s="308"/>
      <c r="K839" s="309"/>
      <c r="L839" s="389"/>
      <c r="M839" s="307"/>
      <c r="N839" s="308"/>
      <c r="O839" s="309"/>
      <c r="P839" s="389"/>
      <c r="Q839" s="192"/>
      <c r="R839" s="149"/>
      <c r="S839" s="392"/>
      <c r="T839" s="393"/>
      <c r="U839" s="192"/>
      <c r="V839" s="149"/>
      <c r="W839" s="392"/>
      <c r="X839" s="393"/>
      <c r="Y839" s="192"/>
      <c r="Z839" s="149"/>
      <c r="AA839" s="392"/>
      <c r="AB839" s="393"/>
      <c r="AC839" s="192"/>
      <c r="AD839" s="149"/>
      <c r="AE839" s="392"/>
      <c r="AF839" s="393"/>
      <c r="AG839" s="143"/>
      <c r="AH839" s="143"/>
      <c r="AI839" s="143"/>
      <c r="AJ839" s="143"/>
      <c r="AK839" s="389"/>
      <c r="AL839" s="389"/>
      <c r="AM839" s="389"/>
    </row>
    <row r="840">
      <c r="A840" s="307"/>
      <c r="B840" s="308"/>
      <c r="C840" s="309"/>
      <c r="D840" s="389"/>
      <c r="E840" s="307"/>
      <c r="F840" s="308"/>
      <c r="G840" s="309"/>
      <c r="H840" s="389"/>
      <c r="I840" s="307"/>
      <c r="J840" s="308"/>
      <c r="K840" s="309"/>
      <c r="L840" s="389"/>
      <c r="M840" s="307"/>
      <c r="N840" s="308"/>
      <c r="O840" s="309"/>
      <c r="P840" s="389"/>
      <c r="Q840" s="192"/>
      <c r="R840" s="149"/>
      <c r="S840" s="392"/>
      <c r="T840" s="393"/>
      <c r="U840" s="192"/>
      <c r="V840" s="149"/>
      <c r="W840" s="392"/>
      <c r="X840" s="393"/>
      <c r="Y840" s="192"/>
      <c r="Z840" s="149"/>
      <c r="AA840" s="392"/>
      <c r="AB840" s="393"/>
      <c r="AC840" s="192"/>
      <c r="AD840" s="149"/>
      <c r="AE840" s="392"/>
      <c r="AF840" s="393"/>
      <c r="AG840" s="143"/>
      <c r="AH840" s="143"/>
      <c r="AI840" s="143"/>
      <c r="AJ840" s="143"/>
      <c r="AK840" s="389"/>
      <c r="AL840" s="389"/>
      <c r="AM840" s="389"/>
    </row>
    <row r="841">
      <c r="A841" s="307"/>
      <c r="B841" s="308"/>
      <c r="C841" s="309"/>
      <c r="D841" s="389"/>
      <c r="E841" s="307"/>
      <c r="F841" s="308"/>
      <c r="G841" s="309"/>
      <c r="H841" s="389"/>
      <c r="I841" s="307"/>
      <c r="J841" s="308"/>
      <c r="K841" s="309"/>
      <c r="L841" s="389"/>
      <c r="M841" s="307"/>
      <c r="N841" s="308"/>
      <c r="O841" s="309"/>
      <c r="P841" s="389"/>
      <c r="Q841" s="192"/>
      <c r="R841" s="149"/>
      <c r="S841" s="392"/>
      <c r="T841" s="393"/>
      <c r="U841" s="192"/>
      <c r="V841" s="149"/>
      <c r="W841" s="392"/>
      <c r="X841" s="393"/>
      <c r="Y841" s="192"/>
      <c r="Z841" s="149"/>
      <c r="AA841" s="392"/>
      <c r="AB841" s="393"/>
      <c r="AC841" s="192"/>
      <c r="AD841" s="149"/>
      <c r="AE841" s="392"/>
      <c r="AF841" s="393"/>
      <c r="AG841" s="143"/>
      <c r="AH841" s="143"/>
      <c r="AI841" s="143"/>
      <c r="AJ841" s="143"/>
      <c r="AK841" s="389"/>
      <c r="AL841" s="389"/>
      <c r="AM841" s="389"/>
    </row>
    <row r="842">
      <c r="A842" s="307"/>
      <c r="B842" s="308"/>
      <c r="C842" s="309"/>
      <c r="D842" s="389"/>
      <c r="E842" s="307"/>
      <c r="F842" s="308"/>
      <c r="G842" s="309"/>
      <c r="H842" s="389"/>
      <c r="I842" s="307"/>
      <c r="J842" s="308"/>
      <c r="K842" s="309"/>
      <c r="L842" s="389"/>
      <c r="M842" s="307"/>
      <c r="N842" s="308"/>
      <c r="O842" s="309"/>
      <c r="P842" s="389"/>
      <c r="Q842" s="192"/>
      <c r="R842" s="149"/>
      <c r="S842" s="392"/>
      <c r="T842" s="393"/>
      <c r="U842" s="192"/>
      <c r="V842" s="149"/>
      <c r="W842" s="392"/>
      <c r="X842" s="393"/>
      <c r="Y842" s="192"/>
      <c r="Z842" s="149"/>
      <c r="AA842" s="392"/>
      <c r="AB842" s="393"/>
      <c r="AC842" s="192"/>
      <c r="AD842" s="149"/>
      <c r="AE842" s="392"/>
      <c r="AF842" s="393"/>
      <c r="AG842" s="143"/>
      <c r="AH842" s="143"/>
      <c r="AI842" s="143"/>
      <c r="AJ842" s="143"/>
      <c r="AK842" s="389"/>
      <c r="AL842" s="389"/>
      <c r="AM842" s="389"/>
    </row>
    <row r="843">
      <c r="A843" s="307"/>
      <c r="B843" s="308"/>
      <c r="C843" s="309"/>
      <c r="D843" s="389"/>
      <c r="E843" s="307"/>
      <c r="F843" s="308"/>
      <c r="G843" s="309"/>
      <c r="H843" s="389"/>
      <c r="I843" s="307"/>
      <c r="J843" s="308"/>
      <c r="K843" s="309"/>
      <c r="L843" s="389"/>
      <c r="M843" s="307"/>
      <c r="N843" s="308"/>
      <c r="O843" s="309"/>
      <c r="P843" s="389"/>
      <c r="Q843" s="192"/>
      <c r="R843" s="149"/>
      <c r="S843" s="392"/>
      <c r="T843" s="393"/>
      <c r="U843" s="192"/>
      <c r="V843" s="149"/>
      <c r="W843" s="392"/>
      <c r="X843" s="393"/>
      <c r="Y843" s="192"/>
      <c r="Z843" s="149"/>
      <c r="AA843" s="392"/>
      <c r="AB843" s="393"/>
      <c r="AC843" s="192"/>
      <c r="AD843" s="149"/>
      <c r="AE843" s="392"/>
      <c r="AF843" s="393"/>
      <c r="AG843" s="143"/>
      <c r="AH843" s="143"/>
      <c r="AI843" s="143"/>
      <c r="AJ843" s="143"/>
      <c r="AK843" s="389"/>
      <c r="AL843" s="389"/>
      <c r="AM843" s="389"/>
    </row>
    <row r="844">
      <c r="A844" s="307"/>
      <c r="B844" s="308"/>
      <c r="C844" s="309"/>
      <c r="D844" s="389"/>
      <c r="E844" s="307"/>
      <c r="F844" s="308"/>
      <c r="G844" s="309"/>
      <c r="H844" s="389"/>
      <c r="I844" s="307"/>
      <c r="J844" s="308"/>
      <c r="K844" s="309"/>
      <c r="L844" s="389"/>
      <c r="M844" s="307"/>
      <c r="N844" s="308"/>
      <c r="O844" s="309"/>
      <c r="P844" s="389"/>
      <c r="Q844" s="192"/>
      <c r="R844" s="149"/>
      <c r="S844" s="392"/>
      <c r="T844" s="393"/>
      <c r="U844" s="192"/>
      <c r="V844" s="149"/>
      <c r="W844" s="392"/>
      <c r="X844" s="393"/>
      <c r="Y844" s="192"/>
      <c r="Z844" s="149"/>
      <c r="AA844" s="392"/>
      <c r="AB844" s="393"/>
      <c r="AC844" s="192"/>
      <c r="AD844" s="149"/>
      <c r="AE844" s="392"/>
      <c r="AF844" s="393"/>
      <c r="AG844" s="143"/>
      <c r="AH844" s="143"/>
      <c r="AI844" s="143"/>
      <c r="AJ844" s="143"/>
      <c r="AK844" s="389"/>
      <c r="AL844" s="389"/>
      <c r="AM844" s="389"/>
    </row>
    <row r="845">
      <c r="A845" s="307"/>
      <c r="B845" s="308"/>
      <c r="C845" s="309"/>
      <c r="D845" s="389"/>
      <c r="E845" s="307"/>
      <c r="F845" s="308"/>
      <c r="G845" s="309"/>
      <c r="H845" s="389"/>
      <c r="I845" s="307"/>
      <c r="J845" s="308"/>
      <c r="K845" s="309"/>
      <c r="L845" s="389"/>
      <c r="M845" s="307"/>
      <c r="N845" s="308"/>
      <c r="O845" s="309"/>
      <c r="P845" s="389"/>
      <c r="Q845" s="192"/>
      <c r="R845" s="149"/>
      <c r="S845" s="392"/>
      <c r="T845" s="393"/>
      <c r="U845" s="192"/>
      <c r="V845" s="149"/>
      <c r="W845" s="392"/>
      <c r="X845" s="393"/>
      <c r="Y845" s="192"/>
      <c r="Z845" s="149"/>
      <c r="AA845" s="392"/>
      <c r="AB845" s="393"/>
      <c r="AC845" s="192"/>
      <c r="AD845" s="149"/>
      <c r="AE845" s="392"/>
      <c r="AF845" s="393"/>
      <c r="AG845" s="143"/>
      <c r="AH845" s="143"/>
      <c r="AI845" s="143"/>
      <c r="AJ845" s="143"/>
      <c r="AK845" s="389"/>
      <c r="AL845" s="389"/>
      <c r="AM845" s="389"/>
    </row>
    <row r="846">
      <c r="A846" s="307"/>
      <c r="B846" s="308"/>
      <c r="C846" s="309"/>
      <c r="D846" s="389"/>
      <c r="E846" s="307"/>
      <c r="F846" s="308"/>
      <c r="G846" s="309"/>
      <c r="H846" s="389"/>
      <c r="I846" s="307"/>
      <c r="J846" s="308"/>
      <c r="K846" s="309"/>
      <c r="L846" s="389"/>
      <c r="M846" s="307"/>
      <c r="N846" s="308"/>
      <c r="O846" s="309"/>
      <c r="P846" s="389"/>
      <c r="Q846" s="192"/>
      <c r="R846" s="149"/>
      <c r="S846" s="392"/>
      <c r="T846" s="393"/>
      <c r="U846" s="192"/>
      <c r="V846" s="149"/>
      <c r="W846" s="392"/>
      <c r="X846" s="393"/>
      <c r="Y846" s="192"/>
      <c r="Z846" s="149"/>
      <c r="AA846" s="392"/>
      <c r="AB846" s="393"/>
      <c r="AC846" s="192"/>
      <c r="AD846" s="149"/>
      <c r="AE846" s="392"/>
      <c r="AF846" s="393"/>
      <c r="AG846" s="143"/>
      <c r="AH846" s="143"/>
      <c r="AI846" s="143"/>
      <c r="AJ846" s="143"/>
      <c r="AK846" s="389"/>
      <c r="AL846" s="389"/>
      <c r="AM846" s="389"/>
    </row>
    <row r="847">
      <c r="A847" s="307"/>
      <c r="B847" s="308"/>
      <c r="C847" s="309"/>
      <c r="D847" s="389"/>
      <c r="E847" s="307"/>
      <c r="F847" s="308"/>
      <c r="G847" s="309"/>
      <c r="H847" s="389"/>
      <c r="I847" s="307"/>
      <c r="J847" s="308"/>
      <c r="K847" s="309"/>
      <c r="L847" s="389"/>
      <c r="M847" s="307"/>
      <c r="N847" s="308"/>
      <c r="O847" s="309"/>
      <c r="P847" s="389"/>
      <c r="Q847" s="192"/>
      <c r="R847" s="149"/>
      <c r="S847" s="392"/>
      <c r="T847" s="393"/>
      <c r="U847" s="192"/>
      <c r="V847" s="149"/>
      <c r="W847" s="392"/>
      <c r="X847" s="393"/>
      <c r="Y847" s="192"/>
      <c r="Z847" s="149"/>
      <c r="AA847" s="392"/>
      <c r="AB847" s="393"/>
      <c r="AC847" s="192"/>
      <c r="AD847" s="149"/>
      <c r="AE847" s="392"/>
      <c r="AF847" s="393"/>
      <c r="AG847" s="143"/>
      <c r="AH847" s="143"/>
      <c r="AI847" s="143"/>
      <c r="AJ847" s="143"/>
      <c r="AK847" s="389"/>
      <c r="AL847" s="389"/>
      <c r="AM847" s="389"/>
    </row>
    <row r="848">
      <c r="A848" s="307"/>
      <c r="B848" s="308"/>
      <c r="C848" s="309"/>
      <c r="D848" s="389"/>
      <c r="E848" s="307"/>
      <c r="F848" s="308"/>
      <c r="G848" s="309"/>
      <c r="H848" s="389"/>
      <c r="I848" s="307"/>
      <c r="J848" s="308"/>
      <c r="K848" s="309"/>
      <c r="L848" s="389"/>
      <c r="M848" s="307"/>
      <c r="N848" s="308"/>
      <c r="O848" s="309"/>
      <c r="P848" s="389"/>
      <c r="Q848" s="192"/>
      <c r="R848" s="149"/>
      <c r="S848" s="392"/>
      <c r="T848" s="393"/>
      <c r="U848" s="192"/>
      <c r="V848" s="149"/>
      <c r="W848" s="392"/>
      <c r="X848" s="393"/>
      <c r="Y848" s="192"/>
      <c r="Z848" s="149"/>
      <c r="AA848" s="392"/>
      <c r="AB848" s="393"/>
      <c r="AC848" s="192"/>
      <c r="AD848" s="149"/>
      <c r="AE848" s="392"/>
      <c r="AF848" s="393"/>
      <c r="AG848" s="143"/>
      <c r="AH848" s="143"/>
      <c r="AI848" s="143"/>
      <c r="AJ848" s="143"/>
      <c r="AK848" s="389"/>
      <c r="AL848" s="389"/>
      <c r="AM848" s="389"/>
    </row>
    <row r="849">
      <c r="A849" s="307"/>
      <c r="B849" s="308"/>
      <c r="C849" s="309"/>
      <c r="D849" s="389"/>
      <c r="E849" s="307"/>
      <c r="F849" s="308"/>
      <c r="G849" s="309"/>
      <c r="H849" s="389"/>
      <c r="I849" s="307"/>
      <c r="J849" s="308"/>
      <c r="K849" s="309"/>
      <c r="L849" s="389"/>
      <c r="M849" s="307"/>
      <c r="N849" s="308"/>
      <c r="O849" s="309"/>
      <c r="P849" s="389"/>
      <c r="Q849" s="192"/>
      <c r="R849" s="149"/>
      <c r="S849" s="392"/>
      <c r="T849" s="393"/>
      <c r="U849" s="192"/>
      <c r="V849" s="149"/>
      <c r="W849" s="392"/>
      <c r="X849" s="393"/>
      <c r="Y849" s="192"/>
      <c r="Z849" s="149"/>
      <c r="AA849" s="392"/>
      <c r="AB849" s="393"/>
      <c r="AC849" s="192"/>
      <c r="AD849" s="149"/>
      <c r="AE849" s="392"/>
      <c r="AF849" s="393"/>
      <c r="AG849" s="143"/>
      <c r="AH849" s="143"/>
      <c r="AI849" s="143"/>
      <c r="AJ849" s="143"/>
      <c r="AK849" s="389"/>
      <c r="AL849" s="389"/>
      <c r="AM849" s="389"/>
    </row>
    <row r="850">
      <c r="A850" s="307"/>
      <c r="B850" s="308"/>
      <c r="C850" s="309"/>
      <c r="D850" s="389"/>
      <c r="E850" s="307"/>
      <c r="F850" s="308"/>
      <c r="G850" s="309"/>
      <c r="H850" s="389"/>
      <c r="I850" s="307"/>
      <c r="J850" s="308"/>
      <c r="K850" s="309"/>
      <c r="L850" s="389"/>
      <c r="M850" s="307"/>
      <c r="N850" s="308"/>
      <c r="O850" s="309"/>
      <c r="P850" s="389"/>
      <c r="Q850" s="192"/>
      <c r="R850" s="149"/>
      <c r="S850" s="392"/>
      <c r="T850" s="393"/>
      <c r="U850" s="192"/>
      <c r="V850" s="149"/>
      <c r="W850" s="392"/>
      <c r="X850" s="393"/>
      <c r="Y850" s="192"/>
      <c r="Z850" s="149"/>
      <c r="AA850" s="392"/>
      <c r="AB850" s="393"/>
      <c r="AC850" s="192"/>
      <c r="AD850" s="149"/>
      <c r="AE850" s="392"/>
      <c r="AF850" s="393"/>
      <c r="AG850" s="143"/>
      <c r="AH850" s="143"/>
      <c r="AI850" s="143"/>
      <c r="AJ850" s="143"/>
      <c r="AK850" s="389"/>
      <c r="AL850" s="389"/>
      <c r="AM850" s="389"/>
    </row>
    <row r="851">
      <c r="A851" s="307"/>
      <c r="B851" s="308"/>
      <c r="C851" s="309"/>
      <c r="D851" s="389"/>
      <c r="E851" s="307"/>
      <c r="F851" s="308"/>
      <c r="G851" s="309"/>
      <c r="H851" s="389"/>
      <c r="I851" s="307"/>
      <c r="J851" s="308"/>
      <c r="K851" s="309"/>
      <c r="L851" s="389"/>
      <c r="M851" s="307"/>
      <c r="N851" s="308"/>
      <c r="O851" s="309"/>
      <c r="P851" s="389"/>
      <c r="Q851" s="192"/>
      <c r="R851" s="149"/>
      <c r="S851" s="392"/>
      <c r="T851" s="393"/>
      <c r="U851" s="192"/>
      <c r="V851" s="149"/>
      <c r="W851" s="392"/>
      <c r="X851" s="393"/>
      <c r="Y851" s="192"/>
      <c r="Z851" s="149"/>
      <c r="AA851" s="392"/>
      <c r="AB851" s="393"/>
      <c r="AC851" s="192"/>
      <c r="AD851" s="149"/>
      <c r="AE851" s="392"/>
      <c r="AF851" s="393"/>
      <c r="AG851" s="143"/>
      <c r="AH851" s="143"/>
      <c r="AI851" s="143"/>
      <c r="AJ851" s="143"/>
      <c r="AK851" s="389"/>
      <c r="AL851" s="389"/>
      <c r="AM851" s="389"/>
    </row>
    <row r="852">
      <c r="A852" s="307"/>
      <c r="B852" s="308"/>
      <c r="C852" s="309"/>
      <c r="D852" s="389"/>
      <c r="E852" s="307"/>
      <c r="F852" s="308"/>
      <c r="G852" s="309"/>
      <c r="H852" s="389"/>
      <c r="I852" s="307"/>
      <c r="J852" s="308"/>
      <c r="K852" s="309"/>
      <c r="L852" s="389"/>
      <c r="M852" s="307"/>
      <c r="N852" s="308"/>
      <c r="O852" s="309"/>
      <c r="P852" s="389"/>
      <c r="Q852" s="192"/>
      <c r="R852" s="149"/>
      <c r="S852" s="392"/>
      <c r="T852" s="393"/>
      <c r="U852" s="192"/>
      <c r="V852" s="149"/>
      <c r="W852" s="392"/>
      <c r="X852" s="393"/>
      <c r="Y852" s="192"/>
      <c r="Z852" s="149"/>
      <c r="AA852" s="392"/>
      <c r="AB852" s="393"/>
      <c r="AC852" s="192"/>
      <c r="AD852" s="149"/>
      <c r="AE852" s="392"/>
      <c r="AF852" s="393"/>
      <c r="AG852" s="143"/>
      <c r="AH852" s="143"/>
      <c r="AI852" s="143"/>
      <c r="AJ852" s="143"/>
      <c r="AK852" s="389"/>
      <c r="AL852" s="389"/>
      <c r="AM852" s="389"/>
    </row>
    <row r="853">
      <c r="A853" s="307"/>
      <c r="B853" s="308"/>
      <c r="C853" s="309"/>
      <c r="D853" s="389"/>
      <c r="E853" s="307"/>
      <c r="F853" s="308"/>
      <c r="G853" s="309"/>
      <c r="H853" s="389"/>
      <c r="I853" s="307"/>
      <c r="J853" s="308"/>
      <c r="K853" s="309"/>
      <c r="L853" s="389"/>
      <c r="M853" s="307"/>
      <c r="N853" s="308"/>
      <c r="O853" s="309"/>
      <c r="P853" s="389"/>
      <c r="Q853" s="192"/>
      <c r="R853" s="149"/>
      <c r="S853" s="392"/>
      <c r="T853" s="393"/>
      <c r="U853" s="192"/>
      <c r="V853" s="149"/>
      <c r="W853" s="392"/>
      <c r="X853" s="393"/>
      <c r="Y853" s="192"/>
      <c r="Z853" s="149"/>
      <c r="AA853" s="392"/>
      <c r="AB853" s="393"/>
      <c r="AC853" s="192"/>
      <c r="AD853" s="149"/>
      <c r="AE853" s="392"/>
      <c r="AF853" s="393"/>
      <c r="AG853" s="143"/>
      <c r="AH853" s="143"/>
      <c r="AI853" s="143"/>
      <c r="AJ853" s="143"/>
      <c r="AK853" s="389"/>
      <c r="AL853" s="389"/>
      <c r="AM853" s="389"/>
    </row>
    <row r="854">
      <c r="A854" s="307"/>
      <c r="B854" s="308"/>
      <c r="C854" s="309"/>
      <c r="D854" s="389"/>
      <c r="E854" s="307"/>
      <c r="F854" s="308"/>
      <c r="G854" s="309"/>
      <c r="H854" s="389"/>
      <c r="I854" s="307"/>
      <c r="J854" s="308"/>
      <c r="K854" s="309"/>
      <c r="L854" s="389"/>
      <c r="M854" s="307"/>
      <c r="N854" s="308"/>
      <c r="O854" s="309"/>
      <c r="P854" s="389"/>
      <c r="Q854" s="192"/>
      <c r="R854" s="149"/>
      <c r="S854" s="392"/>
      <c r="T854" s="393"/>
      <c r="U854" s="192"/>
      <c r="V854" s="149"/>
      <c r="W854" s="392"/>
      <c r="X854" s="393"/>
      <c r="Y854" s="192"/>
      <c r="Z854" s="149"/>
      <c r="AA854" s="392"/>
      <c r="AB854" s="393"/>
      <c r="AC854" s="192"/>
      <c r="AD854" s="149"/>
      <c r="AE854" s="392"/>
      <c r="AF854" s="393"/>
      <c r="AG854" s="143"/>
      <c r="AH854" s="143"/>
      <c r="AI854" s="143"/>
      <c r="AJ854" s="143"/>
      <c r="AK854" s="389"/>
      <c r="AL854" s="389"/>
      <c r="AM854" s="389"/>
    </row>
    <row r="855">
      <c r="A855" s="307"/>
      <c r="B855" s="308"/>
      <c r="C855" s="309"/>
      <c r="D855" s="389"/>
      <c r="E855" s="307"/>
      <c r="F855" s="308"/>
      <c r="G855" s="309"/>
      <c r="H855" s="389"/>
      <c r="I855" s="307"/>
      <c r="J855" s="308"/>
      <c r="K855" s="309"/>
      <c r="L855" s="389"/>
      <c r="M855" s="307"/>
      <c r="N855" s="308"/>
      <c r="O855" s="309"/>
      <c r="P855" s="389"/>
      <c r="Q855" s="192"/>
      <c r="R855" s="149"/>
      <c r="S855" s="392"/>
      <c r="T855" s="393"/>
      <c r="U855" s="192"/>
      <c r="V855" s="149"/>
      <c r="W855" s="392"/>
      <c r="X855" s="393"/>
      <c r="Y855" s="192"/>
      <c r="Z855" s="149"/>
      <c r="AA855" s="392"/>
      <c r="AB855" s="393"/>
      <c r="AC855" s="192"/>
      <c r="AD855" s="149"/>
      <c r="AE855" s="392"/>
      <c r="AF855" s="393"/>
      <c r="AG855" s="143"/>
      <c r="AH855" s="143"/>
      <c r="AI855" s="143"/>
      <c r="AJ855" s="143"/>
      <c r="AK855" s="389"/>
      <c r="AL855" s="389"/>
      <c r="AM855" s="389"/>
    </row>
    <row r="856">
      <c r="A856" s="307"/>
      <c r="B856" s="308"/>
      <c r="C856" s="309"/>
      <c r="D856" s="389"/>
      <c r="E856" s="307"/>
      <c r="F856" s="308"/>
      <c r="G856" s="309"/>
      <c r="H856" s="389"/>
      <c r="I856" s="307"/>
      <c r="J856" s="308"/>
      <c r="K856" s="309"/>
      <c r="L856" s="389"/>
      <c r="M856" s="307"/>
      <c r="N856" s="308"/>
      <c r="O856" s="309"/>
      <c r="P856" s="389"/>
      <c r="Q856" s="192"/>
      <c r="R856" s="149"/>
      <c r="S856" s="392"/>
      <c r="T856" s="393"/>
      <c r="U856" s="192"/>
      <c r="V856" s="149"/>
      <c r="W856" s="392"/>
      <c r="X856" s="393"/>
      <c r="Y856" s="192"/>
      <c r="Z856" s="149"/>
      <c r="AA856" s="392"/>
      <c r="AB856" s="393"/>
      <c r="AC856" s="192"/>
      <c r="AD856" s="149"/>
      <c r="AE856" s="392"/>
      <c r="AF856" s="393"/>
      <c r="AG856" s="143"/>
      <c r="AH856" s="143"/>
      <c r="AI856" s="143"/>
      <c r="AJ856" s="143"/>
      <c r="AK856" s="389"/>
      <c r="AL856" s="389"/>
      <c r="AM856" s="389"/>
    </row>
    <row r="857">
      <c r="A857" s="307"/>
      <c r="B857" s="308"/>
      <c r="C857" s="309"/>
      <c r="D857" s="389"/>
      <c r="E857" s="307"/>
      <c r="F857" s="308"/>
      <c r="G857" s="309"/>
      <c r="H857" s="389"/>
      <c r="I857" s="307"/>
      <c r="J857" s="308"/>
      <c r="K857" s="309"/>
      <c r="L857" s="389"/>
      <c r="M857" s="307"/>
      <c r="N857" s="308"/>
      <c r="O857" s="309"/>
      <c r="P857" s="389"/>
      <c r="Q857" s="192"/>
      <c r="R857" s="149"/>
      <c r="S857" s="392"/>
      <c r="T857" s="393"/>
      <c r="U857" s="192"/>
      <c r="V857" s="149"/>
      <c r="W857" s="392"/>
      <c r="X857" s="393"/>
      <c r="Y857" s="192"/>
      <c r="Z857" s="149"/>
      <c r="AA857" s="392"/>
      <c r="AB857" s="393"/>
      <c r="AC857" s="192"/>
      <c r="AD857" s="149"/>
      <c r="AE857" s="392"/>
      <c r="AF857" s="393"/>
      <c r="AG857" s="143"/>
      <c r="AH857" s="143"/>
      <c r="AI857" s="143"/>
      <c r="AJ857" s="143"/>
      <c r="AK857" s="389"/>
      <c r="AL857" s="389"/>
      <c r="AM857" s="389"/>
    </row>
    <row r="858">
      <c r="A858" s="307"/>
      <c r="B858" s="308"/>
      <c r="C858" s="309"/>
      <c r="D858" s="389"/>
      <c r="E858" s="307"/>
      <c r="F858" s="308"/>
      <c r="G858" s="309"/>
      <c r="H858" s="389"/>
      <c r="I858" s="307"/>
      <c r="J858" s="308"/>
      <c r="K858" s="309"/>
      <c r="L858" s="389"/>
      <c r="M858" s="307"/>
      <c r="N858" s="308"/>
      <c r="O858" s="309"/>
      <c r="P858" s="389"/>
      <c r="Q858" s="192"/>
      <c r="R858" s="149"/>
      <c r="S858" s="392"/>
      <c r="T858" s="393"/>
      <c r="U858" s="192"/>
      <c r="V858" s="149"/>
      <c r="W858" s="392"/>
      <c r="X858" s="393"/>
      <c r="Y858" s="192"/>
      <c r="Z858" s="149"/>
      <c r="AA858" s="392"/>
      <c r="AB858" s="393"/>
      <c r="AC858" s="192"/>
      <c r="AD858" s="149"/>
      <c r="AE858" s="392"/>
      <c r="AF858" s="393"/>
      <c r="AG858" s="143"/>
      <c r="AH858" s="143"/>
      <c r="AI858" s="143"/>
      <c r="AJ858" s="143"/>
      <c r="AK858" s="389"/>
      <c r="AL858" s="389"/>
      <c r="AM858" s="389"/>
    </row>
    <row r="859">
      <c r="A859" s="307"/>
      <c r="B859" s="308"/>
      <c r="C859" s="309"/>
      <c r="D859" s="389"/>
      <c r="E859" s="307"/>
      <c r="F859" s="308"/>
      <c r="G859" s="309"/>
      <c r="H859" s="389"/>
      <c r="I859" s="307"/>
      <c r="J859" s="308"/>
      <c r="K859" s="309"/>
      <c r="L859" s="389"/>
      <c r="M859" s="307"/>
      <c r="N859" s="308"/>
      <c r="O859" s="309"/>
      <c r="P859" s="389"/>
      <c r="Q859" s="192"/>
      <c r="R859" s="149"/>
      <c r="S859" s="392"/>
      <c r="T859" s="393"/>
      <c r="U859" s="192"/>
      <c r="V859" s="149"/>
      <c r="W859" s="392"/>
      <c r="X859" s="393"/>
      <c r="Y859" s="192"/>
      <c r="Z859" s="149"/>
      <c r="AA859" s="392"/>
      <c r="AB859" s="393"/>
      <c r="AC859" s="192"/>
      <c r="AD859" s="149"/>
      <c r="AE859" s="392"/>
      <c r="AF859" s="393"/>
      <c r="AG859" s="143"/>
      <c r="AH859" s="143"/>
      <c r="AI859" s="143"/>
      <c r="AJ859" s="143"/>
      <c r="AK859" s="389"/>
      <c r="AL859" s="389"/>
      <c r="AM859" s="389"/>
    </row>
    <row r="860">
      <c r="A860" s="307"/>
      <c r="B860" s="308"/>
      <c r="C860" s="309"/>
      <c r="D860" s="389"/>
      <c r="E860" s="307"/>
      <c r="F860" s="308"/>
      <c r="G860" s="309"/>
      <c r="H860" s="389"/>
      <c r="I860" s="307"/>
      <c r="J860" s="308"/>
      <c r="K860" s="309"/>
      <c r="L860" s="389"/>
      <c r="M860" s="307"/>
      <c r="N860" s="308"/>
      <c r="O860" s="309"/>
      <c r="P860" s="389"/>
      <c r="Q860" s="192"/>
      <c r="R860" s="149"/>
      <c r="S860" s="392"/>
      <c r="T860" s="393"/>
      <c r="U860" s="192"/>
      <c r="V860" s="149"/>
      <c r="W860" s="392"/>
      <c r="X860" s="393"/>
      <c r="Y860" s="192"/>
      <c r="Z860" s="149"/>
      <c r="AA860" s="392"/>
      <c r="AB860" s="393"/>
      <c r="AC860" s="192"/>
      <c r="AD860" s="149"/>
      <c r="AE860" s="392"/>
      <c r="AF860" s="393"/>
      <c r="AG860" s="143"/>
      <c r="AH860" s="143"/>
      <c r="AI860" s="143"/>
      <c r="AJ860" s="143"/>
      <c r="AK860" s="389"/>
      <c r="AL860" s="389"/>
      <c r="AM860" s="389"/>
    </row>
    <row r="861">
      <c r="A861" s="307"/>
      <c r="B861" s="308"/>
      <c r="C861" s="309"/>
      <c r="D861" s="389"/>
      <c r="E861" s="307"/>
      <c r="F861" s="308"/>
      <c r="G861" s="309"/>
      <c r="H861" s="389"/>
      <c r="I861" s="307"/>
      <c r="J861" s="308"/>
      <c r="K861" s="309"/>
      <c r="L861" s="389"/>
      <c r="M861" s="307"/>
      <c r="N861" s="308"/>
      <c r="O861" s="309"/>
      <c r="P861" s="389"/>
      <c r="Q861" s="192"/>
      <c r="R861" s="149"/>
      <c r="S861" s="392"/>
      <c r="T861" s="393"/>
      <c r="U861" s="192"/>
      <c r="V861" s="149"/>
      <c r="W861" s="392"/>
      <c r="X861" s="393"/>
      <c r="Y861" s="192"/>
      <c r="Z861" s="149"/>
      <c r="AA861" s="392"/>
      <c r="AB861" s="393"/>
      <c r="AC861" s="192"/>
      <c r="AD861" s="149"/>
      <c r="AE861" s="392"/>
      <c r="AF861" s="393"/>
      <c r="AG861" s="143"/>
      <c r="AH861" s="143"/>
      <c r="AI861" s="143"/>
      <c r="AJ861" s="143"/>
      <c r="AK861" s="389"/>
      <c r="AL861" s="389"/>
      <c r="AM861" s="389"/>
    </row>
    <row r="862">
      <c r="A862" s="307"/>
      <c r="B862" s="308"/>
      <c r="C862" s="309"/>
      <c r="D862" s="389"/>
      <c r="E862" s="307"/>
      <c r="F862" s="308"/>
      <c r="G862" s="309"/>
      <c r="H862" s="389"/>
      <c r="I862" s="307"/>
      <c r="J862" s="308"/>
      <c r="K862" s="309"/>
      <c r="L862" s="389"/>
      <c r="M862" s="307"/>
      <c r="N862" s="308"/>
      <c r="O862" s="309"/>
      <c r="P862" s="389"/>
      <c r="Q862" s="192"/>
      <c r="R862" s="149"/>
      <c r="S862" s="392"/>
      <c r="T862" s="393"/>
      <c r="U862" s="192"/>
      <c r="V862" s="149"/>
      <c r="W862" s="392"/>
      <c r="X862" s="393"/>
      <c r="Y862" s="192"/>
      <c r="Z862" s="149"/>
      <c r="AA862" s="392"/>
      <c r="AB862" s="393"/>
      <c r="AC862" s="192"/>
      <c r="AD862" s="149"/>
      <c r="AE862" s="392"/>
      <c r="AF862" s="393"/>
      <c r="AG862" s="143"/>
      <c r="AH862" s="143"/>
      <c r="AI862" s="143"/>
      <c r="AJ862" s="143"/>
      <c r="AK862" s="389"/>
      <c r="AL862" s="389"/>
      <c r="AM862" s="389"/>
    </row>
    <row r="863">
      <c r="A863" s="307"/>
      <c r="B863" s="308"/>
      <c r="C863" s="309"/>
      <c r="D863" s="389"/>
      <c r="E863" s="307"/>
      <c r="F863" s="308"/>
      <c r="G863" s="309"/>
      <c r="H863" s="389"/>
      <c r="I863" s="307"/>
      <c r="J863" s="308"/>
      <c r="K863" s="309"/>
      <c r="L863" s="389"/>
      <c r="M863" s="307"/>
      <c r="N863" s="308"/>
      <c r="O863" s="309"/>
      <c r="P863" s="389"/>
      <c r="Q863" s="192"/>
      <c r="R863" s="149"/>
      <c r="S863" s="392"/>
      <c r="T863" s="393"/>
      <c r="U863" s="192"/>
      <c r="V863" s="149"/>
      <c r="W863" s="392"/>
      <c r="X863" s="393"/>
      <c r="Y863" s="192"/>
      <c r="Z863" s="149"/>
      <c r="AA863" s="392"/>
      <c r="AB863" s="393"/>
      <c r="AC863" s="192"/>
      <c r="AD863" s="149"/>
      <c r="AE863" s="392"/>
      <c r="AF863" s="393"/>
      <c r="AG863" s="143"/>
      <c r="AH863" s="143"/>
      <c r="AI863" s="143"/>
      <c r="AJ863" s="143"/>
      <c r="AK863" s="389"/>
      <c r="AL863" s="389"/>
      <c r="AM863" s="389"/>
    </row>
    <row r="864">
      <c r="A864" s="307"/>
      <c r="B864" s="308"/>
      <c r="C864" s="309"/>
      <c r="D864" s="389"/>
      <c r="E864" s="307"/>
      <c r="F864" s="308"/>
      <c r="G864" s="309"/>
      <c r="H864" s="389"/>
      <c r="I864" s="307"/>
      <c r="J864" s="308"/>
      <c r="K864" s="309"/>
      <c r="L864" s="389"/>
      <c r="M864" s="307"/>
      <c r="N864" s="308"/>
      <c r="O864" s="309"/>
      <c r="P864" s="389"/>
      <c r="Q864" s="192"/>
      <c r="R864" s="149"/>
      <c r="S864" s="392"/>
      <c r="T864" s="393"/>
      <c r="U864" s="192"/>
      <c r="V864" s="149"/>
      <c r="W864" s="392"/>
      <c r="X864" s="393"/>
      <c r="Y864" s="192"/>
      <c r="Z864" s="149"/>
      <c r="AA864" s="392"/>
      <c r="AB864" s="393"/>
      <c r="AC864" s="192"/>
      <c r="AD864" s="149"/>
      <c r="AE864" s="392"/>
      <c r="AF864" s="393"/>
      <c r="AG864" s="143"/>
      <c r="AH864" s="143"/>
      <c r="AI864" s="143"/>
      <c r="AJ864" s="143"/>
      <c r="AK864" s="389"/>
      <c r="AL864" s="389"/>
      <c r="AM864" s="389"/>
    </row>
    <row r="865">
      <c r="A865" s="307"/>
      <c r="B865" s="308"/>
      <c r="C865" s="309"/>
      <c r="D865" s="389"/>
      <c r="E865" s="307"/>
      <c r="F865" s="308"/>
      <c r="G865" s="309"/>
      <c r="H865" s="389"/>
      <c r="I865" s="307"/>
      <c r="J865" s="308"/>
      <c r="K865" s="309"/>
      <c r="L865" s="389"/>
      <c r="M865" s="307"/>
      <c r="N865" s="308"/>
      <c r="O865" s="309"/>
      <c r="P865" s="389"/>
      <c r="Q865" s="192"/>
      <c r="R865" s="149"/>
      <c r="S865" s="392"/>
      <c r="T865" s="393"/>
      <c r="U865" s="192"/>
      <c r="V865" s="149"/>
      <c r="W865" s="392"/>
      <c r="X865" s="393"/>
      <c r="Y865" s="192"/>
      <c r="Z865" s="149"/>
      <c r="AA865" s="392"/>
      <c r="AB865" s="393"/>
      <c r="AC865" s="192"/>
      <c r="AD865" s="149"/>
      <c r="AE865" s="392"/>
      <c r="AF865" s="393"/>
      <c r="AG865" s="143"/>
      <c r="AH865" s="143"/>
      <c r="AI865" s="143"/>
      <c r="AJ865" s="143"/>
      <c r="AK865" s="389"/>
      <c r="AL865" s="389"/>
      <c r="AM865" s="389"/>
    </row>
    <row r="866">
      <c r="A866" s="307"/>
      <c r="B866" s="308"/>
      <c r="C866" s="309"/>
      <c r="D866" s="389"/>
      <c r="E866" s="307"/>
      <c r="F866" s="308"/>
      <c r="G866" s="309"/>
      <c r="H866" s="389"/>
      <c r="I866" s="307"/>
      <c r="J866" s="308"/>
      <c r="K866" s="309"/>
      <c r="L866" s="389"/>
      <c r="M866" s="307"/>
      <c r="N866" s="308"/>
      <c r="O866" s="309"/>
      <c r="P866" s="389"/>
      <c r="Q866" s="192"/>
      <c r="R866" s="149"/>
      <c r="S866" s="392"/>
      <c r="T866" s="393"/>
      <c r="U866" s="192"/>
      <c r="V866" s="149"/>
      <c r="W866" s="392"/>
      <c r="X866" s="393"/>
      <c r="Y866" s="192"/>
      <c r="Z866" s="149"/>
      <c r="AA866" s="392"/>
      <c r="AB866" s="393"/>
      <c r="AC866" s="192"/>
      <c r="AD866" s="149"/>
      <c r="AE866" s="392"/>
      <c r="AF866" s="393"/>
      <c r="AG866" s="143"/>
      <c r="AH866" s="143"/>
      <c r="AI866" s="143"/>
      <c r="AJ866" s="143"/>
      <c r="AK866" s="389"/>
      <c r="AL866" s="389"/>
      <c r="AM866" s="389"/>
    </row>
    <row r="867">
      <c r="A867" s="307"/>
      <c r="B867" s="308"/>
      <c r="C867" s="309"/>
      <c r="D867" s="389"/>
      <c r="E867" s="307"/>
      <c r="F867" s="308"/>
      <c r="G867" s="309"/>
      <c r="H867" s="389"/>
      <c r="I867" s="307"/>
      <c r="J867" s="308"/>
      <c r="K867" s="309"/>
      <c r="L867" s="389"/>
      <c r="M867" s="307"/>
      <c r="N867" s="308"/>
      <c r="O867" s="309"/>
      <c r="P867" s="389"/>
      <c r="Q867" s="192"/>
      <c r="R867" s="149"/>
      <c r="S867" s="392"/>
      <c r="T867" s="393"/>
      <c r="U867" s="192"/>
      <c r="V867" s="149"/>
      <c r="W867" s="392"/>
      <c r="X867" s="393"/>
      <c r="Y867" s="192"/>
      <c r="Z867" s="149"/>
      <c r="AA867" s="392"/>
      <c r="AB867" s="393"/>
      <c r="AC867" s="192"/>
      <c r="AD867" s="149"/>
      <c r="AE867" s="392"/>
      <c r="AF867" s="393"/>
      <c r="AG867" s="143"/>
      <c r="AH867" s="143"/>
      <c r="AI867" s="143"/>
      <c r="AJ867" s="143"/>
      <c r="AK867" s="389"/>
      <c r="AL867" s="389"/>
      <c r="AM867" s="389"/>
    </row>
    <row r="868">
      <c r="A868" s="307"/>
      <c r="B868" s="308"/>
      <c r="C868" s="309"/>
      <c r="D868" s="389"/>
      <c r="E868" s="307"/>
      <c r="F868" s="308"/>
      <c r="G868" s="309"/>
      <c r="H868" s="389"/>
      <c r="I868" s="307"/>
      <c r="J868" s="308"/>
      <c r="K868" s="309"/>
      <c r="L868" s="389"/>
      <c r="M868" s="307"/>
      <c r="N868" s="308"/>
      <c r="O868" s="309"/>
      <c r="P868" s="389"/>
      <c r="Q868" s="192"/>
      <c r="R868" s="149"/>
      <c r="S868" s="392"/>
      <c r="T868" s="393"/>
      <c r="U868" s="192"/>
      <c r="V868" s="149"/>
      <c r="W868" s="392"/>
      <c r="X868" s="393"/>
      <c r="Y868" s="192"/>
      <c r="Z868" s="149"/>
      <c r="AA868" s="392"/>
      <c r="AB868" s="393"/>
      <c r="AC868" s="192"/>
      <c r="AD868" s="149"/>
      <c r="AE868" s="392"/>
      <c r="AF868" s="393"/>
      <c r="AG868" s="143"/>
      <c r="AH868" s="143"/>
      <c r="AI868" s="143"/>
      <c r="AJ868" s="143"/>
      <c r="AK868" s="389"/>
      <c r="AL868" s="389"/>
      <c r="AM868" s="389"/>
    </row>
    <row r="869">
      <c r="A869" s="307"/>
      <c r="B869" s="308"/>
      <c r="C869" s="309"/>
      <c r="D869" s="389"/>
      <c r="E869" s="307"/>
      <c r="F869" s="308"/>
      <c r="G869" s="309"/>
      <c r="H869" s="389"/>
      <c r="I869" s="307"/>
      <c r="J869" s="308"/>
      <c r="K869" s="309"/>
      <c r="L869" s="389"/>
      <c r="M869" s="307"/>
      <c r="N869" s="308"/>
      <c r="O869" s="309"/>
      <c r="P869" s="389"/>
      <c r="Q869" s="192"/>
      <c r="R869" s="149"/>
      <c r="S869" s="392"/>
      <c r="T869" s="393"/>
      <c r="U869" s="192"/>
      <c r="V869" s="149"/>
      <c r="W869" s="392"/>
      <c r="X869" s="393"/>
      <c r="Y869" s="192"/>
      <c r="Z869" s="149"/>
      <c r="AA869" s="392"/>
      <c r="AB869" s="393"/>
      <c r="AC869" s="192"/>
      <c r="AD869" s="149"/>
      <c r="AE869" s="392"/>
      <c r="AF869" s="393"/>
      <c r="AG869" s="143"/>
      <c r="AH869" s="143"/>
      <c r="AI869" s="143"/>
      <c r="AJ869" s="143"/>
      <c r="AK869" s="389"/>
      <c r="AL869" s="389"/>
      <c r="AM869" s="389"/>
    </row>
    <row r="870">
      <c r="A870" s="307"/>
      <c r="B870" s="308"/>
      <c r="C870" s="309"/>
      <c r="D870" s="389"/>
      <c r="E870" s="307"/>
      <c r="F870" s="308"/>
      <c r="G870" s="309"/>
      <c r="H870" s="389"/>
      <c r="I870" s="307"/>
      <c r="J870" s="308"/>
      <c r="K870" s="309"/>
      <c r="L870" s="389"/>
      <c r="M870" s="307"/>
      <c r="N870" s="308"/>
      <c r="O870" s="309"/>
      <c r="P870" s="389"/>
      <c r="Q870" s="192"/>
      <c r="R870" s="149"/>
      <c r="S870" s="392"/>
      <c r="T870" s="393"/>
      <c r="U870" s="192"/>
      <c r="V870" s="149"/>
      <c r="W870" s="392"/>
      <c r="X870" s="393"/>
      <c r="Y870" s="192"/>
      <c r="Z870" s="149"/>
      <c r="AA870" s="392"/>
      <c r="AB870" s="393"/>
      <c r="AC870" s="192"/>
      <c r="AD870" s="149"/>
      <c r="AE870" s="392"/>
      <c r="AF870" s="393"/>
      <c r="AG870" s="143"/>
      <c r="AH870" s="143"/>
      <c r="AI870" s="143"/>
      <c r="AJ870" s="143"/>
      <c r="AK870" s="389"/>
      <c r="AL870" s="389"/>
      <c r="AM870" s="389"/>
    </row>
    <row r="871">
      <c r="A871" s="307"/>
      <c r="B871" s="308"/>
      <c r="C871" s="309"/>
      <c r="D871" s="389"/>
      <c r="E871" s="307"/>
      <c r="F871" s="308"/>
      <c r="G871" s="309"/>
      <c r="H871" s="389"/>
      <c r="I871" s="307"/>
      <c r="J871" s="308"/>
      <c r="K871" s="309"/>
      <c r="L871" s="389"/>
      <c r="M871" s="307"/>
      <c r="N871" s="308"/>
      <c r="O871" s="309"/>
      <c r="P871" s="389"/>
      <c r="Q871" s="192"/>
      <c r="R871" s="149"/>
      <c r="S871" s="392"/>
      <c r="T871" s="393"/>
      <c r="U871" s="192"/>
      <c r="V871" s="149"/>
      <c r="W871" s="392"/>
      <c r="X871" s="393"/>
      <c r="Y871" s="192"/>
      <c r="Z871" s="149"/>
      <c r="AA871" s="392"/>
      <c r="AB871" s="393"/>
      <c r="AC871" s="192"/>
      <c r="AD871" s="149"/>
      <c r="AE871" s="392"/>
      <c r="AF871" s="393"/>
      <c r="AG871" s="143"/>
      <c r="AH871" s="143"/>
      <c r="AI871" s="143"/>
      <c r="AJ871" s="143"/>
      <c r="AK871" s="389"/>
      <c r="AL871" s="389"/>
      <c r="AM871" s="389"/>
    </row>
    <row r="872">
      <c r="A872" s="307"/>
      <c r="B872" s="308"/>
      <c r="C872" s="309"/>
      <c r="D872" s="389"/>
      <c r="E872" s="307"/>
      <c r="F872" s="308"/>
      <c r="G872" s="309"/>
      <c r="H872" s="389"/>
      <c r="I872" s="307"/>
      <c r="J872" s="308"/>
      <c r="K872" s="309"/>
      <c r="L872" s="389"/>
      <c r="M872" s="307"/>
      <c r="N872" s="308"/>
      <c r="O872" s="309"/>
      <c r="P872" s="389"/>
      <c r="Q872" s="192"/>
      <c r="R872" s="149"/>
      <c r="S872" s="392"/>
      <c r="T872" s="393"/>
      <c r="U872" s="192"/>
      <c r="V872" s="149"/>
      <c r="W872" s="392"/>
      <c r="X872" s="393"/>
      <c r="Y872" s="192"/>
      <c r="Z872" s="149"/>
      <c r="AA872" s="392"/>
      <c r="AB872" s="393"/>
      <c r="AC872" s="192"/>
      <c r="AD872" s="149"/>
      <c r="AE872" s="392"/>
      <c r="AF872" s="393"/>
      <c r="AG872" s="143"/>
      <c r="AH872" s="143"/>
      <c r="AI872" s="143"/>
      <c r="AJ872" s="143"/>
      <c r="AK872" s="389"/>
      <c r="AL872" s="389"/>
      <c r="AM872" s="389"/>
    </row>
    <row r="873">
      <c r="A873" s="307"/>
      <c r="B873" s="308"/>
      <c r="C873" s="309"/>
      <c r="D873" s="389"/>
      <c r="E873" s="307"/>
      <c r="F873" s="308"/>
      <c r="G873" s="309"/>
      <c r="H873" s="389"/>
      <c r="I873" s="307"/>
      <c r="J873" s="308"/>
      <c r="K873" s="309"/>
      <c r="L873" s="389"/>
      <c r="M873" s="307"/>
      <c r="N873" s="308"/>
      <c r="O873" s="309"/>
      <c r="P873" s="389"/>
      <c r="Q873" s="192"/>
      <c r="R873" s="149"/>
      <c r="S873" s="392"/>
      <c r="T873" s="393"/>
      <c r="U873" s="192"/>
      <c r="V873" s="149"/>
      <c r="W873" s="392"/>
      <c r="X873" s="393"/>
      <c r="Y873" s="192"/>
      <c r="Z873" s="149"/>
      <c r="AA873" s="392"/>
      <c r="AB873" s="393"/>
      <c r="AC873" s="192"/>
      <c r="AD873" s="149"/>
      <c r="AE873" s="392"/>
      <c r="AF873" s="393"/>
      <c r="AG873" s="143"/>
      <c r="AH873" s="143"/>
      <c r="AI873" s="143"/>
      <c r="AJ873" s="143"/>
      <c r="AK873" s="389"/>
      <c r="AL873" s="389"/>
      <c r="AM873" s="389"/>
    </row>
    <row r="874">
      <c r="A874" s="307"/>
      <c r="B874" s="308"/>
      <c r="C874" s="309"/>
      <c r="D874" s="389"/>
      <c r="E874" s="307"/>
      <c r="F874" s="308"/>
      <c r="G874" s="309"/>
      <c r="H874" s="389"/>
      <c r="I874" s="307"/>
      <c r="J874" s="308"/>
      <c r="K874" s="309"/>
      <c r="L874" s="389"/>
      <c r="M874" s="307"/>
      <c r="N874" s="308"/>
      <c r="O874" s="309"/>
      <c r="P874" s="389"/>
      <c r="Q874" s="192"/>
      <c r="R874" s="149"/>
      <c r="S874" s="392"/>
      <c r="T874" s="393"/>
      <c r="U874" s="192"/>
      <c r="V874" s="149"/>
      <c r="W874" s="392"/>
      <c r="X874" s="393"/>
      <c r="Y874" s="192"/>
      <c r="Z874" s="149"/>
      <c r="AA874" s="392"/>
      <c r="AB874" s="393"/>
      <c r="AC874" s="192"/>
      <c r="AD874" s="149"/>
      <c r="AE874" s="392"/>
      <c r="AF874" s="393"/>
      <c r="AG874" s="143"/>
      <c r="AH874" s="143"/>
      <c r="AI874" s="143"/>
      <c r="AJ874" s="143"/>
      <c r="AK874" s="389"/>
      <c r="AL874" s="389"/>
      <c r="AM874" s="389"/>
    </row>
    <row r="875">
      <c r="A875" s="307"/>
      <c r="B875" s="308"/>
      <c r="C875" s="309"/>
      <c r="D875" s="389"/>
      <c r="E875" s="307"/>
      <c r="F875" s="308"/>
      <c r="G875" s="309"/>
      <c r="H875" s="389"/>
      <c r="I875" s="307"/>
      <c r="J875" s="308"/>
      <c r="K875" s="309"/>
      <c r="L875" s="389"/>
      <c r="M875" s="307"/>
      <c r="N875" s="308"/>
      <c r="O875" s="309"/>
      <c r="P875" s="389"/>
      <c r="Q875" s="192"/>
      <c r="R875" s="149"/>
      <c r="S875" s="392"/>
      <c r="T875" s="393"/>
      <c r="U875" s="192"/>
      <c r="V875" s="149"/>
      <c r="W875" s="392"/>
      <c r="X875" s="393"/>
      <c r="Y875" s="192"/>
      <c r="Z875" s="149"/>
      <c r="AA875" s="392"/>
      <c r="AB875" s="393"/>
      <c r="AC875" s="192"/>
      <c r="AD875" s="149"/>
      <c r="AE875" s="392"/>
      <c r="AF875" s="393"/>
      <c r="AG875" s="143"/>
      <c r="AH875" s="143"/>
      <c r="AI875" s="143"/>
      <c r="AJ875" s="143"/>
      <c r="AK875" s="389"/>
      <c r="AL875" s="389"/>
      <c r="AM875" s="389"/>
    </row>
    <row r="876">
      <c r="A876" s="307"/>
      <c r="B876" s="308"/>
      <c r="C876" s="309"/>
      <c r="D876" s="389"/>
      <c r="E876" s="307"/>
      <c r="F876" s="308"/>
      <c r="G876" s="309"/>
      <c r="H876" s="389"/>
      <c r="I876" s="307"/>
      <c r="J876" s="308"/>
      <c r="K876" s="309"/>
      <c r="L876" s="389"/>
      <c r="M876" s="307"/>
      <c r="N876" s="308"/>
      <c r="O876" s="309"/>
      <c r="P876" s="389"/>
      <c r="Q876" s="192"/>
      <c r="R876" s="149"/>
      <c r="S876" s="392"/>
      <c r="T876" s="393"/>
      <c r="U876" s="192"/>
      <c r="V876" s="149"/>
      <c r="W876" s="392"/>
      <c r="X876" s="393"/>
      <c r="Y876" s="192"/>
      <c r="Z876" s="149"/>
      <c r="AA876" s="392"/>
      <c r="AB876" s="393"/>
      <c r="AC876" s="192"/>
      <c r="AD876" s="149"/>
      <c r="AE876" s="392"/>
      <c r="AF876" s="393"/>
      <c r="AG876" s="143"/>
      <c r="AH876" s="143"/>
      <c r="AI876" s="143"/>
      <c r="AJ876" s="143"/>
      <c r="AK876" s="389"/>
      <c r="AL876" s="389"/>
      <c r="AM876" s="389"/>
    </row>
    <row r="877">
      <c r="A877" s="307"/>
      <c r="B877" s="308"/>
      <c r="C877" s="309"/>
      <c r="D877" s="389"/>
      <c r="E877" s="307"/>
      <c r="F877" s="308"/>
      <c r="G877" s="309"/>
      <c r="H877" s="389"/>
      <c r="I877" s="307"/>
      <c r="J877" s="308"/>
      <c r="K877" s="309"/>
      <c r="L877" s="389"/>
      <c r="M877" s="307"/>
      <c r="N877" s="308"/>
      <c r="O877" s="309"/>
      <c r="P877" s="389"/>
      <c r="Q877" s="192"/>
      <c r="R877" s="149"/>
      <c r="S877" s="392"/>
      <c r="T877" s="393"/>
      <c r="U877" s="192"/>
      <c r="V877" s="149"/>
      <c r="W877" s="392"/>
      <c r="X877" s="393"/>
      <c r="Y877" s="192"/>
      <c r="Z877" s="149"/>
      <c r="AA877" s="392"/>
      <c r="AB877" s="393"/>
      <c r="AC877" s="192"/>
      <c r="AD877" s="149"/>
      <c r="AE877" s="392"/>
      <c r="AF877" s="393"/>
      <c r="AG877" s="143"/>
      <c r="AH877" s="143"/>
      <c r="AI877" s="143"/>
      <c r="AJ877" s="143"/>
      <c r="AK877" s="389"/>
      <c r="AL877" s="389"/>
      <c r="AM877" s="389"/>
    </row>
    <row r="878">
      <c r="A878" s="307"/>
      <c r="B878" s="308"/>
      <c r="C878" s="309"/>
      <c r="D878" s="389"/>
      <c r="E878" s="307"/>
      <c r="F878" s="308"/>
      <c r="G878" s="309"/>
      <c r="H878" s="389"/>
      <c r="I878" s="307"/>
      <c r="J878" s="308"/>
      <c r="K878" s="309"/>
      <c r="L878" s="389"/>
      <c r="M878" s="307"/>
      <c r="N878" s="308"/>
      <c r="O878" s="309"/>
      <c r="P878" s="389"/>
      <c r="Q878" s="192"/>
      <c r="R878" s="149"/>
      <c r="S878" s="392"/>
      <c r="T878" s="393"/>
      <c r="U878" s="192"/>
      <c r="V878" s="149"/>
      <c r="W878" s="392"/>
      <c r="X878" s="393"/>
      <c r="Y878" s="192"/>
      <c r="Z878" s="149"/>
      <c r="AA878" s="392"/>
      <c r="AB878" s="393"/>
      <c r="AC878" s="192"/>
      <c r="AD878" s="149"/>
      <c r="AE878" s="392"/>
      <c r="AF878" s="393"/>
      <c r="AG878" s="143"/>
      <c r="AH878" s="143"/>
      <c r="AI878" s="143"/>
      <c r="AJ878" s="143"/>
      <c r="AK878" s="389"/>
      <c r="AL878" s="389"/>
      <c r="AM878" s="389"/>
    </row>
    <row r="879">
      <c r="A879" s="307"/>
      <c r="B879" s="308"/>
      <c r="C879" s="309"/>
      <c r="D879" s="389"/>
      <c r="E879" s="307"/>
      <c r="F879" s="308"/>
      <c r="G879" s="309"/>
      <c r="H879" s="389"/>
      <c r="I879" s="307"/>
      <c r="J879" s="308"/>
      <c r="K879" s="309"/>
      <c r="L879" s="389"/>
      <c r="M879" s="307"/>
      <c r="N879" s="308"/>
      <c r="O879" s="309"/>
      <c r="P879" s="389"/>
      <c r="Q879" s="192"/>
      <c r="R879" s="149"/>
      <c r="S879" s="392"/>
      <c r="T879" s="393"/>
      <c r="U879" s="192"/>
      <c r="V879" s="149"/>
      <c r="W879" s="392"/>
      <c r="X879" s="393"/>
      <c r="Y879" s="192"/>
      <c r="Z879" s="149"/>
      <c r="AA879" s="392"/>
      <c r="AB879" s="393"/>
      <c r="AC879" s="192"/>
      <c r="AD879" s="149"/>
      <c r="AE879" s="392"/>
      <c r="AF879" s="393"/>
      <c r="AG879" s="143"/>
      <c r="AH879" s="143"/>
      <c r="AI879" s="143"/>
      <c r="AJ879" s="143"/>
      <c r="AK879" s="389"/>
      <c r="AL879" s="389"/>
      <c r="AM879" s="389"/>
    </row>
    <row r="880">
      <c r="A880" s="307"/>
      <c r="B880" s="308"/>
      <c r="C880" s="309"/>
      <c r="D880" s="389"/>
      <c r="E880" s="307"/>
      <c r="F880" s="308"/>
      <c r="G880" s="309"/>
      <c r="H880" s="389"/>
      <c r="I880" s="307"/>
      <c r="J880" s="308"/>
      <c r="K880" s="309"/>
      <c r="L880" s="389"/>
      <c r="M880" s="307"/>
      <c r="N880" s="308"/>
      <c r="O880" s="309"/>
      <c r="P880" s="389"/>
      <c r="Q880" s="192"/>
      <c r="R880" s="149"/>
      <c r="S880" s="392"/>
      <c r="T880" s="393"/>
      <c r="U880" s="192"/>
      <c r="V880" s="149"/>
      <c r="W880" s="392"/>
      <c r="X880" s="393"/>
      <c r="Y880" s="192"/>
      <c r="Z880" s="149"/>
      <c r="AA880" s="392"/>
      <c r="AB880" s="393"/>
      <c r="AC880" s="192"/>
      <c r="AD880" s="149"/>
      <c r="AE880" s="392"/>
      <c r="AF880" s="393"/>
      <c r="AG880" s="143"/>
      <c r="AH880" s="143"/>
      <c r="AI880" s="143"/>
      <c r="AJ880" s="143"/>
      <c r="AK880" s="389"/>
      <c r="AL880" s="389"/>
      <c r="AM880" s="389"/>
    </row>
    <row r="881">
      <c r="A881" s="307"/>
      <c r="B881" s="308"/>
      <c r="C881" s="309"/>
      <c r="D881" s="389"/>
      <c r="E881" s="307"/>
      <c r="F881" s="308"/>
      <c r="G881" s="309"/>
      <c r="H881" s="389"/>
      <c r="I881" s="307"/>
      <c r="J881" s="308"/>
      <c r="K881" s="309"/>
      <c r="L881" s="389"/>
      <c r="M881" s="307"/>
      <c r="N881" s="308"/>
      <c r="O881" s="309"/>
      <c r="P881" s="389"/>
      <c r="Q881" s="192"/>
      <c r="R881" s="149"/>
      <c r="S881" s="392"/>
      <c r="T881" s="393"/>
      <c r="U881" s="192"/>
      <c r="V881" s="149"/>
      <c r="W881" s="392"/>
      <c r="X881" s="393"/>
      <c r="Y881" s="192"/>
      <c r="Z881" s="149"/>
      <c r="AA881" s="392"/>
      <c r="AB881" s="393"/>
      <c r="AC881" s="192"/>
      <c r="AD881" s="149"/>
      <c r="AE881" s="392"/>
      <c r="AF881" s="393"/>
      <c r="AG881" s="143"/>
      <c r="AH881" s="143"/>
      <c r="AI881" s="143"/>
      <c r="AJ881" s="143"/>
      <c r="AK881" s="389"/>
      <c r="AL881" s="389"/>
      <c r="AM881" s="389"/>
    </row>
    <row r="882">
      <c r="A882" s="307"/>
      <c r="B882" s="308"/>
      <c r="C882" s="309"/>
      <c r="D882" s="389"/>
      <c r="E882" s="307"/>
      <c r="F882" s="308"/>
      <c r="G882" s="309"/>
      <c r="H882" s="389"/>
      <c r="I882" s="307"/>
      <c r="J882" s="308"/>
      <c r="K882" s="309"/>
      <c r="L882" s="389"/>
      <c r="M882" s="307"/>
      <c r="N882" s="308"/>
      <c r="O882" s="309"/>
      <c r="P882" s="389"/>
      <c r="Q882" s="192"/>
      <c r="R882" s="149"/>
      <c r="S882" s="392"/>
      <c r="T882" s="393"/>
      <c r="U882" s="192"/>
      <c r="V882" s="149"/>
      <c r="W882" s="392"/>
      <c r="X882" s="393"/>
      <c r="Y882" s="192"/>
      <c r="Z882" s="149"/>
      <c r="AA882" s="392"/>
      <c r="AB882" s="393"/>
      <c r="AC882" s="192"/>
      <c r="AD882" s="149"/>
      <c r="AE882" s="392"/>
      <c r="AF882" s="393"/>
      <c r="AG882" s="143"/>
      <c r="AH882" s="143"/>
      <c r="AI882" s="143"/>
      <c r="AJ882" s="143"/>
      <c r="AK882" s="389"/>
      <c r="AL882" s="389"/>
      <c r="AM882" s="389"/>
    </row>
    <row r="883">
      <c r="A883" s="307"/>
      <c r="B883" s="308"/>
      <c r="C883" s="309"/>
      <c r="D883" s="389"/>
      <c r="E883" s="307"/>
      <c r="F883" s="308"/>
      <c r="G883" s="309"/>
      <c r="H883" s="389"/>
      <c r="I883" s="307"/>
      <c r="J883" s="308"/>
      <c r="K883" s="309"/>
      <c r="L883" s="389"/>
      <c r="M883" s="307"/>
      <c r="N883" s="308"/>
      <c r="O883" s="309"/>
      <c r="P883" s="389"/>
      <c r="Q883" s="192"/>
      <c r="R883" s="149"/>
      <c r="S883" s="392"/>
      <c r="T883" s="393"/>
      <c r="U883" s="192"/>
      <c r="V883" s="149"/>
      <c r="W883" s="392"/>
      <c r="X883" s="393"/>
      <c r="Y883" s="192"/>
      <c r="Z883" s="149"/>
      <c r="AA883" s="392"/>
      <c r="AB883" s="393"/>
      <c r="AC883" s="192"/>
      <c r="AD883" s="149"/>
      <c r="AE883" s="392"/>
      <c r="AF883" s="393"/>
      <c r="AG883" s="143"/>
      <c r="AH883" s="143"/>
      <c r="AI883" s="143"/>
      <c r="AJ883" s="143"/>
      <c r="AK883" s="389"/>
      <c r="AL883" s="389"/>
      <c r="AM883" s="389"/>
    </row>
    <row r="884">
      <c r="A884" s="307"/>
      <c r="B884" s="308"/>
      <c r="C884" s="309"/>
      <c r="D884" s="389"/>
      <c r="E884" s="307"/>
      <c r="F884" s="308"/>
      <c r="G884" s="309"/>
      <c r="H884" s="389"/>
      <c r="I884" s="307"/>
      <c r="J884" s="308"/>
      <c r="K884" s="309"/>
      <c r="L884" s="389"/>
      <c r="M884" s="307"/>
      <c r="N884" s="308"/>
      <c r="O884" s="309"/>
      <c r="P884" s="389"/>
      <c r="Q884" s="192"/>
      <c r="R884" s="149"/>
      <c r="S884" s="392"/>
      <c r="T884" s="393"/>
      <c r="U884" s="192"/>
      <c r="V884" s="149"/>
      <c r="W884" s="392"/>
      <c r="X884" s="393"/>
      <c r="Y884" s="192"/>
      <c r="Z884" s="149"/>
      <c r="AA884" s="392"/>
      <c r="AB884" s="393"/>
      <c r="AC884" s="192"/>
      <c r="AD884" s="149"/>
      <c r="AE884" s="392"/>
      <c r="AF884" s="393"/>
      <c r="AG884" s="143"/>
      <c r="AH884" s="143"/>
      <c r="AI884" s="143"/>
      <c r="AJ884" s="143"/>
      <c r="AK884" s="389"/>
      <c r="AL884" s="389"/>
      <c r="AM884" s="389"/>
    </row>
    <row r="885">
      <c r="A885" s="307"/>
      <c r="B885" s="308"/>
      <c r="C885" s="309"/>
      <c r="D885" s="389"/>
      <c r="E885" s="307"/>
      <c r="F885" s="308"/>
      <c r="G885" s="309"/>
      <c r="H885" s="389"/>
      <c r="I885" s="307"/>
      <c r="J885" s="308"/>
      <c r="K885" s="309"/>
      <c r="L885" s="389"/>
      <c r="M885" s="307"/>
      <c r="N885" s="308"/>
      <c r="O885" s="309"/>
      <c r="P885" s="389"/>
      <c r="Q885" s="192"/>
      <c r="R885" s="149"/>
      <c r="S885" s="392"/>
      <c r="T885" s="393"/>
      <c r="U885" s="192"/>
      <c r="V885" s="149"/>
      <c r="W885" s="392"/>
      <c r="X885" s="393"/>
      <c r="Y885" s="192"/>
      <c r="Z885" s="149"/>
      <c r="AA885" s="392"/>
      <c r="AB885" s="393"/>
      <c r="AC885" s="192"/>
      <c r="AD885" s="149"/>
      <c r="AE885" s="392"/>
      <c r="AF885" s="393"/>
      <c r="AG885" s="143"/>
      <c r="AH885" s="143"/>
      <c r="AI885" s="143"/>
      <c r="AJ885" s="143"/>
      <c r="AK885" s="389"/>
      <c r="AL885" s="389"/>
      <c r="AM885" s="389"/>
    </row>
    <row r="886">
      <c r="A886" s="307"/>
      <c r="B886" s="308"/>
      <c r="C886" s="309"/>
      <c r="D886" s="389"/>
      <c r="E886" s="307"/>
      <c r="F886" s="308"/>
      <c r="G886" s="309"/>
      <c r="H886" s="389"/>
      <c r="I886" s="307"/>
      <c r="J886" s="308"/>
      <c r="K886" s="309"/>
      <c r="L886" s="389"/>
      <c r="M886" s="307"/>
      <c r="N886" s="308"/>
      <c r="O886" s="309"/>
      <c r="P886" s="389"/>
      <c r="Q886" s="192"/>
      <c r="R886" s="149"/>
      <c r="S886" s="392"/>
      <c r="T886" s="393"/>
      <c r="U886" s="192"/>
      <c r="V886" s="149"/>
      <c r="W886" s="392"/>
      <c r="X886" s="393"/>
      <c r="Y886" s="192"/>
      <c r="Z886" s="149"/>
      <c r="AA886" s="392"/>
      <c r="AB886" s="393"/>
      <c r="AC886" s="192"/>
      <c r="AD886" s="149"/>
      <c r="AE886" s="392"/>
      <c r="AF886" s="393"/>
      <c r="AG886" s="143"/>
      <c r="AH886" s="143"/>
      <c r="AI886" s="143"/>
      <c r="AJ886" s="143"/>
      <c r="AK886" s="389"/>
      <c r="AL886" s="389"/>
      <c r="AM886" s="389"/>
    </row>
    <row r="887">
      <c r="A887" s="307"/>
      <c r="B887" s="308"/>
      <c r="C887" s="309"/>
      <c r="D887" s="389"/>
      <c r="E887" s="307"/>
      <c r="F887" s="308"/>
      <c r="G887" s="309"/>
      <c r="H887" s="389"/>
      <c r="I887" s="307"/>
      <c r="J887" s="308"/>
      <c r="K887" s="309"/>
      <c r="L887" s="389"/>
      <c r="M887" s="307"/>
      <c r="N887" s="308"/>
      <c r="O887" s="309"/>
      <c r="P887" s="389"/>
      <c r="Q887" s="192"/>
      <c r="R887" s="149"/>
      <c r="S887" s="392"/>
      <c r="T887" s="393"/>
      <c r="U887" s="192"/>
      <c r="V887" s="149"/>
      <c r="W887" s="392"/>
      <c r="X887" s="393"/>
      <c r="Y887" s="192"/>
      <c r="Z887" s="149"/>
      <c r="AA887" s="392"/>
      <c r="AB887" s="393"/>
      <c r="AC887" s="192"/>
      <c r="AD887" s="149"/>
      <c r="AE887" s="392"/>
      <c r="AF887" s="393"/>
      <c r="AG887" s="143"/>
      <c r="AH887" s="143"/>
      <c r="AI887" s="143"/>
      <c r="AJ887" s="143"/>
      <c r="AK887" s="389"/>
      <c r="AL887" s="389"/>
      <c r="AM887" s="389"/>
    </row>
    <row r="888">
      <c r="A888" s="307"/>
      <c r="B888" s="308"/>
      <c r="C888" s="309"/>
      <c r="D888" s="389"/>
      <c r="E888" s="307"/>
      <c r="F888" s="308"/>
      <c r="G888" s="309"/>
      <c r="H888" s="389"/>
      <c r="I888" s="307"/>
      <c r="J888" s="308"/>
      <c r="K888" s="309"/>
      <c r="L888" s="389"/>
      <c r="M888" s="307"/>
      <c r="N888" s="308"/>
      <c r="O888" s="309"/>
      <c r="P888" s="389"/>
      <c r="Q888" s="192"/>
      <c r="R888" s="149"/>
      <c r="S888" s="392"/>
      <c r="T888" s="393"/>
      <c r="U888" s="192"/>
      <c r="V888" s="149"/>
      <c r="W888" s="392"/>
      <c r="X888" s="393"/>
      <c r="Y888" s="192"/>
      <c r="Z888" s="149"/>
      <c r="AA888" s="392"/>
      <c r="AB888" s="393"/>
      <c r="AC888" s="192"/>
      <c r="AD888" s="149"/>
      <c r="AE888" s="392"/>
      <c r="AF888" s="393"/>
      <c r="AG888" s="143"/>
      <c r="AH888" s="143"/>
      <c r="AI888" s="143"/>
      <c r="AJ888" s="143"/>
      <c r="AK888" s="389"/>
      <c r="AL888" s="389"/>
      <c r="AM888" s="389"/>
    </row>
    <row r="889">
      <c r="A889" s="307"/>
      <c r="B889" s="308"/>
      <c r="C889" s="309"/>
      <c r="D889" s="389"/>
      <c r="E889" s="307"/>
      <c r="F889" s="308"/>
      <c r="G889" s="309"/>
      <c r="H889" s="389"/>
      <c r="I889" s="307"/>
      <c r="J889" s="308"/>
      <c r="K889" s="309"/>
      <c r="L889" s="389"/>
      <c r="M889" s="307"/>
      <c r="N889" s="308"/>
      <c r="O889" s="309"/>
      <c r="P889" s="389"/>
      <c r="Q889" s="192"/>
      <c r="R889" s="149"/>
      <c r="S889" s="392"/>
      <c r="T889" s="393"/>
      <c r="U889" s="192"/>
      <c r="V889" s="149"/>
      <c r="W889" s="392"/>
      <c r="X889" s="393"/>
      <c r="Y889" s="192"/>
      <c r="Z889" s="149"/>
      <c r="AA889" s="392"/>
      <c r="AB889" s="393"/>
      <c r="AC889" s="192"/>
      <c r="AD889" s="149"/>
      <c r="AE889" s="392"/>
      <c r="AF889" s="393"/>
      <c r="AG889" s="143"/>
      <c r="AH889" s="143"/>
      <c r="AI889" s="143"/>
      <c r="AJ889" s="143"/>
      <c r="AK889" s="389"/>
      <c r="AL889" s="389"/>
      <c r="AM889" s="389"/>
    </row>
    <row r="890">
      <c r="A890" s="307"/>
      <c r="B890" s="308"/>
      <c r="C890" s="309"/>
      <c r="D890" s="389"/>
      <c r="E890" s="307"/>
      <c r="F890" s="308"/>
      <c r="G890" s="309"/>
      <c r="H890" s="389"/>
      <c r="I890" s="307"/>
      <c r="J890" s="308"/>
      <c r="K890" s="309"/>
      <c r="L890" s="389"/>
      <c r="M890" s="307"/>
      <c r="N890" s="308"/>
      <c r="O890" s="309"/>
      <c r="P890" s="389"/>
      <c r="Q890" s="192"/>
      <c r="R890" s="149"/>
      <c r="S890" s="392"/>
      <c r="T890" s="393"/>
      <c r="U890" s="192"/>
      <c r="V890" s="149"/>
      <c r="W890" s="392"/>
      <c r="X890" s="393"/>
      <c r="Y890" s="192"/>
      <c r="Z890" s="149"/>
      <c r="AA890" s="392"/>
      <c r="AB890" s="393"/>
      <c r="AC890" s="192"/>
      <c r="AD890" s="149"/>
      <c r="AE890" s="392"/>
      <c r="AF890" s="393"/>
      <c r="AG890" s="143"/>
      <c r="AH890" s="143"/>
      <c r="AI890" s="143"/>
      <c r="AJ890" s="143"/>
      <c r="AK890" s="389"/>
      <c r="AL890" s="389"/>
      <c r="AM890" s="389"/>
    </row>
    <row r="891">
      <c r="A891" s="307"/>
      <c r="B891" s="308"/>
      <c r="C891" s="309"/>
      <c r="D891" s="389"/>
      <c r="E891" s="307"/>
      <c r="F891" s="308"/>
      <c r="G891" s="309"/>
      <c r="H891" s="389"/>
      <c r="I891" s="307"/>
      <c r="J891" s="308"/>
      <c r="K891" s="309"/>
      <c r="L891" s="389"/>
      <c r="M891" s="307"/>
      <c r="N891" s="308"/>
      <c r="O891" s="309"/>
      <c r="P891" s="389"/>
      <c r="Q891" s="192"/>
      <c r="R891" s="149"/>
      <c r="S891" s="392"/>
      <c r="T891" s="393"/>
      <c r="U891" s="192"/>
      <c r="V891" s="149"/>
      <c r="W891" s="392"/>
      <c r="X891" s="393"/>
      <c r="Y891" s="192"/>
      <c r="Z891" s="149"/>
      <c r="AA891" s="392"/>
      <c r="AB891" s="393"/>
      <c r="AC891" s="192"/>
      <c r="AD891" s="149"/>
      <c r="AE891" s="392"/>
      <c r="AF891" s="393"/>
      <c r="AG891" s="143"/>
      <c r="AH891" s="143"/>
      <c r="AI891" s="143"/>
      <c r="AJ891" s="143"/>
      <c r="AK891" s="389"/>
      <c r="AL891" s="389"/>
      <c r="AM891" s="389"/>
    </row>
    <row r="892">
      <c r="A892" s="307"/>
      <c r="B892" s="308"/>
      <c r="C892" s="309"/>
      <c r="D892" s="389"/>
      <c r="E892" s="307"/>
      <c r="F892" s="308"/>
      <c r="G892" s="309"/>
      <c r="H892" s="389"/>
      <c r="I892" s="307"/>
      <c r="J892" s="308"/>
      <c r="K892" s="309"/>
      <c r="L892" s="389"/>
      <c r="M892" s="307"/>
      <c r="N892" s="308"/>
      <c r="O892" s="309"/>
      <c r="P892" s="389"/>
      <c r="Q892" s="192"/>
      <c r="R892" s="149"/>
      <c r="S892" s="392"/>
      <c r="T892" s="393"/>
      <c r="U892" s="192"/>
      <c r="V892" s="149"/>
      <c r="W892" s="392"/>
      <c r="X892" s="393"/>
      <c r="Y892" s="192"/>
      <c r="Z892" s="149"/>
      <c r="AA892" s="392"/>
      <c r="AB892" s="393"/>
      <c r="AC892" s="192"/>
      <c r="AD892" s="149"/>
      <c r="AE892" s="392"/>
      <c r="AF892" s="393"/>
      <c r="AG892" s="143"/>
      <c r="AH892" s="143"/>
      <c r="AI892" s="143"/>
      <c r="AJ892" s="143"/>
      <c r="AK892" s="389"/>
      <c r="AL892" s="389"/>
      <c r="AM892" s="389"/>
    </row>
    <row r="893">
      <c r="A893" s="307"/>
      <c r="B893" s="308"/>
      <c r="C893" s="309"/>
      <c r="D893" s="389"/>
      <c r="E893" s="307"/>
      <c r="F893" s="308"/>
      <c r="G893" s="309"/>
      <c r="H893" s="389"/>
      <c r="I893" s="307"/>
      <c r="J893" s="308"/>
      <c r="K893" s="309"/>
      <c r="L893" s="389"/>
      <c r="M893" s="307"/>
      <c r="N893" s="308"/>
      <c r="O893" s="309"/>
      <c r="P893" s="389"/>
      <c r="Q893" s="192"/>
      <c r="R893" s="149"/>
      <c r="S893" s="392"/>
      <c r="T893" s="393"/>
      <c r="U893" s="192"/>
      <c r="V893" s="149"/>
      <c r="W893" s="392"/>
      <c r="X893" s="393"/>
      <c r="Y893" s="192"/>
      <c r="Z893" s="149"/>
      <c r="AA893" s="392"/>
      <c r="AB893" s="393"/>
      <c r="AC893" s="192"/>
      <c r="AD893" s="149"/>
      <c r="AE893" s="392"/>
      <c r="AF893" s="393"/>
      <c r="AG893" s="143"/>
      <c r="AH893" s="143"/>
      <c r="AI893" s="143"/>
      <c r="AJ893" s="143"/>
      <c r="AK893" s="389"/>
      <c r="AL893" s="389"/>
      <c r="AM893" s="389"/>
    </row>
    <row r="894">
      <c r="A894" s="307"/>
      <c r="B894" s="308"/>
      <c r="C894" s="309"/>
      <c r="D894" s="389"/>
      <c r="E894" s="307"/>
      <c r="F894" s="308"/>
      <c r="G894" s="309"/>
      <c r="H894" s="389"/>
      <c r="I894" s="307"/>
      <c r="J894" s="308"/>
      <c r="K894" s="309"/>
      <c r="L894" s="389"/>
      <c r="M894" s="307"/>
      <c r="N894" s="308"/>
      <c r="O894" s="309"/>
      <c r="P894" s="389"/>
      <c r="Q894" s="192"/>
      <c r="R894" s="149"/>
      <c r="S894" s="392"/>
      <c r="T894" s="393"/>
      <c r="U894" s="192"/>
      <c r="V894" s="149"/>
      <c r="W894" s="392"/>
      <c r="X894" s="393"/>
      <c r="Y894" s="192"/>
      <c r="Z894" s="149"/>
      <c r="AA894" s="392"/>
      <c r="AB894" s="393"/>
      <c r="AC894" s="192"/>
      <c r="AD894" s="149"/>
      <c r="AE894" s="392"/>
      <c r="AF894" s="393"/>
      <c r="AG894" s="143"/>
      <c r="AH894" s="143"/>
      <c r="AI894" s="143"/>
      <c r="AJ894" s="143"/>
      <c r="AK894" s="389"/>
      <c r="AL894" s="389"/>
      <c r="AM894" s="389"/>
    </row>
    <row r="895">
      <c r="A895" s="307"/>
      <c r="B895" s="308"/>
      <c r="C895" s="309"/>
      <c r="D895" s="389"/>
      <c r="E895" s="307"/>
      <c r="F895" s="308"/>
      <c r="G895" s="309"/>
      <c r="H895" s="389"/>
      <c r="I895" s="307"/>
      <c r="J895" s="308"/>
      <c r="K895" s="309"/>
      <c r="L895" s="389"/>
      <c r="M895" s="307"/>
      <c r="N895" s="308"/>
      <c r="O895" s="309"/>
      <c r="P895" s="389"/>
      <c r="Q895" s="192"/>
      <c r="R895" s="149"/>
      <c r="S895" s="392"/>
      <c r="T895" s="393"/>
      <c r="U895" s="192"/>
      <c r="V895" s="149"/>
      <c r="W895" s="392"/>
      <c r="X895" s="393"/>
      <c r="Y895" s="192"/>
      <c r="Z895" s="149"/>
      <c r="AA895" s="392"/>
      <c r="AB895" s="393"/>
      <c r="AC895" s="192"/>
      <c r="AD895" s="149"/>
      <c r="AE895" s="392"/>
      <c r="AF895" s="393"/>
      <c r="AG895" s="143"/>
      <c r="AH895" s="143"/>
      <c r="AI895" s="143"/>
      <c r="AJ895" s="143"/>
      <c r="AK895" s="389"/>
      <c r="AL895" s="389"/>
      <c r="AM895" s="389"/>
    </row>
    <row r="896">
      <c r="A896" s="307"/>
      <c r="B896" s="308"/>
      <c r="C896" s="309"/>
      <c r="D896" s="389"/>
      <c r="E896" s="307"/>
      <c r="F896" s="308"/>
      <c r="G896" s="309"/>
      <c r="H896" s="389"/>
      <c r="I896" s="307"/>
      <c r="J896" s="308"/>
      <c r="K896" s="309"/>
      <c r="L896" s="389"/>
      <c r="M896" s="307"/>
      <c r="N896" s="308"/>
      <c r="O896" s="309"/>
      <c r="P896" s="389"/>
      <c r="Q896" s="192"/>
      <c r="R896" s="149"/>
      <c r="S896" s="392"/>
      <c r="T896" s="393"/>
      <c r="U896" s="192"/>
      <c r="V896" s="149"/>
      <c r="W896" s="392"/>
      <c r="X896" s="393"/>
      <c r="Y896" s="192"/>
      <c r="Z896" s="149"/>
      <c r="AA896" s="392"/>
      <c r="AB896" s="393"/>
      <c r="AC896" s="192"/>
      <c r="AD896" s="149"/>
      <c r="AE896" s="392"/>
      <c r="AF896" s="393"/>
      <c r="AG896" s="143"/>
      <c r="AH896" s="143"/>
      <c r="AI896" s="143"/>
      <c r="AJ896" s="143"/>
      <c r="AK896" s="389"/>
      <c r="AL896" s="389"/>
      <c r="AM896" s="389"/>
    </row>
    <row r="897">
      <c r="A897" s="307"/>
      <c r="B897" s="308"/>
      <c r="C897" s="309"/>
      <c r="D897" s="389"/>
      <c r="E897" s="307"/>
      <c r="F897" s="308"/>
      <c r="G897" s="309"/>
      <c r="H897" s="389"/>
      <c r="I897" s="307"/>
      <c r="J897" s="308"/>
      <c r="K897" s="309"/>
      <c r="L897" s="389"/>
      <c r="M897" s="307"/>
      <c r="N897" s="308"/>
      <c r="O897" s="309"/>
      <c r="P897" s="389"/>
      <c r="Q897" s="192"/>
      <c r="R897" s="149"/>
      <c r="S897" s="392"/>
      <c r="T897" s="393"/>
      <c r="U897" s="192"/>
      <c r="V897" s="149"/>
      <c r="W897" s="392"/>
      <c r="X897" s="393"/>
      <c r="Y897" s="192"/>
      <c r="Z897" s="149"/>
      <c r="AA897" s="392"/>
      <c r="AB897" s="393"/>
      <c r="AC897" s="192"/>
      <c r="AD897" s="149"/>
      <c r="AE897" s="392"/>
      <c r="AF897" s="393"/>
      <c r="AG897" s="143"/>
      <c r="AH897" s="143"/>
      <c r="AI897" s="143"/>
      <c r="AJ897" s="143"/>
      <c r="AK897" s="389"/>
      <c r="AL897" s="389"/>
      <c r="AM897" s="389"/>
    </row>
    <row r="898">
      <c r="A898" s="307"/>
      <c r="B898" s="308"/>
      <c r="C898" s="309"/>
      <c r="D898" s="389"/>
      <c r="E898" s="307"/>
      <c r="F898" s="308"/>
      <c r="G898" s="309"/>
      <c r="H898" s="389"/>
      <c r="I898" s="307"/>
      <c r="J898" s="308"/>
      <c r="K898" s="309"/>
      <c r="L898" s="389"/>
      <c r="M898" s="307"/>
      <c r="N898" s="308"/>
      <c r="O898" s="309"/>
      <c r="P898" s="389"/>
      <c r="Q898" s="192"/>
      <c r="R898" s="149"/>
      <c r="S898" s="392"/>
      <c r="T898" s="393"/>
      <c r="U898" s="192"/>
      <c r="V898" s="149"/>
      <c r="W898" s="392"/>
      <c r="X898" s="393"/>
      <c r="Y898" s="192"/>
      <c r="Z898" s="149"/>
      <c r="AA898" s="392"/>
      <c r="AB898" s="393"/>
      <c r="AC898" s="192"/>
      <c r="AD898" s="149"/>
      <c r="AE898" s="392"/>
      <c r="AF898" s="393"/>
      <c r="AG898" s="143"/>
      <c r="AH898" s="143"/>
      <c r="AI898" s="143"/>
      <c r="AJ898" s="143"/>
      <c r="AK898" s="389"/>
      <c r="AL898" s="389"/>
      <c r="AM898" s="389"/>
    </row>
    <row r="899">
      <c r="A899" s="307"/>
      <c r="B899" s="308"/>
      <c r="C899" s="309"/>
      <c r="D899" s="389"/>
      <c r="E899" s="307"/>
      <c r="F899" s="308"/>
      <c r="G899" s="309"/>
      <c r="H899" s="389"/>
      <c r="I899" s="307"/>
      <c r="J899" s="308"/>
      <c r="K899" s="309"/>
      <c r="L899" s="389"/>
      <c r="M899" s="307"/>
      <c r="N899" s="308"/>
      <c r="O899" s="309"/>
      <c r="P899" s="389"/>
      <c r="Q899" s="192"/>
      <c r="R899" s="149"/>
      <c r="S899" s="392"/>
      <c r="T899" s="393"/>
      <c r="U899" s="192"/>
      <c r="V899" s="149"/>
      <c r="W899" s="392"/>
      <c r="X899" s="393"/>
      <c r="Y899" s="192"/>
      <c r="Z899" s="149"/>
      <c r="AA899" s="392"/>
      <c r="AB899" s="393"/>
      <c r="AC899" s="192"/>
      <c r="AD899" s="149"/>
      <c r="AE899" s="392"/>
      <c r="AF899" s="393"/>
      <c r="AG899" s="143"/>
      <c r="AH899" s="143"/>
      <c r="AI899" s="143"/>
      <c r="AJ899" s="143"/>
      <c r="AK899" s="389"/>
      <c r="AL899" s="389"/>
      <c r="AM899" s="389"/>
    </row>
    <row r="900">
      <c r="A900" s="307"/>
      <c r="B900" s="308"/>
      <c r="C900" s="309"/>
      <c r="D900" s="389"/>
      <c r="E900" s="307"/>
      <c r="F900" s="308"/>
      <c r="G900" s="309"/>
      <c r="H900" s="389"/>
      <c r="I900" s="307"/>
      <c r="J900" s="308"/>
      <c r="K900" s="309"/>
      <c r="L900" s="389"/>
      <c r="M900" s="307"/>
      <c r="N900" s="308"/>
      <c r="O900" s="309"/>
      <c r="P900" s="389"/>
      <c r="Q900" s="192"/>
      <c r="R900" s="149"/>
      <c r="S900" s="392"/>
      <c r="T900" s="393"/>
      <c r="U900" s="192"/>
      <c r="V900" s="149"/>
      <c r="W900" s="392"/>
      <c r="X900" s="393"/>
      <c r="Y900" s="192"/>
      <c r="Z900" s="149"/>
      <c r="AA900" s="392"/>
      <c r="AB900" s="393"/>
      <c r="AC900" s="192"/>
      <c r="AD900" s="149"/>
      <c r="AE900" s="392"/>
      <c r="AF900" s="393"/>
      <c r="AG900" s="143"/>
      <c r="AH900" s="143"/>
      <c r="AI900" s="143"/>
      <c r="AJ900" s="143"/>
      <c r="AK900" s="389"/>
      <c r="AL900" s="389"/>
      <c r="AM900" s="389"/>
    </row>
    <row r="901">
      <c r="A901" s="307"/>
      <c r="B901" s="308"/>
      <c r="C901" s="309"/>
      <c r="D901" s="389"/>
      <c r="E901" s="307"/>
      <c r="F901" s="308"/>
      <c r="G901" s="309"/>
      <c r="H901" s="389"/>
      <c r="I901" s="307"/>
      <c r="J901" s="308"/>
      <c r="K901" s="309"/>
      <c r="L901" s="389"/>
      <c r="M901" s="307"/>
      <c r="N901" s="308"/>
      <c r="O901" s="309"/>
      <c r="P901" s="389"/>
      <c r="Q901" s="192"/>
      <c r="R901" s="149"/>
      <c r="S901" s="392"/>
      <c r="T901" s="393"/>
      <c r="U901" s="192"/>
      <c r="V901" s="149"/>
      <c r="W901" s="392"/>
      <c r="X901" s="393"/>
      <c r="Y901" s="192"/>
      <c r="Z901" s="149"/>
      <c r="AA901" s="392"/>
      <c r="AB901" s="393"/>
      <c r="AC901" s="192"/>
      <c r="AD901" s="149"/>
      <c r="AE901" s="392"/>
      <c r="AF901" s="393"/>
      <c r="AG901" s="143"/>
      <c r="AH901" s="143"/>
      <c r="AI901" s="143"/>
      <c r="AJ901" s="143"/>
      <c r="AK901" s="389"/>
      <c r="AL901" s="389"/>
      <c r="AM901" s="389"/>
    </row>
    <row r="902">
      <c r="A902" s="307"/>
      <c r="B902" s="308"/>
      <c r="C902" s="309"/>
      <c r="D902" s="389"/>
      <c r="E902" s="307"/>
      <c r="F902" s="308"/>
      <c r="G902" s="309"/>
      <c r="H902" s="389"/>
      <c r="I902" s="307"/>
      <c r="J902" s="308"/>
      <c r="K902" s="309"/>
      <c r="L902" s="389"/>
      <c r="M902" s="307"/>
      <c r="N902" s="308"/>
      <c r="O902" s="309"/>
      <c r="P902" s="389"/>
      <c r="Q902" s="192"/>
      <c r="R902" s="149"/>
      <c r="S902" s="392"/>
      <c r="T902" s="393"/>
      <c r="U902" s="192"/>
      <c r="V902" s="149"/>
      <c r="W902" s="392"/>
      <c r="X902" s="393"/>
      <c r="Y902" s="192"/>
      <c r="Z902" s="149"/>
      <c r="AA902" s="392"/>
      <c r="AB902" s="393"/>
      <c r="AC902" s="192"/>
      <c r="AD902" s="149"/>
      <c r="AE902" s="392"/>
      <c r="AF902" s="393"/>
      <c r="AG902" s="143"/>
      <c r="AH902" s="143"/>
      <c r="AI902" s="143"/>
      <c r="AJ902" s="143"/>
      <c r="AK902" s="389"/>
      <c r="AL902" s="389"/>
      <c r="AM902" s="389"/>
    </row>
    <row r="903">
      <c r="A903" s="307"/>
      <c r="B903" s="308"/>
      <c r="C903" s="309"/>
      <c r="D903" s="389"/>
      <c r="E903" s="307"/>
      <c r="F903" s="308"/>
      <c r="G903" s="309"/>
      <c r="H903" s="389"/>
      <c r="I903" s="307"/>
      <c r="J903" s="308"/>
      <c r="K903" s="309"/>
      <c r="L903" s="389"/>
      <c r="M903" s="307"/>
      <c r="N903" s="308"/>
      <c r="O903" s="309"/>
      <c r="P903" s="389"/>
      <c r="Q903" s="192"/>
      <c r="R903" s="149"/>
      <c r="S903" s="392"/>
      <c r="T903" s="393"/>
      <c r="U903" s="192"/>
      <c r="V903" s="149"/>
      <c r="W903" s="392"/>
      <c r="X903" s="393"/>
      <c r="Y903" s="192"/>
      <c r="Z903" s="149"/>
      <c r="AA903" s="392"/>
      <c r="AB903" s="393"/>
      <c r="AC903" s="192"/>
      <c r="AD903" s="149"/>
      <c r="AE903" s="392"/>
      <c r="AF903" s="393"/>
      <c r="AG903" s="143"/>
      <c r="AH903" s="143"/>
      <c r="AI903" s="143"/>
      <c r="AJ903" s="143"/>
      <c r="AK903" s="389"/>
      <c r="AL903" s="389"/>
      <c r="AM903" s="389"/>
    </row>
    <row r="904">
      <c r="A904" s="307"/>
      <c r="B904" s="308"/>
      <c r="C904" s="309"/>
      <c r="D904" s="389"/>
      <c r="E904" s="307"/>
      <c r="F904" s="308"/>
      <c r="G904" s="309"/>
      <c r="H904" s="389"/>
      <c r="I904" s="307"/>
      <c r="J904" s="308"/>
      <c r="K904" s="309"/>
      <c r="L904" s="389"/>
      <c r="M904" s="307"/>
      <c r="N904" s="308"/>
      <c r="O904" s="309"/>
      <c r="P904" s="389"/>
      <c r="Q904" s="192"/>
      <c r="R904" s="149"/>
      <c r="S904" s="392"/>
      <c r="T904" s="393"/>
      <c r="U904" s="192"/>
      <c r="V904" s="149"/>
      <c r="W904" s="392"/>
      <c r="X904" s="393"/>
      <c r="Y904" s="192"/>
      <c r="Z904" s="149"/>
      <c r="AA904" s="392"/>
      <c r="AB904" s="393"/>
      <c r="AC904" s="192"/>
      <c r="AD904" s="149"/>
      <c r="AE904" s="392"/>
      <c r="AF904" s="393"/>
      <c r="AG904" s="143"/>
      <c r="AH904" s="143"/>
      <c r="AI904" s="143"/>
      <c r="AJ904" s="143"/>
      <c r="AK904" s="389"/>
      <c r="AL904" s="389"/>
      <c r="AM904" s="389"/>
    </row>
    <row r="905">
      <c r="A905" s="307"/>
      <c r="B905" s="308"/>
      <c r="C905" s="309"/>
      <c r="D905" s="389"/>
      <c r="E905" s="307"/>
      <c r="F905" s="308"/>
      <c r="G905" s="309"/>
      <c r="H905" s="389"/>
      <c r="I905" s="307"/>
      <c r="J905" s="308"/>
      <c r="K905" s="309"/>
      <c r="L905" s="389"/>
      <c r="M905" s="307"/>
      <c r="N905" s="308"/>
      <c r="O905" s="309"/>
      <c r="P905" s="389"/>
      <c r="Q905" s="192"/>
      <c r="R905" s="149"/>
      <c r="S905" s="392"/>
      <c r="T905" s="393"/>
      <c r="U905" s="192"/>
      <c r="V905" s="149"/>
      <c r="W905" s="392"/>
      <c r="X905" s="393"/>
      <c r="Y905" s="192"/>
      <c r="Z905" s="149"/>
      <c r="AA905" s="392"/>
      <c r="AB905" s="393"/>
      <c r="AC905" s="192"/>
      <c r="AD905" s="149"/>
      <c r="AE905" s="392"/>
      <c r="AF905" s="393"/>
      <c r="AG905" s="143"/>
      <c r="AH905" s="143"/>
      <c r="AI905" s="143"/>
      <c r="AJ905" s="143"/>
      <c r="AK905" s="389"/>
      <c r="AL905" s="389"/>
      <c r="AM905" s="389"/>
    </row>
    <row r="906">
      <c r="A906" s="307"/>
      <c r="B906" s="308"/>
      <c r="C906" s="309"/>
      <c r="D906" s="389"/>
      <c r="E906" s="307"/>
      <c r="F906" s="308"/>
      <c r="G906" s="309"/>
      <c r="H906" s="389"/>
      <c r="I906" s="307"/>
      <c r="J906" s="308"/>
      <c r="K906" s="309"/>
      <c r="L906" s="389"/>
      <c r="M906" s="307"/>
      <c r="N906" s="308"/>
      <c r="O906" s="309"/>
      <c r="P906" s="389"/>
      <c r="Q906" s="192"/>
      <c r="R906" s="149"/>
      <c r="S906" s="392"/>
      <c r="T906" s="393"/>
      <c r="U906" s="192"/>
      <c r="V906" s="149"/>
      <c r="W906" s="392"/>
      <c r="X906" s="393"/>
      <c r="Y906" s="192"/>
      <c r="Z906" s="149"/>
      <c r="AA906" s="392"/>
      <c r="AB906" s="393"/>
      <c r="AC906" s="192"/>
      <c r="AD906" s="149"/>
      <c r="AE906" s="392"/>
      <c r="AF906" s="393"/>
      <c r="AG906" s="143"/>
      <c r="AH906" s="143"/>
      <c r="AI906" s="143"/>
      <c r="AJ906" s="143"/>
      <c r="AK906" s="389"/>
      <c r="AL906" s="389"/>
      <c r="AM906" s="389"/>
    </row>
    <row r="907">
      <c r="A907" s="307"/>
      <c r="B907" s="308"/>
      <c r="C907" s="309"/>
      <c r="D907" s="389"/>
      <c r="E907" s="307"/>
      <c r="F907" s="308"/>
      <c r="G907" s="309"/>
      <c r="H907" s="389"/>
      <c r="I907" s="307"/>
      <c r="J907" s="308"/>
      <c r="K907" s="309"/>
      <c r="L907" s="389"/>
      <c r="M907" s="307"/>
      <c r="N907" s="308"/>
      <c r="O907" s="309"/>
      <c r="P907" s="389"/>
      <c r="Q907" s="192"/>
      <c r="R907" s="149"/>
      <c r="S907" s="392"/>
      <c r="T907" s="393"/>
      <c r="U907" s="192"/>
      <c r="V907" s="149"/>
      <c r="W907" s="392"/>
      <c r="X907" s="393"/>
      <c r="Y907" s="192"/>
      <c r="Z907" s="149"/>
      <c r="AA907" s="392"/>
      <c r="AB907" s="393"/>
      <c r="AC907" s="192"/>
      <c r="AD907" s="149"/>
      <c r="AE907" s="392"/>
      <c r="AF907" s="393"/>
      <c r="AG907" s="143"/>
      <c r="AH907" s="143"/>
      <c r="AI907" s="143"/>
      <c r="AJ907" s="143"/>
      <c r="AK907" s="389"/>
      <c r="AL907" s="389"/>
      <c r="AM907" s="389"/>
    </row>
    <row r="908">
      <c r="A908" s="307"/>
      <c r="B908" s="308"/>
      <c r="C908" s="309"/>
      <c r="D908" s="389"/>
      <c r="E908" s="307"/>
      <c r="F908" s="308"/>
      <c r="G908" s="309"/>
      <c r="H908" s="389"/>
      <c r="I908" s="307"/>
      <c r="J908" s="308"/>
      <c r="K908" s="309"/>
      <c r="L908" s="389"/>
      <c r="M908" s="307"/>
      <c r="N908" s="308"/>
      <c r="O908" s="309"/>
      <c r="P908" s="389"/>
      <c r="Q908" s="192"/>
      <c r="R908" s="149"/>
      <c r="S908" s="392"/>
      <c r="T908" s="393"/>
      <c r="U908" s="192"/>
      <c r="V908" s="149"/>
      <c r="W908" s="392"/>
      <c r="X908" s="393"/>
      <c r="Y908" s="192"/>
      <c r="Z908" s="149"/>
      <c r="AA908" s="392"/>
      <c r="AB908" s="393"/>
      <c r="AC908" s="192"/>
      <c r="AD908" s="149"/>
      <c r="AE908" s="392"/>
      <c r="AF908" s="393"/>
      <c r="AG908" s="143"/>
      <c r="AH908" s="143"/>
      <c r="AI908" s="143"/>
      <c r="AJ908" s="143"/>
      <c r="AK908" s="389"/>
      <c r="AL908" s="389"/>
      <c r="AM908" s="389"/>
    </row>
    <row r="909">
      <c r="A909" s="307"/>
      <c r="B909" s="308"/>
      <c r="C909" s="309"/>
      <c r="D909" s="389"/>
      <c r="E909" s="307"/>
      <c r="F909" s="308"/>
      <c r="G909" s="309"/>
      <c r="H909" s="389"/>
      <c r="I909" s="307"/>
      <c r="J909" s="308"/>
      <c r="K909" s="309"/>
      <c r="L909" s="389"/>
      <c r="M909" s="307"/>
      <c r="N909" s="308"/>
      <c r="O909" s="309"/>
      <c r="P909" s="389"/>
      <c r="Q909" s="192"/>
      <c r="R909" s="149"/>
      <c r="S909" s="392"/>
      <c r="T909" s="393"/>
      <c r="U909" s="192"/>
      <c r="V909" s="149"/>
      <c r="W909" s="392"/>
      <c r="X909" s="393"/>
      <c r="Y909" s="192"/>
      <c r="Z909" s="149"/>
      <c r="AA909" s="392"/>
      <c r="AB909" s="393"/>
      <c r="AC909" s="192"/>
      <c r="AD909" s="149"/>
      <c r="AE909" s="392"/>
      <c r="AF909" s="393"/>
      <c r="AG909" s="143"/>
      <c r="AH909" s="143"/>
      <c r="AI909" s="143"/>
      <c r="AJ909" s="143"/>
      <c r="AK909" s="389"/>
      <c r="AL909" s="389"/>
      <c r="AM909" s="389"/>
    </row>
    <row r="910">
      <c r="A910" s="307"/>
      <c r="B910" s="308"/>
      <c r="C910" s="309"/>
      <c r="D910" s="389"/>
      <c r="E910" s="307"/>
      <c r="F910" s="308"/>
      <c r="G910" s="309"/>
      <c r="H910" s="389"/>
      <c r="I910" s="307"/>
      <c r="J910" s="308"/>
      <c r="K910" s="309"/>
      <c r="L910" s="389"/>
      <c r="M910" s="307"/>
      <c r="N910" s="308"/>
      <c r="O910" s="309"/>
      <c r="P910" s="389"/>
      <c r="Q910" s="192"/>
      <c r="R910" s="149"/>
      <c r="S910" s="392"/>
      <c r="T910" s="393"/>
      <c r="U910" s="192"/>
      <c r="V910" s="149"/>
      <c r="W910" s="392"/>
      <c r="X910" s="393"/>
      <c r="Y910" s="192"/>
      <c r="Z910" s="149"/>
      <c r="AA910" s="392"/>
      <c r="AB910" s="393"/>
      <c r="AC910" s="192"/>
      <c r="AD910" s="149"/>
      <c r="AE910" s="392"/>
      <c r="AF910" s="393"/>
      <c r="AG910" s="143"/>
      <c r="AH910" s="143"/>
      <c r="AI910" s="143"/>
      <c r="AJ910" s="143"/>
      <c r="AK910" s="389"/>
      <c r="AL910" s="389"/>
      <c r="AM910" s="389"/>
    </row>
    <row r="911">
      <c r="A911" s="307"/>
      <c r="B911" s="308"/>
      <c r="C911" s="309"/>
      <c r="D911" s="389"/>
      <c r="E911" s="307"/>
      <c r="F911" s="308"/>
      <c r="G911" s="309"/>
      <c r="H911" s="389"/>
      <c r="I911" s="307"/>
      <c r="J911" s="308"/>
      <c r="K911" s="309"/>
      <c r="L911" s="389"/>
      <c r="M911" s="307"/>
      <c r="N911" s="308"/>
      <c r="O911" s="309"/>
      <c r="P911" s="389"/>
      <c r="Q911" s="192"/>
      <c r="R911" s="149"/>
      <c r="S911" s="392"/>
      <c r="T911" s="393"/>
      <c r="U911" s="192"/>
      <c r="V911" s="149"/>
      <c r="W911" s="392"/>
      <c r="X911" s="393"/>
      <c r="Y911" s="192"/>
      <c r="Z911" s="149"/>
      <c r="AA911" s="392"/>
      <c r="AB911" s="393"/>
      <c r="AC911" s="192"/>
      <c r="AD911" s="149"/>
      <c r="AE911" s="392"/>
      <c r="AF911" s="393"/>
      <c r="AG911" s="143"/>
      <c r="AH911" s="143"/>
      <c r="AI911" s="143"/>
      <c r="AJ911" s="143"/>
      <c r="AK911" s="389"/>
      <c r="AL911" s="389"/>
      <c r="AM911" s="389"/>
    </row>
    <row r="912">
      <c r="A912" s="307"/>
      <c r="B912" s="308"/>
      <c r="C912" s="309"/>
      <c r="D912" s="389"/>
      <c r="E912" s="307"/>
      <c r="F912" s="308"/>
      <c r="G912" s="309"/>
      <c r="H912" s="389"/>
      <c r="I912" s="307"/>
      <c r="J912" s="308"/>
      <c r="K912" s="309"/>
      <c r="L912" s="389"/>
      <c r="M912" s="307"/>
      <c r="N912" s="308"/>
      <c r="O912" s="309"/>
      <c r="P912" s="389"/>
      <c r="Q912" s="192"/>
      <c r="R912" s="149"/>
      <c r="S912" s="392"/>
      <c r="T912" s="393"/>
      <c r="U912" s="192"/>
      <c r="V912" s="149"/>
      <c r="W912" s="392"/>
      <c r="X912" s="393"/>
      <c r="Y912" s="192"/>
      <c r="Z912" s="149"/>
      <c r="AA912" s="392"/>
      <c r="AB912" s="393"/>
      <c r="AC912" s="192"/>
      <c r="AD912" s="149"/>
      <c r="AE912" s="392"/>
      <c r="AF912" s="393"/>
      <c r="AG912" s="143"/>
      <c r="AH912" s="143"/>
      <c r="AI912" s="143"/>
      <c r="AJ912" s="143"/>
      <c r="AK912" s="389"/>
      <c r="AL912" s="389"/>
      <c r="AM912" s="389"/>
    </row>
    <row r="913">
      <c r="A913" s="307"/>
      <c r="B913" s="308"/>
      <c r="C913" s="309"/>
      <c r="D913" s="389"/>
      <c r="E913" s="307"/>
      <c r="F913" s="308"/>
      <c r="G913" s="309"/>
      <c r="H913" s="389"/>
      <c r="I913" s="307"/>
      <c r="J913" s="308"/>
      <c r="K913" s="309"/>
      <c r="L913" s="389"/>
      <c r="M913" s="307"/>
      <c r="N913" s="308"/>
      <c r="O913" s="309"/>
      <c r="P913" s="389"/>
      <c r="Q913" s="192"/>
      <c r="R913" s="149"/>
      <c r="S913" s="392"/>
      <c r="T913" s="393"/>
      <c r="U913" s="192"/>
      <c r="V913" s="149"/>
      <c r="W913" s="392"/>
      <c r="X913" s="393"/>
      <c r="Y913" s="192"/>
      <c r="Z913" s="149"/>
      <c r="AA913" s="392"/>
      <c r="AB913" s="393"/>
      <c r="AC913" s="192"/>
      <c r="AD913" s="149"/>
      <c r="AE913" s="392"/>
      <c r="AF913" s="393"/>
      <c r="AG913" s="143"/>
      <c r="AH913" s="143"/>
      <c r="AI913" s="143"/>
      <c r="AJ913" s="143"/>
      <c r="AK913" s="389"/>
      <c r="AL913" s="389"/>
      <c r="AM913" s="389"/>
    </row>
    <row r="914">
      <c r="A914" s="307"/>
      <c r="B914" s="308"/>
      <c r="C914" s="309"/>
      <c r="D914" s="389"/>
      <c r="E914" s="307"/>
      <c r="F914" s="308"/>
      <c r="G914" s="309"/>
      <c r="H914" s="389"/>
      <c r="I914" s="307"/>
      <c r="J914" s="308"/>
      <c r="K914" s="309"/>
      <c r="L914" s="389"/>
      <c r="M914" s="307"/>
      <c r="N914" s="308"/>
      <c r="O914" s="309"/>
      <c r="P914" s="389"/>
      <c r="Q914" s="192"/>
      <c r="R914" s="149"/>
      <c r="S914" s="392"/>
      <c r="T914" s="393"/>
      <c r="U914" s="192"/>
      <c r="V914" s="149"/>
      <c r="W914" s="392"/>
      <c r="X914" s="393"/>
      <c r="Y914" s="192"/>
      <c r="Z914" s="149"/>
      <c r="AA914" s="392"/>
      <c r="AB914" s="393"/>
      <c r="AC914" s="192"/>
      <c r="AD914" s="149"/>
      <c r="AE914" s="392"/>
      <c r="AF914" s="393"/>
      <c r="AG914" s="143"/>
      <c r="AH914" s="143"/>
      <c r="AI914" s="143"/>
      <c r="AJ914" s="143"/>
      <c r="AK914" s="389"/>
      <c r="AL914" s="389"/>
      <c r="AM914" s="389"/>
    </row>
    <row r="915">
      <c r="A915" s="307"/>
      <c r="B915" s="308"/>
      <c r="C915" s="309"/>
      <c r="D915" s="389"/>
      <c r="E915" s="307"/>
      <c r="F915" s="308"/>
      <c r="G915" s="309"/>
      <c r="H915" s="389"/>
      <c r="I915" s="307"/>
      <c r="J915" s="308"/>
      <c r="K915" s="309"/>
      <c r="L915" s="389"/>
      <c r="M915" s="307"/>
      <c r="N915" s="308"/>
      <c r="O915" s="309"/>
      <c r="P915" s="389"/>
      <c r="Q915" s="192"/>
      <c r="R915" s="149"/>
      <c r="S915" s="392"/>
      <c r="T915" s="393"/>
      <c r="U915" s="192"/>
      <c r="V915" s="149"/>
      <c r="W915" s="392"/>
      <c r="X915" s="393"/>
      <c r="Y915" s="192"/>
      <c r="Z915" s="149"/>
      <c r="AA915" s="392"/>
      <c r="AB915" s="393"/>
      <c r="AC915" s="192"/>
      <c r="AD915" s="149"/>
      <c r="AE915" s="392"/>
      <c r="AF915" s="393"/>
      <c r="AG915" s="143"/>
      <c r="AH915" s="143"/>
      <c r="AI915" s="143"/>
      <c r="AJ915" s="143"/>
      <c r="AK915" s="389"/>
      <c r="AL915" s="389"/>
      <c r="AM915" s="389"/>
    </row>
    <row r="916">
      <c r="A916" s="307"/>
      <c r="B916" s="308"/>
      <c r="C916" s="309"/>
      <c r="D916" s="389"/>
      <c r="E916" s="307"/>
      <c r="F916" s="308"/>
      <c r="G916" s="309"/>
      <c r="H916" s="389"/>
      <c r="I916" s="307"/>
      <c r="J916" s="308"/>
      <c r="K916" s="309"/>
      <c r="L916" s="389"/>
      <c r="M916" s="307"/>
      <c r="N916" s="308"/>
      <c r="O916" s="309"/>
      <c r="P916" s="389"/>
      <c r="Q916" s="192"/>
      <c r="R916" s="149"/>
      <c r="S916" s="392"/>
      <c r="T916" s="393"/>
      <c r="U916" s="192"/>
      <c r="V916" s="149"/>
      <c r="W916" s="392"/>
      <c r="X916" s="393"/>
      <c r="Y916" s="192"/>
      <c r="Z916" s="149"/>
      <c r="AA916" s="392"/>
      <c r="AB916" s="393"/>
      <c r="AC916" s="192"/>
      <c r="AD916" s="149"/>
      <c r="AE916" s="392"/>
      <c r="AF916" s="393"/>
      <c r="AG916" s="143"/>
      <c r="AH916" s="143"/>
      <c r="AI916" s="143"/>
      <c r="AJ916" s="143"/>
      <c r="AK916" s="389"/>
      <c r="AL916" s="389"/>
      <c r="AM916" s="389"/>
    </row>
    <row r="917">
      <c r="A917" s="307"/>
      <c r="B917" s="308"/>
      <c r="C917" s="309"/>
      <c r="D917" s="389"/>
      <c r="E917" s="307"/>
      <c r="F917" s="308"/>
      <c r="G917" s="309"/>
      <c r="H917" s="389"/>
      <c r="I917" s="307"/>
      <c r="J917" s="308"/>
      <c r="K917" s="309"/>
      <c r="L917" s="389"/>
      <c r="M917" s="307"/>
      <c r="N917" s="308"/>
      <c r="O917" s="309"/>
      <c r="P917" s="389"/>
      <c r="Q917" s="192"/>
      <c r="R917" s="149"/>
      <c r="S917" s="392"/>
      <c r="T917" s="393"/>
      <c r="U917" s="192"/>
      <c r="V917" s="149"/>
      <c r="W917" s="392"/>
      <c r="X917" s="393"/>
      <c r="Y917" s="192"/>
      <c r="Z917" s="149"/>
      <c r="AA917" s="392"/>
      <c r="AB917" s="393"/>
      <c r="AC917" s="192"/>
      <c r="AD917" s="149"/>
      <c r="AE917" s="392"/>
      <c r="AF917" s="393"/>
      <c r="AG917" s="143"/>
      <c r="AH917" s="143"/>
      <c r="AI917" s="143"/>
      <c r="AJ917" s="143"/>
      <c r="AK917" s="389"/>
      <c r="AL917" s="389"/>
      <c r="AM917" s="389"/>
    </row>
    <row r="918">
      <c r="A918" s="307"/>
      <c r="B918" s="308"/>
      <c r="C918" s="309"/>
      <c r="D918" s="389"/>
      <c r="E918" s="307"/>
      <c r="F918" s="308"/>
      <c r="G918" s="309"/>
      <c r="H918" s="389"/>
      <c r="I918" s="307"/>
      <c r="J918" s="308"/>
      <c r="K918" s="309"/>
      <c r="L918" s="389"/>
      <c r="M918" s="307"/>
      <c r="N918" s="308"/>
      <c r="O918" s="309"/>
      <c r="P918" s="389"/>
      <c r="Q918" s="192"/>
      <c r="R918" s="149"/>
      <c r="S918" s="392"/>
      <c r="T918" s="393"/>
      <c r="U918" s="192"/>
      <c r="V918" s="149"/>
      <c r="W918" s="392"/>
      <c r="X918" s="393"/>
      <c r="Y918" s="192"/>
      <c r="Z918" s="149"/>
      <c r="AA918" s="392"/>
      <c r="AB918" s="393"/>
      <c r="AC918" s="192"/>
      <c r="AD918" s="149"/>
      <c r="AE918" s="392"/>
      <c r="AF918" s="393"/>
      <c r="AG918" s="143"/>
      <c r="AH918" s="143"/>
      <c r="AI918" s="143"/>
      <c r="AJ918" s="143"/>
      <c r="AK918" s="389"/>
      <c r="AL918" s="389"/>
      <c r="AM918" s="389"/>
    </row>
    <row r="919">
      <c r="A919" s="307"/>
      <c r="B919" s="308"/>
      <c r="C919" s="309"/>
      <c r="D919" s="389"/>
      <c r="E919" s="307"/>
      <c r="F919" s="308"/>
      <c r="G919" s="309"/>
      <c r="H919" s="389"/>
      <c r="I919" s="307"/>
      <c r="J919" s="308"/>
      <c r="K919" s="309"/>
      <c r="L919" s="389"/>
      <c r="M919" s="307"/>
      <c r="N919" s="308"/>
      <c r="O919" s="309"/>
      <c r="P919" s="389"/>
      <c r="Q919" s="192"/>
      <c r="R919" s="149"/>
      <c r="S919" s="392"/>
      <c r="T919" s="393"/>
      <c r="U919" s="192"/>
      <c r="V919" s="149"/>
      <c r="W919" s="392"/>
      <c r="X919" s="393"/>
      <c r="Y919" s="192"/>
      <c r="Z919" s="149"/>
      <c r="AA919" s="392"/>
      <c r="AB919" s="393"/>
      <c r="AC919" s="192"/>
      <c r="AD919" s="149"/>
      <c r="AE919" s="392"/>
      <c r="AF919" s="393"/>
      <c r="AG919" s="143"/>
      <c r="AH919" s="143"/>
      <c r="AI919" s="143"/>
      <c r="AJ919" s="143"/>
      <c r="AK919" s="389"/>
      <c r="AL919" s="389"/>
      <c r="AM919" s="389"/>
    </row>
    <row r="920">
      <c r="A920" s="307"/>
      <c r="B920" s="308"/>
      <c r="C920" s="309"/>
      <c r="D920" s="389"/>
      <c r="E920" s="307"/>
      <c r="F920" s="308"/>
      <c r="G920" s="309"/>
      <c r="H920" s="389"/>
      <c r="I920" s="307"/>
      <c r="J920" s="308"/>
      <c r="K920" s="309"/>
      <c r="L920" s="389"/>
      <c r="M920" s="307"/>
      <c r="N920" s="308"/>
      <c r="O920" s="309"/>
      <c r="P920" s="389"/>
      <c r="Q920" s="192"/>
      <c r="R920" s="149"/>
      <c r="S920" s="392"/>
      <c r="T920" s="393"/>
      <c r="U920" s="192"/>
      <c r="V920" s="149"/>
      <c r="W920" s="392"/>
      <c r="X920" s="393"/>
      <c r="Y920" s="192"/>
      <c r="Z920" s="149"/>
      <c r="AA920" s="392"/>
      <c r="AB920" s="393"/>
      <c r="AC920" s="192"/>
      <c r="AD920" s="149"/>
      <c r="AE920" s="392"/>
      <c r="AF920" s="393"/>
      <c r="AG920" s="143"/>
      <c r="AH920" s="143"/>
      <c r="AI920" s="143"/>
      <c r="AJ920" s="143"/>
      <c r="AK920" s="389"/>
      <c r="AL920" s="389"/>
      <c r="AM920" s="389"/>
    </row>
    <row r="921">
      <c r="A921" s="307"/>
      <c r="B921" s="308"/>
      <c r="C921" s="309"/>
      <c r="D921" s="389"/>
      <c r="E921" s="307"/>
      <c r="F921" s="308"/>
      <c r="G921" s="309"/>
      <c r="H921" s="389"/>
      <c r="I921" s="307"/>
      <c r="J921" s="308"/>
      <c r="K921" s="309"/>
      <c r="L921" s="389"/>
      <c r="M921" s="307"/>
      <c r="N921" s="308"/>
      <c r="O921" s="309"/>
      <c r="P921" s="389"/>
      <c r="Q921" s="192"/>
      <c r="R921" s="149"/>
      <c r="S921" s="392"/>
      <c r="T921" s="393"/>
      <c r="U921" s="192"/>
      <c r="V921" s="149"/>
      <c r="W921" s="392"/>
      <c r="X921" s="393"/>
      <c r="Y921" s="192"/>
      <c r="Z921" s="149"/>
      <c r="AA921" s="392"/>
      <c r="AB921" s="393"/>
      <c r="AC921" s="192"/>
      <c r="AD921" s="149"/>
      <c r="AE921" s="392"/>
      <c r="AF921" s="393"/>
      <c r="AG921" s="143"/>
      <c r="AH921" s="143"/>
      <c r="AI921" s="143"/>
      <c r="AJ921" s="143"/>
      <c r="AK921" s="389"/>
      <c r="AL921" s="389"/>
      <c r="AM921" s="389"/>
    </row>
    <row r="922">
      <c r="A922" s="307"/>
      <c r="B922" s="308"/>
      <c r="C922" s="309"/>
      <c r="D922" s="389"/>
      <c r="E922" s="307"/>
      <c r="F922" s="308"/>
      <c r="G922" s="309"/>
      <c r="H922" s="389"/>
      <c r="I922" s="307"/>
      <c r="J922" s="308"/>
      <c r="K922" s="309"/>
      <c r="L922" s="389"/>
      <c r="M922" s="307"/>
      <c r="N922" s="308"/>
      <c r="O922" s="309"/>
      <c r="P922" s="389"/>
      <c r="Q922" s="192"/>
      <c r="R922" s="149"/>
      <c r="S922" s="392"/>
      <c r="T922" s="393"/>
      <c r="U922" s="192"/>
      <c r="V922" s="149"/>
      <c r="W922" s="392"/>
      <c r="X922" s="393"/>
      <c r="Y922" s="192"/>
      <c r="Z922" s="149"/>
      <c r="AA922" s="392"/>
      <c r="AB922" s="393"/>
      <c r="AC922" s="192"/>
      <c r="AD922" s="149"/>
      <c r="AE922" s="392"/>
      <c r="AF922" s="393"/>
      <c r="AG922" s="143"/>
      <c r="AH922" s="143"/>
      <c r="AI922" s="143"/>
      <c r="AJ922" s="143"/>
      <c r="AK922" s="389"/>
      <c r="AL922" s="389"/>
      <c r="AM922" s="389"/>
    </row>
    <row r="923">
      <c r="A923" s="307"/>
      <c r="B923" s="308"/>
      <c r="C923" s="309"/>
      <c r="D923" s="389"/>
      <c r="E923" s="307"/>
      <c r="F923" s="308"/>
      <c r="G923" s="309"/>
      <c r="H923" s="389"/>
      <c r="I923" s="307"/>
      <c r="J923" s="308"/>
      <c r="K923" s="309"/>
      <c r="L923" s="389"/>
      <c r="M923" s="307"/>
      <c r="N923" s="308"/>
      <c r="O923" s="309"/>
      <c r="P923" s="389"/>
      <c r="Q923" s="192"/>
      <c r="R923" s="149"/>
      <c r="S923" s="392"/>
      <c r="T923" s="393"/>
      <c r="U923" s="192"/>
      <c r="V923" s="149"/>
      <c r="W923" s="392"/>
      <c r="X923" s="393"/>
      <c r="Y923" s="192"/>
      <c r="Z923" s="149"/>
      <c r="AA923" s="392"/>
      <c r="AB923" s="393"/>
      <c r="AC923" s="192"/>
      <c r="AD923" s="149"/>
      <c r="AE923" s="392"/>
      <c r="AF923" s="393"/>
      <c r="AG923" s="143"/>
      <c r="AH923" s="143"/>
      <c r="AI923" s="143"/>
      <c r="AJ923" s="143"/>
      <c r="AK923" s="389"/>
      <c r="AL923" s="389"/>
      <c r="AM923" s="389"/>
    </row>
    <row r="924">
      <c r="A924" s="307"/>
      <c r="B924" s="308"/>
      <c r="C924" s="309"/>
      <c r="D924" s="389"/>
      <c r="E924" s="307"/>
      <c r="F924" s="308"/>
      <c r="G924" s="309"/>
      <c r="H924" s="389"/>
      <c r="I924" s="307"/>
      <c r="J924" s="308"/>
      <c r="K924" s="309"/>
      <c r="L924" s="389"/>
      <c r="M924" s="307"/>
      <c r="N924" s="308"/>
      <c r="O924" s="309"/>
      <c r="P924" s="389"/>
      <c r="Q924" s="192"/>
      <c r="R924" s="149"/>
      <c r="S924" s="392"/>
      <c r="T924" s="393"/>
      <c r="U924" s="192"/>
      <c r="V924" s="149"/>
      <c r="W924" s="392"/>
      <c r="X924" s="393"/>
      <c r="Y924" s="192"/>
      <c r="Z924" s="149"/>
      <c r="AA924" s="392"/>
      <c r="AB924" s="393"/>
      <c r="AC924" s="192"/>
      <c r="AD924" s="149"/>
      <c r="AE924" s="392"/>
      <c r="AF924" s="393"/>
      <c r="AG924" s="143"/>
      <c r="AH924" s="143"/>
      <c r="AI924" s="143"/>
      <c r="AJ924" s="143"/>
      <c r="AK924" s="389"/>
      <c r="AL924" s="389"/>
      <c r="AM924" s="389"/>
    </row>
    <row r="925">
      <c r="A925" s="307"/>
      <c r="B925" s="308"/>
      <c r="C925" s="309"/>
      <c r="D925" s="389"/>
      <c r="E925" s="307"/>
      <c r="F925" s="308"/>
      <c r="G925" s="309"/>
      <c r="H925" s="389"/>
      <c r="I925" s="307"/>
      <c r="J925" s="308"/>
      <c r="K925" s="309"/>
      <c r="L925" s="389"/>
      <c r="M925" s="307"/>
      <c r="N925" s="308"/>
      <c r="O925" s="309"/>
      <c r="P925" s="389"/>
      <c r="Q925" s="192"/>
      <c r="R925" s="149"/>
      <c r="S925" s="392"/>
      <c r="T925" s="393"/>
      <c r="U925" s="192"/>
      <c r="V925" s="149"/>
      <c r="W925" s="392"/>
      <c r="X925" s="393"/>
      <c r="Y925" s="192"/>
      <c r="Z925" s="149"/>
      <c r="AA925" s="392"/>
      <c r="AB925" s="393"/>
      <c r="AC925" s="192"/>
      <c r="AD925" s="149"/>
      <c r="AE925" s="392"/>
      <c r="AF925" s="393"/>
      <c r="AG925" s="143"/>
      <c r="AH925" s="143"/>
      <c r="AI925" s="143"/>
      <c r="AJ925" s="143"/>
      <c r="AK925" s="389"/>
      <c r="AL925" s="389"/>
      <c r="AM925" s="389"/>
    </row>
    <row r="926">
      <c r="A926" s="307"/>
      <c r="B926" s="308"/>
      <c r="C926" s="309"/>
      <c r="D926" s="389"/>
      <c r="E926" s="307"/>
      <c r="F926" s="308"/>
      <c r="G926" s="309"/>
      <c r="H926" s="389"/>
      <c r="I926" s="307"/>
      <c r="J926" s="308"/>
      <c r="K926" s="309"/>
      <c r="L926" s="389"/>
      <c r="M926" s="307"/>
      <c r="N926" s="308"/>
      <c r="O926" s="309"/>
      <c r="P926" s="389"/>
      <c r="Q926" s="192"/>
      <c r="R926" s="149"/>
      <c r="S926" s="392"/>
      <c r="T926" s="393"/>
      <c r="U926" s="192"/>
      <c r="V926" s="149"/>
      <c r="W926" s="392"/>
      <c r="X926" s="393"/>
      <c r="Y926" s="192"/>
      <c r="Z926" s="149"/>
      <c r="AA926" s="392"/>
      <c r="AB926" s="393"/>
      <c r="AC926" s="192"/>
      <c r="AD926" s="149"/>
      <c r="AE926" s="392"/>
      <c r="AF926" s="393"/>
      <c r="AG926" s="143"/>
      <c r="AH926" s="143"/>
      <c r="AI926" s="143"/>
      <c r="AJ926" s="143"/>
      <c r="AK926" s="389"/>
      <c r="AL926" s="389"/>
      <c r="AM926" s="389"/>
    </row>
    <row r="927">
      <c r="A927" s="307"/>
      <c r="B927" s="308"/>
      <c r="C927" s="309"/>
      <c r="D927" s="389"/>
      <c r="E927" s="307"/>
      <c r="F927" s="308"/>
      <c r="G927" s="309"/>
      <c r="H927" s="389"/>
      <c r="I927" s="307"/>
      <c r="J927" s="308"/>
      <c r="K927" s="309"/>
      <c r="L927" s="389"/>
      <c r="M927" s="307"/>
      <c r="N927" s="308"/>
      <c r="O927" s="309"/>
      <c r="P927" s="389"/>
      <c r="Q927" s="192"/>
      <c r="R927" s="149"/>
      <c r="S927" s="392"/>
      <c r="T927" s="393"/>
      <c r="U927" s="192"/>
      <c r="V927" s="149"/>
      <c r="W927" s="392"/>
      <c r="X927" s="393"/>
      <c r="Y927" s="192"/>
      <c r="Z927" s="149"/>
      <c r="AA927" s="392"/>
      <c r="AB927" s="393"/>
      <c r="AC927" s="192"/>
      <c r="AD927" s="149"/>
      <c r="AE927" s="392"/>
      <c r="AF927" s="393"/>
      <c r="AG927" s="143"/>
      <c r="AH927" s="143"/>
      <c r="AI927" s="143"/>
      <c r="AJ927" s="143"/>
      <c r="AK927" s="389"/>
      <c r="AL927" s="389"/>
      <c r="AM927" s="389"/>
    </row>
    <row r="928">
      <c r="A928" s="307"/>
      <c r="B928" s="308"/>
      <c r="C928" s="309"/>
      <c r="D928" s="389"/>
      <c r="E928" s="307"/>
      <c r="F928" s="308"/>
      <c r="G928" s="309"/>
      <c r="H928" s="389"/>
      <c r="I928" s="307"/>
      <c r="J928" s="308"/>
      <c r="K928" s="309"/>
      <c r="L928" s="389"/>
      <c r="M928" s="307"/>
      <c r="N928" s="308"/>
      <c r="O928" s="309"/>
      <c r="P928" s="389"/>
      <c r="Q928" s="192"/>
      <c r="R928" s="149"/>
      <c r="S928" s="392"/>
      <c r="T928" s="393"/>
      <c r="U928" s="192"/>
      <c r="V928" s="149"/>
      <c r="W928" s="392"/>
      <c r="X928" s="393"/>
      <c r="Y928" s="192"/>
      <c r="Z928" s="149"/>
      <c r="AA928" s="392"/>
      <c r="AB928" s="393"/>
      <c r="AC928" s="192"/>
      <c r="AD928" s="149"/>
      <c r="AE928" s="392"/>
      <c r="AF928" s="393"/>
      <c r="AG928" s="143"/>
      <c r="AH928" s="143"/>
      <c r="AI928" s="143"/>
      <c r="AJ928" s="143"/>
      <c r="AK928" s="389"/>
      <c r="AL928" s="389"/>
      <c r="AM928" s="389"/>
    </row>
    <row r="929">
      <c r="A929" s="307"/>
      <c r="B929" s="308"/>
      <c r="C929" s="309"/>
      <c r="D929" s="389"/>
      <c r="E929" s="307"/>
      <c r="F929" s="308"/>
      <c r="G929" s="309"/>
      <c r="H929" s="389"/>
      <c r="I929" s="307"/>
      <c r="J929" s="308"/>
      <c r="K929" s="309"/>
      <c r="L929" s="389"/>
      <c r="M929" s="307"/>
      <c r="N929" s="308"/>
      <c r="O929" s="309"/>
      <c r="P929" s="389"/>
      <c r="Q929" s="192"/>
      <c r="R929" s="149"/>
      <c r="S929" s="392"/>
      <c r="T929" s="393"/>
      <c r="U929" s="192"/>
      <c r="V929" s="149"/>
      <c r="W929" s="392"/>
      <c r="X929" s="393"/>
      <c r="Y929" s="192"/>
      <c r="Z929" s="149"/>
      <c r="AA929" s="392"/>
      <c r="AB929" s="393"/>
      <c r="AC929" s="192"/>
      <c r="AD929" s="149"/>
      <c r="AE929" s="392"/>
      <c r="AF929" s="393"/>
      <c r="AG929" s="143"/>
      <c r="AH929" s="143"/>
      <c r="AI929" s="143"/>
      <c r="AJ929" s="143"/>
      <c r="AK929" s="389"/>
      <c r="AL929" s="389"/>
      <c r="AM929" s="389"/>
    </row>
    <row r="930">
      <c r="A930" s="307"/>
      <c r="B930" s="308"/>
      <c r="C930" s="309"/>
      <c r="D930" s="389"/>
      <c r="E930" s="307"/>
      <c r="F930" s="308"/>
      <c r="G930" s="309"/>
      <c r="H930" s="389"/>
      <c r="I930" s="307"/>
      <c r="J930" s="308"/>
      <c r="K930" s="309"/>
      <c r="L930" s="389"/>
      <c r="M930" s="307"/>
      <c r="N930" s="308"/>
      <c r="O930" s="309"/>
      <c r="P930" s="389"/>
      <c r="Q930" s="192"/>
      <c r="R930" s="149"/>
      <c r="S930" s="392"/>
      <c r="T930" s="393"/>
      <c r="U930" s="192"/>
      <c r="V930" s="149"/>
      <c r="W930" s="392"/>
      <c r="X930" s="393"/>
      <c r="Y930" s="192"/>
      <c r="Z930" s="149"/>
      <c r="AA930" s="392"/>
      <c r="AB930" s="393"/>
      <c r="AC930" s="192"/>
      <c r="AD930" s="149"/>
      <c r="AE930" s="392"/>
      <c r="AF930" s="393"/>
      <c r="AG930" s="143"/>
      <c r="AH930" s="143"/>
      <c r="AI930" s="143"/>
      <c r="AJ930" s="143"/>
      <c r="AK930" s="389"/>
      <c r="AL930" s="389"/>
      <c r="AM930" s="389"/>
    </row>
    <row r="931">
      <c r="A931" s="307"/>
      <c r="B931" s="308"/>
      <c r="C931" s="309"/>
      <c r="D931" s="389"/>
      <c r="E931" s="307"/>
      <c r="F931" s="308"/>
      <c r="G931" s="309"/>
      <c r="H931" s="389"/>
      <c r="I931" s="307"/>
      <c r="J931" s="308"/>
      <c r="K931" s="309"/>
      <c r="L931" s="389"/>
      <c r="M931" s="307"/>
      <c r="N931" s="308"/>
      <c r="O931" s="309"/>
      <c r="P931" s="389"/>
      <c r="Q931" s="192"/>
      <c r="R931" s="149"/>
      <c r="S931" s="392"/>
      <c r="T931" s="393"/>
      <c r="U931" s="192"/>
      <c r="V931" s="149"/>
      <c r="W931" s="392"/>
      <c r="X931" s="393"/>
      <c r="Y931" s="192"/>
      <c r="Z931" s="149"/>
      <c r="AA931" s="392"/>
      <c r="AB931" s="393"/>
      <c r="AC931" s="192"/>
      <c r="AD931" s="149"/>
      <c r="AE931" s="392"/>
      <c r="AF931" s="393"/>
      <c r="AG931" s="143"/>
      <c r="AH931" s="143"/>
      <c r="AI931" s="143"/>
      <c r="AJ931" s="143"/>
      <c r="AK931" s="389"/>
      <c r="AL931" s="389"/>
      <c r="AM931" s="389"/>
    </row>
    <row r="932">
      <c r="A932" s="307"/>
      <c r="B932" s="308"/>
      <c r="C932" s="309"/>
      <c r="D932" s="389"/>
      <c r="E932" s="307"/>
      <c r="F932" s="308"/>
      <c r="G932" s="309"/>
      <c r="H932" s="389"/>
      <c r="I932" s="307"/>
      <c r="J932" s="308"/>
      <c r="K932" s="309"/>
      <c r="L932" s="389"/>
      <c r="M932" s="307"/>
      <c r="N932" s="308"/>
      <c r="O932" s="309"/>
      <c r="P932" s="389"/>
      <c r="Q932" s="192"/>
      <c r="R932" s="149"/>
      <c r="S932" s="392"/>
      <c r="T932" s="393"/>
      <c r="U932" s="192"/>
      <c r="V932" s="149"/>
      <c r="W932" s="392"/>
      <c r="X932" s="393"/>
      <c r="Y932" s="192"/>
      <c r="Z932" s="149"/>
      <c r="AA932" s="392"/>
      <c r="AB932" s="393"/>
      <c r="AC932" s="192"/>
      <c r="AD932" s="149"/>
      <c r="AE932" s="392"/>
      <c r="AF932" s="393"/>
      <c r="AG932" s="143"/>
      <c r="AH932" s="143"/>
      <c r="AI932" s="143"/>
      <c r="AJ932" s="143"/>
      <c r="AK932" s="389"/>
      <c r="AL932" s="389"/>
      <c r="AM932" s="389"/>
    </row>
    <row r="933">
      <c r="A933" s="307"/>
      <c r="B933" s="308"/>
      <c r="C933" s="309"/>
      <c r="D933" s="389"/>
      <c r="E933" s="307"/>
      <c r="F933" s="308"/>
      <c r="G933" s="309"/>
      <c r="H933" s="389"/>
      <c r="I933" s="307"/>
      <c r="J933" s="308"/>
      <c r="K933" s="309"/>
      <c r="L933" s="389"/>
      <c r="M933" s="307"/>
      <c r="N933" s="308"/>
      <c r="O933" s="309"/>
      <c r="P933" s="389"/>
      <c r="Q933" s="192"/>
      <c r="R933" s="149"/>
      <c r="S933" s="392"/>
      <c r="T933" s="393"/>
      <c r="U933" s="192"/>
      <c r="V933" s="149"/>
      <c r="W933" s="392"/>
      <c r="X933" s="393"/>
      <c r="Y933" s="192"/>
      <c r="Z933" s="149"/>
      <c r="AA933" s="392"/>
      <c r="AB933" s="393"/>
      <c r="AC933" s="192"/>
      <c r="AD933" s="149"/>
      <c r="AE933" s="392"/>
      <c r="AF933" s="393"/>
      <c r="AG933" s="143"/>
      <c r="AH933" s="143"/>
      <c r="AI933" s="143"/>
      <c r="AJ933" s="143"/>
      <c r="AK933" s="389"/>
      <c r="AL933" s="389"/>
      <c r="AM933" s="389"/>
    </row>
    <row r="934">
      <c r="A934" s="307"/>
      <c r="B934" s="308"/>
      <c r="C934" s="309"/>
      <c r="D934" s="389"/>
      <c r="E934" s="307"/>
      <c r="F934" s="308"/>
      <c r="G934" s="309"/>
      <c r="H934" s="389"/>
      <c r="I934" s="307"/>
      <c r="J934" s="308"/>
      <c r="K934" s="309"/>
      <c r="L934" s="389"/>
      <c r="M934" s="307"/>
      <c r="N934" s="308"/>
      <c r="O934" s="309"/>
      <c r="P934" s="389"/>
      <c r="Q934" s="192"/>
      <c r="R934" s="149"/>
      <c r="S934" s="392"/>
      <c r="T934" s="393"/>
      <c r="U934" s="192"/>
      <c r="V934" s="149"/>
      <c r="W934" s="392"/>
      <c r="X934" s="393"/>
      <c r="Y934" s="192"/>
      <c r="Z934" s="149"/>
      <c r="AA934" s="392"/>
      <c r="AB934" s="393"/>
      <c r="AC934" s="192"/>
      <c r="AD934" s="149"/>
      <c r="AE934" s="392"/>
      <c r="AF934" s="393"/>
      <c r="AG934" s="143"/>
      <c r="AH934" s="143"/>
      <c r="AI934" s="143"/>
      <c r="AJ934" s="143"/>
      <c r="AK934" s="389"/>
      <c r="AL934" s="389"/>
      <c r="AM934" s="389"/>
    </row>
    <row r="935">
      <c r="A935" s="307"/>
      <c r="B935" s="308"/>
      <c r="C935" s="309"/>
      <c r="D935" s="389"/>
      <c r="E935" s="307"/>
      <c r="F935" s="308"/>
      <c r="G935" s="309"/>
      <c r="H935" s="389"/>
      <c r="I935" s="307"/>
      <c r="J935" s="308"/>
      <c r="K935" s="309"/>
      <c r="L935" s="389"/>
      <c r="M935" s="307"/>
      <c r="N935" s="308"/>
      <c r="O935" s="309"/>
      <c r="P935" s="389"/>
      <c r="Q935" s="192"/>
      <c r="R935" s="149"/>
      <c r="S935" s="392"/>
      <c r="T935" s="393"/>
      <c r="U935" s="192"/>
      <c r="V935" s="149"/>
      <c r="W935" s="392"/>
      <c r="X935" s="393"/>
      <c r="Y935" s="192"/>
      <c r="Z935" s="149"/>
      <c r="AA935" s="392"/>
      <c r="AB935" s="393"/>
      <c r="AC935" s="192"/>
      <c r="AD935" s="149"/>
      <c r="AE935" s="392"/>
      <c r="AF935" s="393"/>
      <c r="AG935" s="143"/>
      <c r="AH935" s="143"/>
      <c r="AI935" s="143"/>
      <c r="AJ935" s="143"/>
      <c r="AK935" s="389"/>
      <c r="AL935" s="389"/>
      <c r="AM935" s="389"/>
    </row>
    <row r="936">
      <c r="A936" s="307"/>
      <c r="B936" s="308"/>
      <c r="C936" s="309"/>
      <c r="D936" s="389"/>
      <c r="E936" s="307"/>
      <c r="F936" s="308"/>
      <c r="G936" s="309"/>
      <c r="H936" s="389"/>
      <c r="I936" s="307"/>
      <c r="J936" s="308"/>
      <c r="K936" s="309"/>
      <c r="L936" s="389"/>
      <c r="M936" s="307"/>
      <c r="N936" s="308"/>
      <c r="O936" s="309"/>
      <c r="P936" s="389"/>
      <c r="Q936" s="192"/>
      <c r="R936" s="149"/>
      <c r="S936" s="392"/>
      <c r="T936" s="393"/>
      <c r="U936" s="192"/>
      <c r="V936" s="149"/>
      <c r="W936" s="392"/>
      <c r="X936" s="393"/>
      <c r="Y936" s="192"/>
      <c r="Z936" s="149"/>
      <c r="AA936" s="392"/>
      <c r="AB936" s="393"/>
      <c r="AC936" s="192"/>
      <c r="AD936" s="149"/>
      <c r="AE936" s="392"/>
      <c r="AF936" s="393"/>
      <c r="AG936" s="143"/>
      <c r="AH936" s="143"/>
      <c r="AI936" s="143"/>
      <c r="AJ936" s="143"/>
      <c r="AK936" s="389"/>
      <c r="AL936" s="389"/>
      <c r="AM936" s="389"/>
    </row>
    <row r="937">
      <c r="A937" s="307"/>
      <c r="B937" s="308"/>
      <c r="C937" s="309"/>
      <c r="D937" s="389"/>
      <c r="E937" s="307"/>
      <c r="F937" s="308"/>
      <c r="G937" s="309"/>
      <c r="H937" s="389"/>
      <c r="I937" s="307"/>
      <c r="J937" s="308"/>
      <c r="K937" s="309"/>
      <c r="L937" s="389"/>
      <c r="M937" s="307"/>
      <c r="N937" s="308"/>
      <c r="O937" s="309"/>
      <c r="P937" s="389"/>
      <c r="Q937" s="192"/>
      <c r="R937" s="149"/>
      <c r="S937" s="392"/>
      <c r="T937" s="393"/>
      <c r="U937" s="192"/>
      <c r="V937" s="149"/>
      <c r="W937" s="392"/>
      <c r="X937" s="393"/>
      <c r="Y937" s="192"/>
      <c r="Z937" s="149"/>
      <c r="AA937" s="392"/>
      <c r="AB937" s="393"/>
      <c r="AC937" s="192"/>
      <c r="AD937" s="149"/>
      <c r="AE937" s="392"/>
      <c r="AF937" s="393"/>
      <c r="AG937" s="143"/>
      <c r="AH937" s="143"/>
      <c r="AI937" s="143"/>
      <c r="AJ937" s="143"/>
      <c r="AK937" s="389"/>
      <c r="AL937" s="389"/>
      <c r="AM937" s="389"/>
    </row>
    <row r="938">
      <c r="A938" s="307"/>
      <c r="B938" s="308"/>
      <c r="C938" s="309"/>
      <c r="D938" s="389"/>
      <c r="E938" s="307"/>
      <c r="F938" s="308"/>
      <c r="G938" s="309"/>
      <c r="H938" s="389"/>
      <c r="I938" s="307"/>
      <c r="J938" s="308"/>
      <c r="K938" s="309"/>
      <c r="L938" s="389"/>
      <c r="M938" s="307"/>
      <c r="N938" s="308"/>
      <c r="O938" s="309"/>
      <c r="P938" s="389"/>
      <c r="Q938" s="192"/>
      <c r="R938" s="149"/>
      <c r="S938" s="392"/>
      <c r="T938" s="393"/>
      <c r="U938" s="192"/>
      <c r="V938" s="149"/>
      <c r="W938" s="392"/>
      <c r="X938" s="393"/>
      <c r="Y938" s="192"/>
      <c r="Z938" s="149"/>
      <c r="AA938" s="392"/>
      <c r="AB938" s="393"/>
      <c r="AC938" s="192"/>
      <c r="AD938" s="149"/>
      <c r="AE938" s="392"/>
      <c r="AF938" s="393"/>
      <c r="AG938" s="143"/>
      <c r="AH938" s="143"/>
      <c r="AI938" s="143"/>
      <c r="AJ938" s="143"/>
      <c r="AK938" s="389"/>
      <c r="AL938" s="389"/>
      <c r="AM938" s="389"/>
    </row>
    <row r="939">
      <c r="A939" s="307"/>
      <c r="B939" s="308"/>
      <c r="C939" s="309"/>
      <c r="D939" s="389"/>
      <c r="E939" s="307"/>
      <c r="F939" s="308"/>
      <c r="G939" s="309"/>
      <c r="H939" s="389"/>
      <c r="I939" s="307"/>
      <c r="J939" s="308"/>
      <c r="K939" s="309"/>
      <c r="L939" s="389"/>
      <c r="M939" s="307"/>
      <c r="N939" s="308"/>
      <c r="O939" s="309"/>
      <c r="P939" s="389"/>
      <c r="Q939" s="192"/>
      <c r="R939" s="149"/>
      <c r="S939" s="392"/>
      <c r="T939" s="393"/>
      <c r="U939" s="192"/>
      <c r="V939" s="149"/>
      <c r="W939" s="392"/>
      <c r="X939" s="393"/>
      <c r="Y939" s="192"/>
      <c r="Z939" s="149"/>
      <c r="AA939" s="392"/>
      <c r="AB939" s="393"/>
      <c r="AC939" s="192"/>
      <c r="AD939" s="149"/>
      <c r="AE939" s="392"/>
      <c r="AF939" s="393"/>
      <c r="AG939" s="143"/>
      <c r="AH939" s="143"/>
      <c r="AI939" s="143"/>
      <c r="AJ939" s="143"/>
      <c r="AK939" s="389"/>
      <c r="AL939" s="389"/>
      <c r="AM939" s="389"/>
    </row>
    <row r="940">
      <c r="A940" s="307"/>
      <c r="B940" s="308"/>
      <c r="C940" s="309"/>
      <c r="D940" s="389"/>
      <c r="E940" s="307"/>
      <c r="F940" s="308"/>
      <c r="G940" s="309"/>
      <c r="H940" s="389"/>
      <c r="I940" s="307"/>
      <c r="J940" s="308"/>
      <c r="K940" s="309"/>
      <c r="L940" s="389"/>
      <c r="M940" s="307"/>
      <c r="N940" s="308"/>
      <c r="O940" s="309"/>
      <c r="P940" s="389"/>
      <c r="Q940" s="192"/>
      <c r="R940" s="149"/>
      <c r="S940" s="392"/>
      <c r="T940" s="393"/>
      <c r="U940" s="192"/>
      <c r="V940" s="149"/>
      <c r="W940" s="392"/>
      <c r="X940" s="393"/>
      <c r="Y940" s="192"/>
      <c r="Z940" s="149"/>
      <c r="AA940" s="392"/>
      <c r="AB940" s="393"/>
      <c r="AC940" s="192"/>
      <c r="AD940" s="149"/>
      <c r="AE940" s="392"/>
      <c r="AF940" s="393"/>
      <c r="AG940" s="143"/>
      <c r="AH940" s="143"/>
      <c r="AI940" s="143"/>
      <c r="AJ940" s="143"/>
      <c r="AK940" s="389"/>
      <c r="AL940" s="389"/>
      <c r="AM940" s="389"/>
    </row>
    <row r="941">
      <c r="A941" s="307"/>
      <c r="B941" s="308"/>
      <c r="C941" s="309"/>
      <c r="D941" s="389"/>
      <c r="E941" s="307"/>
      <c r="F941" s="308"/>
      <c r="G941" s="309"/>
      <c r="H941" s="389"/>
      <c r="I941" s="307"/>
      <c r="J941" s="308"/>
      <c r="K941" s="309"/>
      <c r="L941" s="389"/>
      <c r="M941" s="307"/>
      <c r="N941" s="308"/>
      <c r="O941" s="309"/>
      <c r="P941" s="389"/>
      <c r="Q941" s="192"/>
      <c r="R941" s="149"/>
      <c r="S941" s="392"/>
      <c r="T941" s="393"/>
      <c r="U941" s="192"/>
      <c r="V941" s="149"/>
      <c r="W941" s="392"/>
      <c r="X941" s="393"/>
      <c r="Y941" s="192"/>
      <c r="Z941" s="149"/>
      <c r="AA941" s="392"/>
      <c r="AB941" s="393"/>
      <c r="AC941" s="192"/>
      <c r="AD941" s="149"/>
      <c r="AE941" s="392"/>
      <c r="AF941" s="393"/>
      <c r="AG941" s="143"/>
      <c r="AH941" s="143"/>
      <c r="AI941" s="143"/>
      <c r="AJ941" s="143"/>
      <c r="AK941" s="389"/>
      <c r="AL941" s="389"/>
      <c r="AM941" s="389"/>
    </row>
    <row r="942">
      <c r="A942" s="307"/>
      <c r="B942" s="308"/>
      <c r="C942" s="309"/>
      <c r="D942" s="389"/>
      <c r="E942" s="307"/>
      <c r="F942" s="308"/>
      <c r="G942" s="309"/>
      <c r="H942" s="389"/>
      <c r="I942" s="307"/>
      <c r="J942" s="308"/>
      <c r="K942" s="309"/>
      <c r="L942" s="389"/>
      <c r="M942" s="307"/>
      <c r="N942" s="308"/>
      <c r="O942" s="309"/>
      <c r="P942" s="389"/>
      <c r="Q942" s="192"/>
      <c r="R942" s="149"/>
      <c r="S942" s="392"/>
      <c r="T942" s="393"/>
      <c r="U942" s="192"/>
      <c r="V942" s="149"/>
      <c r="W942" s="392"/>
      <c r="X942" s="393"/>
      <c r="Y942" s="192"/>
      <c r="Z942" s="149"/>
      <c r="AA942" s="392"/>
      <c r="AB942" s="393"/>
      <c r="AC942" s="192"/>
      <c r="AD942" s="149"/>
      <c r="AE942" s="392"/>
      <c r="AF942" s="393"/>
      <c r="AG942" s="143"/>
      <c r="AH942" s="143"/>
      <c r="AI942" s="143"/>
      <c r="AJ942" s="143"/>
      <c r="AK942" s="389"/>
      <c r="AL942" s="389"/>
      <c r="AM942" s="389"/>
    </row>
    <row r="943">
      <c r="A943" s="307"/>
      <c r="B943" s="308"/>
      <c r="C943" s="309"/>
      <c r="D943" s="389"/>
      <c r="E943" s="307"/>
      <c r="F943" s="308"/>
      <c r="G943" s="309"/>
      <c r="H943" s="389"/>
      <c r="I943" s="307"/>
      <c r="J943" s="308"/>
      <c r="K943" s="309"/>
      <c r="L943" s="389"/>
      <c r="M943" s="307"/>
      <c r="N943" s="308"/>
      <c r="O943" s="309"/>
      <c r="P943" s="389"/>
      <c r="Q943" s="192"/>
      <c r="R943" s="149"/>
      <c r="S943" s="392"/>
      <c r="T943" s="393"/>
      <c r="U943" s="192"/>
      <c r="V943" s="149"/>
      <c r="W943" s="392"/>
      <c r="X943" s="393"/>
      <c r="Y943" s="192"/>
      <c r="Z943" s="149"/>
      <c r="AA943" s="392"/>
      <c r="AB943" s="393"/>
      <c r="AC943" s="192"/>
      <c r="AD943" s="149"/>
      <c r="AE943" s="392"/>
      <c r="AF943" s="393"/>
      <c r="AG943" s="143"/>
      <c r="AH943" s="143"/>
      <c r="AI943" s="143"/>
      <c r="AJ943" s="143"/>
      <c r="AK943" s="389"/>
      <c r="AL943" s="389"/>
      <c r="AM943" s="389"/>
    </row>
    <row r="944">
      <c r="A944" s="307"/>
      <c r="B944" s="308"/>
      <c r="C944" s="309"/>
      <c r="D944" s="389"/>
      <c r="E944" s="307"/>
      <c r="F944" s="308"/>
      <c r="G944" s="309"/>
      <c r="H944" s="389"/>
      <c r="I944" s="307"/>
      <c r="J944" s="308"/>
      <c r="K944" s="309"/>
      <c r="L944" s="389"/>
      <c r="M944" s="307"/>
      <c r="N944" s="308"/>
      <c r="O944" s="309"/>
      <c r="P944" s="389"/>
      <c r="Q944" s="192"/>
      <c r="R944" s="149"/>
      <c r="S944" s="392"/>
      <c r="T944" s="393"/>
      <c r="U944" s="192"/>
      <c r="V944" s="149"/>
      <c r="W944" s="392"/>
      <c r="X944" s="393"/>
      <c r="Y944" s="192"/>
      <c r="Z944" s="149"/>
      <c r="AA944" s="392"/>
      <c r="AB944" s="393"/>
      <c r="AC944" s="192"/>
      <c r="AD944" s="149"/>
      <c r="AE944" s="392"/>
      <c r="AF944" s="393"/>
      <c r="AG944" s="143"/>
      <c r="AH944" s="143"/>
      <c r="AI944" s="143"/>
      <c r="AJ944" s="143"/>
      <c r="AK944" s="389"/>
      <c r="AL944" s="389"/>
      <c r="AM944" s="389"/>
    </row>
    <row r="945">
      <c r="A945" s="307"/>
      <c r="B945" s="308"/>
      <c r="C945" s="309"/>
      <c r="D945" s="389"/>
      <c r="E945" s="307"/>
      <c r="F945" s="308"/>
      <c r="G945" s="309"/>
      <c r="H945" s="389"/>
      <c r="I945" s="307"/>
      <c r="J945" s="308"/>
      <c r="K945" s="309"/>
      <c r="L945" s="389"/>
      <c r="M945" s="307"/>
      <c r="N945" s="308"/>
      <c r="O945" s="309"/>
      <c r="P945" s="389"/>
      <c r="Q945" s="192"/>
      <c r="R945" s="149"/>
      <c r="S945" s="392"/>
      <c r="T945" s="393"/>
      <c r="U945" s="192"/>
      <c r="V945" s="149"/>
      <c r="W945" s="392"/>
      <c r="X945" s="393"/>
      <c r="Y945" s="192"/>
      <c r="Z945" s="149"/>
      <c r="AA945" s="392"/>
      <c r="AB945" s="393"/>
      <c r="AC945" s="192"/>
      <c r="AD945" s="149"/>
      <c r="AE945" s="392"/>
      <c r="AF945" s="393"/>
      <c r="AG945" s="143"/>
      <c r="AH945" s="143"/>
      <c r="AI945" s="143"/>
      <c r="AJ945" s="143"/>
      <c r="AK945" s="389"/>
      <c r="AL945" s="389"/>
      <c r="AM945" s="389"/>
    </row>
    <row r="946">
      <c r="A946" s="307"/>
      <c r="B946" s="308"/>
      <c r="C946" s="309"/>
      <c r="D946" s="389"/>
      <c r="E946" s="307"/>
      <c r="F946" s="308"/>
      <c r="G946" s="309"/>
      <c r="H946" s="389"/>
      <c r="I946" s="307"/>
      <c r="J946" s="308"/>
      <c r="K946" s="309"/>
      <c r="L946" s="389"/>
      <c r="M946" s="307"/>
      <c r="N946" s="308"/>
      <c r="O946" s="309"/>
      <c r="P946" s="389"/>
      <c r="Q946" s="192"/>
      <c r="R946" s="149"/>
      <c r="S946" s="392"/>
      <c r="T946" s="393"/>
      <c r="U946" s="192"/>
      <c r="V946" s="149"/>
      <c r="W946" s="392"/>
      <c r="X946" s="393"/>
      <c r="Y946" s="192"/>
      <c r="Z946" s="149"/>
      <c r="AA946" s="392"/>
      <c r="AB946" s="393"/>
      <c r="AC946" s="192"/>
      <c r="AD946" s="149"/>
      <c r="AE946" s="392"/>
      <c r="AF946" s="393"/>
      <c r="AG946" s="143"/>
      <c r="AH946" s="143"/>
      <c r="AI946" s="143"/>
      <c r="AJ946" s="143"/>
      <c r="AK946" s="389"/>
      <c r="AL946" s="389"/>
      <c r="AM946" s="389"/>
    </row>
    <row r="947">
      <c r="A947" s="307"/>
      <c r="B947" s="308"/>
      <c r="C947" s="309"/>
      <c r="D947" s="389"/>
      <c r="E947" s="307"/>
      <c r="F947" s="308"/>
      <c r="G947" s="309"/>
      <c r="H947" s="389"/>
      <c r="I947" s="307"/>
      <c r="J947" s="308"/>
      <c r="K947" s="309"/>
      <c r="L947" s="389"/>
      <c r="M947" s="307"/>
      <c r="N947" s="308"/>
      <c r="O947" s="309"/>
      <c r="P947" s="389"/>
      <c r="Q947" s="192"/>
      <c r="R947" s="149"/>
      <c r="S947" s="392"/>
      <c r="T947" s="393"/>
      <c r="U947" s="192"/>
      <c r="V947" s="149"/>
      <c r="W947" s="392"/>
      <c r="X947" s="393"/>
      <c r="Y947" s="192"/>
      <c r="Z947" s="149"/>
      <c r="AA947" s="392"/>
      <c r="AB947" s="393"/>
      <c r="AC947" s="192"/>
      <c r="AD947" s="149"/>
      <c r="AE947" s="392"/>
      <c r="AF947" s="393"/>
      <c r="AG947" s="143"/>
      <c r="AH947" s="143"/>
      <c r="AI947" s="143"/>
      <c r="AJ947" s="143"/>
      <c r="AK947" s="389"/>
      <c r="AL947" s="389"/>
      <c r="AM947" s="389"/>
    </row>
    <row r="948">
      <c r="A948" s="307"/>
      <c r="B948" s="308"/>
      <c r="C948" s="309"/>
      <c r="D948" s="389"/>
      <c r="E948" s="307"/>
      <c r="F948" s="308"/>
      <c r="G948" s="309"/>
      <c r="H948" s="389"/>
      <c r="I948" s="307"/>
      <c r="J948" s="308"/>
      <c r="K948" s="309"/>
      <c r="L948" s="389"/>
      <c r="M948" s="307"/>
      <c r="N948" s="308"/>
      <c r="O948" s="309"/>
      <c r="P948" s="389"/>
      <c r="Q948" s="192"/>
      <c r="R948" s="149"/>
      <c r="S948" s="392"/>
      <c r="T948" s="393"/>
      <c r="U948" s="192"/>
      <c r="V948" s="149"/>
      <c r="W948" s="392"/>
      <c r="X948" s="393"/>
      <c r="Y948" s="192"/>
      <c r="Z948" s="149"/>
      <c r="AA948" s="392"/>
      <c r="AB948" s="393"/>
      <c r="AC948" s="192"/>
      <c r="AD948" s="149"/>
      <c r="AE948" s="392"/>
      <c r="AF948" s="393"/>
      <c r="AG948" s="143"/>
      <c r="AH948" s="143"/>
      <c r="AI948" s="143"/>
      <c r="AJ948" s="143"/>
      <c r="AK948" s="389"/>
      <c r="AL948" s="389"/>
      <c r="AM948" s="389"/>
    </row>
    <row r="949">
      <c r="A949" s="307"/>
      <c r="B949" s="308"/>
      <c r="C949" s="309"/>
      <c r="D949" s="389"/>
      <c r="E949" s="307"/>
      <c r="F949" s="308"/>
      <c r="G949" s="309"/>
      <c r="H949" s="389"/>
      <c r="I949" s="307"/>
      <c r="J949" s="308"/>
      <c r="K949" s="309"/>
      <c r="L949" s="389"/>
      <c r="M949" s="307"/>
      <c r="N949" s="308"/>
      <c r="O949" s="309"/>
      <c r="P949" s="389"/>
      <c r="Q949" s="192"/>
      <c r="R949" s="149"/>
      <c r="S949" s="392"/>
      <c r="T949" s="393"/>
      <c r="U949" s="192"/>
      <c r="V949" s="149"/>
      <c r="W949" s="392"/>
      <c r="X949" s="393"/>
      <c r="Y949" s="192"/>
      <c r="Z949" s="149"/>
      <c r="AA949" s="392"/>
      <c r="AB949" s="393"/>
      <c r="AC949" s="192"/>
      <c r="AD949" s="149"/>
      <c r="AE949" s="392"/>
      <c r="AF949" s="393"/>
      <c r="AG949" s="143"/>
      <c r="AH949" s="143"/>
      <c r="AI949" s="143"/>
      <c r="AJ949" s="143"/>
      <c r="AK949" s="389"/>
      <c r="AL949" s="389"/>
      <c r="AM949" s="389"/>
    </row>
    <row r="950">
      <c r="A950" s="307"/>
      <c r="B950" s="308"/>
      <c r="C950" s="309"/>
      <c r="D950" s="389"/>
      <c r="E950" s="307"/>
      <c r="F950" s="308"/>
      <c r="G950" s="309"/>
      <c r="H950" s="389"/>
      <c r="I950" s="307"/>
      <c r="J950" s="308"/>
      <c r="K950" s="309"/>
      <c r="L950" s="389"/>
      <c r="M950" s="307"/>
      <c r="N950" s="308"/>
      <c r="O950" s="309"/>
      <c r="P950" s="389"/>
      <c r="Q950" s="192"/>
      <c r="R950" s="149"/>
      <c r="S950" s="392"/>
      <c r="T950" s="393"/>
      <c r="U950" s="192"/>
      <c r="V950" s="149"/>
      <c r="W950" s="392"/>
      <c r="X950" s="393"/>
      <c r="Y950" s="192"/>
      <c r="Z950" s="149"/>
      <c r="AA950" s="392"/>
      <c r="AB950" s="393"/>
      <c r="AC950" s="192"/>
      <c r="AD950" s="149"/>
      <c r="AE950" s="392"/>
      <c r="AF950" s="393"/>
      <c r="AG950" s="143"/>
      <c r="AH950" s="143"/>
      <c r="AI950" s="143"/>
      <c r="AJ950" s="143"/>
      <c r="AK950" s="389"/>
      <c r="AL950" s="389"/>
      <c r="AM950" s="389"/>
    </row>
    <row r="951">
      <c r="A951" s="307"/>
      <c r="B951" s="308"/>
      <c r="C951" s="309"/>
      <c r="D951" s="389"/>
      <c r="E951" s="307"/>
      <c r="F951" s="308"/>
      <c r="G951" s="309"/>
      <c r="H951" s="389"/>
      <c r="I951" s="307"/>
      <c r="J951" s="308"/>
      <c r="K951" s="309"/>
      <c r="L951" s="389"/>
      <c r="M951" s="307"/>
      <c r="N951" s="308"/>
      <c r="O951" s="309"/>
      <c r="P951" s="389"/>
      <c r="Q951" s="192"/>
      <c r="R951" s="149"/>
      <c r="S951" s="392"/>
      <c r="T951" s="393"/>
      <c r="U951" s="192"/>
      <c r="V951" s="149"/>
      <c r="W951" s="392"/>
      <c r="X951" s="393"/>
      <c r="Y951" s="192"/>
      <c r="Z951" s="149"/>
      <c r="AA951" s="392"/>
      <c r="AB951" s="393"/>
      <c r="AC951" s="192"/>
      <c r="AD951" s="149"/>
      <c r="AE951" s="392"/>
      <c r="AF951" s="393"/>
      <c r="AG951" s="143"/>
      <c r="AH951" s="143"/>
      <c r="AI951" s="143"/>
      <c r="AJ951" s="143"/>
      <c r="AK951" s="389"/>
      <c r="AL951" s="389"/>
      <c r="AM951" s="389"/>
    </row>
    <row r="952">
      <c r="A952" s="307"/>
      <c r="B952" s="308"/>
      <c r="C952" s="309"/>
      <c r="D952" s="389"/>
      <c r="E952" s="307"/>
      <c r="F952" s="308"/>
      <c r="G952" s="309"/>
      <c r="H952" s="389"/>
      <c r="I952" s="307"/>
      <c r="J952" s="308"/>
      <c r="K952" s="309"/>
      <c r="L952" s="389"/>
      <c r="M952" s="307"/>
      <c r="N952" s="308"/>
      <c r="O952" s="309"/>
      <c r="P952" s="389"/>
      <c r="Q952" s="192"/>
      <c r="R952" s="149"/>
      <c r="S952" s="392"/>
      <c r="T952" s="393"/>
      <c r="U952" s="192"/>
      <c r="V952" s="149"/>
      <c r="W952" s="392"/>
      <c r="X952" s="393"/>
      <c r="Y952" s="192"/>
      <c r="Z952" s="149"/>
      <c r="AA952" s="392"/>
      <c r="AB952" s="393"/>
      <c r="AC952" s="192"/>
      <c r="AD952" s="149"/>
      <c r="AE952" s="392"/>
      <c r="AF952" s="393"/>
      <c r="AG952" s="143"/>
      <c r="AH952" s="143"/>
      <c r="AI952" s="143"/>
      <c r="AJ952" s="143"/>
      <c r="AK952" s="389"/>
      <c r="AL952" s="389"/>
      <c r="AM952" s="389"/>
    </row>
    <row r="953">
      <c r="A953" s="307"/>
      <c r="B953" s="308"/>
      <c r="C953" s="309"/>
      <c r="D953" s="389"/>
      <c r="E953" s="307"/>
      <c r="F953" s="308"/>
      <c r="G953" s="309"/>
      <c r="H953" s="389"/>
      <c r="I953" s="307"/>
      <c r="J953" s="308"/>
      <c r="K953" s="309"/>
      <c r="L953" s="389"/>
      <c r="M953" s="307"/>
      <c r="N953" s="308"/>
      <c r="O953" s="309"/>
      <c r="P953" s="389"/>
      <c r="Q953" s="192"/>
      <c r="R953" s="149"/>
      <c r="S953" s="392"/>
      <c r="T953" s="393"/>
      <c r="U953" s="192"/>
      <c r="V953" s="149"/>
      <c r="W953" s="392"/>
      <c r="X953" s="393"/>
      <c r="Y953" s="192"/>
      <c r="Z953" s="149"/>
      <c r="AA953" s="392"/>
      <c r="AB953" s="393"/>
      <c r="AC953" s="192"/>
      <c r="AD953" s="149"/>
      <c r="AE953" s="392"/>
      <c r="AF953" s="393"/>
      <c r="AG953" s="143"/>
      <c r="AH953" s="143"/>
      <c r="AI953" s="143"/>
      <c r="AJ953" s="143"/>
      <c r="AK953" s="389"/>
      <c r="AL953" s="389"/>
      <c r="AM953" s="389"/>
    </row>
    <row r="954">
      <c r="A954" s="307"/>
      <c r="B954" s="308"/>
      <c r="C954" s="309"/>
      <c r="D954" s="389"/>
      <c r="E954" s="307"/>
      <c r="F954" s="308"/>
      <c r="G954" s="309"/>
      <c r="H954" s="389"/>
      <c r="I954" s="307"/>
      <c r="J954" s="308"/>
      <c r="K954" s="309"/>
      <c r="L954" s="389"/>
      <c r="M954" s="307"/>
      <c r="N954" s="308"/>
      <c r="O954" s="309"/>
      <c r="P954" s="389"/>
      <c r="Q954" s="192"/>
      <c r="R954" s="149"/>
      <c r="S954" s="392"/>
      <c r="T954" s="393"/>
      <c r="U954" s="192"/>
      <c r="V954" s="149"/>
      <c r="W954" s="392"/>
      <c r="X954" s="393"/>
      <c r="Y954" s="192"/>
      <c r="Z954" s="149"/>
      <c r="AA954" s="392"/>
      <c r="AB954" s="393"/>
      <c r="AC954" s="192"/>
      <c r="AD954" s="149"/>
      <c r="AE954" s="392"/>
      <c r="AF954" s="393"/>
      <c r="AG954" s="143"/>
      <c r="AH954" s="143"/>
      <c r="AI954" s="143"/>
      <c r="AJ954" s="143"/>
      <c r="AK954" s="389"/>
      <c r="AL954" s="389"/>
      <c r="AM954" s="389"/>
    </row>
    <row r="955">
      <c r="A955" s="307"/>
      <c r="B955" s="308"/>
      <c r="C955" s="309"/>
      <c r="D955" s="389"/>
      <c r="E955" s="307"/>
      <c r="F955" s="308"/>
      <c r="G955" s="309"/>
      <c r="H955" s="389"/>
      <c r="I955" s="307"/>
      <c r="J955" s="308"/>
      <c r="K955" s="309"/>
      <c r="L955" s="389"/>
      <c r="M955" s="307"/>
      <c r="N955" s="308"/>
      <c r="O955" s="309"/>
      <c r="P955" s="389"/>
      <c r="Q955" s="192"/>
      <c r="R955" s="149"/>
      <c r="S955" s="392"/>
      <c r="T955" s="393"/>
      <c r="U955" s="192"/>
      <c r="V955" s="149"/>
      <c r="W955" s="392"/>
      <c r="X955" s="393"/>
      <c r="Y955" s="192"/>
      <c r="Z955" s="149"/>
      <c r="AA955" s="392"/>
      <c r="AB955" s="393"/>
      <c r="AC955" s="192"/>
      <c r="AD955" s="149"/>
      <c r="AE955" s="392"/>
      <c r="AF955" s="393"/>
      <c r="AG955" s="143"/>
      <c r="AH955" s="143"/>
      <c r="AI955" s="143"/>
      <c r="AJ955" s="143"/>
      <c r="AK955" s="389"/>
      <c r="AL955" s="389"/>
      <c r="AM955" s="389"/>
    </row>
    <row r="956">
      <c r="A956" s="307"/>
      <c r="B956" s="308"/>
      <c r="C956" s="309"/>
      <c r="D956" s="389"/>
      <c r="E956" s="307"/>
      <c r="F956" s="308"/>
      <c r="G956" s="309"/>
      <c r="H956" s="389"/>
      <c r="I956" s="307"/>
      <c r="J956" s="308"/>
      <c r="K956" s="309"/>
      <c r="L956" s="389"/>
      <c r="M956" s="307"/>
      <c r="N956" s="308"/>
      <c r="O956" s="309"/>
      <c r="P956" s="389"/>
      <c r="Q956" s="192"/>
      <c r="R956" s="149"/>
      <c r="S956" s="392"/>
      <c r="T956" s="393"/>
      <c r="U956" s="192"/>
      <c r="V956" s="149"/>
      <c r="W956" s="392"/>
      <c r="X956" s="393"/>
      <c r="Y956" s="192"/>
      <c r="Z956" s="149"/>
      <c r="AA956" s="392"/>
      <c r="AB956" s="393"/>
      <c r="AC956" s="192"/>
      <c r="AD956" s="149"/>
      <c r="AE956" s="392"/>
      <c r="AF956" s="393"/>
      <c r="AG956" s="143"/>
      <c r="AH956" s="143"/>
      <c r="AI956" s="143"/>
      <c r="AJ956" s="143"/>
      <c r="AK956" s="389"/>
      <c r="AL956" s="389"/>
      <c r="AM956" s="389"/>
    </row>
    <row r="957">
      <c r="A957" s="307"/>
      <c r="B957" s="308"/>
      <c r="C957" s="309"/>
      <c r="D957" s="389"/>
      <c r="E957" s="307"/>
      <c r="F957" s="308"/>
      <c r="G957" s="309"/>
      <c r="H957" s="389"/>
      <c r="I957" s="307"/>
      <c r="J957" s="308"/>
      <c r="K957" s="309"/>
      <c r="L957" s="389"/>
      <c r="M957" s="307"/>
      <c r="N957" s="308"/>
      <c r="O957" s="309"/>
      <c r="P957" s="389"/>
      <c r="Q957" s="192"/>
      <c r="R957" s="149"/>
      <c r="S957" s="392"/>
      <c r="T957" s="393"/>
      <c r="U957" s="192"/>
      <c r="V957" s="149"/>
      <c r="W957" s="392"/>
      <c r="X957" s="393"/>
      <c r="Y957" s="192"/>
      <c r="Z957" s="149"/>
      <c r="AA957" s="392"/>
      <c r="AB957" s="393"/>
      <c r="AC957" s="192"/>
      <c r="AD957" s="149"/>
      <c r="AE957" s="392"/>
      <c r="AF957" s="393"/>
      <c r="AG957" s="143"/>
      <c r="AH957" s="143"/>
      <c r="AI957" s="143"/>
      <c r="AJ957" s="143"/>
      <c r="AK957" s="389"/>
      <c r="AL957" s="389"/>
      <c r="AM957" s="389"/>
    </row>
    <row r="958">
      <c r="A958" s="307"/>
      <c r="B958" s="308"/>
      <c r="C958" s="309"/>
      <c r="D958" s="389"/>
      <c r="E958" s="307"/>
      <c r="F958" s="308"/>
      <c r="G958" s="309"/>
      <c r="H958" s="389"/>
      <c r="I958" s="307"/>
      <c r="J958" s="308"/>
      <c r="K958" s="309"/>
      <c r="L958" s="389"/>
      <c r="M958" s="307"/>
      <c r="N958" s="308"/>
      <c r="O958" s="309"/>
      <c r="P958" s="389"/>
      <c r="Q958" s="192"/>
      <c r="R958" s="149"/>
      <c r="S958" s="392"/>
      <c r="T958" s="393"/>
      <c r="U958" s="192"/>
      <c r="V958" s="149"/>
      <c r="W958" s="392"/>
      <c r="X958" s="393"/>
      <c r="Y958" s="192"/>
      <c r="Z958" s="149"/>
      <c r="AA958" s="392"/>
      <c r="AB958" s="393"/>
      <c r="AC958" s="192"/>
      <c r="AD958" s="149"/>
      <c r="AE958" s="392"/>
      <c r="AF958" s="393"/>
      <c r="AG958" s="143"/>
      <c r="AH958" s="143"/>
      <c r="AI958" s="143"/>
      <c r="AJ958" s="143"/>
      <c r="AK958" s="389"/>
      <c r="AL958" s="389"/>
      <c r="AM958" s="389"/>
    </row>
    <row r="959">
      <c r="A959" s="307"/>
      <c r="B959" s="308"/>
      <c r="C959" s="309"/>
      <c r="D959" s="389"/>
      <c r="E959" s="307"/>
      <c r="F959" s="308"/>
      <c r="G959" s="309"/>
      <c r="H959" s="389"/>
      <c r="I959" s="307"/>
      <c r="J959" s="308"/>
      <c r="K959" s="309"/>
      <c r="L959" s="389"/>
      <c r="M959" s="307"/>
      <c r="N959" s="308"/>
      <c r="O959" s="309"/>
      <c r="P959" s="389"/>
      <c r="Q959" s="192"/>
      <c r="R959" s="149"/>
      <c r="S959" s="392"/>
      <c r="T959" s="393"/>
      <c r="U959" s="192"/>
      <c r="V959" s="149"/>
      <c r="W959" s="392"/>
      <c r="X959" s="393"/>
      <c r="Y959" s="192"/>
      <c r="Z959" s="149"/>
      <c r="AA959" s="392"/>
      <c r="AB959" s="393"/>
      <c r="AC959" s="192"/>
      <c r="AD959" s="149"/>
      <c r="AE959" s="392"/>
      <c r="AF959" s="393"/>
      <c r="AG959" s="143"/>
      <c r="AH959" s="143"/>
      <c r="AI959" s="143"/>
      <c r="AJ959" s="143"/>
      <c r="AK959" s="389"/>
      <c r="AL959" s="389"/>
      <c r="AM959" s="389"/>
    </row>
    <row r="960">
      <c r="A960" s="307"/>
      <c r="B960" s="308"/>
      <c r="C960" s="309"/>
      <c r="D960" s="389"/>
      <c r="E960" s="307"/>
      <c r="F960" s="308"/>
      <c r="G960" s="309"/>
      <c r="H960" s="389"/>
      <c r="I960" s="307"/>
      <c r="J960" s="308"/>
      <c r="K960" s="309"/>
      <c r="L960" s="389"/>
      <c r="M960" s="307"/>
      <c r="N960" s="308"/>
      <c r="O960" s="309"/>
      <c r="P960" s="389"/>
      <c r="Q960" s="192"/>
      <c r="R960" s="149"/>
      <c r="S960" s="392"/>
      <c r="T960" s="393"/>
      <c r="U960" s="192"/>
      <c r="V960" s="149"/>
      <c r="W960" s="392"/>
      <c r="X960" s="393"/>
      <c r="Y960" s="192"/>
      <c r="Z960" s="149"/>
      <c r="AA960" s="392"/>
      <c r="AB960" s="393"/>
      <c r="AC960" s="192"/>
      <c r="AD960" s="149"/>
      <c r="AE960" s="392"/>
      <c r="AF960" s="393"/>
      <c r="AG960" s="143"/>
      <c r="AH960" s="143"/>
      <c r="AI960" s="143"/>
      <c r="AJ960" s="143"/>
      <c r="AK960" s="389"/>
      <c r="AL960" s="389"/>
      <c r="AM960" s="389"/>
    </row>
    <row r="961">
      <c r="A961" s="307"/>
      <c r="B961" s="308"/>
      <c r="C961" s="309"/>
      <c r="D961" s="389"/>
      <c r="E961" s="307"/>
      <c r="F961" s="308"/>
      <c r="G961" s="309"/>
      <c r="H961" s="389"/>
      <c r="I961" s="307"/>
      <c r="J961" s="308"/>
      <c r="K961" s="309"/>
      <c r="L961" s="389"/>
      <c r="M961" s="307"/>
      <c r="N961" s="308"/>
      <c r="O961" s="309"/>
      <c r="P961" s="389"/>
      <c r="Q961" s="192"/>
      <c r="R961" s="149"/>
      <c r="S961" s="392"/>
      <c r="T961" s="393"/>
      <c r="U961" s="192"/>
      <c r="V961" s="149"/>
      <c r="W961" s="392"/>
      <c r="X961" s="393"/>
      <c r="Y961" s="192"/>
      <c r="Z961" s="149"/>
      <c r="AA961" s="392"/>
      <c r="AB961" s="393"/>
      <c r="AC961" s="192"/>
      <c r="AD961" s="149"/>
      <c r="AE961" s="392"/>
      <c r="AF961" s="393"/>
      <c r="AG961" s="143"/>
      <c r="AH961" s="143"/>
      <c r="AI961" s="143"/>
      <c r="AJ961" s="143"/>
      <c r="AK961" s="389"/>
      <c r="AL961" s="389"/>
      <c r="AM961" s="389"/>
    </row>
    <row r="962">
      <c r="A962" s="307"/>
      <c r="B962" s="308"/>
      <c r="C962" s="309"/>
      <c r="D962" s="389"/>
      <c r="E962" s="307"/>
      <c r="F962" s="308"/>
      <c r="G962" s="309"/>
      <c r="H962" s="389"/>
      <c r="I962" s="307"/>
      <c r="J962" s="308"/>
      <c r="K962" s="309"/>
      <c r="L962" s="389"/>
      <c r="M962" s="307"/>
      <c r="N962" s="308"/>
      <c r="O962" s="309"/>
      <c r="P962" s="389"/>
      <c r="Q962" s="192"/>
      <c r="R962" s="149"/>
      <c r="S962" s="392"/>
      <c r="T962" s="393"/>
      <c r="U962" s="192"/>
      <c r="V962" s="149"/>
      <c r="W962" s="392"/>
      <c r="X962" s="393"/>
      <c r="Y962" s="192"/>
      <c r="Z962" s="149"/>
      <c r="AA962" s="392"/>
      <c r="AB962" s="393"/>
      <c r="AC962" s="192"/>
      <c r="AD962" s="149"/>
      <c r="AE962" s="392"/>
      <c r="AF962" s="393"/>
      <c r="AG962" s="143"/>
      <c r="AH962" s="143"/>
      <c r="AI962" s="143"/>
      <c r="AJ962" s="143"/>
      <c r="AK962" s="389"/>
      <c r="AL962" s="389"/>
      <c r="AM962" s="389"/>
    </row>
    <row r="963">
      <c r="A963" s="307"/>
      <c r="B963" s="308"/>
      <c r="C963" s="309"/>
      <c r="D963" s="389"/>
      <c r="E963" s="307"/>
      <c r="F963" s="308"/>
      <c r="G963" s="309"/>
      <c r="H963" s="389"/>
      <c r="I963" s="307"/>
      <c r="J963" s="308"/>
      <c r="K963" s="309"/>
      <c r="L963" s="389"/>
      <c r="M963" s="307"/>
      <c r="N963" s="308"/>
      <c r="O963" s="309"/>
      <c r="P963" s="389"/>
      <c r="Q963" s="192"/>
      <c r="R963" s="149"/>
      <c r="S963" s="392"/>
      <c r="T963" s="393"/>
      <c r="U963" s="192"/>
      <c r="V963" s="149"/>
      <c r="W963" s="392"/>
      <c r="X963" s="393"/>
      <c r="Y963" s="192"/>
      <c r="Z963" s="149"/>
      <c r="AA963" s="392"/>
      <c r="AB963" s="393"/>
      <c r="AC963" s="192"/>
      <c r="AD963" s="149"/>
      <c r="AE963" s="392"/>
      <c r="AF963" s="393"/>
      <c r="AG963" s="143"/>
      <c r="AH963" s="143"/>
      <c r="AI963" s="143"/>
      <c r="AJ963" s="143"/>
      <c r="AK963" s="389"/>
      <c r="AL963" s="389"/>
      <c r="AM963" s="389"/>
    </row>
    <row r="964">
      <c r="A964" s="307"/>
      <c r="B964" s="308"/>
      <c r="C964" s="309"/>
      <c r="D964" s="389"/>
      <c r="E964" s="307"/>
      <c r="F964" s="308"/>
      <c r="G964" s="309"/>
      <c r="H964" s="389"/>
      <c r="I964" s="307"/>
      <c r="J964" s="308"/>
      <c r="K964" s="309"/>
      <c r="L964" s="389"/>
      <c r="M964" s="307"/>
      <c r="N964" s="308"/>
      <c r="O964" s="309"/>
      <c r="P964" s="389"/>
      <c r="Q964" s="192"/>
      <c r="R964" s="149"/>
      <c r="S964" s="392"/>
      <c r="T964" s="393"/>
      <c r="U964" s="192"/>
      <c r="V964" s="149"/>
      <c r="W964" s="392"/>
      <c r="X964" s="393"/>
      <c r="Y964" s="192"/>
      <c r="Z964" s="149"/>
      <c r="AA964" s="392"/>
      <c r="AB964" s="393"/>
      <c r="AC964" s="192"/>
      <c r="AD964" s="149"/>
      <c r="AE964" s="392"/>
      <c r="AF964" s="393"/>
      <c r="AG964" s="143"/>
      <c r="AH964" s="143"/>
      <c r="AI964" s="143"/>
      <c r="AJ964" s="143"/>
      <c r="AK964" s="389"/>
      <c r="AL964" s="389"/>
      <c r="AM964" s="389"/>
    </row>
    <row r="965">
      <c r="A965" s="307"/>
      <c r="B965" s="308"/>
      <c r="C965" s="309"/>
      <c r="D965" s="389"/>
      <c r="E965" s="307"/>
      <c r="F965" s="308"/>
      <c r="G965" s="309"/>
      <c r="H965" s="389"/>
      <c r="I965" s="307"/>
      <c r="J965" s="308"/>
      <c r="K965" s="309"/>
      <c r="L965" s="389"/>
      <c r="M965" s="307"/>
      <c r="N965" s="308"/>
      <c r="O965" s="309"/>
      <c r="P965" s="389"/>
      <c r="Q965" s="192"/>
      <c r="R965" s="149"/>
      <c r="S965" s="392"/>
      <c r="T965" s="393"/>
      <c r="U965" s="192"/>
      <c r="V965" s="149"/>
      <c r="W965" s="392"/>
      <c r="X965" s="393"/>
      <c r="Y965" s="192"/>
      <c r="Z965" s="149"/>
      <c r="AA965" s="392"/>
      <c r="AB965" s="393"/>
      <c r="AC965" s="192"/>
      <c r="AD965" s="149"/>
      <c r="AE965" s="392"/>
      <c r="AF965" s="393"/>
      <c r="AG965" s="143"/>
      <c r="AH965" s="143"/>
      <c r="AI965" s="143"/>
      <c r="AJ965" s="143"/>
      <c r="AK965" s="389"/>
      <c r="AL965" s="389"/>
      <c r="AM965" s="389"/>
    </row>
    <row r="966">
      <c r="A966" s="307"/>
      <c r="B966" s="308"/>
      <c r="C966" s="309"/>
      <c r="D966" s="389"/>
      <c r="E966" s="307"/>
      <c r="F966" s="308"/>
      <c r="G966" s="309"/>
      <c r="H966" s="389"/>
      <c r="I966" s="307"/>
      <c r="J966" s="308"/>
      <c r="K966" s="309"/>
      <c r="L966" s="389"/>
      <c r="M966" s="307"/>
      <c r="N966" s="308"/>
      <c r="O966" s="309"/>
      <c r="P966" s="389"/>
      <c r="Q966" s="192"/>
      <c r="R966" s="149"/>
      <c r="S966" s="392"/>
      <c r="T966" s="393"/>
      <c r="U966" s="192"/>
      <c r="V966" s="149"/>
      <c r="W966" s="392"/>
      <c r="X966" s="393"/>
      <c r="Y966" s="192"/>
      <c r="Z966" s="149"/>
      <c r="AA966" s="392"/>
      <c r="AB966" s="393"/>
      <c r="AC966" s="192"/>
      <c r="AD966" s="149"/>
      <c r="AE966" s="392"/>
      <c r="AF966" s="393"/>
      <c r="AG966" s="143"/>
      <c r="AH966" s="143"/>
      <c r="AI966" s="143"/>
      <c r="AJ966" s="143"/>
      <c r="AK966" s="389"/>
      <c r="AL966" s="389"/>
      <c r="AM966" s="389"/>
    </row>
    <row r="967">
      <c r="A967" s="307"/>
      <c r="B967" s="308"/>
      <c r="C967" s="309"/>
      <c r="D967" s="389"/>
      <c r="E967" s="307"/>
      <c r="F967" s="308"/>
      <c r="G967" s="309"/>
      <c r="H967" s="389"/>
      <c r="I967" s="307"/>
      <c r="J967" s="308"/>
      <c r="K967" s="309"/>
      <c r="L967" s="389"/>
      <c r="M967" s="307"/>
      <c r="N967" s="308"/>
      <c r="O967" s="309"/>
      <c r="P967" s="389"/>
      <c r="Q967" s="192"/>
      <c r="R967" s="149"/>
      <c r="S967" s="392"/>
      <c r="T967" s="393"/>
      <c r="U967" s="192"/>
      <c r="V967" s="149"/>
      <c r="W967" s="392"/>
      <c r="X967" s="393"/>
      <c r="Y967" s="192"/>
      <c r="Z967" s="149"/>
      <c r="AA967" s="392"/>
      <c r="AB967" s="393"/>
      <c r="AC967" s="192"/>
      <c r="AD967" s="149"/>
      <c r="AE967" s="392"/>
      <c r="AF967" s="393"/>
      <c r="AG967" s="143"/>
      <c r="AH967" s="143"/>
      <c r="AI967" s="143"/>
      <c r="AJ967" s="143"/>
      <c r="AK967" s="389"/>
      <c r="AL967" s="389"/>
      <c r="AM967" s="389"/>
    </row>
    <row r="968">
      <c r="A968" s="307"/>
      <c r="B968" s="308"/>
      <c r="C968" s="309"/>
      <c r="D968" s="389"/>
      <c r="E968" s="307"/>
      <c r="F968" s="308"/>
      <c r="G968" s="309"/>
      <c r="H968" s="389"/>
      <c r="I968" s="307"/>
      <c r="J968" s="308"/>
      <c r="K968" s="309"/>
      <c r="L968" s="389"/>
      <c r="M968" s="307"/>
      <c r="N968" s="308"/>
      <c r="O968" s="309"/>
      <c r="P968" s="389"/>
      <c r="Q968" s="192"/>
      <c r="R968" s="149"/>
      <c r="S968" s="392"/>
      <c r="T968" s="393"/>
      <c r="U968" s="192"/>
      <c r="V968" s="149"/>
      <c r="W968" s="392"/>
      <c r="X968" s="393"/>
      <c r="Y968" s="192"/>
      <c r="Z968" s="149"/>
      <c r="AA968" s="392"/>
      <c r="AB968" s="393"/>
      <c r="AC968" s="192"/>
      <c r="AD968" s="149"/>
      <c r="AE968" s="392"/>
      <c r="AF968" s="393"/>
      <c r="AG968" s="143"/>
      <c r="AH968" s="143"/>
      <c r="AI968" s="143"/>
      <c r="AJ968" s="143"/>
      <c r="AK968" s="389"/>
      <c r="AL968" s="389"/>
      <c r="AM968" s="389"/>
    </row>
    <row r="969">
      <c r="A969" s="307"/>
      <c r="B969" s="308"/>
      <c r="C969" s="309"/>
      <c r="D969" s="389"/>
      <c r="E969" s="307"/>
      <c r="F969" s="308"/>
      <c r="G969" s="309"/>
      <c r="H969" s="389"/>
      <c r="I969" s="307"/>
      <c r="J969" s="308"/>
      <c r="K969" s="309"/>
      <c r="L969" s="389"/>
      <c r="M969" s="307"/>
      <c r="N969" s="308"/>
      <c r="O969" s="309"/>
      <c r="P969" s="389"/>
      <c r="Q969" s="192"/>
      <c r="R969" s="149"/>
      <c r="S969" s="392"/>
      <c r="T969" s="393"/>
      <c r="U969" s="192"/>
      <c r="V969" s="149"/>
      <c r="W969" s="392"/>
      <c r="X969" s="393"/>
      <c r="Y969" s="192"/>
      <c r="Z969" s="149"/>
      <c r="AA969" s="392"/>
      <c r="AB969" s="393"/>
      <c r="AC969" s="192"/>
      <c r="AD969" s="149"/>
      <c r="AE969" s="392"/>
      <c r="AF969" s="393"/>
      <c r="AG969" s="143"/>
      <c r="AH969" s="143"/>
      <c r="AI969" s="143"/>
      <c r="AJ969" s="143"/>
      <c r="AK969" s="389"/>
      <c r="AL969" s="389"/>
      <c r="AM969" s="389"/>
    </row>
    <row r="970">
      <c r="A970" s="307"/>
      <c r="B970" s="308"/>
      <c r="C970" s="309"/>
      <c r="D970" s="389"/>
      <c r="E970" s="307"/>
      <c r="F970" s="308"/>
      <c r="G970" s="309"/>
      <c r="H970" s="389"/>
      <c r="I970" s="307"/>
      <c r="J970" s="308"/>
      <c r="K970" s="309"/>
      <c r="L970" s="389"/>
      <c r="M970" s="307"/>
      <c r="N970" s="308"/>
      <c r="O970" s="309"/>
      <c r="P970" s="389"/>
      <c r="Q970" s="192"/>
      <c r="R970" s="149"/>
      <c r="S970" s="392"/>
      <c r="T970" s="393"/>
      <c r="U970" s="192"/>
      <c r="V970" s="149"/>
      <c r="W970" s="392"/>
      <c r="X970" s="393"/>
      <c r="Y970" s="192"/>
      <c r="Z970" s="149"/>
      <c r="AA970" s="392"/>
      <c r="AB970" s="393"/>
      <c r="AC970" s="192"/>
      <c r="AD970" s="149"/>
      <c r="AE970" s="392"/>
      <c r="AF970" s="393"/>
      <c r="AG970" s="143"/>
      <c r="AH970" s="143"/>
      <c r="AI970" s="143"/>
      <c r="AJ970" s="143"/>
      <c r="AK970" s="389"/>
      <c r="AL970" s="389"/>
      <c r="AM970" s="389"/>
    </row>
    <row r="971">
      <c r="A971" s="307"/>
      <c r="B971" s="308"/>
      <c r="C971" s="309"/>
      <c r="D971" s="389"/>
      <c r="E971" s="307"/>
      <c r="F971" s="308"/>
      <c r="G971" s="309"/>
      <c r="H971" s="389"/>
      <c r="I971" s="307"/>
      <c r="J971" s="308"/>
      <c r="K971" s="309"/>
      <c r="L971" s="389"/>
      <c r="M971" s="307"/>
      <c r="N971" s="308"/>
      <c r="O971" s="309"/>
      <c r="P971" s="389"/>
      <c r="Q971" s="192"/>
      <c r="R971" s="149"/>
      <c r="S971" s="392"/>
      <c r="T971" s="393"/>
      <c r="U971" s="192"/>
      <c r="V971" s="149"/>
      <c r="W971" s="392"/>
      <c r="X971" s="393"/>
      <c r="Y971" s="192"/>
      <c r="Z971" s="149"/>
      <c r="AA971" s="392"/>
      <c r="AB971" s="393"/>
      <c r="AC971" s="192"/>
      <c r="AD971" s="149"/>
      <c r="AE971" s="392"/>
      <c r="AF971" s="393"/>
      <c r="AG971" s="143"/>
      <c r="AH971" s="143"/>
      <c r="AI971" s="143"/>
      <c r="AJ971" s="143"/>
      <c r="AK971" s="389"/>
      <c r="AL971" s="389"/>
      <c r="AM971" s="389"/>
    </row>
    <row r="972">
      <c r="A972" s="307"/>
      <c r="B972" s="308"/>
      <c r="C972" s="309"/>
      <c r="D972" s="389"/>
      <c r="E972" s="307"/>
      <c r="F972" s="308"/>
      <c r="G972" s="309"/>
      <c r="H972" s="389"/>
      <c r="I972" s="307"/>
      <c r="J972" s="308"/>
      <c r="K972" s="309"/>
      <c r="L972" s="389"/>
      <c r="M972" s="307"/>
      <c r="N972" s="308"/>
      <c r="O972" s="309"/>
      <c r="P972" s="389"/>
      <c r="Q972" s="192"/>
      <c r="R972" s="149"/>
      <c r="S972" s="392"/>
      <c r="T972" s="393"/>
      <c r="U972" s="192"/>
      <c r="V972" s="149"/>
      <c r="W972" s="392"/>
      <c r="X972" s="393"/>
      <c r="Y972" s="192"/>
      <c r="Z972" s="149"/>
      <c r="AA972" s="392"/>
      <c r="AB972" s="393"/>
      <c r="AC972" s="192"/>
      <c r="AD972" s="149"/>
      <c r="AE972" s="392"/>
      <c r="AF972" s="393"/>
      <c r="AG972" s="143"/>
      <c r="AH972" s="143"/>
      <c r="AI972" s="143"/>
      <c r="AJ972" s="143"/>
      <c r="AK972" s="389"/>
      <c r="AL972" s="389"/>
      <c r="AM972" s="389"/>
    </row>
    <row r="973">
      <c r="A973" s="307"/>
      <c r="B973" s="308"/>
      <c r="C973" s="309"/>
      <c r="D973" s="389"/>
      <c r="E973" s="307"/>
      <c r="F973" s="308"/>
      <c r="G973" s="309"/>
      <c r="H973" s="389"/>
      <c r="I973" s="307"/>
      <c r="J973" s="308"/>
      <c r="K973" s="309"/>
      <c r="L973" s="389"/>
      <c r="M973" s="307"/>
      <c r="N973" s="308"/>
      <c r="O973" s="309"/>
      <c r="P973" s="389"/>
      <c r="Q973" s="192"/>
      <c r="R973" s="149"/>
      <c r="S973" s="392"/>
      <c r="T973" s="393"/>
      <c r="U973" s="192"/>
      <c r="V973" s="149"/>
      <c r="W973" s="392"/>
      <c r="X973" s="393"/>
      <c r="Y973" s="192"/>
      <c r="Z973" s="149"/>
      <c r="AA973" s="392"/>
      <c r="AB973" s="393"/>
      <c r="AC973" s="192"/>
      <c r="AD973" s="149"/>
      <c r="AE973" s="392"/>
      <c r="AF973" s="393"/>
      <c r="AG973" s="143"/>
      <c r="AH973" s="143"/>
      <c r="AI973" s="143"/>
      <c r="AJ973" s="143"/>
      <c r="AK973" s="389"/>
      <c r="AL973" s="389"/>
      <c r="AM973" s="389"/>
    </row>
    <row r="974">
      <c r="A974" s="307"/>
      <c r="B974" s="308"/>
      <c r="C974" s="309"/>
      <c r="D974" s="389"/>
      <c r="E974" s="307"/>
      <c r="F974" s="308"/>
      <c r="G974" s="309"/>
      <c r="H974" s="389"/>
      <c r="I974" s="307"/>
      <c r="J974" s="308"/>
      <c r="K974" s="309"/>
      <c r="L974" s="389"/>
      <c r="M974" s="307"/>
      <c r="N974" s="308"/>
      <c r="O974" s="309"/>
      <c r="P974" s="389"/>
      <c r="Q974" s="192"/>
      <c r="R974" s="149"/>
      <c r="S974" s="392"/>
      <c r="T974" s="393"/>
      <c r="U974" s="192"/>
      <c r="V974" s="149"/>
      <c r="W974" s="392"/>
      <c r="X974" s="393"/>
      <c r="Y974" s="192"/>
      <c r="Z974" s="149"/>
      <c r="AA974" s="392"/>
      <c r="AB974" s="393"/>
      <c r="AC974" s="192"/>
      <c r="AD974" s="149"/>
      <c r="AE974" s="392"/>
      <c r="AF974" s="393"/>
      <c r="AG974" s="143"/>
      <c r="AH974" s="143"/>
      <c r="AI974" s="143"/>
      <c r="AJ974" s="143"/>
      <c r="AK974" s="389"/>
      <c r="AL974" s="389"/>
      <c r="AM974" s="389"/>
    </row>
    <row r="975">
      <c r="A975" s="307"/>
      <c r="B975" s="308"/>
      <c r="C975" s="309"/>
      <c r="D975" s="389"/>
      <c r="E975" s="307"/>
      <c r="F975" s="308"/>
      <c r="G975" s="309"/>
      <c r="H975" s="389"/>
      <c r="I975" s="307"/>
      <c r="J975" s="308"/>
      <c r="K975" s="309"/>
      <c r="L975" s="389"/>
      <c r="M975" s="307"/>
      <c r="N975" s="308"/>
      <c r="O975" s="309"/>
      <c r="P975" s="389"/>
      <c r="Q975" s="192"/>
      <c r="R975" s="149"/>
      <c r="S975" s="392"/>
      <c r="T975" s="393"/>
      <c r="U975" s="192"/>
      <c r="V975" s="149"/>
      <c r="W975" s="392"/>
      <c r="X975" s="393"/>
      <c r="Y975" s="192"/>
      <c r="Z975" s="149"/>
      <c r="AA975" s="392"/>
      <c r="AB975" s="393"/>
      <c r="AC975" s="192"/>
      <c r="AD975" s="149"/>
      <c r="AE975" s="392"/>
      <c r="AF975" s="393"/>
      <c r="AG975" s="143"/>
      <c r="AH975" s="143"/>
      <c r="AI975" s="143"/>
      <c r="AJ975" s="143"/>
      <c r="AK975" s="389"/>
      <c r="AL975" s="389"/>
      <c r="AM975" s="389"/>
    </row>
    <row r="976">
      <c r="A976" s="307"/>
      <c r="B976" s="308"/>
      <c r="C976" s="309"/>
      <c r="D976" s="389"/>
      <c r="E976" s="307"/>
      <c r="F976" s="308"/>
      <c r="G976" s="309"/>
      <c r="H976" s="389"/>
      <c r="I976" s="307"/>
      <c r="J976" s="308"/>
      <c r="K976" s="309"/>
      <c r="L976" s="389"/>
      <c r="M976" s="307"/>
      <c r="N976" s="308"/>
      <c r="O976" s="309"/>
      <c r="P976" s="389"/>
      <c r="Q976" s="192"/>
      <c r="R976" s="149"/>
      <c r="S976" s="392"/>
      <c r="T976" s="393"/>
      <c r="U976" s="192"/>
      <c r="V976" s="149"/>
      <c r="W976" s="392"/>
      <c r="X976" s="393"/>
      <c r="Y976" s="192"/>
      <c r="Z976" s="149"/>
      <c r="AA976" s="392"/>
      <c r="AB976" s="393"/>
      <c r="AC976" s="192"/>
      <c r="AD976" s="149"/>
      <c r="AE976" s="392"/>
      <c r="AF976" s="393"/>
      <c r="AG976" s="143"/>
      <c r="AH976" s="143"/>
      <c r="AI976" s="143"/>
      <c r="AJ976" s="143"/>
      <c r="AK976" s="389"/>
      <c r="AL976" s="389"/>
      <c r="AM976" s="389"/>
    </row>
    <row r="977">
      <c r="A977" s="307"/>
      <c r="B977" s="308"/>
      <c r="C977" s="309"/>
      <c r="D977" s="389"/>
      <c r="E977" s="307"/>
      <c r="F977" s="308"/>
      <c r="G977" s="309"/>
      <c r="H977" s="389"/>
      <c r="I977" s="307"/>
      <c r="J977" s="308"/>
      <c r="K977" s="309"/>
      <c r="L977" s="389"/>
      <c r="M977" s="307"/>
      <c r="N977" s="308"/>
      <c r="O977" s="309"/>
      <c r="P977" s="389"/>
      <c r="Q977" s="192"/>
      <c r="R977" s="149"/>
      <c r="S977" s="392"/>
      <c r="T977" s="393"/>
      <c r="U977" s="192"/>
      <c r="V977" s="149"/>
      <c r="W977" s="392"/>
      <c r="X977" s="393"/>
      <c r="Y977" s="192"/>
      <c r="Z977" s="149"/>
      <c r="AA977" s="392"/>
      <c r="AB977" s="393"/>
      <c r="AC977" s="192"/>
      <c r="AD977" s="149"/>
      <c r="AE977" s="392"/>
      <c r="AF977" s="393"/>
      <c r="AG977" s="143"/>
      <c r="AH977" s="143"/>
      <c r="AI977" s="143"/>
      <c r="AJ977" s="143"/>
      <c r="AK977" s="389"/>
      <c r="AL977" s="389"/>
      <c r="AM977" s="389"/>
    </row>
    <row r="978">
      <c r="A978" s="307"/>
      <c r="B978" s="308"/>
      <c r="C978" s="309"/>
      <c r="D978" s="389"/>
      <c r="E978" s="307"/>
      <c r="F978" s="308"/>
      <c r="G978" s="309"/>
      <c r="H978" s="389"/>
      <c r="I978" s="307"/>
      <c r="J978" s="308"/>
      <c r="K978" s="309"/>
      <c r="L978" s="389"/>
      <c r="M978" s="307"/>
      <c r="N978" s="308"/>
      <c r="O978" s="309"/>
      <c r="P978" s="389"/>
      <c r="Q978" s="192"/>
      <c r="R978" s="149"/>
      <c r="S978" s="392"/>
      <c r="T978" s="393"/>
      <c r="U978" s="192"/>
      <c r="V978" s="149"/>
      <c r="W978" s="392"/>
      <c r="X978" s="393"/>
      <c r="Y978" s="192"/>
      <c r="Z978" s="149"/>
      <c r="AA978" s="392"/>
      <c r="AB978" s="393"/>
      <c r="AC978" s="192"/>
      <c r="AD978" s="149"/>
      <c r="AE978" s="392"/>
      <c r="AF978" s="393"/>
      <c r="AG978" s="143"/>
      <c r="AH978" s="143"/>
      <c r="AI978" s="143"/>
      <c r="AJ978" s="143"/>
      <c r="AK978" s="389"/>
      <c r="AL978" s="389"/>
      <c r="AM978" s="389"/>
    </row>
    <row r="979">
      <c r="A979" s="307"/>
      <c r="B979" s="308"/>
      <c r="C979" s="309"/>
      <c r="D979" s="389"/>
      <c r="E979" s="307"/>
      <c r="F979" s="308"/>
      <c r="G979" s="309"/>
      <c r="H979" s="389"/>
      <c r="I979" s="307"/>
      <c r="J979" s="308"/>
      <c r="K979" s="309"/>
      <c r="L979" s="389"/>
      <c r="M979" s="307"/>
      <c r="N979" s="308"/>
      <c r="O979" s="309"/>
      <c r="P979" s="389"/>
      <c r="Q979" s="192"/>
      <c r="R979" s="149"/>
      <c r="S979" s="392"/>
      <c r="T979" s="393"/>
      <c r="U979" s="192"/>
      <c r="V979" s="149"/>
      <c r="W979" s="392"/>
      <c r="X979" s="393"/>
      <c r="Y979" s="192"/>
      <c r="Z979" s="149"/>
      <c r="AA979" s="392"/>
      <c r="AB979" s="393"/>
      <c r="AC979" s="192"/>
      <c r="AD979" s="149"/>
      <c r="AE979" s="392"/>
      <c r="AF979" s="393"/>
      <c r="AG979" s="143"/>
      <c r="AH979" s="143"/>
      <c r="AI979" s="143"/>
      <c r="AJ979" s="143"/>
      <c r="AK979" s="389"/>
      <c r="AL979" s="389"/>
      <c r="AM979" s="389"/>
    </row>
    <row r="980">
      <c r="A980" s="307"/>
      <c r="B980" s="308"/>
      <c r="C980" s="309"/>
      <c r="D980" s="389"/>
      <c r="E980" s="307"/>
      <c r="F980" s="308"/>
      <c r="G980" s="309"/>
      <c r="H980" s="389"/>
      <c r="I980" s="307"/>
      <c r="J980" s="308"/>
      <c r="K980" s="309"/>
      <c r="L980" s="389"/>
      <c r="M980" s="307"/>
      <c r="N980" s="308"/>
      <c r="O980" s="309"/>
      <c r="P980" s="389"/>
      <c r="Q980" s="192"/>
      <c r="R980" s="149"/>
      <c r="S980" s="392"/>
      <c r="T980" s="393"/>
      <c r="U980" s="192"/>
      <c r="V980" s="149"/>
      <c r="W980" s="392"/>
      <c r="X980" s="393"/>
      <c r="Y980" s="192"/>
      <c r="Z980" s="149"/>
      <c r="AA980" s="392"/>
      <c r="AB980" s="393"/>
      <c r="AC980" s="192"/>
      <c r="AD980" s="149"/>
      <c r="AE980" s="392"/>
      <c r="AF980" s="393"/>
      <c r="AG980" s="143"/>
      <c r="AH980" s="143"/>
      <c r="AI980" s="143"/>
      <c r="AJ980" s="143"/>
      <c r="AK980" s="389"/>
      <c r="AL980" s="389"/>
      <c r="AM980" s="389"/>
    </row>
    <row r="981">
      <c r="A981" s="307"/>
      <c r="B981" s="308"/>
      <c r="C981" s="309"/>
      <c r="D981" s="389"/>
      <c r="E981" s="307"/>
      <c r="F981" s="308"/>
      <c r="G981" s="309"/>
      <c r="H981" s="389"/>
      <c r="I981" s="307"/>
      <c r="J981" s="308"/>
      <c r="K981" s="309"/>
      <c r="L981" s="389"/>
      <c r="M981" s="307"/>
      <c r="N981" s="308"/>
      <c r="O981" s="309"/>
      <c r="P981" s="389"/>
      <c r="Q981" s="192"/>
      <c r="R981" s="149"/>
      <c r="S981" s="392"/>
      <c r="T981" s="393"/>
      <c r="U981" s="192"/>
      <c r="V981" s="149"/>
      <c r="W981" s="392"/>
      <c r="X981" s="393"/>
      <c r="Y981" s="192"/>
      <c r="Z981" s="149"/>
      <c r="AA981" s="392"/>
      <c r="AB981" s="393"/>
      <c r="AC981" s="192"/>
      <c r="AD981" s="149"/>
      <c r="AE981" s="392"/>
      <c r="AF981" s="393"/>
      <c r="AG981" s="143"/>
      <c r="AH981" s="143"/>
      <c r="AI981" s="143"/>
      <c r="AJ981" s="143"/>
      <c r="AK981" s="389"/>
      <c r="AL981" s="389"/>
      <c r="AM981" s="389"/>
    </row>
    <row r="982">
      <c r="A982" s="307"/>
      <c r="B982" s="308"/>
      <c r="C982" s="309"/>
      <c r="D982" s="389"/>
      <c r="E982" s="307"/>
      <c r="F982" s="308"/>
      <c r="G982" s="309"/>
      <c r="H982" s="389"/>
      <c r="I982" s="307"/>
      <c r="J982" s="308"/>
      <c r="K982" s="309"/>
      <c r="L982" s="389"/>
      <c r="M982" s="307"/>
      <c r="N982" s="308"/>
      <c r="O982" s="309"/>
      <c r="P982" s="389"/>
      <c r="Q982" s="192"/>
      <c r="R982" s="149"/>
      <c r="S982" s="392"/>
      <c r="T982" s="393"/>
      <c r="U982" s="192"/>
      <c r="V982" s="149"/>
      <c r="W982" s="392"/>
      <c r="X982" s="393"/>
      <c r="Y982" s="192"/>
      <c r="Z982" s="149"/>
      <c r="AA982" s="392"/>
      <c r="AB982" s="393"/>
      <c r="AC982" s="192"/>
      <c r="AD982" s="149"/>
      <c r="AE982" s="392"/>
      <c r="AF982" s="393"/>
      <c r="AG982" s="143"/>
      <c r="AH982" s="143"/>
      <c r="AI982" s="143"/>
      <c r="AJ982" s="143"/>
      <c r="AK982" s="389"/>
      <c r="AL982" s="389"/>
      <c r="AM982" s="389"/>
    </row>
    <row r="983">
      <c r="A983" s="307"/>
      <c r="B983" s="308"/>
      <c r="C983" s="309"/>
      <c r="D983" s="389"/>
      <c r="E983" s="307"/>
      <c r="F983" s="308"/>
      <c r="G983" s="309"/>
      <c r="H983" s="389"/>
      <c r="I983" s="307"/>
      <c r="J983" s="308"/>
      <c r="K983" s="309"/>
      <c r="L983" s="389"/>
      <c r="M983" s="307"/>
      <c r="N983" s="308"/>
      <c r="O983" s="309"/>
      <c r="P983" s="389"/>
      <c r="Q983" s="192"/>
      <c r="R983" s="149"/>
      <c r="S983" s="392"/>
      <c r="T983" s="393"/>
      <c r="U983" s="192"/>
      <c r="V983" s="149"/>
      <c r="W983" s="392"/>
      <c r="X983" s="393"/>
      <c r="Y983" s="192"/>
      <c r="Z983" s="149"/>
      <c r="AA983" s="392"/>
      <c r="AB983" s="393"/>
      <c r="AC983" s="192"/>
      <c r="AD983" s="149"/>
      <c r="AE983" s="392"/>
      <c r="AF983" s="393"/>
      <c r="AG983" s="143"/>
      <c r="AH983" s="143"/>
      <c r="AI983" s="143"/>
      <c r="AJ983" s="143"/>
      <c r="AK983" s="389"/>
      <c r="AL983" s="389"/>
      <c r="AM983" s="389"/>
    </row>
    <row r="984">
      <c r="A984" s="307"/>
      <c r="B984" s="308"/>
      <c r="C984" s="309"/>
      <c r="D984" s="389"/>
      <c r="E984" s="307"/>
      <c r="F984" s="308"/>
      <c r="G984" s="309"/>
      <c r="H984" s="389"/>
      <c r="I984" s="307"/>
      <c r="J984" s="308"/>
      <c r="K984" s="309"/>
      <c r="L984" s="389"/>
      <c r="M984" s="307"/>
      <c r="N984" s="308"/>
      <c r="O984" s="309"/>
      <c r="P984" s="389"/>
      <c r="Q984" s="192"/>
      <c r="R984" s="149"/>
      <c r="S984" s="392"/>
      <c r="T984" s="393"/>
      <c r="U984" s="192"/>
      <c r="V984" s="149"/>
      <c r="W984" s="392"/>
      <c r="X984" s="393"/>
      <c r="Y984" s="192"/>
      <c r="Z984" s="149"/>
      <c r="AA984" s="392"/>
      <c r="AB984" s="393"/>
      <c r="AC984" s="192"/>
      <c r="AD984" s="149"/>
      <c r="AE984" s="392"/>
      <c r="AF984" s="393"/>
      <c r="AG984" s="143"/>
      <c r="AH984" s="143"/>
      <c r="AI984" s="143"/>
      <c r="AJ984" s="143"/>
      <c r="AK984" s="389"/>
      <c r="AL984" s="389"/>
      <c r="AM984" s="389"/>
    </row>
    <row r="985">
      <c r="A985" s="307"/>
      <c r="B985" s="308"/>
      <c r="C985" s="309"/>
      <c r="D985" s="389"/>
      <c r="E985" s="307"/>
      <c r="F985" s="308"/>
      <c r="G985" s="309"/>
      <c r="H985" s="389"/>
      <c r="I985" s="307"/>
      <c r="J985" s="308"/>
      <c r="K985" s="309"/>
      <c r="L985" s="389"/>
      <c r="M985" s="307"/>
      <c r="N985" s="308"/>
      <c r="O985" s="309"/>
      <c r="P985" s="389"/>
      <c r="Q985" s="192"/>
      <c r="R985" s="149"/>
      <c r="S985" s="392"/>
      <c r="T985" s="393"/>
      <c r="U985" s="192"/>
      <c r="V985" s="149"/>
      <c r="W985" s="392"/>
      <c r="X985" s="393"/>
      <c r="Y985" s="192"/>
      <c r="Z985" s="149"/>
      <c r="AA985" s="392"/>
      <c r="AB985" s="393"/>
      <c r="AC985" s="192"/>
      <c r="AD985" s="149"/>
      <c r="AE985" s="392"/>
      <c r="AF985" s="393"/>
      <c r="AG985" s="143"/>
      <c r="AH985" s="143"/>
      <c r="AI985" s="143"/>
      <c r="AJ985" s="143"/>
      <c r="AK985" s="389"/>
      <c r="AL985" s="389"/>
      <c r="AM985" s="389"/>
    </row>
    <row r="986">
      <c r="A986" s="307"/>
      <c r="B986" s="308"/>
      <c r="C986" s="309"/>
      <c r="D986" s="389"/>
      <c r="E986" s="307"/>
      <c r="F986" s="308"/>
      <c r="G986" s="309"/>
      <c r="H986" s="389"/>
      <c r="I986" s="307"/>
      <c r="J986" s="308"/>
      <c r="K986" s="309"/>
      <c r="L986" s="389"/>
      <c r="M986" s="307"/>
      <c r="N986" s="308"/>
      <c r="O986" s="309"/>
      <c r="P986" s="389"/>
      <c r="Q986" s="192"/>
      <c r="R986" s="149"/>
      <c r="S986" s="392"/>
      <c r="T986" s="393"/>
      <c r="U986" s="192"/>
      <c r="V986" s="149"/>
      <c r="W986" s="392"/>
      <c r="X986" s="393"/>
      <c r="Y986" s="192"/>
      <c r="Z986" s="149"/>
      <c r="AA986" s="392"/>
      <c r="AB986" s="393"/>
      <c r="AC986" s="192"/>
      <c r="AD986" s="149"/>
      <c r="AE986" s="392"/>
      <c r="AF986" s="393"/>
      <c r="AG986" s="143"/>
      <c r="AH986" s="143"/>
      <c r="AI986" s="143"/>
      <c r="AJ986" s="143"/>
      <c r="AK986" s="389"/>
      <c r="AL986" s="389"/>
      <c r="AM986" s="389"/>
    </row>
    <row r="987">
      <c r="A987" s="307"/>
      <c r="B987" s="308"/>
      <c r="C987" s="309"/>
      <c r="D987" s="389"/>
      <c r="E987" s="307"/>
      <c r="F987" s="308"/>
      <c r="G987" s="309"/>
      <c r="H987" s="389"/>
      <c r="I987" s="307"/>
      <c r="J987" s="308"/>
      <c r="K987" s="309"/>
      <c r="L987" s="389"/>
      <c r="M987" s="307"/>
      <c r="N987" s="308"/>
      <c r="O987" s="309"/>
      <c r="P987" s="389"/>
      <c r="Q987" s="192"/>
      <c r="R987" s="149"/>
      <c r="S987" s="392"/>
      <c r="T987" s="393"/>
      <c r="U987" s="192"/>
      <c r="V987" s="149"/>
      <c r="W987" s="392"/>
      <c r="X987" s="393"/>
      <c r="Y987" s="192"/>
      <c r="Z987" s="149"/>
      <c r="AA987" s="392"/>
      <c r="AB987" s="393"/>
      <c r="AC987" s="192"/>
      <c r="AD987" s="149"/>
      <c r="AE987" s="392"/>
      <c r="AF987" s="393"/>
      <c r="AG987" s="143"/>
      <c r="AH987" s="143"/>
      <c r="AI987" s="143"/>
      <c r="AJ987" s="143"/>
      <c r="AK987" s="389"/>
      <c r="AL987" s="389"/>
      <c r="AM987" s="389"/>
    </row>
    <row r="988">
      <c r="A988" s="307"/>
      <c r="B988" s="308"/>
      <c r="C988" s="309"/>
      <c r="D988" s="389"/>
      <c r="E988" s="307"/>
      <c r="F988" s="308"/>
      <c r="G988" s="309"/>
      <c r="H988" s="389"/>
      <c r="I988" s="307"/>
      <c r="J988" s="308"/>
      <c r="K988" s="309"/>
      <c r="L988" s="389"/>
      <c r="M988" s="307"/>
      <c r="N988" s="308"/>
      <c r="O988" s="309"/>
      <c r="P988" s="389"/>
      <c r="Q988" s="192"/>
      <c r="R988" s="149"/>
      <c r="S988" s="392"/>
      <c r="T988" s="393"/>
      <c r="U988" s="192"/>
      <c r="V988" s="149"/>
      <c r="W988" s="392"/>
      <c r="X988" s="393"/>
      <c r="Y988" s="192"/>
      <c r="Z988" s="149"/>
      <c r="AA988" s="392"/>
      <c r="AB988" s="393"/>
      <c r="AC988" s="192"/>
      <c r="AD988" s="149"/>
      <c r="AE988" s="392"/>
      <c r="AF988" s="393"/>
      <c r="AG988" s="143"/>
      <c r="AH988" s="143"/>
      <c r="AI988" s="143"/>
      <c r="AJ988" s="143"/>
      <c r="AK988" s="389"/>
      <c r="AL988" s="389"/>
      <c r="AM988" s="389"/>
    </row>
    <row r="989">
      <c r="A989" s="307"/>
      <c r="B989" s="308"/>
      <c r="C989" s="309"/>
      <c r="D989" s="389"/>
      <c r="E989" s="307"/>
      <c r="F989" s="308"/>
      <c r="G989" s="309"/>
      <c r="H989" s="389"/>
      <c r="I989" s="307"/>
      <c r="J989" s="308"/>
      <c r="K989" s="309"/>
      <c r="L989" s="389"/>
      <c r="M989" s="307"/>
      <c r="N989" s="308"/>
      <c r="O989" s="309"/>
      <c r="P989" s="389"/>
      <c r="Q989" s="192"/>
      <c r="R989" s="149"/>
      <c r="S989" s="392"/>
      <c r="T989" s="393"/>
      <c r="U989" s="192"/>
      <c r="V989" s="149"/>
      <c r="W989" s="392"/>
      <c r="X989" s="393"/>
      <c r="Y989" s="192"/>
      <c r="Z989" s="149"/>
      <c r="AA989" s="392"/>
      <c r="AB989" s="393"/>
      <c r="AC989" s="192"/>
      <c r="AD989" s="149"/>
      <c r="AE989" s="392"/>
      <c r="AF989" s="393"/>
      <c r="AG989" s="143"/>
      <c r="AH989" s="143"/>
      <c r="AI989" s="143"/>
      <c r="AJ989" s="143"/>
      <c r="AK989" s="389"/>
      <c r="AL989" s="389"/>
      <c r="AM989" s="389"/>
    </row>
    <row r="990">
      <c r="A990" s="307"/>
      <c r="B990" s="308"/>
      <c r="C990" s="309"/>
      <c r="D990" s="389"/>
      <c r="E990" s="307"/>
      <c r="F990" s="308"/>
      <c r="G990" s="309"/>
      <c r="H990" s="389"/>
      <c r="I990" s="307"/>
      <c r="J990" s="308"/>
      <c r="K990" s="309"/>
      <c r="L990" s="389"/>
      <c r="M990" s="307"/>
      <c r="N990" s="308"/>
      <c r="O990" s="309"/>
      <c r="P990" s="389"/>
      <c r="Q990" s="192"/>
      <c r="R990" s="149"/>
      <c r="S990" s="392"/>
      <c r="T990" s="393"/>
      <c r="U990" s="192"/>
      <c r="V990" s="149"/>
      <c r="W990" s="392"/>
      <c r="X990" s="393"/>
      <c r="Y990" s="192"/>
      <c r="Z990" s="149"/>
      <c r="AA990" s="392"/>
      <c r="AB990" s="393"/>
      <c r="AC990" s="192"/>
      <c r="AD990" s="149"/>
      <c r="AE990" s="392"/>
      <c r="AF990" s="393"/>
      <c r="AG990" s="143"/>
      <c r="AH990" s="143"/>
      <c r="AI990" s="143"/>
      <c r="AJ990" s="143"/>
      <c r="AK990" s="389"/>
      <c r="AL990" s="389"/>
      <c r="AM990" s="389"/>
    </row>
    <row r="991">
      <c r="A991" s="307"/>
      <c r="B991" s="308"/>
      <c r="C991" s="309"/>
      <c r="D991" s="389"/>
      <c r="E991" s="307"/>
      <c r="F991" s="308"/>
      <c r="G991" s="309"/>
      <c r="H991" s="389"/>
      <c r="I991" s="307"/>
      <c r="J991" s="308"/>
      <c r="K991" s="309"/>
      <c r="L991" s="389"/>
      <c r="M991" s="307"/>
      <c r="N991" s="308"/>
      <c r="O991" s="309"/>
      <c r="P991" s="389"/>
      <c r="Q991" s="192"/>
      <c r="R991" s="149"/>
      <c r="S991" s="392"/>
      <c r="T991" s="393"/>
      <c r="U991" s="192"/>
      <c r="V991" s="149"/>
      <c r="W991" s="392"/>
      <c r="X991" s="393"/>
      <c r="Y991" s="192"/>
      <c r="Z991" s="149"/>
      <c r="AA991" s="392"/>
      <c r="AB991" s="393"/>
      <c r="AC991" s="192"/>
      <c r="AD991" s="149"/>
      <c r="AE991" s="392"/>
      <c r="AF991" s="393"/>
      <c r="AG991" s="143"/>
      <c r="AH991" s="143"/>
      <c r="AI991" s="143"/>
      <c r="AJ991" s="143"/>
      <c r="AK991" s="389"/>
      <c r="AL991" s="389"/>
      <c r="AM991" s="389"/>
    </row>
    <row r="992">
      <c r="A992" s="307"/>
      <c r="B992" s="308"/>
      <c r="C992" s="309"/>
      <c r="D992" s="389"/>
      <c r="E992" s="307"/>
      <c r="F992" s="308"/>
      <c r="G992" s="309"/>
      <c r="H992" s="389"/>
      <c r="I992" s="307"/>
      <c r="J992" s="308"/>
      <c r="K992" s="309"/>
      <c r="L992" s="389"/>
      <c r="M992" s="307"/>
      <c r="N992" s="308"/>
      <c r="O992" s="309"/>
      <c r="P992" s="389"/>
      <c r="Q992" s="192"/>
      <c r="R992" s="149"/>
      <c r="S992" s="392"/>
      <c r="T992" s="393"/>
      <c r="U992" s="192"/>
      <c r="V992" s="149"/>
      <c r="W992" s="392"/>
      <c r="X992" s="393"/>
      <c r="Y992" s="192"/>
      <c r="Z992" s="149"/>
      <c r="AA992" s="392"/>
      <c r="AB992" s="393"/>
      <c r="AC992" s="192"/>
      <c r="AD992" s="149"/>
      <c r="AE992" s="392"/>
      <c r="AF992" s="393"/>
      <c r="AG992" s="143"/>
      <c r="AH992" s="143"/>
      <c r="AI992" s="143"/>
      <c r="AJ992" s="143"/>
      <c r="AK992" s="389"/>
      <c r="AL992" s="389"/>
      <c r="AM992" s="389"/>
    </row>
    <row r="993">
      <c r="A993" s="307"/>
      <c r="B993" s="308"/>
      <c r="C993" s="309"/>
      <c r="D993" s="389"/>
      <c r="E993" s="307"/>
      <c r="F993" s="308"/>
      <c r="G993" s="309"/>
      <c r="H993" s="389"/>
      <c r="I993" s="307"/>
      <c r="J993" s="308"/>
      <c r="K993" s="309"/>
      <c r="L993" s="389"/>
      <c r="M993" s="307"/>
      <c r="N993" s="308"/>
      <c r="O993" s="309"/>
      <c r="P993" s="389"/>
      <c r="Q993" s="192"/>
      <c r="R993" s="149"/>
      <c r="S993" s="392"/>
      <c r="T993" s="393"/>
      <c r="U993" s="192"/>
      <c r="V993" s="149"/>
      <c r="W993" s="392"/>
      <c r="X993" s="393"/>
      <c r="Y993" s="192"/>
      <c r="Z993" s="149"/>
      <c r="AA993" s="392"/>
      <c r="AB993" s="393"/>
      <c r="AC993" s="192"/>
      <c r="AD993" s="149"/>
      <c r="AE993" s="392"/>
      <c r="AF993" s="393"/>
      <c r="AG993" s="143"/>
      <c r="AH993" s="143"/>
      <c r="AI993" s="143"/>
      <c r="AJ993" s="143"/>
      <c r="AK993" s="389"/>
      <c r="AL993" s="389"/>
      <c r="AM993" s="389"/>
    </row>
    <row r="994">
      <c r="A994" s="307"/>
      <c r="B994" s="308"/>
      <c r="C994" s="309"/>
      <c r="D994" s="389"/>
      <c r="E994" s="307"/>
      <c r="F994" s="308"/>
      <c r="G994" s="309"/>
      <c r="H994" s="389"/>
      <c r="I994" s="307"/>
      <c r="J994" s="308"/>
      <c r="K994" s="309"/>
      <c r="L994" s="389"/>
      <c r="M994" s="307"/>
      <c r="N994" s="308"/>
      <c r="O994" s="309"/>
      <c r="P994" s="389"/>
      <c r="Q994" s="192"/>
      <c r="R994" s="149"/>
      <c r="S994" s="392"/>
      <c r="T994" s="393"/>
      <c r="U994" s="192"/>
      <c r="V994" s="149"/>
      <c r="W994" s="392"/>
      <c r="X994" s="393"/>
      <c r="Y994" s="192"/>
      <c r="Z994" s="149"/>
      <c r="AA994" s="392"/>
      <c r="AB994" s="393"/>
      <c r="AC994" s="192"/>
      <c r="AD994" s="149"/>
      <c r="AE994" s="392"/>
      <c r="AF994" s="393"/>
      <c r="AG994" s="143"/>
      <c r="AH994" s="143"/>
      <c r="AI994" s="143"/>
      <c r="AJ994" s="143"/>
      <c r="AK994" s="389"/>
      <c r="AL994" s="389"/>
      <c r="AM994" s="389"/>
    </row>
    <row r="995">
      <c r="A995" s="307"/>
      <c r="B995" s="308"/>
      <c r="C995" s="309"/>
      <c r="D995" s="389"/>
      <c r="E995" s="307"/>
      <c r="F995" s="308"/>
      <c r="G995" s="309"/>
      <c r="H995" s="389"/>
      <c r="I995" s="307"/>
      <c r="J995" s="308"/>
      <c r="K995" s="309"/>
      <c r="L995" s="389"/>
      <c r="M995" s="307"/>
      <c r="N995" s="308"/>
      <c r="O995" s="309"/>
      <c r="P995" s="389"/>
      <c r="Q995" s="192"/>
      <c r="R995" s="149"/>
      <c r="S995" s="392"/>
      <c r="T995" s="393"/>
      <c r="U995" s="192"/>
      <c r="V995" s="149"/>
      <c r="W995" s="392"/>
      <c r="X995" s="393"/>
      <c r="Y995" s="192"/>
      <c r="Z995" s="149"/>
      <c r="AA995" s="392"/>
      <c r="AB995" s="393"/>
      <c r="AC995" s="192"/>
      <c r="AD995" s="149"/>
      <c r="AE995" s="392"/>
      <c r="AF995" s="393"/>
      <c r="AG995" s="143"/>
      <c r="AH995" s="143"/>
      <c r="AI995" s="143"/>
      <c r="AJ995" s="143"/>
      <c r="AK995" s="389"/>
      <c r="AL995" s="389"/>
      <c r="AM995" s="389"/>
    </row>
    <row r="996">
      <c r="A996" s="307"/>
      <c r="B996" s="308"/>
      <c r="C996" s="309"/>
      <c r="D996" s="389"/>
      <c r="E996" s="307"/>
      <c r="F996" s="308"/>
      <c r="G996" s="309"/>
      <c r="H996" s="389"/>
      <c r="I996" s="307"/>
      <c r="J996" s="308"/>
      <c r="K996" s="309"/>
      <c r="L996" s="389"/>
      <c r="M996" s="307"/>
      <c r="N996" s="308"/>
      <c r="O996" s="309"/>
      <c r="P996" s="389"/>
      <c r="Q996" s="192"/>
      <c r="R996" s="149"/>
      <c r="S996" s="392"/>
      <c r="T996" s="393"/>
      <c r="U996" s="192"/>
      <c r="V996" s="149"/>
      <c r="W996" s="392"/>
      <c r="X996" s="393"/>
      <c r="Y996" s="192"/>
      <c r="Z996" s="149"/>
      <c r="AA996" s="392"/>
      <c r="AB996" s="393"/>
      <c r="AC996" s="192"/>
      <c r="AD996" s="149"/>
      <c r="AE996" s="392"/>
      <c r="AF996" s="393"/>
      <c r="AG996" s="143"/>
      <c r="AH996" s="143"/>
      <c r="AI996" s="143"/>
      <c r="AJ996" s="143"/>
      <c r="AK996" s="389"/>
      <c r="AL996" s="389"/>
      <c r="AM996" s="389"/>
    </row>
    <row r="997">
      <c r="A997" s="307"/>
      <c r="B997" s="308"/>
      <c r="C997" s="309"/>
      <c r="D997" s="389"/>
      <c r="E997" s="307"/>
      <c r="F997" s="308"/>
      <c r="G997" s="309"/>
      <c r="H997" s="389"/>
      <c r="I997" s="307"/>
      <c r="J997" s="308"/>
      <c r="K997" s="309"/>
      <c r="L997" s="389"/>
      <c r="M997" s="307"/>
      <c r="N997" s="308"/>
      <c r="O997" s="309"/>
      <c r="P997" s="389"/>
      <c r="Q997" s="192"/>
      <c r="R997" s="149"/>
      <c r="S997" s="392"/>
      <c r="T997" s="393"/>
      <c r="U997" s="192"/>
      <c r="V997" s="149"/>
      <c r="W997" s="392"/>
      <c r="X997" s="393"/>
      <c r="Y997" s="192"/>
      <c r="Z997" s="149"/>
      <c r="AA997" s="392"/>
      <c r="AB997" s="393"/>
      <c r="AC997" s="192"/>
      <c r="AD997" s="149"/>
      <c r="AE997" s="392"/>
      <c r="AF997" s="393"/>
      <c r="AG997" s="143"/>
      <c r="AH997" s="143"/>
      <c r="AI997" s="143"/>
      <c r="AJ997" s="143"/>
      <c r="AK997" s="389"/>
      <c r="AL997" s="389"/>
      <c r="AM997" s="389"/>
    </row>
    <row r="998">
      <c r="A998" s="307"/>
      <c r="B998" s="308"/>
      <c r="C998" s="309"/>
      <c r="D998" s="389"/>
      <c r="E998" s="307"/>
      <c r="F998" s="308"/>
      <c r="G998" s="309"/>
      <c r="H998" s="389"/>
      <c r="I998" s="307"/>
      <c r="J998" s="308"/>
      <c r="K998" s="309"/>
      <c r="L998" s="389"/>
      <c r="M998" s="307"/>
      <c r="N998" s="308"/>
      <c r="O998" s="309"/>
      <c r="P998" s="389"/>
      <c r="Q998" s="192"/>
      <c r="R998" s="149"/>
      <c r="S998" s="392"/>
      <c r="T998" s="393"/>
      <c r="U998" s="192"/>
      <c r="V998" s="149"/>
      <c r="W998" s="392"/>
      <c r="X998" s="393"/>
      <c r="Y998" s="192"/>
      <c r="Z998" s="149"/>
      <c r="AA998" s="392"/>
      <c r="AB998" s="393"/>
      <c r="AC998" s="192"/>
      <c r="AD998" s="149"/>
      <c r="AE998" s="392"/>
      <c r="AF998" s="393"/>
      <c r="AG998" s="143"/>
      <c r="AH998" s="143"/>
      <c r="AI998" s="143"/>
      <c r="AJ998" s="143"/>
      <c r="AK998" s="389"/>
      <c r="AL998" s="389"/>
      <c r="AM998" s="389"/>
    </row>
    <row r="999">
      <c r="A999" s="307"/>
      <c r="B999" s="308"/>
      <c r="C999" s="309"/>
      <c r="D999" s="389"/>
      <c r="E999" s="307"/>
      <c r="F999" s="308"/>
      <c r="G999" s="309"/>
      <c r="H999" s="389"/>
      <c r="I999" s="307"/>
      <c r="J999" s="308"/>
      <c r="K999" s="309"/>
      <c r="L999" s="389"/>
      <c r="M999" s="307"/>
      <c r="N999" s="308"/>
      <c r="O999" s="309"/>
      <c r="P999" s="389"/>
      <c r="Q999" s="192"/>
      <c r="R999" s="149"/>
      <c r="S999" s="392"/>
      <c r="T999" s="393"/>
      <c r="U999" s="192"/>
      <c r="V999" s="149"/>
      <c r="W999" s="392"/>
      <c r="X999" s="393"/>
      <c r="Y999" s="192"/>
      <c r="Z999" s="149"/>
      <c r="AA999" s="392"/>
      <c r="AB999" s="393"/>
      <c r="AC999" s="192"/>
      <c r="AD999" s="149"/>
      <c r="AE999" s="392"/>
      <c r="AF999" s="393"/>
      <c r="AG999" s="143"/>
      <c r="AH999" s="143"/>
      <c r="AI999" s="143"/>
      <c r="AJ999" s="143"/>
      <c r="AK999" s="389"/>
      <c r="AL999" s="389"/>
      <c r="AM999" s="389"/>
    </row>
    <row r="1000">
      <c r="A1000" s="307"/>
      <c r="B1000" s="308"/>
      <c r="C1000" s="309"/>
      <c r="D1000" s="389"/>
      <c r="E1000" s="307"/>
      <c r="F1000" s="308"/>
      <c r="G1000" s="309"/>
      <c r="H1000" s="389"/>
      <c r="I1000" s="307"/>
      <c r="J1000" s="308"/>
      <c r="K1000" s="309"/>
      <c r="L1000" s="389"/>
      <c r="M1000" s="307"/>
      <c r="N1000" s="308"/>
      <c r="O1000" s="309"/>
      <c r="P1000" s="389"/>
      <c r="Q1000" s="192"/>
      <c r="R1000" s="149"/>
      <c r="S1000" s="392"/>
      <c r="T1000" s="393"/>
      <c r="U1000" s="192"/>
      <c r="V1000" s="149"/>
      <c r="W1000" s="392"/>
      <c r="X1000" s="393"/>
      <c r="Y1000" s="192"/>
      <c r="Z1000" s="149"/>
      <c r="AA1000" s="392"/>
      <c r="AB1000" s="393"/>
      <c r="AC1000" s="192"/>
      <c r="AD1000" s="149"/>
      <c r="AE1000" s="392"/>
      <c r="AF1000" s="393"/>
      <c r="AG1000" s="143"/>
      <c r="AH1000" s="143"/>
      <c r="AI1000" s="143"/>
      <c r="AJ1000" s="143"/>
      <c r="AK1000" s="389"/>
      <c r="AL1000" s="389"/>
      <c r="AM1000" s="389"/>
    </row>
    <row r="1001">
      <c r="A1001" s="307"/>
      <c r="B1001" s="308"/>
      <c r="C1001" s="309"/>
      <c r="D1001" s="389"/>
      <c r="E1001" s="307"/>
      <c r="F1001" s="308"/>
      <c r="G1001" s="309"/>
      <c r="H1001" s="389"/>
      <c r="I1001" s="307"/>
      <c r="J1001" s="308"/>
      <c r="K1001" s="309"/>
      <c r="L1001" s="389"/>
      <c r="M1001" s="307"/>
      <c r="N1001" s="308"/>
      <c r="O1001" s="309"/>
      <c r="P1001" s="389"/>
      <c r="Q1001" s="192"/>
      <c r="R1001" s="149"/>
      <c r="S1001" s="392"/>
      <c r="T1001" s="393"/>
      <c r="U1001" s="192"/>
      <c r="V1001" s="149"/>
      <c r="W1001" s="392"/>
      <c r="X1001" s="393"/>
      <c r="Y1001" s="192"/>
      <c r="Z1001" s="149"/>
      <c r="AA1001" s="392"/>
      <c r="AB1001" s="393"/>
      <c r="AC1001" s="192"/>
      <c r="AD1001" s="149"/>
      <c r="AE1001" s="392"/>
      <c r="AF1001" s="393"/>
      <c r="AG1001" s="143"/>
      <c r="AH1001" s="143"/>
      <c r="AI1001" s="143"/>
      <c r="AJ1001" s="143"/>
      <c r="AK1001" s="389"/>
      <c r="AL1001" s="389"/>
      <c r="AM1001" s="389"/>
    </row>
    <row r="1002">
      <c r="A1002" s="307"/>
      <c r="B1002" s="308"/>
      <c r="C1002" s="309"/>
      <c r="D1002" s="389"/>
      <c r="E1002" s="307"/>
      <c r="F1002" s="308"/>
      <c r="G1002" s="309"/>
      <c r="H1002" s="389"/>
      <c r="I1002" s="307"/>
      <c r="J1002" s="308"/>
      <c r="K1002" s="309"/>
      <c r="L1002" s="389"/>
      <c r="M1002" s="307"/>
      <c r="N1002" s="308"/>
      <c r="O1002" s="309"/>
      <c r="P1002" s="389"/>
      <c r="Q1002" s="192"/>
      <c r="R1002" s="149"/>
      <c r="S1002" s="392"/>
      <c r="T1002" s="393"/>
      <c r="U1002" s="192"/>
      <c r="V1002" s="149"/>
      <c r="W1002" s="392"/>
      <c r="X1002" s="393"/>
      <c r="Y1002" s="192"/>
      <c r="Z1002" s="149"/>
      <c r="AA1002" s="392"/>
      <c r="AB1002" s="393"/>
      <c r="AC1002" s="192"/>
      <c r="AD1002" s="149"/>
      <c r="AE1002" s="392"/>
      <c r="AF1002" s="393"/>
      <c r="AG1002" s="143"/>
      <c r="AH1002" s="143"/>
      <c r="AI1002" s="143"/>
      <c r="AJ1002" s="143"/>
      <c r="AK1002" s="389"/>
      <c r="AL1002" s="389"/>
      <c r="AM1002" s="389"/>
    </row>
    <row r="1003">
      <c r="A1003" s="307"/>
      <c r="B1003" s="308"/>
      <c r="C1003" s="309"/>
      <c r="D1003" s="389"/>
      <c r="E1003" s="307"/>
      <c r="F1003" s="308"/>
      <c r="G1003" s="309"/>
      <c r="H1003" s="389"/>
      <c r="I1003" s="307"/>
      <c r="J1003" s="308"/>
      <c r="K1003" s="309"/>
      <c r="L1003" s="389"/>
      <c r="M1003" s="307"/>
      <c r="N1003" s="308"/>
      <c r="O1003" s="309"/>
      <c r="P1003" s="389"/>
      <c r="Q1003" s="192"/>
      <c r="R1003" s="149"/>
      <c r="S1003" s="392"/>
      <c r="T1003" s="393"/>
      <c r="U1003" s="192"/>
      <c r="V1003" s="149"/>
      <c r="W1003" s="392"/>
      <c r="X1003" s="393"/>
      <c r="Y1003" s="192"/>
      <c r="Z1003" s="149"/>
      <c r="AA1003" s="392"/>
      <c r="AB1003" s="393"/>
      <c r="AC1003" s="192"/>
      <c r="AD1003" s="149"/>
      <c r="AE1003" s="392"/>
      <c r="AF1003" s="393"/>
      <c r="AG1003" s="307"/>
      <c r="AH1003" s="308"/>
      <c r="AI1003" s="309"/>
      <c r="AJ1003" s="389"/>
      <c r="AK1003" s="389"/>
      <c r="AL1003" s="389"/>
      <c r="AM1003" s="389"/>
    </row>
    <row r="1004">
      <c r="A1004" s="307"/>
      <c r="B1004" s="308"/>
      <c r="C1004" s="309"/>
      <c r="D1004" s="389"/>
      <c r="E1004" s="307"/>
      <c r="F1004" s="308"/>
      <c r="G1004" s="309"/>
      <c r="H1004" s="389"/>
      <c r="I1004" s="307"/>
      <c r="J1004" s="308"/>
      <c r="K1004" s="309"/>
      <c r="L1004" s="389"/>
      <c r="M1004" s="307"/>
      <c r="N1004" s="308"/>
      <c r="O1004" s="309"/>
      <c r="P1004" s="389"/>
      <c r="Q1004" s="192"/>
      <c r="R1004" s="149"/>
      <c r="S1004" s="392"/>
      <c r="T1004" s="393"/>
      <c r="U1004" s="192"/>
      <c r="V1004" s="149"/>
      <c r="W1004" s="392"/>
      <c r="X1004" s="393"/>
      <c r="Y1004" s="192"/>
      <c r="Z1004" s="149"/>
      <c r="AA1004" s="392"/>
      <c r="AB1004" s="393"/>
      <c r="AC1004" s="192"/>
      <c r="AD1004" s="149"/>
      <c r="AE1004" s="392"/>
      <c r="AF1004" s="393"/>
      <c r="AG1004" s="307"/>
      <c r="AH1004" s="308"/>
      <c r="AI1004" s="309"/>
      <c r="AJ1004" s="389"/>
      <c r="AK1004" s="389"/>
      <c r="AL1004" s="389"/>
      <c r="AM1004" s="389"/>
    </row>
    <row r="1005">
      <c r="A1005" s="307"/>
      <c r="B1005" s="308"/>
      <c r="C1005" s="309"/>
      <c r="D1005" s="389"/>
      <c r="E1005" s="307"/>
      <c r="F1005" s="308"/>
      <c r="G1005" s="309"/>
      <c r="H1005" s="389"/>
      <c r="I1005" s="307"/>
      <c r="J1005" s="308"/>
      <c r="K1005" s="309"/>
      <c r="L1005" s="389"/>
      <c r="M1005" s="307"/>
      <c r="N1005" s="308"/>
      <c r="O1005" s="309"/>
      <c r="P1005" s="389"/>
      <c r="Q1005" s="192"/>
      <c r="R1005" s="149"/>
      <c r="S1005" s="392"/>
      <c r="T1005" s="393"/>
      <c r="U1005" s="192"/>
      <c r="V1005" s="149"/>
      <c r="W1005" s="392"/>
      <c r="X1005" s="393"/>
      <c r="Y1005" s="192"/>
      <c r="Z1005" s="149"/>
      <c r="AA1005" s="392"/>
      <c r="AB1005" s="393"/>
      <c r="AC1005" s="192"/>
      <c r="AD1005" s="149"/>
      <c r="AE1005" s="392"/>
      <c r="AF1005" s="393"/>
      <c r="AG1005" s="307"/>
      <c r="AH1005" s="308"/>
      <c r="AI1005" s="309"/>
      <c r="AJ1005" s="389"/>
      <c r="AK1005" s="389"/>
      <c r="AL1005" s="389"/>
      <c r="AM1005" s="389"/>
    </row>
    <row r="1006">
      <c r="A1006" s="307"/>
      <c r="B1006" s="308"/>
      <c r="C1006" s="309"/>
      <c r="D1006" s="389"/>
      <c r="E1006" s="307"/>
      <c r="F1006" s="308"/>
      <c r="G1006" s="309"/>
      <c r="H1006" s="389"/>
      <c r="I1006" s="307"/>
      <c r="J1006" s="308"/>
      <c r="K1006" s="309"/>
      <c r="L1006" s="389"/>
      <c r="M1006" s="307"/>
      <c r="N1006" s="308"/>
      <c r="O1006" s="309"/>
      <c r="P1006" s="389"/>
      <c r="Q1006" s="192"/>
      <c r="R1006" s="149"/>
      <c r="S1006" s="392"/>
      <c r="T1006" s="393"/>
      <c r="U1006" s="192"/>
      <c r="V1006" s="149"/>
      <c r="W1006" s="392"/>
      <c r="X1006" s="393"/>
      <c r="Y1006" s="192"/>
      <c r="Z1006" s="149"/>
      <c r="AA1006" s="392"/>
      <c r="AB1006" s="393"/>
      <c r="AC1006" s="192"/>
      <c r="AD1006" s="149"/>
      <c r="AE1006" s="392"/>
      <c r="AF1006" s="393"/>
      <c r="AG1006" s="307"/>
      <c r="AH1006" s="308"/>
      <c r="AI1006" s="309"/>
      <c r="AJ1006" s="389"/>
      <c r="AK1006" s="389"/>
      <c r="AL1006" s="389"/>
      <c r="AM1006" s="389"/>
    </row>
    <row r="1007">
      <c r="A1007" s="307"/>
      <c r="B1007" s="308"/>
      <c r="C1007" s="309"/>
      <c r="D1007" s="389"/>
      <c r="E1007" s="307"/>
      <c r="F1007" s="308"/>
      <c r="G1007" s="309"/>
      <c r="H1007" s="389"/>
      <c r="I1007" s="307"/>
      <c r="J1007" s="308"/>
      <c r="K1007" s="309"/>
      <c r="L1007" s="389"/>
      <c r="M1007" s="307"/>
      <c r="N1007" s="308"/>
      <c r="O1007" s="309"/>
      <c r="P1007" s="389"/>
      <c r="Q1007" s="192"/>
      <c r="R1007" s="149"/>
      <c r="S1007" s="392"/>
      <c r="T1007" s="393"/>
      <c r="U1007" s="192"/>
      <c r="V1007" s="149"/>
      <c r="W1007" s="392"/>
      <c r="X1007" s="393"/>
      <c r="Y1007" s="192"/>
      <c r="Z1007" s="149"/>
      <c r="AA1007" s="392"/>
      <c r="AB1007" s="393"/>
      <c r="AC1007" s="192"/>
      <c r="AD1007" s="149"/>
      <c r="AE1007" s="392"/>
      <c r="AF1007" s="393"/>
      <c r="AG1007" s="307"/>
      <c r="AH1007" s="308"/>
      <c r="AI1007" s="309"/>
      <c r="AJ1007" s="389"/>
      <c r="AK1007" s="389"/>
      <c r="AL1007" s="389"/>
      <c r="AM1007" s="389"/>
    </row>
    <row r="1008">
      <c r="A1008" s="307"/>
      <c r="B1008" s="308"/>
      <c r="C1008" s="309"/>
      <c r="D1008" s="389"/>
      <c r="E1008" s="307"/>
      <c r="F1008" s="308"/>
      <c r="G1008" s="309"/>
      <c r="H1008" s="389"/>
      <c r="I1008" s="307"/>
      <c r="J1008" s="308"/>
      <c r="K1008" s="309"/>
      <c r="L1008" s="389"/>
      <c r="M1008" s="307"/>
      <c r="N1008" s="308"/>
      <c r="O1008" s="309"/>
      <c r="P1008" s="389"/>
      <c r="Q1008" s="192"/>
      <c r="R1008" s="149"/>
      <c r="S1008" s="392"/>
      <c r="T1008" s="393"/>
      <c r="U1008" s="192"/>
      <c r="V1008" s="149"/>
      <c r="W1008" s="392"/>
      <c r="X1008" s="393"/>
      <c r="Y1008" s="192"/>
      <c r="Z1008" s="149"/>
      <c r="AA1008" s="392"/>
      <c r="AB1008" s="393"/>
      <c r="AC1008" s="192"/>
      <c r="AD1008" s="149"/>
      <c r="AE1008" s="392"/>
      <c r="AF1008" s="393"/>
      <c r="AG1008" s="307"/>
      <c r="AH1008" s="308"/>
      <c r="AI1008" s="309"/>
      <c r="AJ1008" s="389"/>
      <c r="AK1008" s="389"/>
      <c r="AL1008" s="389"/>
      <c r="AM1008" s="389"/>
    </row>
    <row r="1009">
      <c r="A1009" s="307"/>
      <c r="B1009" s="308"/>
      <c r="C1009" s="309"/>
      <c r="D1009" s="389"/>
      <c r="E1009" s="307"/>
      <c r="F1009" s="308"/>
      <c r="G1009" s="309"/>
      <c r="H1009" s="389"/>
      <c r="I1009" s="307"/>
      <c r="J1009" s="308"/>
      <c r="K1009" s="309"/>
      <c r="L1009" s="389"/>
      <c r="M1009" s="307"/>
      <c r="N1009" s="308"/>
      <c r="O1009" s="309"/>
      <c r="P1009" s="389"/>
      <c r="Q1009" s="192"/>
      <c r="R1009" s="149"/>
      <c r="S1009" s="392"/>
      <c r="T1009" s="393"/>
      <c r="U1009" s="192"/>
      <c r="V1009" s="149"/>
      <c r="W1009" s="392"/>
      <c r="X1009" s="393"/>
      <c r="Y1009" s="192"/>
      <c r="Z1009" s="149"/>
      <c r="AA1009" s="392"/>
      <c r="AB1009" s="393"/>
      <c r="AC1009" s="192"/>
      <c r="AD1009" s="149"/>
      <c r="AE1009" s="392"/>
      <c r="AF1009" s="393"/>
      <c r="AG1009" s="307"/>
      <c r="AH1009" s="308"/>
      <c r="AI1009" s="309"/>
      <c r="AJ1009" s="389"/>
      <c r="AK1009" s="389"/>
      <c r="AL1009" s="389"/>
      <c r="AM1009" s="389"/>
    </row>
    <row r="1010">
      <c r="A1010" s="307"/>
      <c r="B1010" s="308"/>
      <c r="C1010" s="309"/>
      <c r="D1010" s="389"/>
      <c r="E1010" s="307"/>
      <c r="F1010" s="308"/>
      <c r="G1010" s="309"/>
      <c r="H1010" s="389"/>
      <c r="I1010" s="307"/>
      <c r="J1010" s="308"/>
      <c r="K1010" s="309"/>
      <c r="L1010" s="389"/>
      <c r="M1010" s="307"/>
      <c r="N1010" s="308"/>
      <c r="O1010" s="309"/>
      <c r="P1010" s="389"/>
      <c r="Q1010" s="192"/>
      <c r="R1010" s="149"/>
      <c r="S1010" s="392"/>
      <c r="T1010" s="393"/>
      <c r="U1010" s="192"/>
      <c r="V1010" s="149"/>
      <c r="W1010" s="392"/>
      <c r="X1010" s="393"/>
      <c r="Y1010" s="192"/>
      <c r="Z1010" s="149"/>
      <c r="AA1010" s="392"/>
      <c r="AB1010" s="393"/>
      <c r="AC1010" s="192"/>
      <c r="AD1010" s="149"/>
      <c r="AE1010" s="392"/>
      <c r="AF1010" s="393"/>
      <c r="AG1010" s="307"/>
      <c r="AH1010" s="308"/>
      <c r="AI1010" s="309"/>
      <c r="AJ1010" s="389"/>
      <c r="AK1010" s="389"/>
      <c r="AL1010" s="389"/>
      <c r="AM1010" s="389"/>
    </row>
    <row r="1011">
      <c r="A1011" s="307"/>
      <c r="B1011" s="308"/>
      <c r="C1011" s="309"/>
      <c r="D1011" s="389"/>
      <c r="E1011" s="307"/>
      <c r="F1011" s="308"/>
      <c r="G1011" s="309"/>
      <c r="H1011" s="389"/>
      <c r="I1011" s="307"/>
      <c r="J1011" s="308"/>
      <c r="K1011" s="309"/>
      <c r="L1011" s="389"/>
      <c r="M1011" s="307"/>
      <c r="N1011" s="308"/>
      <c r="O1011" s="309"/>
      <c r="P1011" s="389"/>
      <c r="Q1011" s="192"/>
      <c r="R1011" s="149"/>
      <c r="S1011" s="392"/>
      <c r="T1011" s="393"/>
      <c r="U1011" s="192"/>
      <c r="V1011" s="149"/>
      <c r="W1011" s="392"/>
      <c r="X1011" s="393"/>
      <c r="Y1011" s="192"/>
      <c r="Z1011" s="149"/>
      <c r="AA1011" s="392"/>
      <c r="AB1011" s="393"/>
      <c r="AC1011" s="192"/>
      <c r="AD1011" s="149"/>
      <c r="AE1011" s="392"/>
      <c r="AF1011" s="393"/>
      <c r="AG1011" s="307"/>
      <c r="AH1011" s="308"/>
      <c r="AI1011" s="309"/>
      <c r="AJ1011" s="389"/>
      <c r="AK1011" s="389"/>
      <c r="AL1011" s="389"/>
      <c r="AM1011" s="389"/>
    </row>
    <row r="1012">
      <c r="A1012" s="307"/>
      <c r="B1012" s="308"/>
      <c r="C1012" s="309"/>
      <c r="D1012" s="389"/>
      <c r="E1012" s="307"/>
      <c r="F1012" s="308"/>
      <c r="G1012" s="309"/>
      <c r="H1012" s="389"/>
      <c r="I1012" s="307"/>
      <c r="J1012" s="308"/>
      <c r="K1012" s="309"/>
      <c r="L1012" s="389"/>
      <c r="M1012" s="307"/>
      <c r="N1012" s="308"/>
      <c r="O1012" s="309"/>
      <c r="P1012" s="389"/>
      <c r="Q1012" s="192"/>
      <c r="R1012" s="149"/>
      <c r="S1012" s="392"/>
      <c r="T1012" s="393"/>
      <c r="U1012" s="192"/>
      <c r="V1012" s="149"/>
      <c r="W1012" s="392"/>
      <c r="X1012" s="393"/>
      <c r="Y1012" s="192"/>
      <c r="Z1012" s="149"/>
      <c r="AA1012" s="392"/>
      <c r="AB1012" s="393"/>
      <c r="AC1012" s="192"/>
      <c r="AD1012" s="149"/>
      <c r="AE1012" s="392"/>
      <c r="AF1012" s="393"/>
      <c r="AG1012" s="307"/>
      <c r="AH1012" s="308"/>
      <c r="AI1012" s="309"/>
      <c r="AJ1012" s="389"/>
      <c r="AK1012" s="389"/>
      <c r="AL1012" s="389"/>
      <c r="AM1012" s="389"/>
    </row>
    <row r="1013">
      <c r="A1013" s="307"/>
      <c r="B1013" s="308"/>
      <c r="C1013" s="309"/>
      <c r="D1013" s="389"/>
      <c r="E1013" s="307"/>
      <c r="F1013" s="308"/>
      <c r="G1013" s="309"/>
      <c r="H1013" s="389"/>
      <c r="I1013" s="307"/>
      <c r="J1013" s="308"/>
      <c r="K1013" s="309"/>
      <c r="L1013" s="389"/>
      <c r="M1013" s="307"/>
      <c r="N1013" s="308"/>
      <c r="O1013" s="309"/>
      <c r="P1013" s="389"/>
      <c r="Q1013" s="192"/>
      <c r="R1013" s="149"/>
      <c r="S1013" s="392"/>
      <c r="T1013" s="393"/>
      <c r="U1013" s="192"/>
      <c r="V1013" s="149"/>
      <c r="W1013" s="392"/>
      <c r="X1013" s="393"/>
      <c r="Y1013" s="192"/>
      <c r="Z1013" s="149"/>
      <c r="AA1013" s="392"/>
      <c r="AB1013" s="393"/>
      <c r="AC1013" s="192"/>
      <c r="AD1013" s="149"/>
      <c r="AE1013" s="392"/>
      <c r="AF1013" s="393"/>
      <c r="AG1013" s="307"/>
      <c r="AH1013" s="308"/>
      <c r="AI1013" s="309"/>
      <c r="AJ1013" s="389"/>
      <c r="AK1013" s="389"/>
      <c r="AL1013" s="389"/>
      <c r="AM1013" s="389"/>
    </row>
    <row r="1014">
      <c r="A1014" s="307"/>
      <c r="B1014" s="308"/>
      <c r="C1014" s="309"/>
      <c r="D1014" s="389"/>
      <c r="E1014" s="307"/>
      <c r="F1014" s="308"/>
      <c r="G1014" s="309"/>
      <c r="H1014" s="389"/>
      <c r="I1014" s="307"/>
      <c r="J1014" s="308"/>
      <c r="K1014" s="309"/>
      <c r="L1014" s="389"/>
      <c r="M1014" s="307"/>
      <c r="N1014" s="308"/>
      <c r="O1014" s="309"/>
      <c r="P1014" s="389"/>
      <c r="Q1014" s="192"/>
      <c r="R1014" s="149"/>
      <c r="S1014" s="392"/>
      <c r="T1014" s="393"/>
      <c r="U1014" s="192"/>
      <c r="V1014" s="149"/>
      <c r="W1014" s="392"/>
      <c r="X1014" s="393"/>
      <c r="Y1014" s="192"/>
      <c r="Z1014" s="149"/>
      <c r="AA1014" s="392"/>
      <c r="AB1014" s="393"/>
      <c r="AC1014" s="192"/>
      <c r="AD1014" s="149"/>
      <c r="AE1014" s="392"/>
      <c r="AF1014" s="393"/>
      <c r="AG1014" s="307"/>
      <c r="AH1014" s="308"/>
      <c r="AI1014" s="309"/>
      <c r="AJ1014" s="389"/>
      <c r="AK1014" s="389"/>
      <c r="AL1014" s="389"/>
      <c r="AM1014" s="389"/>
    </row>
    <row r="1015">
      <c r="A1015" s="307"/>
      <c r="B1015" s="308"/>
      <c r="C1015" s="309"/>
      <c r="D1015" s="389"/>
      <c r="E1015" s="307"/>
      <c r="F1015" s="308"/>
      <c r="G1015" s="309"/>
      <c r="H1015" s="389"/>
      <c r="I1015" s="307"/>
      <c r="J1015" s="308"/>
      <c r="K1015" s="309"/>
      <c r="L1015" s="389"/>
      <c r="M1015" s="307"/>
      <c r="N1015" s="308"/>
      <c r="O1015" s="309"/>
      <c r="P1015" s="389"/>
      <c r="Q1015" s="192"/>
      <c r="R1015" s="149"/>
      <c r="S1015" s="392"/>
      <c r="T1015" s="393"/>
      <c r="U1015" s="192"/>
      <c r="V1015" s="149"/>
      <c r="W1015" s="392"/>
      <c r="X1015" s="393"/>
      <c r="Y1015" s="192"/>
      <c r="Z1015" s="149"/>
      <c r="AA1015" s="392"/>
      <c r="AB1015" s="393"/>
      <c r="AC1015" s="192"/>
      <c r="AD1015" s="149"/>
      <c r="AE1015" s="392"/>
      <c r="AF1015" s="393"/>
      <c r="AG1015" s="307"/>
      <c r="AH1015" s="308"/>
      <c r="AI1015" s="309"/>
      <c r="AJ1015" s="389"/>
      <c r="AK1015" s="389"/>
      <c r="AL1015" s="389"/>
      <c r="AM1015" s="389"/>
    </row>
    <row r="1016">
      <c r="A1016" s="307"/>
      <c r="B1016" s="308"/>
      <c r="C1016" s="309"/>
      <c r="D1016" s="389"/>
      <c r="E1016" s="307"/>
      <c r="F1016" s="308"/>
      <c r="G1016" s="309"/>
      <c r="H1016" s="389"/>
      <c r="I1016" s="307"/>
      <c r="J1016" s="308"/>
      <c r="K1016" s="309"/>
      <c r="L1016" s="389"/>
      <c r="M1016" s="307"/>
      <c r="N1016" s="308"/>
      <c r="O1016" s="309"/>
      <c r="P1016" s="389"/>
      <c r="Q1016" s="192"/>
      <c r="R1016" s="149"/>
      <c r="S1016" s="392"/>
      <c r="T1016" s="393"/>
      <c r="U1016" s="192"/>
      <c r="V1016" s="149"/>
      <c r="W1016" s="392"/>
      <c r="X1016" s="393"/>
      <c r="Y1016" s="192"/>
      <c r="Z1016" s="149"/>
      <c r="AA1016" s="392"/>
      <c r="AB1016" s="393"/>
      <c r="AC1016" s="192"/>
      <c r="AD1016" s="149"/>
      <c r="AE1016" s="392"/>
      <c r="AF1016" s="393"/>
      <c r="AG1016" s="307"/>
      <c r="AH1016" s="308"/>
      <c r="AI1016" s="309"/>
      <c r="AJ1016" s="389"/>
      <c r="AK1016" s="389"/>
      <c r="AL1016" s="389"/>
      <c r="AM1016" s="389"/>
    </row>
    <row r="1017">
      <c r="A1017" s="307"/>
      <c r="B1017" s="308"/>
      <c r="C1017" s="309"/>
      <c r="D1017" s="389"/>
      <c r="E1017" s="307"/>
      <c r="F1017" s="308"/>
      <c r="G1017" s="309"/>
      <c r="H1017" s="389"/>
      <c r="I1017" s="307"/>
      <c r="J1017" s="308"/>
      <c r="K1017" s="309"/>
      <c r="L1017" s="389"/>
      <c r="M1017" s="307"/>
      <c r="N1017" s="308"/>
      <c r="O1017" s="309"/>
      <c r="P1017" s="389"/>
      <c r="Q1017" s="192"/>
      <c r="R1017" s="149"/>
      <c r="S1017" s="392"/>
      <c r="T1017" s="393"/>
      <c r="U1017" s="192"/>
      <c r="V1017" s="149"/>
      <c r="W1017" s="392"/>
      <c r="X1017" s="393"/>
      <c r="Y1017" s="192"/>
      <c r="Z1017" s="149"/>
      <c r="AA1017" s="392"/>
      <c r="AB1017" s="393"/>
      <c r="AC1017" s="192"/>
      <c r="AD1017" s="149"/>
      <c r="AE1017" s="392"/>
      <c r="AF1017" s="393"/>
      <c r="AG1017" s="307"/>
      <c r="AH1017" s="308"/>
      <c r="AI1017" s="309"/>
      <c r="AJ1017" s="389"/>
      <c r="AK1017" s="389"/>
      <c r="AL1017" s="389"/>
      <c r="AM1017" s="389"/>
    </row>
    <row r="1018">
      <c r="A1018" s="307"/>
      <c r="B1018" s="308"/>
      <c r="C1018" s="309"/>
      <c r="D1018" s="389"/>
      <c r="E1018" s="307"/>
      <c r="F1018" s="308"/>
      <c r="G1018" s="309"/>
      <c r="H1018" s="389"/>
      <c r="I1018" s="307"/>
      <c r="J1018" s="308"/>
      <c r="K1018" s="309"/>
      <c r="L1018" s="389"/>
      <c r="M1018" s="307"/>
      <c r="N1018" s="308"/>
      <c r="O1018" s="309"/>
      <c r="P1018" s="389"/>
      <c r="Q1018" s="192"/>
      <c r="R1018" s="149"/>
      <c r="S1018" s="392"/>
      <c r="T1018" s="393"/>
      <c r="U1018" s="192"/>
      <c r="V1018" s="149"/>
      <c r="W1018" s="392"/>
      <c r="X1018" s="393"/>
      <c r="Y1018" s="192"/>
      <c r="Z1018" s="149"/>
      <c r="AA1018" s="392"/>
      <c r="AB1018" s="393"/>
      <c r="AC1018" s="192"/>
      <c r="AD1018" s="149"/>
      <c r="AE1018" s="392"/>
      <c r="AF1018" s="393"/>
      <c r="AG1018" s="307"/>
      <c r="AH1018" s="308"/>
      <c r="AI1018" s="309"/>
      <c r="AJ1018" s="389"/>
      <c r="AK1018" s="389"/>
      <c r="AL1018" s="389"/>
      <c r="AM1018" s="389"/>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8" t="s">
        <v>6763</v>
      </c>
      <c r="B1" s="399"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0"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1"/>
      <c r="E1" s="402"/>
      <c r="F1" s="402"/>
      <c r="G1" s="402"/>
      <c r="H1" s="402"/>
      <c r="I1" s="402"/>
      <c r="J1" s="402"/>
      <c r="K1" s="402"/>
      <c r="L1" s="402"/>
      <c r="M1" s="402"/>
      <c r="N1" s="402"/>
      <c r="O1" s="402"/>
      <c r="P1" s="402"/>
      <c r="Q1" s="402"/>
      <c r="R1" s="402"/>
      <c r="S1" s="402"/>
      <c r="T1" s="402"/>
      <c r="U1" s="402"/>
      <c r="V1" s="402"/>
      <c r="W1" s="402"/>
      <c r="X1" s="402"/>
      <c r="Y1" s="402"/>
      <c r="Z1" s="402"/>
    </row>
    <row r="2">
      <c r="A2" s="403" t="s">
        <v>6764</v>
      </c>
      <c r="B2" s="30" t="str">
        <f>IFERROR(__xludf.DUMMYFUNCTION("GOOGLETRANSLATE(A2,""zh-tw"",""ja"")"),"公式Discordグループ:
https://discord.gg/2Bt7RWknyH")</f>
        <v>公式Discordグループ:
https://discord.gg/2Bt7RWknyH</v>
      </c>
      <c r="C2" s="404" t="str">
        <f>IFERROR(__xludf.DUMMYFUNCTION("GOOGLETRANSLATE(A2,""zh-tw"",""en"")"),"Official Discord Group:
https://discord.gg/2Bt7RWknyH")</f>
        <v>Official Discord Group:
https://discord.gg/2Bt7RWknyH</v>
      </c>
      <c r="E2" s="402"/>
      <c r="F2" s="402"/>
      <c r="G2" s="402"/>
      <c r="H2" s="402"/>
      <c r="I2" s="402"/>
      <c r="J2" s="402"/>
      <c r="K2" s="402"/>
      <c r="L2" s="402"/>
      <c r="M2" s="402"/>
      <c r="N2" s="402"/>
      <c r="O2" s="402"/>
      <c r="P2" s="402"/>
      <c r="Q2" s="402"/>
      <c r="R2" s="402"/>
      <c r="S2" s="402"/>
      <c r="T2" s="402"/>
      <c r="U2" s="402"/>
      <c r="V2" s="402"/>
      <c r="W2" s="402"/>
      <c r="X2" s="402"/>
      <c r="Y2" s="402"/>
      <c r="Z2" s="402"/>
    </row>
    <row r="3">
      <c r="A3" s="405" t="s">
        <v>6765</v>
      </c>
      <c r="B3" s="30" t="s">
        <v>6765</v>
      </c>
      <c r="C3" s="404" t="s">
        <v>6765</v>
      </c>
      <c r="E3" s="402"/>
      <c r="F3" s="402"/>
      <c r="G3" s="402"/>
      <c r="H3" s="402"/>
      <c r="I3" s="402"/>
      <c r="J3" s="402"/>
      <c r="K3" s="402"/>
      <c r="L3" s="402"/>
      <c r="M3" s="402"/>
      <c r="N3" s="402"/>
      <c r="O3" s="402"/>
      <c r="P3" s="402"/>
      <c r="Q3" s="402"/>
      <c r="R3" s="402"/>
      <c r="S3" s="402"/>
      <c r="T3" s="402"/>
      <c r="U3" s="402"/>
      <c r="V3" s="402"/>
      <c r="W3" s="402"/>
      <c r="X3" s="402"/>
      <c r="Y3" s="402"/>
      <c r="Z3" s="402"/>
    </row>
    <row r="4">
      <c r="A4" s="406"/>
      <c r="E4" s="402"/>
      <c r="F4" s="402"/>
      <c r="G4" s="402"/>
      <c r="H4" s="402"/>
      <c r="I4" s="402"/>
      <c r="J4" s="402"/>
      <c r="K4" s="402"/>
      <c r="L4" s="402"/>
      <c r="M4" s="402"/>
      <c r="N4" s="402"/>
      <c r="O4" s="402"/>
      <c r="P4" s="402"/>
      <c r="Q4" s="402"/>
      <c r="R4" s="402"/>
      <c r="S4" s="402"/>
      <c r="T4" s="402"/>
      <c r="U4" s="402"/>
      <c r="V4" s="402"/>
      <c r="W4" s="402"/>
      <c r="X4" s="402"/>
      <c r="Y4" s="402"/>
      <c r="Z4" s="402"/>
    </row>
    <row r="5">
      <c r="A5" s="403" t="s">
        <v>6766</v>
      </c>
      <c r="B5" s="30" t="str">
        <f>IFERROR(__xludf.DUMMYFUNCTION("GOOGLETRANSLATE(A5,""zh-tw"",""ja"")"),"公式YouTube")</f>
        <v>公式YouTube</v>
      </c>
      <c r="C5" s="404" t="str">
        <f>IFERROR(__xludf.DUMMYFUNCTION("GOOGLETRANSLATE(A5,""zh-tw"",""en"")"),"Official YouTube")</f>
        <v>Official YouTube</v>
      </c>
      <c r="D5" s="159" t="s">
        <v>6767</v>
      </c>
      <c r="E5" s="402"/>
      <c r="F5" s="402"/>
      <c r="G5" s="402"/>
      <c r="H5" s="402"/>
      <c r="I5" s="402"/>
      <c r="J5" s="402"/>
      <c r="K5" s="402"/>
      <c r="L5" s="402"/>
      <c r="M5" s="402"/>
      <c r="N5" s="402"/>
      <c r="O5" s="402"/>
      <c r="P5" s="402"/>
      <c r="Q5" s="402"/>
      <c r="R5" s="402"/>
      <c r="S5" s="402"/>
      <c r="T5" s="402"/>
      <c r="U5" s="402"/>
      <c r="V5" s="402"/>
      <c r="W5" s="402"/>
      <c r="X5" s="402"/>
      <c r="Y5" s="402"/>
      <c r="Z5" s="402"/>
    </row>
    <row r="6">
      <c r="A6" s="403" t="s">
        <v>6768</v>
      </c>
      <c r="B6" s="30" t="str">
        <f>IFERROR(__xludf.DUMMYFUNCTION("GOOGLETRANSLATE(A6,""zh-tw"",""ja"")"),"公式請求書")</f>
        <v>公式請求書</v>
      </c>
      <c r="C6" s="404" t="str">
        <f>IFERROR(__xludf.DUMMYFUNCTION("GOOGLETRANSLATE(A6,""zh-tw"",""en"")"),"Official Billbill")</f>
        <v>Official Billbill</v>
      </c>
      <c r="D6" s="159" t="s">
        <v>6767</v>
      </c>
      <c r="E6" s="402"/>
      <c r="F6" s="402"/>
      <c r="G6" s="402"/>
      <c r="H6" s="402"/>
      <c r="I6" s="402"/>
      <c r="J6" s="402"/>
      <c r="K6" s="402"/>
      <c r="L6" s="402"/>
      <c r="M6" s="402"/>
      <c r="N6" s="402"/>
      <c r="O6" s="402"/>
      <c r="P6" s="402"/>
      <c r="Q6" s="402"/>
      <c r="R6" s="402"/>
      <c r="S6" s="402"/>
      <c r="T6" s="402"/>
      <c r="U6" s="402"/>
      <c r="V6" s="402"/>
      <c r="W6" s="402"/>
      <c r="X6" s="402"/>
      <c r="Y6" s="402"/>
      <c r="Z6" s="402"/>
    </row>
    <row r="7">
      <c r="A7" s="403" t="s">
        <v>6769</v>
      </c>
      <c r="B7" s="30" t="str">
        <f>IFERROR(__xludf.DUMMYFUNCTION("GOOGLETRANSLATE(A7,""zh-tw"",""ja"")"),"片桐亜貴のYouTubeチャンネル
（妹役の声優）")</f>
        <v>片桐亜貴のYouTubeチャンネル
（妹役の声優）</v>
      </c>
      <c r="C7" s="404" t="str">
        <f>IFERROR(__xludf.DUMMYFUNCTION("GOOGLETRANSLATE(A7,""zh-tw"",""en"")"),"Katagiri Aki's YouTube channel
(Voice actor for the younger sister)")</f>
        <v>Katagiri Aki's YouTube channel
(Voice actor for the younger sister)</v>
      </c>
      <c r="D7" s="159" t="s">
        <v>6770</v>
      </c>
      <c r="E7" s="402"/>
      <c r="F7" s="402"/>
      <c r="G7" s="402"/>
      <c r="H7" s="402"/>
      <c r="I7" s="402"/>
      <c r="J7" s="402"/>
      <c r="K7" s="402"/>
      <c r="L7" s="402"/>
      <c r="M7" s="402"/>
      <c r="N7" s="402"/>
      <c r="O7" s="402"/>
      <c r="P7" s="402"/>
      <c r="Q7" s="402"/>
      <c r="R7" s="402"/>
      <c r="S7" s="402"/>
      <c r="T7" s="402"/>
      <c r="U7" s="402"/>
      <c r="V7" s="402"/>
      <c r="W7" s="402"/>
      <c r="X7" s="402"/>
      <c r="Y7" s="402"/>
      <c r="Z7" s="402"/>
    </row>
    <row r="8">
      <c r="A8" s="403" t="s">
        <v>6771</v>
      </c>
      <c r="B8" s="30" t="str">
        <f>IFERROR(__xludf.DUMMYFUNCTION("GOOGLETRANSLATE(A8,""zh-tw"",""ja"")"),"片桐亜貴（BillBillチャンネル）
（妹役の声優）")</f>
        <v>片桐亜貴（BillBillチャンネル）
（妹役の声優）</v>
      </c>
      <c r="C8" s="404" t="str">
        <f>IFERROR(__xludf.DUMMYFUNCTION("GOOGLETRANSLATE(A8,""zh-tw"",""en"")"),"Katagiri Aki (BillBill Channel)
(Voice actor for the younger sister)")</f>
        <v>Katagiri Aki (BillBill Channel)
(Voice actor for the younger sister)</v>
      </c>
      <c r="D8" s="159" t="s">
        <v>6770</v>
      </c>
      <c r="E8" s="402"/>
      <c r="F8" s="402"/>
      <c r="G8" s="402"/>
      <c r="H8" s="402"/>
      <c r="I8" s="402"/>
      <c r="J8" s="402"/>
      <c r="K8" s="402"/>
      <c r="L8" s="402"/>
      <c r="M8" s="402"/>
      <c r="N8" s="402"/>
      <c r="O8" s="402"/>
      <c r="P8" s="402"/>
      <c r="Q8" s="402"/>
      <c r="R8" s="402"/>
      <c r="S8" s="402"/>
      <c r="T8" s="402"/>
      <c r="U8" s="402"/>
      <c r="V8" s="402"/>
      <c r="W8" s="402"/>
      <c r="X8" s="402"/>
      <c r="Y8" s="402"/>
      <c r="Z8" s="402"/>
    </row>
    <row r="9">
      <c r="A9" s="403" t="s">
        <v>6772</v>
      </c>
      <c r="B9" s="30" t="str">
        <f>IFERROR(__xludf.DUMMYFUNCTION("GOOGLETRANSLATE(A9,""zh-tw"",""ja"")"),"RORO YouTube
（ガイド著者のチャンネルを準備中。ぜひご登録ください）")</f>
        <v>RORO YouTube
（ガイド著者のチャンネルを準備中。ぜひご登録ください）</v>
      </c>
      <c r="C9" s="404" t="str">
        <f>IFERROR(__xludf.DUMMYFUNCTION("GOOGLETRANSLATE(A9,""zh-tw"",""en"")"),"RORO YouTube
(Guide author channel in preparation, welcome to subscribe)")</f>
        <v>RORO YouTube
(Guide author channel in preparation, welcome to subscribe)</v>
      </c>
      <c r="D9" s="159" t="s">
        <v>6773</v>
      </c>
      <c r="E9" s="402"/>
      <c r="F9" s="402"/>
      <c r="G9" s="402"/>
      <c r="H9" s="402"/>
      <c r="I9" s="402"/>
      <c r="J9" s="402"/>
      <c r="K9" s="402"/>
      <c r="L9" s="402"/>
      <c r="M9" s="402"/>
      <c r="N9" s="402"/>
      <c r="O9" s="402"/>
      <c r="P9" s="402"/>
      <c r="Q9" s="402"/>
      <c r="R9" s="402"/>
      <c r="S9" s="402"/>
      <c r="T9" s="402"/>
      <c r="U9" s="402"/>
      <c r="V9" s="402"/>
      <c r="W9" s="402"/>
      <c r="X9" s="402"/>
      <c r="Y9" s="402"/>
      <c r="Z9" s="402"/>
    </row>
    <row r="10">
      <c r="A10" s="406"/>
      <c r="E10" s="402"/>
      <c r="F10" s="402"/>
      <c r="G10" s="402"/>
      <c r="H10" s="402"/>
      <c r="I10" s="402"/>
      <c r="J10" s="402"/>
      <c r="K10" s="402"/>
      <c r="L10" s="402"/>
      <c r="M10" s="402"/>
      <c r="N10" s="402"/>
      <c r="O10" s="402"/>
      <c r="P10" s="402"/>
      <c r="Q10" s="402"/>
      <c r="R10" s="402"/>
      <c r="S10" s="402"/>
      <c r="T10" s="402"/>
      <c r="U10" s="402"/>
      <c r="V10" s="402"/>
      <c r="W10" s="402"/>
      <c r="X10" s="402"/>
      <c r="Y10" s="402"/>
      <c r="Z10" s="402"/>
    </row>
    <row r="11">
      <c r="A11" s="407" t="s">
        <v>6774</v>
      </c>
      <c r="B11" s="30" t="str">
        <f>IFERROR(__xludf.DUMMYFUNCTION("GOOGLETRANSLATE(A11,""zh-tw"",""ja"")"),"プレイヤーの投稿（準備中、投稿を歓迎します）")</f>
        <v>プレイヤーの投稿（準備中、投稿を歓迎します）</v>
      </c>
      <c r="C11" s="404" t="str">
        <f>IFERROR(__xludf.DUMMYFUNCTION("GOOGLETRANSLATE(A11,""zh-tw"",""en"")"),"Player submissions (under preparation, welcome to submit)")</f>
        <v>Player submissions (under preparation, welcome to submit)</v>
      </c>
      <c r="D11" s="408" t="s">
        <v>6775</v>
      </c>
      <c r="E11" s="402"/>
      <c r="F11" s="402"/>
      <c r="G11" s="402"/>
      <c r="H11" s="402"/>
      <c r="I11" s="402"/>
      <c r="J11" s="402"/>
      <c r="K11" s="402"/>
      <c r="L11" s="402"/>
      <c r="M11" s="402"/>
      <c r="N11" s="402"/>
      <c r="O11" s="402"/>
      <c r="P11" s="402"/>
      <c r="Q11" s="402"/>
      <c r="R11" s="402"/>
      <c r="S11" s="402"/>
      <c r="T11" s="402"/>
      <c r="U11" s="402"/>
      <c r="V11" s="402"/>
      <c r="W11" s="402"/>
      <c r="X11" s="402"/>
      <c r="Y11" s="402"/>
      <c r="Z11" s="402"/>
    </row>
    <row r="12">
      <c r="A12" s="409"/>
      <c r="B12" s="410"/>
      <c r="C12" s="411"/>
      <c r="D12" s="412"/>
      <c r="E12" s="402"/>
      <c r="F12" s="402"/>
      <c r="G12" s="402"/>
      <c r="H12" s="402"/>
      <c r="I12" s="402"/>
      <c r="J12" s="402"/>
      <c r="K12" s="402"/>
      <c r="L12" s="402"/>
      <c r="M12" s="402"/>
      <c r="N12" s="402"/>
      <c r="O12" s="402"/>
      <c r="P12" s="402"/>
      <c r="Q12" s="402"/>
      <c r="R12" s="402"/>
      <c r="S12" s="402"/>
      <c r="T12" s="402"/>
      <c r="U12" s="402"/>
      <c r="V12" s="402"/>
      <c r="W12" s="402"/>
      <c r="X12" s="402"/>
      <c r="Y12" s="402"/>
      <c r="Z12" s="402"/>
    </row>
    <row r="13">
      <c r="A13" s="409"/>
      <c r="B13" s="410"/>
      <c r="C13" s="411"/>
      <c r="D13" s="412"/>
      <c r="E13" s="402"/>
      <c r="F13" s="402"/>
      <c r="G13" s="402"/>
      <c r="H13" s="402"/>
      <c r="I13" s="402"/>
      <c r="J13" s="402"/>
      <c r="K13" s="402"/>
      <c r="L13" s="402"/>
      <c r="M13" s="402"/>
      <c r="N13" s="402"/>
      <c r="O13" s="402"/>
      <c r="P13" s="402"/>
      <c r="Q13" s="402"/>
      <c r="R13" s="402"/>
      <c r="S13" s="402"/>
      <c r="T13" s="402"/>
      <c r="U13" s="402"/>
      <c r="V13" s="402"/>
      <c r="W13" s="402"/>
      <c r="X13" s="402"/>
      <c r="Y13" s="402"/>
      <c r="Z13" s="402"/>
    </row>
    <row r="14">
      <c r="A14" s="409"/>
      <c r="B14" s="410"/>
      <c r="C14" s="411"/>
      <c r="D14" s="412"/>
      <c r="E14" s="402"/>
      <c r="F14" s="402"/>
      <c r="G14" s="402"/>
      <c r="H14" s="402"/>
      <c r="I14" s="402"/>
      <c r="J14" s="402"/>
      <c r="K14" s="402"/>
      <c r="L14" s="402"/>
      <c r="M14" s="402"/>
      <c r="N14" s="402"/>
      <c r="O14" s="402"/>
      <c r="P14" s="402"/>
      <c r="Q14" s="402"/>
      <c r="R14" s="402"/>
      <c r="S14" s="402"/>
      <c r="T14" s="402"/>
      <c r="U14" s="402"/>
      <c r="V14" s="402"/>
      <c r="W14" s="402"/>
      <c r="X14" s="402"/>
      <c r="Y14" s="402"/>
      <c r="Z14" s="402"/>
    </row>
    <row r="15">
      <c r="A15" s="409"/>
      <c r="B15" s="410"/>
      <c r="C15" s="411"/>
      <c r="D15" s="412"/>
      <c r="E15" s="402"/>
      <c r="F15" s="402"/>
      <c r="G15" s="402"/>
      <c r="H15" s="402"/>
      <c r="I15" s="402"/>
      <c r="J15" s="402"/>
      <c r="K15" s="402"/>
      <c r="L15" s="402"/>
      <c r="M15" s="402"/>
      <c r="N15" s="402"/>
      <c r="O15" s="402"/>
      <c r="P15" s="402"/>
      <c r="Q15" s="402"/>
      <c r="R15" s="402"/>
      <c r="S15" s="402"/>
      <c r="T15" s="402"/>
      <c r="U15" s="402"/>
      <c r="V15" s="402"/>
      <c r="W15" s="402"/>
      <c r="X15" s="402"/>
      <c r="Y15" s="402"/>
      <c r="Z15" s="402"/>
    </row>
    <row r="16">
      <c r="A16" s="409"/>
      <c r="B16" s="410"/>
      <c r="C16" s="411"/>
      <c r="D16" s="412"/>
      <c r="E16" s="402"/>
      <c r="F16" s="402"/>
      <c r="G16" s="402"/>
      <c r="H16" s="402"/>
      <c r="I16" s="402"/>
      <c r="J16" s="402"/>
      <c r="K16" s="402"/>
      <c r="L16" s="402"/>
      <c r="M16" s="402"/>
      <c r="N16" s="402"/>
      <c r="O16" s="402"/>
      <c r="P16" s="402"/>
      <c r="Q16" s="402"/>
      <c r="R16" s="402"/>
      <c r="S16" s="402"/>
      <c r="T16" s="402"/>
      <c r="U16" s="402"/>
      <c r="V16" s="402"/>
      <c r="W16" s="402"/>
      <c r="X16" s="402"/>
      <c r="Y16" s="402"/>
      <c r="Z16" s="402"/>
    </row>
    <row r="17">
      <c r="A17" s="409"/>
      <c r="B17" s="410"/>
      <c r="C17" s="411"/>
      <c r="D17" s="412"/>
      <c r="E17" s="402"/>
      <c r="F17" s="402"/>
      <c r="G17" s="402"/>
      <c r="H17" s="402"/>
      <c r="I17" s="402"/>
      <c r="J17" s="402"/>
      <c r="K17" s="402"/>
      <c r="L17" s="402"/>
      <c r="M17" s="402"/>
      <c r="N17" s="402"/>
      <c r="O17" s="402"/>
      <c r="P17" s="402"/>
      <c r="Q17" s="402"/>
      <c r="R17" s="402"/>
      <c r="S17" s="402"/>
      <c r="T17" s="402"/>
      <c r="U17" s="402"/>
      <c r="V17" s="402"/>
      <c r="W17" s="402"/>
      <c r="X17" s="402"/>
      <c r="Y17" s="402"/>
      <c r="Z17" s="402"/>
    </row>
    <row r="18">
      <c r="A18" s="409"/>
      <c r="B18" s="410"/>
      <c r="C18" s="411"/>
      <c r="D18" s="412"/>
      <c r="E18" s="402"/>
      <c r="F18" s="402"/>
      <c r="G18" s="402"/>
      <c r="H18" s="402"/>
      <c r="I18" s="402"/>
      <c r="J18" s="402"/>
      <c r="K18" s="402"/>
      <c r="L18" s="402"/>
      <c r="M18" s="402"/>
      <c r="N18" s="402"/>
      <c r="O18" s="402"/>
      <c r="P18" s="402"/>
      <c r="Q18" s="402"/>
      <c r="R18" s="402"/>
      <c r="S18" s="402"/>
      <c r="T18" s="402"/>
      <c r="U18" s="402"/>
      <c r="V18" s="402"/>
      <c r="W18" s="402"/>
      <c r="X18" s="402"/>
      <c r="Y18" s="402"/>
      <c r="Z18" s="402"/>
    </row>
    <row r="19">
      <c r="A19" s="409"/>
      <c r="B19" s="410"/>
      <c r="C19" s="411"/>
      <c r="D19" s="412"/>
      <c r="E19" s="402"/>
      <c r="F19" s="402"/>
      <c r="G19" s="402"/>
      <c r="H19" s="402"/>
      <c r="I19" s="402"/>
      <c r="J19" s="402"/>
      <c r="K19" s="402"/>
      <c r="L19" s="402"/>
      <c r="M19" s="402"/>
      <c r="N19" s="402"/>
      <c r="O19" s="402"/>
      <c r="P19" s="402"/>
      <c r="Q19" s="402"/>
      <c r="R19" s="402"/>
      <c r="S19" s="402"/>
      <c r="T19" s="402"/>
      <c r="U19" s="402"/>
      <c r="V19" s="402"/>
      <c r="W19" s="402"/>
      <c r="X19" s="402"/>
      <c r="Y19" s="402"/>
      <c r="Z19" s="402"/>
    </row>
    <row r="20">
      <c r="A20" s="409"/>
      <c r="B20" s="410"/>
      <c r="C20" s="411"/>
      <c r="D20" s="412"/>
      <c r="E20" s="402"/>
      <c r="F20" s="402"/>
      <c r="G20" s="402"/>
      <c r="H20" s="402"/>
      <c r="I20" s="402"/>
      <c r="J20" s="402"/>
      <c r="K20" s="402"/>
      <c r="L20" s="402"/>
      <c r="M20" s="402"/>
      <c r="N20" s="402"/>
      <c r="O20" s="402"/>
      <c r="P20" s="402"/>
      <c r="Q20" s="402"/>
      <c r="R20" s="402"/>
      <c r="S20" s="402"/>
      <c r="T20" s="402"/>
      <c r="U20" s="402"/>
      <c r="V20" s="402"/>
      <c r="W20" s="402"/>
      <c r="X20" s="402"/>
      <c r="Y20" s="402"/>
      <c r="Z20" s="402"/>
    </row>
    <row r="21">
      <c r="A21" s="409"/>
      <c r="B21" s="410"/>
      <c r="C21" s="411"/>
      <c r="D21" s="412"/>
      <c r="E21" s="402"/>
      <c r="F21" s="402"/>
      <c r="G21" s="402"/>
      <c r="H21" s="402"/>
      <c r="I21" s="402"/>
      <c r="J21" s="402"/>
      <c r="K21" s="402"/>
      <c r="L21" s="402"/>
      <c r="M21" s="402"/>
      <c r="N21" s="402"/>
      <c r="O21" s="402"/>
      <c r="P21" s="402"/>
      <c r="Q21" s="402"/>
      <c r="R21" s="402"/>
      <c r="S21" s="402"/>
      <c r="T21" s="402"/>
      <c r="U21" s="402"/>
      <c r="V21" s="402"/>
      <c r="W21" s="402"/>
      <c r="X21" s="402"/>
      <c r="Y21" s="402"/>
      <c r="Z21" s="402"/>
    </row>
    <row r="22">
      <c r="A22" s="409"/>
      <c r="B22" s="410"/>
      <c r="C22" s="411"/>
      <c r="D22" s="412"/>
      <c r="E22" s="402"/>
      <c r="F22" s="402"/>
      <c r="G22" s="402"/>
      <c r="H22" s="402"/>
      <c r="I22" s="402"/>
      <c r="J22" s="402"/>
      <c r="K22" s="402"/>
      <c r="L22" s="402"/>
      <c r="M22" s="402"/>
      <c r="N22" s="402"/>
      <c r="O22" s="402"/>
      <c r="P22" s="402"/>
      <c r="Q22" s="402"/>
      <c r="R22" s="402"/>
      <c r="S22" s="402"/>
      <c r="T22" s="402"/>
      <c r="U22" s="402"/>
      <c r="V22" s="402"/>
      <c r="W22" s="402"/>
      <c r="X22" s="402"/>
      <c r="Y22" s="402"/>
      <c r="Z22" s="402"/>
    </row>
    <row r="23">
      <c r="A23" s="409"/>
      <c r="B23" s="410"/>
      <c r="C23" s="411"/>
      <c r="D23" s="412"/>
      <c r="E23" s="402"/>
      <c r="F23" s="402"/>
      <c r="G23" s="402"/>
      <c r="H23" s="402"/>
      <c r="I23" s="402"/>
      <c r="J23" s="402"/>
      <c r="K23" s="402"/>
      <c r="L23" s="402"/>
      <c r="M23" s="402"/>
      <c r="N23" s="402"/>
      <c r="O23" s="402"/>
      <c r="P23" s="402"/>
      <c r="Q23" s="402"/>
      <c r="R23" s="402"/>
      <c r="S23" s="402"/>
      <c r="T23" s="402"/>
      <c r="U23" s="402"/>
      <c r="V23" s="402"/>
      <c r="W23" s="402"/>
      <c r="X23" s="402"/>
      <c r="Y23" s="402"/>
      <c r="Z23" s="402"/>
    </row>
    <row r="24">
      <c r="A24" s="409"/>
      <c r="B24" s="410"/>
      <c r="C24" s="411"/>
      <c r="D24" s="412"/>
      <c r="E24" s="402"/>
      <c r="F24" s="402"/>
      <c r="G24" s="402"/>
      <c r="H24" s="402"/>
      <c r="I24" s="402"/>
      <c r="J24" s="402"/>
      <c r="K24" s="402"/>
      <c r="L24" s="402"/>
      <c r="M24" s="402"/>
      <c r="N24" s="402"/>
      <c r="O24" s="402"/>
      <c r="P24" s="402"/>
      <c r="Q24" s="402"/>
      <c r="R24" s="402"/>
      <c r="S24" s="402"/>
      <c r="T24" s="402"/>
      <c r="U24" s="402"/>
      <c r="V24" s="402"/>
      <c r="W24" s="402"/>
      <c r="X24" s="402"/>
      <c r="Y24" s="402"/>
      <c r="Z24" s="402"/>
    </row>
    <row r="25">
      <c r="A25" s="409"/>
      <c r="B25" s="410"/>
      <c r="C25" s="411"/>
      <c r="D25" s="412"/>
      <c r="E25" s="402"/>
      <c r="F25" s="402"/>
      <c r="G25" s="402"/>
      <c r="H25" s="402"/>
      <c r="I25" s="402"/>
      <c r="J25" s="402"/>
      <c r="K25" s="402"/>
      <c r="L25" s="402"/>
      <c r="M25" s="402"/>
      <c r="N25" s="402"/>
      <c r="O25" s="402"/>
      <c r="P25" s="402"/>
      <c r="Q25" s="402"/>
      <c r="R25" s="402"/>
      <c r="S25" s="402"/>
      <c r="T25" s="402"/>
      <c r="U25" s="402"/>
      <c r="V25" s="402"/>
      <c r="W25" s="402"/>
      <c r="X25" s="402"/>
      <c r="Y25" s="402"/>
      <c r="Z25" s="402"/>
    </row>
    <row r="26">
      <c r="A26" s="409"/>
      <c r="B26" s="410"/>
      <c r="C26" s="411"/>
      <c r="D26" s="412"/>
      <c r="E26" s="402"/>
      <c r="F26" s="402"/>
      <c r="G26" s="402"/>
      <c r="H26" s="402"/>
      <c r="I26" s="402"/>
      <c r="J26" s="402"/>
      <c r="K26" s="402"/>
      <c r="L26" s="402"/>
      <c r="M26" s="402"/>
      <c r="N26" s="402"/>
      <c r="O26" s="402"/>
      <c r="P26" s="402"/>
      <c r="Q26" s="402"/>
      <c r="R26" s="402"/>
      <c r="S26" s="402"/>
      <c r="T26" s="402"/>
      <c r="U26" s="402"/>
      <c r="V26" s="402"/>
      <c r="W26" s="402"/>
      <c r="X26" s="402"/>
      <c r="Y26" s="402"/>
      <c r="Z26" s="402"/>
    </row>
    <row r="27">
      <c r="A27" s="409"/>
      <c r="B27" s="410"/>
      <c r="C27" s="411"/>
      <c r="D27" s="412"/>
      <c r="E27" s="402"/>
      <c r="F27" s="402"/>
      <c r="G27" s="402"/>
      <c r="H27" s="402"/>
      <c r="I27" s="402"/>
      <c r="J27" s="402"/>
      <c r="K27" s="402"/>
      <c r="L27" s="402"/>
      <c r="M27" s="402"/>
      <c r="N27" s="402"/>
      <c r="O27" s="402"/>
      <c r="P27" s="402"/>
      <c r="Q27" s="402"/>
      <c r="R27" s="402"/>
      <c r="S27" s="402"/>
      <c r="T27" s="402"/>
      <c r="U27" s="402"/>
      <c r="V27" s="402"/>
      <c r="W27" s="402"/>
      <c r="X27" s="402"/>
      <c r="Y27" s="402"/>
      <c r="Z27" s="402"/>
    </row>
    <row r="28">
      <c r="A28" s="409"/>
      <c r="B28" s="410"/>
      <c r="C28" s="411"/>
      <c r="D28" s="412"/>
      <c r="E28" s="402"/>
      <c r="F28" s="402"/>
      <c r="G28" s="402"/>
      <c r="H28" s="402"/>
      <c r="I28" s="402"/>
      <c r="J28" s="402"/>
      <c r="K28" s="402"/>
      <c r="L28" s="402"/>
      <c r="M28" s="402"/>
      <c r="N28" s="402"/>
      <c r="O28" s="402"/>
      <c r="P28" s="402"/>
      <c r="Q28" s="402"/>
      <c r="R28" s="402"/>
      <c r="S28" s="402"/>
      <c r="T28" s="402"/>
      <c r="U28" s="402"/>
      <c r="V28" s="402"/>
      <c r="W28" s="402"/>
      <c r="X28" s="402"/>
      <c r="Y28" s="402"/>
      <c r="Z28" s="402"/>
    </row>
    <row r="29">
      <c r="A29" s="409"/>
      <c r="B29" s="410"/>
      <c r="C29" s="411"/>
      <c r="D29" s="412"/>
      <c r="E29" s="402"/>
      <c r="F29" s="402"/>
      <c r="G29" s="402"/>
      <c r="H29" s="402"/>
      <c r="I29" s="402"/>
      <c r="J29" s="402"/>
      <c r="K29" s="402"/>
      <c r="L29" s="402"/>
      <c r="M29" s="402"/>
      <c r="N29" s="402"/>
      <c r="O29" s="402"/>
      <c r="P29" s="402"/>
      <c r="Q29" s="402"/>
      <c r="R29" s="402"/>
      <c r="S29" s="402"/>
      <c r="T29" s="402"/>
      <c r="U29" s="402"/>
      <c r="V29" s="402"/>
      <c r="W29" s="402"/>
      <c r="X29" s="402"/>
      <c r="Y29" s="402"/>
      <c r="Z29" s="402"/>
    </row>
    <row r="30">
      <c r="A30" s="409"/>
      <c r="B30" s="410"/>
      <c r="C30" s="411"/>
      <c r="D30" s="412"/>
      <c r="E30" s="402"/>
      <c r="F30" s="402"/>
      <c r="G30" s="402"/>
      <c r="H30" s="402"/>
      <c r="I30" s="402"/>
      <c r="J30" s="402"/>
      <c r="K30" s="402"/>
      <c r="L30" s="402"/>
      <c r="M30" s="402"/>
      <c r="N30" s="402"/>
      <c r="O30" s="402"/>
      <c r="P30" s="402"/>
      <c r="Q30" s="402"/>
      <c r="R30" s="402"/>
      <c r="S30" s="402"/>
      <c r="T30" s="402"/>
      <c r="U30" s="402"/>
      <c r="V30" s="402"/>
      <c r="W30" s="402"/>
      <c r="X30" s="402"/>
      <c r="Y30" s="402"/>
      <c r="Z30" s="402"/>
    </row>
    <row r="31">
      <c r="A31" s="409"/>
      <c r="B31" s="410"/>
      <c r="C31" s="411"/>
      <c r="D31" s="412"/>
      <c r="E31" s="402"/>
      <c r="F31" s="402"/>
      <c r="G31" s="402"/>
      <c r="H31" s="402"/>
      <c r="I31" s="402"/>
      <c r="J31" s="402"/>
      <c r="K31" s="402"/>
      <c r="L31" s="402"/>
      <c r="M31" s="402"/>
      <c r="N31" s="402"/>
      <c r="O31" s="402"/>
      <c r="P31" s="402"/>
      <c r="Q31" s="402"/>
      <c r="R31" s="402"/>
      <c r="S31" s="402"/>
      <c r="T31" s="402"/>
      <c r="U31" s="402"/>
      <c r="V31" s="402"/>
      <c r="W31" s="402"/>
      <c r="X31" s="402"/>
      <c r="Y31" s="402"/>
      <c r="Z31" s="402"/>
    </row>
    <row r="32">
      <c r="A32" s="409"/>
      <c r="B32" s="410"/>
      <c r="C32" s="411"/>
      <c r="D32" s="412"/>
      <c r="E32" s="402"/>
      <c r="F32" s="402"/>
      <c r="G32" s="402"/>
      <c r="H32" s="402"/>
      <c r="I32" s="402"/>
      <c r="J32" s="402"/>
      <c r="K32" s="402"/>
      <c r="L32" s="402"/>
      <c r="M32" s="402"/>
      <c r="N32" s="402"/>
      <c r="O32" s="402"/>
      <c r="P32" s="402"/>
      <c r="Q32" s="402"/>
      <c r="R32" s="402"/>
      <c r="S32" s="402"/>
      <c r="T32" s="402"/>
      <c r="U32" s="402"/>
      <c r="V32" s="402"/>
      <c r="W32" s="402"/>
      <c r="X32" s="402"/>
      <c r="Y32" s="402"/>
      <c r="Z32" s="402"/>
    </row>
    <row r="33">
      <c r="A33" s="409"/>
      <c r="B33" s="410"/>
      <c r="C33" s="411"/>
      <c r="D33" s="412"/>
      <c r="E33" s="402"/>
      <c r="F33" s="402"/>
      <c r="G33" s="402"/>
      <c r="H33" s="402"/>
      <c r="I33" s="402"/>
      <c r="J33" s="402"/>
      <c r="K33" s="402"/>
      <c r="L33" s="402"/>
      <c r="M33" s="402"/>
      <c r="N33" s="402"/>
      <c r="O33" s="402"/>
      <c r="P33" s="402"/>
      <c r="Q33" s="402"/>
      <c r="R33" s="402"/>
      <c r="S33" s="402"/>
      <c r="T33" s="402"/>
      <c r="U33" s="402"/>
      <c r="V33" s="402"/>
      <c r="W33" s="402"/>
      <c r="X33" s="402"/>
      <c r="Y33" s="402"/>
      <c r="Z33" s="402"/>
    </row>
    <row r="34">
      <c r="A34" s="409"/>
      <c r="B34" s="410"/>
      <c r="C34" s="411"/>
      <c r="D34" s="412"/>
      <c r="E34" s="402"/>
      <c r="F34" s="402"/>
      <c r="G34" s="402"/>
      <c r="H34" s="402"/>
      <c r="I34" s="402"/>
      <c r="J34" s="402"/>
      <c r="K34" s="402"/>
      <c r="L34" s="402"/>
      <c r="M34" s="402"/>
      <c r="N34" s="402"/>
      <c r="O34" s="402"/>
      <c r="P34" s="402"/>
      <c r="Q34" s="402"/>
      <c r="R34" s="402"/>
      <c r="S34" s="402"/>
      <c r="T34" s="402"/>
      <c r="U34" s="402"/>
      <c r="V34" s="402"/>
      <c r="W34" s="402"/>
      <c r="X34" s="402"/>
      <c r="Y34" s="402"/>
      <c r="Z34" s="402"/>
    </row>
    <row r="35">
      <c r="A35" s="409"/>
      <c r="B35" s="410"/>
      <c r="C35" s="411"/>
      <c r="D35" s="412"/>
      <c r="E35" s="402"/>
      <c r="F35" s="402"/>
      <c r="G35" s="402"/>
      <c r="H35" s="402"/>
      <c r="I35" s="402"/>
      <c r="J35" s="402"/>
      <c r="K35" s="402"/>
      <c r="L35" s="402"/>
      <c r="M35" s="402"/>
      <c r="N35" s="402"/>
      <c r="O35" s="402"/>
      <c r="P35" s="402"/>
      <c r="Q35" s="402"/>
      <c r="R35" s="402"/>
      <c r="S35" s="402"/>
      <c r="T35" s="402"/>
      <c r="U35" s="402"/>
      <c r="V35" s="402"/>
      <c r="W35" s="402"/>
      <c r="X35" s="402"/>
      <c r="Y35" s="402"/>
      <c r="Z35" s="402"/>
    </row>
    <row r="36">
      <c r="A36" s="409"/>
      <c r="B36" s="410"/>
      <c r="C36" s="411"/>
      <c r="D36" s="412"/>
      <c r="E36" s="402"/>
      <c r="F36" s="402"/>
      <c r="G36" s="402"/>
      <c r="H36" s="402"/>
      <c r="I36" s="402"/>
      <c r="J36" s="402"/>
      <c r="K36" s="402"/>
      <c r="L36" s="402"/>
      <c r="M36" s="402"/>
      <c r="N36" s="402"/>
      <c r="O36" s="402"/>
      <c r="P36" s="402"/>
      <c r="Q36" s="402"/>
      <c r="R36" s="402"/>
      <c r="S36" s="402"/>
      <c r="T36" s="402"/>
      <c r="U36" s="402"/>
      <c r="V36" s="402"/>
      <c r="W36" s="402"/>
      <c r="X36" s="402"/>
      <c r="Y36" s="402"/>
      <c r="Z36" s="402"/>
    </row>
    <row r="37">
      <c r="A37" s="409"/>
      <c r="B37" s="410"/>
      <c r="C37" s="411"/>
      <c r="D37" s="412"/>
      <c r="E37" s="402"/>
      <c r="F37" s="402"/>
      <c r="G37" s="402"/>
      <c r="H37" s="402"/>
      <c r="I37" s="402"/>
      <c r="J37" s="402"/>
      <c r="K37" s="402"/>
      <c r="L37" s="402"/>
      <c r="M37" s="402"/>
      <c r="N37" s="402"/>
      <c r="O37" s="402"/>
      <c r="P37" s="402"/>
      <c r="Q37" s="402"/>
      <c r="R37" s="402"/>
      <c r="S37" s="402"/>
      <c r="T37" s="402"/>
      <c r="U37" s="402"/>
      <c r="V37" s="402"/>
      <c r="W37" s="402"/>
      <c r="X37" s="402"/>
      <c r="Y37" s="402"/>
      <c r="Z37" s="402"/>
    </row>
    <row r="38">
      <c r="A38" s="409"/>
      <c r="B38" s="410"/>
      <c r="C38" s="411"/>
      <c r="D38" s="412"/>
      <c r="E38" s="402"/>
      <c r="F38" s="402"/>
      <c r="G38" s="402"/>
      <c r="H38" s="402"/>
      <c r="I38" s="402"/>
      <c r="J38" s="402"/>
      <c r="K38" s="402"/>
      <c r="L38" s="402"/>
      <c r="M38" s="402"/>
      <c r="N38" s="402"/>
      <c r="O38" s="402"/>
      <c r="P38" s="402"/>
      <c r="Q38" s="402"/>
      <c r="R38" s="402"/>
      <c r="S38" s="402"/>
      <c r="T38" s="402"/>
      <c r="U38" s="402"/>
      <c r="V38" s="402"/>
      <c r="W38" s="402"/>
      <c r="X38" s="402"/>
      <c r="Y38" s="402"/>
      <c r="Z38" s="402"/>
    </row>
    <row r="39">
      <c r="A39" s="409"/>
      <c r="B39" s="410"/>
      <c r="C39" s="411"/>
      <c r="D39" s="412"/>
      <c r="E39" s="402"/>
      <c r="F39" s="402"/>
      <c r="G39" s="402"/>
      <c r="H39" s="402"/>
      <c r="I39" s="402"/>
      <c r="J39" s="402"/>
      <c r="K39" s="402"/>
      <c r="L39" s="402"/>
      <c r="M39" s="402"/>
      <c r="N39" s="402"/>
      <c r="O39" s="402"/>
      <c r="P39" s="402"/>
      <c r="Q39" s="402"/>
      <c r="R39" s="402"/>
      <c r="S39" s="402"/>
      <c r="T39" s="402"/>
      <c r="U39" s="402"/>
      <c r="V39" s="402"/>
      <c r="W39" s="402"/>
      <c r="X39" s="402"/>
      <c r="Y39" s="402"/>
      <c r="Z39" s="402"/>
    </row>
    <row r="40">
      <c r="A40" s="409"/>
      <c r="B40" s="410"/>
      <c r="C40" s="411"/>
      <c r="D40" s="412"/>
      <c r="E40" s="402"/>
      <c r="F40" s="402"/>
      <c r="G40" s="402"/>
      <c r="H40" s="402"/>
      <c r="I40" s="402"/>
      <c r="J40" s="402"/>
      <c r="K40" s="402"/>
      <c r="L40" s="402"/>
      <c r="M40" s="402"/>
      <c r="N40" s="402"/>
      <c r="O40" s="402"/>
      <c r="P40" s="402"/>
      <c r="Q40" s="402"/>
      <c r="R40" s="402"/>
      <c r="S40" s="402"/>
      <c r="T40" s="402"/>
      <c r="U40" s="402"/>
      <c r="V40" s="402"/>
      <c r="W40" s="402"/>
      <c r="X40" s="402"/>
      <c r="Y40" s="402"/>
      <c r="Z40" s="402"/>
    </row>
    <row r="41">
      <c r="A41" s="409"/>
      <c r="B41" s="410"/>
      <c r="C41" s="411"/>
      <c r="D41" s="412"/>
      <c r="E41" s="402"/>
      <c r="F41" s="402"/>
      <c r="G41" s="402"/>
      <c r="H41" s="402"/>
      <c r="I41" s="402"/>
      <c r="J41" s="402"/>
      <c r="K41" s="402"/>
      <c r="L41" s="402"/>
      <c r="M41" s="402"/>
      <c r="N41" s="402"/>
      <c r="O41" s="402"/>
      <c r="P41" s="402"/>
      <c r="Q41" s="402"/>
      <c r="R41" s="402"/>
      <c r="S41" s="402"/>
      <c r="T41" s="402"/>
      <c r="U41" s="402"/>
      <c r="V41" s="402"/>
      <c r="W41" s="402"/>
      <c r="X41" s="402"/>
      <c r="Y41" s="402"/>
      <c r="Z41" s="402"/>
    </row>
    <row r="42">
      <c r="A42" s="409"/>
      <c r="B42" s="410"/>
      <c r="C42" s="411"/>
      <c r="D42" s="412"/>
      <c r="E42" s="402"/>
      <c r="F42" s="402"/>
      <c r="G42" s="402"/>
      <c r="H42" s="402"/>
      <c r="I42" s="402"/>
      <c r="J42" s="402"/>
      <c r="K42" s="402"/>
      <c r="L42" s="402"/>
      <c r="M42" s="402"/>
      <c r="N42" s="402"/>
      <c r="O42" s="402"/>
      <c r="P42" s="402"/>
      <c r="Q42" s="402"/>
      <c r="R42" s="402"/>
      <c r="S42" s="402"/>
      <c r="T42" s="402"/>
      <c r="U42" s="402"/>
      <c r="V42" s="402"/>
      <c r="W42" s="402"/>
      <c r="X42" s="402"/>
      <c r="Y42" s="402"/>
      <c r="Z42" s="402"/>
    </row>
    <row r="43">
      <c r="A43" s="409"/>
      <c r="B43" s="410"/>
      <c r="C43" s="411"/>
      <c r="D43" s="412"/>
      <c r="E43" s="402"/>
      <c r="F43" s="402"/>
      <c r="G43" s="402"/>
      <c r="H43" s="402"/>
      <c r="I43" s="402"/>
      <c r="J43" s="402"/>
      <c r="K43" s="402"/>
      <c r="L43" s="402"/>
      <c r="M43" s="402"/>
      <c r="N43" s="402"/>
      <c r="O43" s="402"/>
      <c r="P43" s="402"/>
      <c r="Q43" s="402"/>
      <c r="R43" s="402"/>
      <c r="S43" s="402"/>
      <c r="T43" s="402"/>
      <c r="U43" s="402"/>
      <c r="V43" s="402"/>
      <c r="W43" s="402"/>
      <c r="X43" s="402"/>
      <c r="Y43" s="402"/>
      <c r="Z43" s="402"/>
    </row>
    <row r="44">
      <c r="A44" s="409"/>
      <c r="B44" s="410"/>
      <c r="C44" s="411"/>
      <c r="D44" s="412"/>
      <c r="E44" s="402"/>
      <c r="F44" s="402"/>
      <c r="G44" s="402"/>
      <c r="H44" s="402"/>
      <c r="I44" s="402"/>
      <c r="J44" s="402"/>
      <c r="K44" s="402"/>
      <c r="L44" s="402"/>
      <c r="M44" s="402"/>
      <c r="N44" s="402"/>
      <c r="O44" s="402"/>
      <c r="P44" s="402"/>
      <c r="Q44" s="402"/>
      <c r="R44" s="402"/>
      <c r="S44" s="402"/>
      <c r="T44" s="402"/>
      <c r="U44" s="402"/>
      <c r="V44" s="402"/>
      <c r="W44" s="402"/>
      <c r="X44" s="402"/>
      <c r="Y44" s="402"/>
      <c r="Z44" s="402"/>
    </row>
    <row r="45">
      <c r="A45" s="409"/>
      <c r="B45" s="410"/>
      <c r="C45" s="411"/>
      <c r="D45" s="412"/>
      <c r="E45" s="402"/>
      <c r="F45" s="402"/>
      <c r="G45" s="402"/>
      <c r="H45" s="402"/>
      <c r="I45" s="402"/>
      <c r="J45" s="402"/>
      <c r="K45" s="402"/>
      <c r="L45" s="402"/>
      <c r="M45" s="402"/>
      <c r="N45" s="402"/>
      <c r="O45" s="402"/>
      <c r="P45" s="402"/>
      <c r="Q45" s="402"/>
      <c r="R45" s="402"/>
      <c r="S45" s="402"/>
      <c r="T45" s="402"/>
      <c r="U45" s="402"/>
      <c r="V45" s="402"/>
      <c r="W45" s="402"/>
      <c r="X45" s="402"/>
      <c r="Y45" s="402"/>
      <c r="Z45" s="402"/>
    </row>
    <row r="46">
      <c r="A46" s="409"/>
      <c r="B46" s="410"/>
      <c r="C46" s="411"/>
      <c r="D46" s="412"/>
      <c r="E46" s="402"/>
      <c r="F46" s="402"/>
      <c r="G46" s="402"/>
      <c r="H46" s="402"/>
      <c r="I46" s="402"/>
      <c r="J46" s="402"/>
      <c r="K46" s="402"/>
      <c r="L46" s="402"/>
      <c r="M46" s="402"/>
      <c r="N46" s="402"/>
      <c r="O46" s="402"/>
      <c r="P46" s="402"/>
      <c r="Q46" s="402"/>
      <c r="R46" s="402"/>
      <c r="S46" s="402"/>
      <c r="T46" s="402"/>
      <c r="U46" s="402"/>
      <c r="V46" s="402"/>
      <c r="W46" s="402"/>
      <c r="X46" s="402"/>
      <c r="Y46" s="402"/>
      <c r="Z46" s="402"/>
    </row>
    <row r="47">
      <c r="A47" s="409"/>
      <c r="B47" s="410"/>
      <c r="C47" s="411"/>
      <c r="D47" s="412"/>
      <c r="E47" s="402"/>
      <c r="F47" s="402"/>
      <c r="G47" s="402"/>
      <c r="H47" s="402"/>
      <c r="I47" s="402"/>
      <c r="J47" s="402"/>
      <c r="K47" s="402"/>
      <c r="L47" s="402"/>
      <c r="M47" s="402"/>
      <c r="N47" s="402"/>
      <c r="O47" s="402"/>
      <c r="P47" s="402"/>
      <c r="Q47" s="402"/>
      <c r="R47" s="402"/>
      <c r="S47" s="402"/>
      <c r="T47" s="402"/>
      <c r="U47" s="402"/>
      <c r="V47" s="402"/>
      <c r="W47" s="402"/>
      <c r="X47" s="402"/>
      <c r="Y47" s="402"/>
      <c r="Z47" s="402"/>
    </row>
    <row r="48">
      <c r="A48" s="409"/>
      <c r="B48" s="410"/>
      <c r="C48" s="411"/>
      <c r="D48" s="412"/>
      <c r="E48" s="402"/>
      <c r="F48" s="402"/>
      <c r="G48" s="402"/>
      <c r="H48" s="402"/>
      <c r="I48" s="402"/>
      <c r="J48" s="402"/>
      <c r="K48" s="402"/>
      <c r="L48" s="402"/>
      <c r="M48" s="402"/>
      <c r="N48" s="402"/>
      <c r="O48" s="402"/>
      <c r="P48" s="402"/>
      <c r="Q48" s="402"/>
      <c r="R48" s="402"/>
      <c r="S48" s="402"/>
      <c r="T48" s="402"/>
      <c r="U48" s="402"/>
      <c r="V48" s="402"/>
      <c r="W48" s="402"/>
      <c r="X48" s="402"/>
      <c r="Y48" s="402"/>
      <c r="Z48" s="402"/>
    </row>
    <row r="49">
      <c r="A49" s="409"/>
      <c r="B49" s="410"/>
      <c r="C49" s="411"/>
      <c r="D49" s="412"/>
      <c r="E49" s="402"/>
      <c r="F49" s="402"/>
      <c r="G49" s="402"/>
      <c r="H49" s="402"/>
      <c r="I49" s="402"/>
      <c r="J49" s="402"/>
      <c r="K49" s="402"/>
      <c r="L49" s="402"/>
      <c r="M49" s="402"/>
      <c r="N49" s="402"/>
      <c r="O49" s="402"/>
      <c r="P49" s="402"/>
      <c r="Q49" s="402"/>
      <c r="R49" s="402"/>
      <c r="S49" s="402"/>
      <c r="T49" s="402"/>
      <c r="U49" s="402"/>
      <c r="V49" s="402"/>
      <c r="W49" s="402"/>
      <c r="X49" s="402"/>
      <c r="Y49" s="402"/>
      <c r="Z49" s="402"/>
    </row>
    <row r="50">
      <c r="A50" s="409"/>
      <c r="B50" s="410"/>
      <c r="C50" s="411"/>
      <c r="D50" s="412"/>
      <c r="E50" s="402"/>
      <c r="F50" s="402"/>
      <c r="G50" s="402"/>
      <c r="H50" s="402"/>
      <c r="I50" s="402"/>
      <c r="J50" s="402"/>
      <c r="K50" s="402"/>
      <c r="L50" s="402"/>
      <c r="M50" s="402"/>
      <c r="N50" s="402"/>
      <c r="O50" s="402"/>
      <c r="P50" s="402"/>
      <c r="Q50" s="402"/>
      <c r="R50" s="402"/>
      <c r="S50" s="402"/>
      <c r="T50" s="402"/>
      <c r="U50" s="402"/>
      <c r="V50" s="402"/>
      <c r="W50" s="402"/>
      <c r="X50" s="402"/>
      <c r="Y50" s="402"/>
      <c r="Z50" s="402"/>
    </row>
    <row r="51">
      <c r="A51" s="409"/>
      <c r="B51" s="410"/>
      <c r="C51" s="411"/>
      <c r="D51" s="412"/>
      <c r="E51" s="402"/>
      <c r="F51" s="402"/>
      <c r="G51" s="402"/>
      <c r="H51" s="402"/>
      <c r="I51" s="402"/>
      <c r="J51" s="402"/>
      <c r="K51" s="402"/>
      <c r="L51" s="402"/>
      <c r="M51" s="402"/>
      <c r="N51" s="402"/>
      <c r="O51" s="402"/>
      <c r="P51" s="402"/>
      <c r="Q51" s="402"/>
      <c r="R51" s="402"/>
      <c r="S51" s="402"/>
      <c r="T51" s="402"/>
      <c r="U51" s="402"/>
      <c r="V51" s="402"/>
      <c r="W51" s="402"/>
      <c r="X51" s="402"/>
      <c r="Y51" s="402"/>
      <c r="Z51" s="402"/>
    </row>
    <row r="52">
      <c r="A52" s="409"/>
      <c r="B52" s="410"/>
      <c r="C52" s="411"/>
      <c r="D52" s="412"/>
      <c r="E52" s="402"/>
      <c r="F52" s="402"/>
      <c r="G52" s="402"/>
      <c r="H52" s="402"/>
      <c r="I52" s="402"/>
      <c r="J52" s="402"/>
      <c r="K52" s="402"/>
      <c r="L52" s="402"/>
      <c r="M52" s="402"/>
      <c r="N52" s="402"/>
      <c r="O52" s="402"/>
      <c r="P52" s="402"/>
      <c r="Q52" s="402"/>
      <c r="R52" s="402"/>
      <c r="S52" s="402"/>
      <c r="T52" s="402"/>
      <c r="U52" s="402"/>
      <c r="V52" s="402"/>
      <c r="W52" s="402"/>
      <c r="X52" s="402"/>
      <c r="Y52" s="402"/>
      <c r="Z52" s="402"/>
    </row>
    <row r="53">
      <c r="A53" s="409"/>
      <c r="B53" s="410"/>
      <c r="C53" s="411"/>
      <c r="D53" s="412"/>
      <c r="E53" s="402"/>
      <c r="F53" s="402"/>
      <c r="G53" s="402"/>
      <c r="H53" s="402"/>
      <c r="I53" s="402"/>
      <c r="J53" s="402"/>
      <c r="K53" s="402"/>
      <c r="L53" s="402"/>
      <c r="M53" s="402"/>
      <c r="N53" s="402"/>
      <c r="O53" s="402"/>
      <c r="P53" s="402"/>
      <c r="Q53" s="402"/>
      <c r="R53" s="402"/>
      <c r="S53" s="402"/>
      <c r="T53" s="402"/>
      <c r="U53" s="402"/>
      <c r="V53" s="402"/>
      <c r="W53" s="402"/>
      <c r="X53" s="402"/>
      <c r="Y53" s="402"/>
      <c r="Z53" s="402"/>
    </row>
    <row r="54">
      <c r="A54" s="409"/>
      <c r="B54" s="410"/>
      <c r="C54" s="411"/>
      <c r="D54" s="412"/>
      <c r="E54" s="402"/>
      <c r="F54" s="402"/>
      <c r="G54" s="402"/>
      <c r="H54" s="402"/>
      <c r="I54" s="402"/>
      <c r="J54" s="402"/>
      <c r="K54" s="402"/>
      <c r="L54" s="402"/>
      <c r="M54" s="402"/>
      <c r="N54" s="402"/>
      <c r="O54" s="402"/>
      <c r="P54" s="402"/>
      <c r="Q54" s="402"/>
      <c r="R54" s="402"/>
      <c r="S54" s="402"/>
      <c r="T54" s="402"/>
      <c r="U54" s="402"/>
      <c r="V54" s="402"/>
      <c r="W54" s="402"/>
      <c r="X54" s="402"/>
      <c r="Y54" s="402"/>
      <c r="Z54" s="402"/>
    </row>
    <row r="55">
      <c r="A55" s="409"/>
      <c r="B55" s="410"/>
      <c r="C55" s="411"/>
      <c r="D55" s="412"/>
      <c r="E55" s="402"/>
      <c r="F55" s="402"/>
      <c r="G55" s="402"/>
      <c r="H55" s="402"/>
      <c r="I55" s="402"/>
      <c r="J55" s="402"/>
      <c r="K55" s="402"/>
      <c r="L55" s="402"/>
      <c r="M55" s="402"/>
      <c r="N55" s="402"/>
      <c r="O55" s="402"/>
      <c r="P55" s="402"/>
      <c r="Q55" s="402"/>
      <c r="R55" s="402"/>
      <c r="S55" s="402"/>
      <c r="T55" s="402"/>
      <c r="U55" s="402"/>
      <c r="V55" s="402"/>
      <c r="W55" s="402"/>
      <c r="X55" s="402"/>
      <c r="Y55" s="402"/>
      <c r="Z55" s="402"/>
    </row>
    <row r="56">
      <c r="A56" s="409"/>
      <c r="B56" s="410"/>
      <c r="C56" s="411"/>
      <c r="D56" s="412"/>
      <c r="E56" s="402"/>
      <c r="F56" s="402"/>
      <c r="G56" s="402"/>
      <c r="H56" s="402"/>
      <c r="I56" s="402"/>
      <c r="J56" s="402"/>
      <c r="K56" s="402"/>
      <c r="L56" s="402"/>
      <c r="M56" s="402"/>
      <c r="N56" s="402"/>
      <c r="O56" s="402"/>
      <c r="P56" s="402"/>
      <c r="Q56" s="402"/>
      <c r="R56" s="402"/>
      <c r="S56" s="402"/>
      <c r="T56" s="402"/>
      <c r="U56" s="402"/>
      <c r="V56" s="402"/>
      <c r="W56" s="402"/>
      <c r="X56" s="402"/>
      <c r="Y56" s="402"/>
      <c r="Z56" s="402"/>
    </row>
    <row r="57">
      <c r="A57" s="409"/>
      <c r="B57" s="410"/>
      <c r="C57" s="411"/>
      <c r="D57" s="412"/>
      <c r="E57" s="402"/>
      <c r="F57" s="402"/>
      <c r="G57" s="402"/>
      <c r="H57" s="402"/>
      <c r="I57" s="402"/>
      <c r="J57" s="402"/>
      <c r="K57" s="402"/>
      <c r="L57" s="402"/>
      <c r="M57" s="402"/>
      <c r="N57" s="402"/>
      <c r="O57" s="402"/>
      <c r="P57" s="402"/>
      <c r="Q57" s="402"/>
      <c r="R57" s="402"/>
      <c r="S57" s="402"/>
      <c r="T57" s="402"/>
      <c r="U57" s="402"/>
      <c r="V57" s="402"/>
      <c r="W57" s="402"/>
      <c r="X57" s="402"/>
      <c r="Y57" s="402"/>
      <c r="Z57" s="402"/>
    </row>
    <row r="58">
      <c r="A58" s="409"/>
      <c r="B58" s="410"/>
      <c r="C58" s="411"/>
      <c r="D58" s="412"/>
      <c r="E58" s="402"/>
      <c r="F58" s="402"/>
      <c r="G58" s="402"/>
      <c r="H58" s="402"/>
      <c r="I58" s="402"/>
      <c r="J58" s="402"/>
      <c r="K58" s="402"/>
      <c r="L58" s="402"/>
      <c r="M58" s="402"/>
      <c r="N58" s="402"/>
      <c r="O58" s="402"/>
      <c r="P58" s="402"/>
      <c r="Q58" s="402"/>
      <c r="R58" s="402"/>
      <c r="S58" s="402"/>
      <c r="T58" s="402"/>
      <c r="U58" s="402"/>
      <c r="V58" s="402"/>
      <c r="W58" s="402"/>
      <c r="X58" s="402"/>
      <c r="Y58" s="402"/>
      <c r="Z58" s="402"/>
    </row>
    <row r="59">
      <c r="A59" s="409"/>
      <c r="B59" s="410"/>
      <c r="C59" s="411"/>
      <c r="D59" s="412"/>
      <c r="E59" s="402"/>
      <c r="F59" s="402"/>
      <c r="G59" s="402"/>
      <c r="H59" s="402"/>
      <c r="I59" s="402"/>
      <c r="J59" s="402"/>
      <c r="K59" s="402"/>
      <c r="L59" s="402"/>
      <c r="M59" s="402"/>
      <c r="N59" s="402"/>
      <c r="O59" s="402"/>
      <c r="P59" s="402"/>
      <c r="Q59" s="402"/>
      <c r="R59" s="402"/>
      <c r="S59" s="402"/>
      <c r="T59" s="402"/>
      <c r="U59" s="402"/>
      <c r="V59" s="402"/>
      <c r="W59" s="402"/>
      <c r="X59" s="402"/>
      <c r="Y59" s="402"/>
      <c r="Z59" s="402"/>
    </row>
    <row r="60">
      <c r="A60" s="409"/>
      <c r="B60" s="410"/>
      <c r="C60" s="411"/>
      <c r="D60" s="412"/>
      <c r="E60" s="402"/>
      <c r="F60" s="402"/>
      <c r="G60" s="402"/>
      <c r="H60" s="402"/>
      <c r="I60" s="402"/>
      <c r="J60" s="402"/>
      <c r="K60" s="402"/>
      <c r="L60" s="402"/>
      <c r="M60" s="402"/>
      <c r="N60" s="402"/>
      <c r="O60" s="402"/>
      <c r="P60" s="402"/>
      <c r="Q60" s="402"/>
      <c r="R60" s="402"/>
      <c r="S60" s="402"/>
      <c r="T60" s="402"/>
      <c r="U60" s="402"/>
      <c r="V60" s="402"/>
      <c r="W60" s="402"/>
      <c r="X60" s="402"/>
      <c r="Y60" s="402"/>
      <c r="Z60" s="402"/>
    </row>
    <row r="61">
      <c r="A61" s="409"/>
      <c r="B61" s="410"/>
      <c r="C61" s="411"/>
      <c r="D61" s="412"/>
      <c r="E61" s="402"/>
      <c r="F61" s="402"/>
      <c r="G61" s="402"/>
      <c r="H61" s="402"/>
      <c r="I61" s="402"/>
      <c r="J61" s="402"/>
      <c r="K61" s="402"/>
      <c r="L61" s="402"/>
      <c r="M61" s="402"/>
      <c r="N61" s="402"/>
      <c r="O61" s="402"/>
      <c r="P61" s="402"/>
      <c r="Q61" s="402"/>
      <c r="R61" s="402"/>
      <c r="S61" s="402"/>
      <c r="T61" s="402"/>
      <c r="U61" s="402"/>
      <c r="V61" s="402"/>
      <c r="W61" s="402"/>
      <c r="X61" s="402"/>
      <c r="Y61" s="402"/>
      <c r="Z61" s="402"/>
    </row>
    <row r="62">
      <c r="A62" s="409"/>
      <c r="B62" s="410"/>
      <c r="C62" s="411"/>
      <c r="D62" s="412"/>
      <c r="E62" s="402"/>
      <c r="F62" s="402"/>
      <c r="G62" s="402"/>
      <c r="H62" s="402"/>
      <c r="I62" s="402"/>
      <c r="J62" s="402"/>
      <c r="K62" s="402"/>
      <c r="L62" s="402"/>
      <c r="M62" s="402"/>
      <c r="N62" s="402"/>
      <c r="O62" s="402"/>
      <c r="P62" s="402"/>
      <c r="Q62" s="402"/>
      <c r="R62" s="402"/>
      <c r="S62" s="402"/>
      <c r="T62" s="402"/>
      <c r="U62" s="402"/>
      <c r="V62" s="402"/>
      <c r="W62" s="402"/>
      <c r="X62" s="402"/>
      <c r="Y62" s="402"/>
      <c r="Z62" s="402"/>
    </row>
    <row r="63">
      <c r="A63" s="409"/>
      <c r="B63" s="410"/>
      <c r="C63" s="411"/>
      <c r="D63" s="412"/>
      <c r="E63" s="402"/>
      <c r="F63" s="402"/>
      <c r="G63" s="402"/>
      <c r="H63" s="402"/>
      <c r="I63" s="402"/>
      <c r="J63" s="402"/>
      <c r="K63" s="402"/>
      <c r="L63" s="402"/>
      <c r="M63" s="402"/>
      <c r="N63" s="402"/>
      <c r="O63" s="402"/>
      <c r="P63" s="402"/>
      <c r="Q63" s="402"/>
      <c r="R63" s="402"/>
      <c r="S63" s="402"/>
      <c r="T63" s="402"/>
      <c r="U63" s="402"/>
      <c r="V63" s="402"/>
      <c r="W63" s="402"/>
      <c r="X63" s="402"/>
      <c r="Y63" s="402"/>
      <c r="Z63" s="402"/>
    </row>
    <row r="64">
      <c r="A64" s="409"/>
      <c r="B64" s="410"/>
      <c r="C64" s="411"/>
      <c r="D64" s="412"/>
      <c r="E64" s="402"/>
      <c r="F64" s="402"/>
      <c r="G64" s="402"/>
      <c r="H64" s="402"/>
      <c r="I64" s="402"/>
      <c r="J64" s="402"/>
      <c r="K64" s="402"/>
      <c r="L64" s="402"/>
      <c r="M64" s="402"/>
      <c r="N64" s="402"/>
      <c r="O64" s="402"/>
      <c r="P64" s="402"/>
      <c r="Q64" s="402"/>
      <c r="R64" s="402"/>
      <c r="S64" s="402"/>
      <c r="T64" s="402"/>
      <c r="U64" s="402"/>
      <c r="V64" s="402"/>
      <c r="W64" s="402"/>
      <c r="X64" s="402"/>
      <c r="Y64" s="402"/>
      <c r="Z64" s="402"/>
    </row>
    <row r="65">
      <c r="A65" s="409"/>
      <c r="B65" s="410"/>
      <c r="C65" s="411"/>
      <c r="D65" s="412"/>
      <c r="E65" s="402"/>
      <c r="F65" s="402"/>
      <c r="G65" s="402"/>
      <c r="H65" s="402"/>
      <c r="I65" s="402"/>
      <c r="J65" s="402"/>
      <c r="K65" s="402"/>
      <c r="L65" s="402"/>
      <c r="M65" s="402"/>
      <c r="N65" s="402"/>
      <c r="O65" s="402"/>
      <c r="P65" s="402"/>
      <c r="Q65" s="402"/>
      <c r="R65" s="402"/>
      <c r="S65" s="402"/>
      <c r="T65" s="402"/>
      <c r="U65" s="402"/>
      <c r="V65" s="402"/>
      <c r="W65" s="402"/>
      <c r="X65" s="402"/>
      <c r="Y65" s="402"/>
      <c r="Z65" s="402"/>
    </row>
    <row r="66">
      <c r="A66" s="409"/>
      <c r="B66" s="410"/>
      <c r="C66" s="411"/>
      <c r="D66" s="412"/>
      <c r="E66" s="402"/>
      <c r="F66" s="402"/>
      <c r="G66" s="402"/>
      <c r="H66" s="402"/>
      <c r="I66" s="402"/>
      <c r="J66" s="402"/>
      <c r="K66" s="402"/>
      <c r="L66" s="402"/>
      <c r="M66" s="402"/>
      <c r="N66" s="402"/>
      <c r="O66" s="402"/>
      <c r="P66" s="402"/>
      <c r="Q66" s="402"/>
      <c r="R66" s="402"/>
      <c r="S66" s="402"/>
      <c r="T66" s="402"/>
      <c r="U66" s="402"/>
      <c r="V66" s="402"/>
      <c r="W66" s="402"/>
      <c r="X66" s="402"/>
      <c r="Y66" s="402"/>
      <c r="Z66" s="402"/>
    </row>
    <row r="67">
      <c r="A67" s="409"/>
      <c r="B67" s="410"/>
      <c r="C67" s="411"/>
      <c r="D67" s="412"/>
      <c r="E67" s="402"/>
      <c r="F67" s="402"/>
      <c r="G67" s="402"/>
      <c r="H67" s="402"/>
      <c r="I67" s="402"/>
      <c r="J67" s="402"/>
      <c r="K67" s="402"/>
      <c r="L67" s="402"/>
      <c r="M67" s="402"/>
      <c r="N67" s="402"/>
      <c r="O67" s="402"/>
      <c r="P67" s="402"/>
      <c r="Q67" s="402"/>
      <c r="R67" s="402"/>
      <c r="S67" s="402"/>
      <c r="T67" s="402"/>
      <c r="U67" s="402"/>
      <c r="V67" s="402"/>
      <c r="W67" s="402"/>
      <c r="X67" s="402"/>
      <c r="Y67" s="402"/>
      <c r="Z67" s="402"/>
    </row>
    <row r="68">
      <c r="A68" s="409"/>
      <c r="B68" s="410"/>
      <c r="C68" s="411"/>
      <c r="D68" s="412"/>
      <c r="E68" s="402"/>
      <c r="F68" s="402"/>
      <c r="G68" s="402"/>
      <c r="H68" s="402"/>
      <c r="I68" s="402"/>
      <c r="J68" s="402"/>
      <c r="K68" s="402"/>
      <c r="L68" s="402"/>
      <c r="M68" s="402"/>
      <c r="N68" s="402"/>
      <c r="O68" s="402"/>
      <c r="P68" s="402"/>
      <c r="Q68" s="402"/>
      <c r="R68" s="402"/>
      <c r="S68" s="402"/>
      <c r="T68" s="402"/>
      <c r="U68" s="402"/>
      <c r="V68" s="402"/>
      <c r="W68" s="402"/>
      <c r="X68" s="402"/>
      <c r="Y68" s="402"/>
      <c r="Z68" s="402"/>
    </row>
    <row r="69">
      <c r="A69" s="409"/>
      <c r="B69" s="410"/>
      <c r="C69" s="411"/>
      <c r="D69" s="412"/>
      <c r="E69" s="402"/>
      <c r="F69" s="402"/>
      <c r="G69" s="402"/>
      <c r="H69" s="402"/>
      <c r="I69" s="402"/>
      <c r="J69" s="402"/>
      <c r="K69" s="402"/>
      <c r="L69" s="402"/>
      <c r="M69" s="402"/>
      <c r="N69" s="402"/>
      <c r="O69" s="402"/>
      <c r="P69" s="402"/>
      <c r="Q69" s="402"/>
      <c r="R69" s="402"/>
      <c r="S69" s="402"/>
      <c r="T69" s="402"/>
      <c r="U69" s="402"/>
      <c r="V69" s="402"/>
      <c r="W69" s="402"/>
      <c r="X69" s="402"/>
      <c r="Y69" s="402"/>
      <c r="Z69" s="402"/>
    </row>
    <row r="70">
      <c r="A70" s="409"/>
      <c r="B70" s="410"/>
      <c r="C70" s="411"/>
      <c r="D70" s="412"/>
      <c r="E70" s="402"/>
      <c r="F70" s="402"/>
      <c r="G70" s="402"/>
      <c r="H70" s="402"/>
      <c r="I70" s="402"/>
      <c r="J70" s="402"/>
      <c r="K70" s="402"/>
      <c r="L70" s="402"/>
      <c r="M70" s="402"/>
      <c r="N70" s="402"/>
      <c r="O70" s="402"/>
      <c r="P70" s="402"/>
      <c r="Q70" s="402"/>
      <c r="R70" s="402"/>
      <c r="S70" s="402"/>
      <c r="T70" s="402"/>
      <c r="U70" s="402"/>
      <c r="V70" s="402"/>
      <c r="W70" s="402"/>
      <c r="X70" s="402"/>
      <c r="Y70" s="402"/>
      <c r="Z70" s="402"/>
    </row>
    <row r="71">
      <c r="A71" s="409"/>
      <c r="B71" s="410"/>
      <c r="C71" s="411"/>
      <c r="D71" s="412"/>
      <c r="E71" s="402"/>
      <c r="F71" s="402"/>
      <c r="G71" s="402"/>
      <c r="H71" s="402"/>
      <c r="I71" s="402"/>
      <c r="J71" s="402"/>
      <c r="K71" s="402"/>
      <c r="L71" s="402"/>
      <c r="M71" s="402"/>
      <c r="N71" s="402"/>
      <c r="O71" s="402"/>
      <c r="P71" s="402"/>
      <c r="Q71" s="402"/>
      <c r="R71" s="402"/>
      <c r="S71" s="402"/>
      <c r="T71" s="402"/>
      <c r="U71" s="402"/>
      <c r="V71" s="402"/>
      <c r="W71" s="402"/>
      <c r="X71" s="402"/>
      <c r="Y71" s="402"/>
      <c r="Z71" s="402"/>
    </row>
    <row r="72">
      <c r="A72" s="409"/>
      <c r="B72" s="410"/>
      <c r="C72" s="411"/>
      <c r="D72" s="412"/>
      <c r="E72" s="402"/>
      <c r="F72" s="402"/>
      <c r="G72" s="402"/>
      <c r="H72" s="402"/>
      <c r="I72" s="402"/>
      <c r="J72" s="402"/>
      <c r="K72" s="402"/>
      <c r="L72" s="402"/>
      <c r="M72" s="402"/>
      <c r="N72" s="402"/>
      <c r="O72" s="402"/>
      <c r="P72" s="402"/>
      <c r="Q72" s="402"/>
      <c r="R72" s="402"/>
      <c r="S72" s="402"/>
      <c r="T72" s="402"/>
      <c r="U72" s="402"/>
      <c r="V72" s="402"/>
      <c r="W72" s="402"/>
      <c r="X72" s="402"/>
      <c r="Y72" s="402"/>
      <c r="Z72" s="402"/>
    </row>
    <row r="73">
      <c r="A73" s="409"/>
      <c r="B73" s="410"/>
      <c r="C73" s="411"/>
      <c r="D73" s="412"/>
      <c r="E73" s="402"/>
      <c r="F73" s="402"/>
      <c r="G73" s="402"/>
      <c r="H73" s="402"/>
      <c r="I73" s="402"/>
      <c r="J73" s="402"/>
      <c r="K73" s="402"/>
      <c r="L73" s="402"/>
      <c r="M73" s="402"/>
      <c r="N73" s="402"/>
      <c r="O73" s="402"/>
      <c r="P73" s="402"/>
      <c r="Q73" s="402"/>
      <c r="R73" s="402"/>
      <c r="S73" s="402"/>
      <c r="T73" s="402"/>
      <c r="U73" s="402"/>
      <c r="V73" s="402"/>
      <c r="W73" s="402"/>
      <c r="X73" s="402"/>
      <c r="Y73" s="402"/>
      <c r="Z73" s="402"/>
    </row>
    <row r="74">
      <c r="A74" s="409"/>
      <c r="B74" s="410"/>
      <c r="C74" s="411"/>
      <c r="D74" s="412"/>
      <c r="E74" s="402"/>
      <c r="F74" s="402"/>
      <c r="G74" s="402"/>
      <c r="H74" s="402"/>
      <c r="I74" s="402"/>
      <c r="J74" s="402"/>
      <c r="K74" s="402"/>
      <c r="L74" s="402"/>
      <c r="M74" s="402"/>
      <c r="N74" s="402"/>
      <c r="O74" s="402"/>
      <c r="P74" s="402"/>
      <c r="Q74" s="402"/>
      <c r="R74" s="402"/>
      <c r="S74" s="402"/>
      <c r="T74" s="402"/>
      <c r="U74" s="402"/>
      <c r="V74" s="402"/>
      <c r="W74" s="402"/>
      <c r="X74" s="402"/>
      <c r="Y74" s="402"/>
      <c r="Z74" s="402"/>
    </row>
    <row r="75">
      <c r="A75" s="409"/>
      <c r="B75" s="410"/>
      <c r="C75" s="411"/>
      <c r="D75" s="412"/>
      <c r="E75" s="402"/>
      <c r="F75" s="402"/>
      <c r="G75" s="402"/>
      <c r="H75" s="402"/>
      <c r="I75" s="402"/>
      <c r="J75" s="402"/>
      <c r="K75" s="402"/>
      <c r="L75" s="402"/>
      <c r="M75" s="402"/>
      <c r="N75" s="402"/>
      <c r="O75" s="402"/>
      <c r="P75" s="402"/>
      <c r="Q75" s="402"/>
      <c r="R75" s="402"/>
      <c r="S75" s="402"/>
      <c r="T75" s="402"/>
      <c r="U75" s="402"/>
      <c r="V75" s="402"/>
      <c r="W75" s="402"/>
      <c r="X75" s="402"/>
      <c r="Y75" s="402"/>
      <c r="Z75" s="402"/>
    </row>
    <row r="76">
      <c r="A76" s="409"/>
      <c r="B76" s="410"/>
      <c r="C76" s="411"/>
      <c r="D76" s="412"/>
      <c r="E76" s="402"/>
      <c r="F76" s="402"/>
      <c r="G76" s="402"/>
      <c r="H76" s="402"/>
      <c r="I76" s="402"/>
      <c r="J76" s="402"/>
      <c r="K76" s="402"/>
      <c r="L76" s="402"/>
      <c r="M76" s="402"/>
      <c r="N76" s="402"/>
      <c r="O76" s="402"/>
      <c r="P76" s="402"/>
      <c r="Q76" s="402"/>
      <c r="R76" s="402"/>
      <c r="S76" s="402"/>
      <c r="T76" s="402"/>
      <c r="U76" s="402"/>
      <c r="V76" s="402"/>
      <c r="W76" s="402"/>
      <c r="X76" s="402"/>
      <c r="Y76" s="402"/>
      <c r="Z76" s="402"/>
    </row>
    <row r="77">
      <c r="A77" s="409"/>
      <c r="B77" s="410"/>
      <c r="C77" s="411"/>
      <c r="D77" s="412"/>
      <c r="E77" s="402"/>
      <c r="F77" s="402"/>
      <c r="G77" s="402"/>
      <c r="H77" s="402"/>
      <c r="I77" s="402"/>
      <c r="J77" s="402"/>
      <c r="K77" s="402"/>
      <c r="L77" s="402"/>
      <c r="M77" s="402"/>
      <c r="N77" s="402"/>
      <c r="O77" s="402"/>
      <c r="P77" s="402"/>
      <c r="Q77" s="402"/>
      <c r="R77" s="402"/>
      <c r="S77" s="402"/>
      <c r="T77" s="402"/>
      <c r="U77" s="402"/>
      <c r="V77" s="402"/>
      <c r="W77" s="402"/>
      <c r="X77" s="402"/>
      <c r="Y77" s="402"/>
      <c r="Z77" s="402"/>
    </row>
    <row r="78">
      <c r="A78" s="409"/>
      <c r="B78" s="410"/>
      <c r="C78" s="411"/>
      <c r="D78" s="412"/>
      <c r="E78" s="402"/>
      <c r="F78" s="402"/>
      <c r="G78" s="402"/>
      <c r="H78" s="402"/>
      <c r="I78" s="402"/>
      <c r="J78" s="402"/>
      <c r="K78" s="402"/>
      <c r="L78" s="402"/>
      <c r="M78" s="402"/>
      <c r="N78" s="402"/>
      <c r="O78" s="402"/>
      <c r="P78" s="402"/>
      <c r="Q78" s="402"/>
      <c r="R78" s="402"/>
      <c r="S78" s="402"/>
      <c r="T78" s="402"/>
      <c r="U78" s="402"/>
      <c r="V78" s="402"/>
      <c r="W78" s="402"/>
      <c r="X78" s="402"/>
      <c r="Y78" s="402"/>
      <c r="Z78" s="402"/>
    </row>
    <row r="79">
      <c r="A79" s="409"/>
      <c r="B79" s="410"/>
      <c r="C79" s="411"/>
      <c r="D79" s="412"/>
      <c r="E79" s="402"/>
      <c r="F79" s="402"/>
      <c r="G79" s="402"/>
      <c r="H79" s="402"/>
      <c r="I79" s="402"/>
      <c r="J79" s="402"/>
      <c r="K79" s="402"/>
      <c r="L79" s="402"/>
      <c r="M79" s="402"/>
      <c r="N79" s="402"/>
      <c r="O79" s="402"/>
      <c r="P79" s="402"/>
      <c r="Q79" s="402"/>
      <c r="R79" s="402"/>
      <c r="S79" s="402"/>
      <c r="T79" s="402"/>
      <c r="U79" s="402"/>
      <c r="V79" s="402"/>
      <c r="W79" s="402"/>
      <c r="X79" s="402"/>
      <c r="Y79" s="402"/>
      <c r="Z79" s="402"/>
    </row>
    <row r="80">
      <c r="A80" s="409"/>
      <c r="B80" s="410"/>
      <c r="C80" s="411"/>
      <c r="D80" s="412"/>
      <c r="E80" s="402"/>
      <c r="F80" s="402"/>
      <c r="G80" s="402"/>
      <c r="H80" s="402"/>
      <c r="I80" s="402"/>
      <c r="J80" s="402"/>
      <c r="K80" s="402"/>
      <c r="L80" s="402"/>
      <c r="M80" s="402"/>
      <c r="N80" s="402"/>
      <c r="O80" s="402"/>
      <c r="P80" s="402"/>
      <c r="Q80" s="402"/>
      <c r="R80" s="402"/>
      <c r="S80" s="402"/>
      <c r="T80" s="402"/>
      <c r="U80" s="402"/>
      <c r="V80" s="402"/>
      <c r="W80" s="402"/>
      <c r="X80" s="402"/>
      <c r="Y80" s="402"/>
      <c r="Z80" s="402"/>
    </row>
    <row r="81">
      <c r="A81" s="409"/>
      <c r="B81" s="410"/>
      <c r="C81" s="411"/>
      <c r="D81" s="412"/>
      <c r="E81" s="402"/>
      <c r="F81" s="402"/>
      <c r="G81" s="402"/>
      <c r="H81" s="402"/>
      <c r="I81" s="402"/>
      <c r="J81" s="402"/>
      <c r="K81" s="402"/>
      <c r="L81" s="402"/>
      <c r="M81" s="402"/>
      <c r="N81" s="402"/>
      <c r="O81" s="402"/>
      <c r="P81" s="402"/>
      <c r="Q81" s="402"/>
      <c r="R81" s="402"/>
      <c r="S81" s="402"/>
      <c r="T81" s="402"/>
      <c r="U81" s="402"/>
      <c r="V81" s="402"/>
      <c r="W81" s="402"/>
      <c r="X81" s="402"/>
      <c r="Y81" s="402"/>
      <c r="Z81" s="402"/>
    </row>
    <row r="82">
      <c r="A82" s="409"/>
      <c r="B82" s="410"/>
      <c r="C82" s="411"/>
      <c r="D82" s="412"/>
      <c r="E82" s="402"/>
      <c r="F82" s="402"/>
      <c r="G82" s="402"/>
      <c r="H82" s="402"/>
      <c r="I82" s="402"/>
      <c r="J82" s="402"/>
      <c r="K82" s="402"/>
      <c r="L82" s="402"/>
      <c r="M82" s="402"/>
      <c r="N82" s="402"/>
      <c r="O82" s="402"/>
      <c r="P82" s="402"/>
      <c r="Q82" s="402"/>
      <c r="R82" s="402"/>
      <c r="S82" s="402"/>
      <c r="T82" s="402"/>
      <c r="U82" s="402"/>
      <c r="V82" s="402"/>
      <c r="W82" s="402"/>
      <c r="X82" s="402"/>
      <c r="Y82" s="402"/>
      <c r="Z82" s="402"/>
    </row>
    <row r="83">
      <c r="A83" s="409"/>
      <c r="B83" s="410"/>
      <c r="C83" s="411"/>
      <c r="D83" s="412"/>
      <c r="E83" s="402"/>
      <c r="F83" s="402"/>
      <c r="G83" s="402"/>
      <c r="H83" s="402"/>
      <c r="I83" s="402"/>
      <c r="J83" s="402"/>
      <c r="K83" s="402"/>
      <c r="L83" s="402"/>
      <c r="M83" s="402"/>
      <c r="N83" s="402"/>
      <c r="O83" s="402"/>
      <c r="P83" s="402"/>
      <c r="Q83" s="402"/>
      <c r="R83" s="402"/>
      <c r="S83" s="402"/>
      <c r="T83" s="402"/>
      <c r="U83" s="402"/>
      <c r="V83" s="402"/>
      <c r="W83" s="402"/>
      <c r="X83" s="402"/>
      <c r="Y83" s="402"/>
      <c r="Z83" s="402"/>
    </row>
    <row r="84">
      <c r="A84" s="409"/>
      <c r="B84" s="410"/>
      <c r="C84" s="411"/>
      <c r="D84" s="412"/>
      <c r="E84" s="402"/>
      <c r="F84" s="402"/>
      <c r="G84" s="402"/>
      <c r="H84" s="402"/>
      <c r="I84" s="402"/>
      <c r="J84" s="402"/>
      <c r="K84" s="402"/>
      <c r="L84" s="402"/>
      <c r="M84" s="402"/>
      <c r="N84" s="402"/>
      <c r="O84" s="402"/>
      <c r="P84" s="402"/>
      <c r="Q84" s="402"/>
      <c r="R84" s="402"/>
      <c r="S84" s="402"/>
      <c r="T84" s="402"/>
      <c r="U84" s="402"/>
      <c r="V84" s="402"/>
      <c r="W84" s="402"/>
      <c r="X84" s="402"/>
      <c r="Y84" s="402"/>
      <c r="Z84" s="402"/>
    </row>
    <row r="85">
      <c r="A85" s="409"/>
      <c r="B85" s="410"/>
      <c r="C85" s="411"/>
      <c r="D85" s="412"/>
      <c r="E85" s="402"/>
      <c r="F85" s="402"/>
      <c r="G85" s="402"/>
      <c r="H85" s="402"/>
      <c r="I85" s="402"/>
      <c r="J85" s="402"/>
      <c r="K85" s="402"/>
      <c r="L85" s="402"/>
      <c r="M85" s="402"/>
      <c r="N85" s="402"/>
      <c r="O85" s="402"/>
      <c r="P85" s="402"/>
      <c r="Q85" s="402"/>
      <c r="R85" s="402"/>
      <c r="S85" s="402"/>
      <c r="T85" s="402"/>
      <c r="U85" s="402"/>
      <c r="V85" s="402"/>
      <c r="W85" s="402"/>
      <c r="X85" s="402"/>
      <c r="Y85" s="402"/>
      <c r="Z85" s="402"/>
    </row>
    <row r="86">
      <c r="A86" s="409"/>
      <c r="B86" s="410"/>
      <c r="C86" s="411"/>
      <c r="D86" s="412"/>
      <c r="E86" s="402"/>
      <c r="F86" s="402"/>
      <c r="G86" s="402"/>
      <c r="H86" s="402"/>
      <c r="I86" s="402"/>
      <c r="J86" s="402"/>
      <c r="K86" s="402"/>
      <c r="L86" s="402"/>
      <c r="M86" s="402"/>
      <c r="N86" s="402"/>
      <c r="O86" s="402"/>
      <c r="P86" s="402"/>
      <c r="Q86" s="402"/>
      <c r="R86" s="402"/>
      <c r="S86" s="402"/>
      <c r="T86" s="402"/>
      <c r="U86" s="402"/>
      <c r="V86" s="402"/>
      <c r="W86" s="402"/>
      <c r="X86" s="402"/>
      <c r="Y86" s="402"/>
      <c r="Z86" s="402"/>
    </row>
    <row r="87">
      <c r="A87" s="409"/>
      <c r="B87" s="410"/>
      <c r="C87" s="411"/>
      <c r="D87" s="412"/>
      <c r="E87" s="402"/>
      <c r="F87" s="402"/>
      <c r="G87" s="402"/>
      <c r="H87" s="402"/>
      <c r="I87" s="402"/>
      <c r="J87" s="402"/>
      <c r="K87" s="402"/>
      <c r="L87" s="402"/>
      <c r="M87" s="402"/>
      <c r="N87" s="402"/>
      <c r="O87" s="402"/>
      <c r="P87" s="402"/>
      <c r="Q87" s="402"/>
      <c r="R87" s="402"/>
      <c r="S87" s="402"/>
      <c r="T87" s="402"/>
      <c r="U87" s="402"/>
      <c r="V87" s="402"/>
      <c r="W87" s="402"/>
      <c r="X87" s="402"/>
      <c r="Y87" s="402"/>
      <c r="Z87" s="402"/>
    </row>
    <row r="88">
      <c r="A88" s="409"/>
      <c r="B88" s="410"/>
      <c r="C88" s="411"/>
      <c r="D88" s="412"/>
      <c r="E88" s="402"/>
      <c r="F88" s="402"/>
      <c r="G88" s="402"/>
      <c r="H88" s="402"/>
      <c r="I88" s="402"/>
      <c r="J88" s="402"/>
      <c r="K88" s="402"/>
      <c r="L88" s="402"/>
      <c r="M88" s="402"/>
      <c r="N88" s="402"/>
      <c r="O88" s="402"/>
      <c r="P88" s="402"/>
      <c r="Q88" s="402"/>
      <c r="R88" s="402"/>
      <c r="S88" s="402"/>
      <c r="T88" s="402"/>
      <c r="U88" s="402"/>
      <c r="V88" s="402"/>
      <c r="W88" s="402"/>
      <c r="X88" s="402"/>
      <c r="Y88" s="402"/>
      <c r="Z88" s="402"/>
    </row>
    <row r="89">
      <c r="A89" s="409"/>
      <c r="B89" s="410"/>
      <c r="C89" s="411"/>
      <c r="D89" s="412"/>
      <c r="E89" s="402"/>
      <c r="F89" s="402"/>
      <c r="G89" s="402"/>
      <c r="H89" s="402"/>
      <c r="I89" s="402"/>
      <c r="J89" s="402"/>
      <c r="K89" s="402"/>
      <c r="L89" s="402"/>
      <c r="M89" s="402"/>
      <c r="N89" s="402"/>
      <c r="O89" s="402"/>
      <c r="P89" s="402"/>
      <c r="Q89" s="402"/>
      <c r="R89" s="402"/>
      <c r="S89" s="402"/>
      <c r="T89" s="402"/>
      <c r="U89" s="402"/>
      <c r="V89" s="402"/>
      <c r="W89" s="402"/>
      <c r="X89" s="402"/>
      <c r="Y89" s="402"/>
      <c r="Z89" s="402"/>
    </row>
    <row r="90">
      <c r="A90" s="409"/>
      <c r="B90" s="410"/>
      <c r="C90" s="411"/>
      <c r="D90" s="412"/>
      <c r="E90" s="402"/>
      <c r="F90" s="402"/>
      <c r="G90" s="402"/>
      <c r="H90" s="402"/>
      <c r="I90" s="402"/>
      <c r="J90" s="402"/>
      <c r="K90" s="402"/>
      <c r="L90" s="402"/>
      <c r="M90" s="402"/>
      <c r="N90" s="402"/>
      <c r="O90" s="402"/>
      <c r="P90" s="402"/>
      <c r="Q90" s="402"/>
      <c r="R90" s="402"/>
      <c r="S90" s="402"/>
      <c r="T90" s="402"/>
      <c r="U90" s="402"/>
      <c r="V90" s="402"/>
      <c r="W90" s="402"/>
      <c r="X90" s="402"/>
      <c r="Y90" s="402"/>
      <c r="Z90" s="402"/>
    </row>
    <row r="91">
      <c r="A91" s="409"/>
      <c r="B91" s="410"/>
      <c r="C91" s="411"/>
      <c r="D91" s="412"/>
      <c r="E91" s="402"/>
      <c r="F91" s="402"/>
      <c r="G91" s="402"/>
      <c r="H91" s="402"/>
      <c r="I91" s="402"/>
      <c r="J91" s="402"/>
      <c r="K91" s="402"/>
      <c r="L91" s="402"/>
      <c r="M91" s="402"/>
      <c r="N91" s="402"/>
      <c r="O91" s="402"/>
      <c r="P91" s="402"/>
      <c r="Q91" s="402"/>
      <c r="R91" s="402"/>
      <c r="S91" s="402"/>
      <c r="T91" s="402"/>
      <c r="U91" s="402"/>
      <c r="V91" s="402"/>
      <c r="W91" s="402"/>
      <c r="X91" s="402"/>
      <c r="Y91" s="402"/>
      <c r="Z91" s="402"/>
    </row>
    <row r="92">
      <c r="A92" s="409"/>
      <c r="B92" s="410"/>
      <c r="C92" s="411"/>
      <c r="D92" s="412"/>
      <c r="E92" s="402"/>
      <c r="F92" s="402"/>
      <c r="G92" s="402"/>
      <c r="H92" s="402"/>
      <c r="I92" s="402"/>
      <c r="J92" s="402"/>
      <c r="K92" s="402"/>
      <c r="L92" s="402"/>
      <c r="M92" s="402"/>
      <c r="N92" s="402"/>
      <c r="O92" s="402"/>
      <c r="P92" s="402"/>
      <c r="Q92" s="402"/>
      <c r="R92" s="402"/>
      <c r="S92" s="402"/>
      <c r="T92" s="402"/>
      <c r="U92" s="402"/>
      <c r="V92" s="402"/>
      <c r="W92" s="402"/>
      <c r="X92" s="402"/>
      <c r="Y92" s="402"/>
      <c r="Z92" s="402"/>
    </row>
    <row r="93">
      <c r="A93" s="409"/>
      <c r="B93" s="410"/>
      <c r="C93" s="411"/>
      <c r="D93" s="412"/>
      <c r="E93" s="402"/>
      <c r="F93" s="402"/>
      <c r="G93" s="402"/>
      <c r="H93" s="402"/>
      <c r="I93" s="402"/>
      <c r="J93" s="402"/>
      <c r="K93" s="402"/>
      <c r="L93" s="402"/>
      <c r="M93" s="402"/>
      <c r="N93" s="402"/>
      <c r="O93" s="402"/>
      <c r="P93" s="402"/>
      <c r="Q93" s="402"/>
      <c r="R93" s="402"/>
      <c r="S93" s="402"/>
      <c r="T93" s="402"/>
      <c r="U93" s="402"/>
      <c r="V93" s="402"/>
      <c r="W93" s="402"/>
      <c r="X93" s="402"/>
      <c r="Y93" s="402"/>
      <c r="Z93" s="402"/>
    </row>
    <row r="94">
      <c r="A94" s="409"/>
      <c r="B94" s="410"/>
      <c r="C94" s="411"/>
      <c r="D94" s="412"/>
      <c r="E94" s="402"/>
      <c r="F94" s="402"/>
      <c r="G94" s="402"/>
      <c r="H94" s="402"/>
      <c r="I94" s="402"/>
      <c r="J94" s="402"/>
      <c r="K94" s="402"/>
      <c r="L94" s="402"/>
      <c r="M94" s="402"/>
      <c r="N94" s="402"/>
      <c r="O94" s="402"/>
      <c r="P94" s="402"/>
      <c r="Q94" s="402"/>
      <c r="R94" s="402"/>
      <c r="S94" s="402"/>
      <c r="T94" s="402"/>
      <c r="U94" s="402"/>
      <c r="V94" s="402"/>
      <c r="W94" s="402"/>
      <c r="X94" s="402"/>
      <c r="Y94" s="402"/>
      <c r="Z94" s="402"/>
    </row>
    <row r="95">
      <c r="A95" s="409"/>
      <c r="B95" s="410"/>
      <c r="C95" s="411"/>
      <c r="D95" s="412"/>
      <c r="E95" s="402"/>
      <c r="F95" s="402"/>
      <c r="G95" s="402"/>
      <c r="H95" s="402"/>
      <c r="I95" s="402"/>
      <c r="J95" s="402"/>
      <c r="K95" s="402"/>
      <c r="L95" s="402"/>
      <c r="M95" s="402"/>
      <c r="N95" s="402"/>
      <c r="O95" s="402"/>
      <c r="P95" s="402"/>
      <c r="Q95" s="402"/>
      <c r="R95" s="402"/>
      <c r="S95" s="402"/>
      <c r="T95" s="402"/>
      <c r="U95" s="402"/>
      <c r="V95" s="402"/>
      <c r="W95" s="402"/>
      <c r="X95" s="402"/>
      <c r="Y95" s="402"/>
      <c r="Z95" s="402"/>
    </row>
    <row r="96">
      <c r="A96" s="409"/>
      <c r="B96" s="410"/>
      <c r="C96" s="411"/>
      <c r="D96" s="412"/>
      <c r="E96" s="402"/>
      <c r="F96" s="402"/>
      <c r="G96" s="402"/>
      <c r="H96" s="402"/>
      <c r="I96" s="402"/>
      <c r="J96" s="402"/>
      <c r="K96" s="402"/>
      <c r="L96" s="402"/>
      <c r="M96" s="402"/>
      <c r="N96" s="402"/>
      <c r="O96" s="402"/>
      <c r="P96" s="402"/>
      <c r="Q96" s="402"/>
      <c r="R96" s="402"/>
      <c r="S96" s="402"/>
      <c r="T96" s="402"/>
      <c r="U96" s="402"/>
      <c r="V96" s="402"/>
      <c r="W96" s="402"/>
      <c r="X96" s="402"/>
      <c r="Y96" s="402"/>
      <c r="Z96" s="402"/>
    </row>
    <row r="97">
      <c r="A97" s="409"/>
      <c r="B97" s="410"/>
      <c r="C97" s="411"/>
      <c r="D97" s="412"/>
      <c r="E97" s="402"/>
      <c r="F97" s="402"/>
      <c r="G97" s="402"/>
      <c r="H97" s="402"/>
      <c r="I97" s="402"/>
      <c r="J97" s="402"/>
      <c r="K97" s="402"/>
      <c r="L97" s="402"/>
      <c r="M97" s="402"/>
      <c r="N97" s="402"/>
      <c r="O97" s="402"/>
      <c r="P97" s="402"/>
      <c r="Q97" s="402"/>
      <c r="R97" s="402"/>
      <c r="S97" s="402"/>
      <c r="T97" s="402"/>
      <c r="U97" s="402"/>
      <c r="V97" s="402"/>
      <c r="W97" s="402"/>
      <c r="X97" s="402"/>
      <c r="Y97" s="402"/>
      <c r="Z97" s="402"/>
    </row>
    <row r="98">
      <c r="A98" s="409"/>
      <c r="B98" s="410"/>
      <c r="C98" s="411"/>
      <c r="D98" s="412"/>
      <c r="E98" s="402"/>
      <c r="F98" s="402"/>
      <c r="G98" s="402"/>
      <c r="H98" s="402"/>
      <c r="I98" s="402"/>
      <c r="J98" s="402"/>
      <c r="K98" s="402"/>
      <c r="L98" s="402"/>
      <c r="M98" s="402"/>
      <c r="N98" s="402"/>
      <c r="O98" s="402"/>
      <c r="P98" s="402"/>
      <c r="Q98" s="402"/>
      <c r="R98" s="402"/>
      <c r="S98" s="402"/>
      <c r="T98" s="402"/>
      <c r="U98" s="402"/>
      <c r="V98" s="402"/>
      <c r="W98" s="402"/>
      <c r="X98" s="402"/>
      <c r="Y98" s="402"/>
      <c r="Z98" s="402"/>
    </row>
    <row r="99">
      <c r="A99" s="409"/>
      <c r="B99" s="410"/>
      <c r="C99" s="411"/>
      <c r="D99" s="412"/>
      <c r="E99" s="402"/>
      <c r="F99" s="402"/>
      <c r="G99" s="402"/>
      <c r="H99" s="402"/>
      <c r="I99" s="402"/>
      <c r="J99" s="402"/>
      <c r="K99" s="402"/>
      <c r="L99" s="402"/>
      <c r="M99" s="402"/>
      <c r="N99" s="402"/>
      <c r="O99" s="402"/>
      <c r="P99" s="402"/>
      <c r="Q99" s="402"/>
      <c r="R99" s="402"/>
      <c r="S99" s="402"/>
      <c r="T99" s="402"/>
      <c r="U99" s="402"/>
      <c r="V99" s="402"/>
      <c r="W99" s="402"/>
      <c r="X99" s="402"/>
      <c r="Y99" s="402"/>
      <c r="Z99" s="402"/>
    </row>
    <row r="100">
      <c r="A100" s="409"/>
      <c r="B100" s="410"/>
      <c r="C100" s="411"/>
      <c r="D100" s="412"/>
      <c r="E100" s="402"/>
      <c r="F100" s="402"/>
      <c r="G100" s="402"/>
      <c r="H100" s="402"/>
      <c r="I100" s="402"/>
      <c r="J100" s="402"/>
      <c r="K100" s="402"/>
      <c r="L100" s="402"/>
      <c r="M100" s="402"/>
      <c r="N100" s="402"/>
      <c r="O100" s="402"/>
      <c r="P100" s="402"/>
      <c r="Q100" s="402"/>
      <c r="R100" s="402"/>
      <c r="S100" s="402"/>
      <c r="T100" s="402"/>
      <c r="U100" s="402"/>
      <c r="V100" s="402"/>
      <c r="W100" s="402"/>
      <c r="X100" s="402"/>
      <c r="Y100" s="402"/>
      <c r="Z100" s="402"/>
    </row>
    <row r="101">
      <c r="A101" s="409"/>
      <c r="B101" s="410"/>
      <c r="C101" s="411"/>
      <c r="D101" s="412"/>
      <c r="E101" s="402"/>
      <c r="F101" s="402"/>
      <c r="G101" s="402"/>
      <c r="H101" s="402"/>
      <c r="I101" s="402"/>
      <c r="J101" s="402"/>
      <c r="K101" s="402"/>
      <c r="L101" s="402"/>
      <c r="M101" s="402"/>
      <c r="N101" s="402"/>
      <c r="O101" s="402"/>
      <c r="P101" s="402"/>
      <c r="Q101" s="402"/>
      <c r="R101" s="402"/>
      <c r="S101" s="402"/>
      <c r="T101" s="402"/>
      <c r="U101" s="402"/>
      <c r="V101" s="402"/>
      <c r="W101" s="402"/>
      <c r="X101" s="402"/>
      <c r="Y101" s="402"/>
      <c r="Z101" s="402"/>
    </row>
    <row r="102">
      <c r="A102" s="409"/>
      <c r="B102" s="410"/>
      <c r="C102" s="411"/>
      <c r="D102" s="412"/>
      <c r="E102" s="402"/>
      <c r="F102" s="402"/>
      <c r="G102" s="402"/>
      <c r="H102" s="402"/>
      <c r="I102" s="402"/>
      <c r="J102" s="402"/>
      <c r="K102" s="402"/>
      <c r="L102" s="402"/>
      <c r="M102" s="402"/>
      <c r="N102" s="402"/>
      <c r="O102" s="402"/>
      <c r="P102" s="402"/>
      <c r="Q102" s="402"/>
      <c r="R102" s="402"/>
      <c r="S102" s="402"/>
      <c r="T102" s="402"/>
      <c r="U102" s="402"/>
      <c r="V102" s="402"/>
      <c r="W102" s="402"/>
      <c r="X102" s="402"/>
      <c r="Y102" s="402"/>
      <c r="Z102" s="402"/>
    </row>
    <row r="103">
      <c r="A103" s="409"/>
      <c r="B103" s="410"/>
      <c r="C103" s="411"/>
      <c r="D103" s="412"/>
      <c r="E103" s="402"/>
      <c r="F103" s="402"/>
      <c r="G103" s="402"/>
      <c r="H103" s="402"/>
      <c r="I103" s="402"/>
      <c r="J103" s="402"/>
      <c r="K103" s="402"/>
      <c r="L103" s="402"/>
      <c r="M103" s="402"/>
      <c r="N103" s="402"/>
      <c r="O103" s="402"/>
      <c r="P103" s="402"/>
      <c r="Q103" s="402"/>
      <c r="R103" s="402"/>
      <c r="S103" s="402"/>
      <c r="T103" s="402"/>
      <c r="U103" s="402"/>
      <c r="V103" s="402"/>
      <c r="W103" s="402"/>
      <c r="X103" s="402"/>
      <c r="Y103" s="402"/>
      <c r="Z103" s="402"/>
    </row>
    <row r="104">
      <c r="A104" s="409"/>
      <c r="B104" s="410"/>
      <c r="C104" s="411"/>
      <c r="D104" s="412"/>
      <c r="E104" s="402"/>
      <c r="F104" s="402"/>
      <c r="G104" s="402"/>
      <c r="H104" s="402"/>
      <c r="I104" s="402"/>
      <c r="J104" s="402"/>
      <c r="K104" s="402"/>
      <c r="L104" s="402"/>
      <c r="M104" s="402"/>
      <c r="N104" s="402"/>
      <c r="O104" s="402"/>
      <c r="P104" s="402"/>
      <c r="Q104" s="402"/>
      <c r="R104" s="402"/>
      <c r="S104" s="402"/>
      <c r="T104" s="402"/>
      <c r="U104" s="402"/>
      <c r="V104" s="402"/>
      <c r="W104" s="402"/>
      <c r="X104" s="402"/>
      <c r="Y104" s="402"/>
      <c r="Z104" s="402"/>
    </row>
    <row r="105">
      <c r="A105" s="409"/>
      <c r="B105" s="410"/>
      <c r="C105" s="411"/>
      <c r="D105" s="412"/>
      <c r="E105" s="402"/>
      <c r="F105" s="402"/>
      <c r="G105" s="402"/>
      <c r="H105" s="402"/>
      <c r="I105" s="402"/>
      <c r="J105" s="402"/>
      <c r="K105" s="402"/>
      <c r="L105" s="402"/>
      <c r="M105" s="402"/>
      <c r="N105" s="402"/>
      <c r="O105" s="402"/>
      <c r="P105" s="402"/>
      <c r="Q105" s="402"/>
      <c r="R105" s="402"/>
      <c r="S105" s="402"/>
      <c r="T105" s="402"/>
      <c r="U105" s="402"/>
      <c r="V105" s="402"/>
      <c r="W105" s="402"/>
      <c r="X105" s="402"/>
      <c r="Y105" s="402"/>
      <c r="Z105" s="402"/>
    </row>
    <row r="106">
      <c r="A106" s="409"/>
      <c r="B106" s="410"/>
      <c r="C106" s="411"/>
      <c r="D106" s="412"/>
      <c r="E106" s="402"/>
      <c r="F106" s="402"/>
      <c r="G106" s="402"/>
      <c r="H106" s="402"/>
      <c r="I106" s="402"/>
      <c r="J106" s="402"/>
      <c r="K106" s="402"/>
      <c r="L106" s="402"/>
      <c r="M106" s="402"/>
      <c r="N106" s="402"/>
      <c r="O106" s="402"/>
      <c r="P106" s="402"/>
      <c r="Q106" s="402"/>
      <c r="R106" s="402"/>
      <c r="S106" s="402"/>
      <c r="T106" s="402"/>
      <c r="U106" s="402"/>
      <c r="V106" s="402"/>
      <c r="W106" s="402"/>
      <c r="X106" s="402"/>
      <c r="Y106" s="402"/>
      <c r="Z106" s="402"/>
    </row>
    <row r="107">
      <c r="A107" s="409"/>
      <c r="B107" s="410"/>
      <c r="C107" s="411"/>
      <c r="D107" s="412"/>
      <c r="E107" s="402"/>
      <c r="F107" s="402"/>
      <c r="G107" s="402"/>
      <c r="H107" s="402"/>
      <c r="I107" s="402"/>
      <c r="J107" s="402"/>
      <c r="K107" s="402"/>
      <c r="L107" s="402"/>
      <c r="M107" s="402"/>
      <c r="N107" s="402"/>
      <c r="O107" s="402"/>
      <c r="P107" s="402"/>
      <c r="Q107" s="402"/>
      <c r="R107" s="402"/>
      <c r="S107" s="402"/>
      <c r="T107" s="402"/>
      <c r="U107" s="402"/>
      <c r="V107" s="402"/>
      <c r="W107" s="402"/>
      <c r="X107" s="402"/>
      <c r="Y107" s="402"/>
      <c r="Z107" s="402"/>
    </row>
    <row r="108">
      <c r="A108" s="409"/>
      <c r="B108" s="410"/>
      <c r="C108" s="411"/>
      <c r="D108" s="412"/>
      <c r="E108" s="402"/>
      <c r="F108" s="402"/>
      <c r="G108" s="402"/>
      <c r="H108" s="402"/>
      <c r="I108" s="402"/>
      <c r="J108" s="402"/>
      <c r="K108" s="402"/>
      <c r="L108" s="402"/>
      <c r="M108" s="402"/>
      <c r="N108" s="402"/>
      <c r="O108" s="402"/>
      <c r="P108" s="402"/>
      <c r="Q108" s="402"/>
      <c r="R108" s="402"/>
      <c r="S108" s="402"/>
      <c r="T108" s="402"/>
      <c r="U108" s="402"/>
      <c r="V108" s="402"/>
      <c r="W108" s="402"/>
      <c r="X108" s="402"/>
      <c r="Y108" s="402"/>
      <c r="Z108" s="402"/>
    </row>
    <row r="109">
      <c r="A109" s="409"/>
      <c r="B109" s="410"/>
      <c r="C109" s="411"/>
      <c r="D109" s="412"/>
      <c r="E109" s="402"/>
      <c r="F109" s="402"/>
      <c r="G109" s="402"/>
      <c r="H109" s="402"/>
      <c r="I109" s="402"/>
      <c r="J109" s="402"/>
      <c r="K109" s="402"/>
      <c r="L109" s="402"/>
      <c r="M109" s="402"/>
      <c r="N109" s="402"/>
      <c r="O109" s="402"/>
      <c r="P109" s="402"/>
      <c r="Q109" s="402"/>
      <c r="R109" s="402"/>
      <c r="S109" s="402"/>
      <c r="T109" s="402"/>
      <c r="U109" s="402"/>
      <c r="V109" s="402"/>
      <c r="W109" s="402"/>
      <c r="X109" s="402"/>
      <c r="Y109" s="402"/>
      <c r="Z109" s="402"/>
    </row>
    <row r="110">
      <c r="A110" s="409"/>
      <c r="B110" s="410"/>
      <c r="C110" s="411"/>
      <c r="D110" s="41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row>
    <row r="111">
      <c r="A111" s="409"/>
      <c r="B111" s="410"/>
      <c r="C111" s="411"/>
      <c r="D111" s="41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row>
    <row r="112">
      <c r="A112" s="409"/>
      <c r="B112" s="410"/>
      <c r="C112" s="411"/>
      <c r="D112" s="41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row>
    <row r="113">
      <c r="A113" s="409"/>
      <c r="B113" s="410"/>
      <c r="C113" s="411"/>
      <c r="D113" s="41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row>
    <row r="114">
      <c r="A114" s="409"/>
      <c r="B114" s="410"/>
      <c r="C114" s="411"/>
      <c r="D114" s="41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row>
    <row r="115">
      <c r="A115" s="409"/>
      <c r="B115" s="410"/>
      <c r="C115" s="411"/>
      <c r="D115" s="41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row>
    <row r="116">
      <c r="A116" s="409"/>
      <c r="B116" s="410"/>
      <c r="C116" s="411"/>
      <c r="D116" s="41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row>
    <row r="117">
      <c r="A117" s="409"/>
      <c r="B117" s="410"/>
      <c r="C117" s="411"/>
      <c r="D117" s="41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row>
    <row r="118">
      <c r="A118" s="409"/>
      <c r="B118" s="410"/>
      <c r="C118" s="411"/>
      <c r="D118" s="41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row>
    <row r="119">
      <c r="A119" s="409"/>
      <c r="B119" s="410"/>
      <c r="C119" s="411"/>
      <c r="D119" s="41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row>
    <row r="120">
      <c r="A120" s="409"/>
      <c r="B120" s="410"/>
      <c r="C120" s="411"/>
      <c r="D120" s="41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row>
    <row r="121">
      <c r="A121" s="409"/>
      <c r="B121" s="410"/>
      <c r="C121" s="411"/>
      <c r="D121" s="41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row>
    <row r="122">
      <c r="A122" s="409"/>
      <c r="B122" s="410"/>
      <c r="C122" s="411"/>
      <c r="D122" s="41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row>
    <row r="123">
      <c r="A123" s="409"/>
      <c r="B123" s="410"/>
      <c r="C123" s="411"/>
      <c r="D123" s="41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row>
    <row r="124">
      <c r="A124" s="409"/>
      <c r="B124" s="410"/>
      <c r="C124" s="411"/>
      <c r="D124" s="41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row>
    <row r="125">
      <c r="A125" s="409"/>
      <c r="B125" s="410"/>
      <c r="C125" s="411"/>
      <c r="D125" s="41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row>
    <row r="126">
      <c r="A126" s="409"/>
      <c r="B126" s="410"/>
      <c r="C126" s="411"/>
      <c r="D126" s="41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row>
    <row r="127">
      <c r="A127" s="409"/>
      <c r="B127" s="410"/>
      <c r="C127" s="411"/>
      <c r="D127" s="41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row>
    <row r="128">
      <c r="A128" s="409"/>
      <c r="B128" s="410"/>
      <c r="C128" s="411"/>
      <c r="D128" s="41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row>
    <row r="129">
      <c r="A129" s="409"/>
      <c r="B129" s="410"/>
      <c r="C129" s="411"/>
      <c r="D129" s="41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row>
    <row r="130">
      <c r="A130" s="409"/>
      <c r="B130" s="410"/>
      <c r="C130" s="411"/>
      <c r="D130" s="41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row>
    <row r="131">
      <c r="A131" s="409"/>
      <c r="B131" s="410"/>
      <c r="C131" s="411"/>
      <c r="D131" s="41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row>
    <row r="132">
      <c r="A132" s="409"/>
      <c r="B132" s="410"/>
      <c r="C132" s="411"/>
      <c r="D132" s="41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row>
    <row r="133">
      <c r="A133" s="409"/>
      <c r="B133" s="410"/>
      <c r="C133" s="411"/>
      <c r="D133" s="41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row>
    <row r="134">
      <c r="A134" s="409"/>
      <c r="B134" s="410"/>
      <c r="C134" s="411"/>
      <c r="D134" s="41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row>
    <row r="135">
      <c r="A135" s="409"/>
      <c r="B135" s="410"/>
      <c r="C135" s="411"/>
      <c r="D135" s="41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row>
    <row r="136">
      <c r="A136" s="409"/>
      <c r="B136" s="410"/>
      <c r="C136" s="411"/>
      <c r="D136" s="41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row>
    <row r="137">
      <c r="A137" s="409"/>
      <c r="B137" s="410"/>
      <c r="C137" s="411"/>
      <c r="D137" s="41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row>
    <row r="138">
      <c r="A138" s="409"/>
      <c r="B138" s="410"/>
      <c r="C138" s="411"/>
      <c r="D138" s="41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row>
    <row r="139">
      <c r="A139" s="409"/>
      <c r="B139" s="410"/>
      <c r="C139" s="411"/>
      <c r="D139" s="41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row>
    <row r="140">
      <c r="A140" s="409"/>
      <c r="B140" s="410"/>
      <c r="C140" s="411"/>
      <c r="D140" s="41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row>
    <row r="141">
      <c r="A141" s="409"/>
      <c r="B141" s="410"/>
      <c r="C141" s="411"/>
      <c r="D141" s="41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row>
    <row r="142">
      <c r="A142" s="409"/>
      <c r="B142" s="410"/>
      <c r="C142" s="411"/>
      <c r="D142" s="41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row>
    <row r="143">
      <c r="A143" s="409"/>
      <c r="B143" s="410"/>
      <c r="C143" s="411"/>
      <c r="D143" s="41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row>
    <row r="144">
      <c r="A144" s="409"/>
      <c r="B144" s="410"/>
      <c r="C144" s="411"/>
      <c r="D144" s="41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row>
    <row r="145">
      <c r="A145" s="409"/>
      <c r="B145" s="410"/>
      <c r="C145" s="411"/>
      <c r="D145" s="41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row>
    <row r="146">
      <c r="A146" s="409"/>
      <c r="B146" s="410"/>
      <c r="C146" s="411"/>
      <c r="D146" s="41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row>
    <row r="147">
      <c r="A147" s="409"/>
      <c r="B147" s="410"/>
      <c r="C147" s="411"/>
      <c r="D147" s="41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row>
    <row r="148">
      <c r="A148" s="409"/>
      <c r="B148" s="410"/>
      <c r="C148" s="411"/>
      <c r="D148" s="41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row>
    <row r="149">
      <c r="A149" s="409"/>
      <c r="B149" s="410"/>
      <c r="C149" s="411"/>
      <c r="D149" s="41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row>
    <row r="150">
      <c r="A150" s="409"/>
      <c r="B150" s="410"/>
      <c r="C150" s="411"/>
      <c r="D150" s="41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row>
    <row r="151">
      <c r="A151" s="409"/>
      <c r="B151" s="410"/>
      <c r="C151" s="411"/>
      <c r="D151" s="41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row>
    <row r="152">
      <c r="A152" s="409"/>
      <c r="B152" s="410"/>
      <c r="C152" s="411"/>
      <c r="D152" s="41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row>
    <row r="153">
      <c r="A153" s="409"/>
      <c r="B153" s="410"/>
      <c r="C153" s="411"/>
      <c r="D153" s="41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row>
    <row r="154">
      <c r="A154" s="409"/>
      <c r="B154" s="410"/>
      <c r="C154" s="411"/>
      <c r="D154" s="41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row>
    <row r="155">
      <c r="A155" s="409"/>
      <c r="B155" s="410"/>
      <c r="C155" s="411"/>
      <c r="D155" s="41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row>
    <row r="156">
      <c r="A156" s="409"/>
      <c r="B156" s="410"/>
      <c r="C156" s="411"/>
      <c r="D156" s="41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row>
    <row r="157">
      <c r="A157" s="409"/>
      <c r="B157" s="410"/>
      <c r="C157" s="411"/>
      <c r="D157" s="41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row>
    <row r="158">
      <c r="A158" s="409"/>
      <c r="B158" s="410"/>
      <c r="C158" s="411"/>
      <c r="D158" s="41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row>
    <row r="159">
      <c r="A159" s="409"/>
      <c r="B159" s="410"/>
      <c r="C159" s="411"/>
      <c r="D159" s="41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row>
    <row r="160">
      <c r="A160" s="409"/>
      <c r="B160" s="410"/>
      <c r="C160" s="411"/>
      <c r="D160" s="41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row>
    <row r="161">
      <c r="A161" s="409"/>
      <c r="B161" s="410"/>
      <c r="C161" s="411"/>
      <c r="D161" s="41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row>
    <row r="162">
      <c r="A162" s="409"/>
      <c r="B162" s="410"/>
      <c r="C162" s="411"/>
      <c r="D162" s="41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row>
    <row r="163">
      <c r="A163" s="409"/>
      <c r="B163" s="410"/>
      <c r="C163" s="411"/>
      <c r="D163" s="41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row>
    <row r="164">
      <c r="A164" s="409"/>
      <c r="B164" s="410"/>
      <c r="C164" s="411"/>
      <c r="D164" s="41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row>
    <row r="165">
      <c r="A165" s="409"/>
      <c r="B165" s="410"/>
      <c r="C165" s="411"/>
      <c r="D165" s="41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row>
    <row r="166">
      <c r="A166" s="409"/>
      <c r="B166" s="410"/>
      <c r="C166" s="411"/>
      <c r="D166" s="41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row>
    <row r="167">
      <c r="A167" s="409"/>
      <c r="B167" s="410"/>
      <c r="C167" s="411"/>
      <c r="D167" s="41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row>
    <row r="168">
      <c r="A168" s="409"/>
      <c r="B168" s="410"/>
      <c r="C168" s="411"/>
      <c r="D168" s="41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row>
    <row r="169">
      <c r="A169" s="409"/>
      <c r="B169" s="410"/>
      <c r="C169" s="411"/>
      <c r="D169" s="41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row>
    <row r="170">
      <c r="A170" s="409"/>
      <c r="B170" s="410"/>
      <c r="C170" s="411"/>
      <c r="D170" s="41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row>
    <row r="171">
      <c r="A171" s="409"/>
      <c r="B171" s="410"/>
      <c r="C171" s="411"/>
      <c r="D171" s="41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row>
    <row r="172">
      <c r="A172" s="409"/>
      <c r="B172" s="410"/>
      <c r="C172" s="411"/>
      <c r="D172" s="41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row>
    <row r="173">
      <c r="A173" s="409"/>
      <c r="B173" s="410"/>
      <c r="C173" s="411"/>
      <c r="D173" s="41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row>
    <row r="174">
      <c r="A174" s="409"/>
      <c r="B174" s="410"/>
      <c r="C174" s="411"/>
      <c r="D174" s="41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row>
    <row r="175">
      <c r="A175" s="409"/>
      <c r="B175" s="410"/>
      <c r="C175" s="411"/>
      <c r="D175" s="41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row>
    <row r="176">
      <c r="A176" s="409"/>
      <c r="B176" s="410"/>
      <c r="C176" s="411"/>
      <c r="D176" s="41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row>
    <row r="177">
      <c r="A177" s="409"/>
      <c r="B177" s="410"/>
      <c r="C177" s="411"/>
      <c r="D177" s="41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row>
    <row r="178">
      <c r="A178" s="409"/>
      <c r="B178" s="410"/>
      <c r="C178" s="411"/>
      <c r="D178" s="41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row>
    <row r="179">
      <c r="A179" s="409"/>
      <c r="B179" s="410"/>
      <c r="C179" s="411"/>
      <c r="D179" s="41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row>
    <row r="180">
      <c r="A180" s="409"/>
      <c r="B180" s="410"/>
      <c r="C180" s="411"/>
      <c r="D180" s="41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row>
    <row r="181">
      <c r="A181" s="409"/>
      <c r="B181" s="410"/>
      <c r="C181" s="411"/>
      <c r="D181" s="41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row>
    <row r="182">
      <c r="A182" s="409"/>
      <c r="B182" s="410"/>
      <c r="C182" s="411"/>
      <c r="D182" s="41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row>
    <row r="183">
      <c r="A183" s="409"/>
      <c r="B183" s="410"/>
      <c r="C183" s="411"/>
      <c r="D183" s="41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row>
    <row r="184">
      <c r="A184" s="409"/>
      <c r="B184" s="410"/>
      <c r="C184" s="411"/>
      <c r="D184" s="41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row>
    <row r="185">
      <c r="A185" s="409"/>
      <c r="B185" s="410"/>
      <c r="C185" s="411"/>
      <c r="D185" s="41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row>
    <row r="186">
      <c r="A186" s="409"/>
      <c r="B186" s="410"/>
      <c r="C186" s="411"/>
      <c r="D186" s="41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row>
    <row r="187">
      <c r="A187" s="409"/>
      <c r="B187" s="410"/>
      <c r="C187" s="411"/>
      <c r="D187" s="41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row>
    <row r="188">
      <c r="A188" s="409"/>
      <c r="B188" s="410"/>
      <c r="C188" s="411"/>
      <c r="D188" s="41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row>
    <row r="189">
      <c r="A189" s="409"/>
      <c r="B189" s="410"/>
      <c r="C189" s="411"/>
      <c r="D189" s="41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row>
    <row r="190">
      <c r="A190" s="409"/>
      <c r="B190" s="410"/>
      <c r="C190" s="411"/>
      <c r="D190" s="41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row>
    <row r="191">
      <c r="A191" s="409"/>
      <c r="B191" s="410"/>
      <c r="C191" s="411"/>
      <c r="D191" s="41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row>
    <row r="192">
      <c r="A192" s="409"/>
      <c r="B192" s="410"/>
      <c r="C192" s="411"/>
      <c r="D192" s="41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row>
    <row r="193">
      <c r="A193" s="409"/>
      <c r="B193" s="410"/>
      <c r="C193" s="411"/>
      <c r="D193" s="41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row>
    <row r="194">
      <c r="A194" s="409"/>
      <c r="B194" s="410"/>
      <c r="C194" s="411"/>
      <c r="D194" s="41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row>
    <row r="195">
      <c r="A195" s="409"/>
      <c r="B195" s="410"/>
      <c r="C195" s="411"/>
      <c r="D195" s="41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row>
    <row r="196">
      <c r="A196" s="409"/>
      <c r="B196" s="410"/>
      <c r="C196" s="411"/>
      <c r="D196" s="41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row>
    <row r="197">
      <c r="A197" s="409"/>
      <c r="B197" s="410"/>
      <c r="C197" s="411"/>
      <c r="D197" s="41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row>
    <row r="198">
      <c r="A198" s="409"/>
      <c r="B198" s="410"/>
      <c r="C198" s="411"/>
      <c r="D198" s="41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row>
    <row r="199">
      <c r="A199" s="409"/>
      <c r="B199" s="410"/>
      <c r="C199" s="411"/>
      <c r="D199" s="41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row>
    <row r="200">
      <c r="A200" s="409"/>
      <c r="B200" s="410"/>
      <c r="C200" s="411"/>
      <c r="D200" s="41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row>
    <row r="201">
      <c r="A201" s="409"/>
      <c r="B201" s="410"/>
      <c r="C201" s="411"/>
      <c r="D201" s="41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row>
    <row r="202">
      <c r="A202" s="409"/>
      <c r="B202" s="410"/>
      <c r="C202" s="411"/>
      <c r="D202" s="41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row>
    <row r="203">
      <c r="A203" s="409"/>
      <c r="B203" s="410"/>
      <c r="C203" s="411"/>
      <c r="D203" s="41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row>
    <row r="204">
      <c r="A204" s="409"/>
      <c r="B204" s="410"/>
      <c r="C204" s="411"/>
      <c r="D204" s="41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row>
    <row r="205">
      <c r="A205" s="409"/>
      <c r="B205" s="410"/>
      <c r="C205" s="411"/>
      <c r="D205" s="41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row>
    <row r="206">
      <c r="A206" s="409"/>
      <c r="B206" s="410"/>
      <c r="C206" s="411"/>
      <c r="D206" s="41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row>
    <row r="207">
      <c r="A207" s="409"/>
      <c r="B207" s="410"/>
      <c r="C207" s="411"/>
      <c r="D207" s="41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row>
    <row r="208">
      <c r="A208" s="409"/>
      <c r="B208" s="410"/>
      <c r="C208" s="411"/>
      <c r="D208" s="41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row>
    <row r="209">
      <c r="A209" s="409"/>
      <c r="B209" s="410"/>
      <c r="C209" s="411"/>
      <c r="D209" s="41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row>
    <row r="210">
      <c r="A210" s="409"/>
      <c r="B210" s="410"/>
      <c r="C210" s="411"/>
      <c r="D210" s="41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row>
    <row r="211">
      <c r="A211" s="409"/>
      <c r="B211" s="410"/>
      <c r="C211" s="411"/>
      <c r="D211" s="41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row>
    <row r="212">
      <c r="A212" s="409"/>
      <c r="B212" s="410"/>
      <c r="C212" s="411"/>
      <c r="D212" s="41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row>
    <row r="213">
      <c r="A213" s="409"/>
      <c r="B213" s="410"/>
      <c r="C213" s="411"/>
      <c r="D213" s="41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row>
    <row r="214">
      <c r="A214" s="409"/>
      <c r="B214" s="410"/>
      <c r="C214" s="411"/>
      <c r="D214" s="41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row>
    <row r="215">
      <c r="A215" s="409"/>
      <c r="B215" s="410"/>
      <c r="C215" s="411"/>
      <c r="D215" s="41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row>
    <row r="216">
      <c r="A216" s="409"/>
      <c r="B216" s="410"/>
      <c r="C216" s="411"/>
      <c r="D216" s="41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row>
    <row r="217">
      <c r="A217" s="409"/>
      <c r="B217" s="410"/>
      <c r="C217" s="411"/>
      <c r="D217" s="41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row>
    <row r="218">
      <c r="A218" s="409"/>
      <c r="B218" s="410"/>
      <c r="C218" s="411"/>
      <c r="D218" s="41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row>
    <row r="219">
      <c r="A219" s="409"/>
      <c r="B219" s="410"/>
      <c r="C219" s="411"/>
      <c r="D219" s="41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row>
    <row r="220">
      <c r="A220" s="409"/>
      <c r="B220" s="410"/>
      <c r="C220" s="411"/>
      <c r="D220" s="41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row>
    <row r="221">
      <c r="A221" s="409"/>
      <c r="B221" s="410"/>
      <c r="C221" s="411"/>
      <c r="D221" s="41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row>
    <row r="222">
      <c r="A222" s="409"/>
      <c r="B222" s="410"/>
      <c r="C222" s="411"/>
      <c r="D222" s="41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row>
    <row r="223">
      <c r="A223" s="409"/>
      <c r="B223" s="410"/>
      <c r="C223" s="411"/>
      <c r="D223" s="41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row>
    <row r="224">
      <c r="A224" s="409"/>
      <c r="B224" s="410"/>
      <c r="C224" s="411"/>
      <c r="D224" s="41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row>
    <row r="225">
      <c r="A225" s="409"/>
      <c r="B225" s="410"/>
      <c r="C225" s="411"/>
      <c r="D225" s="41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row>
    <row r="226">
      <c r="A226" s="409"/>
      <c r="B226" s="410"/>
      <c r="C226" s="411"/>
      <c r="D226" s="41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row>
    <row r="227">
      <c r="A227" s="409"/>
      <c r="B227" s="410"/>
      <c r="C227" s="411"/>
      <c r="D227" s="41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row>
    <row r="228">
      <c r="A228" s="409"/>
      <c r="B228" s="410"/>
      <c r="C228" s="411"/>
      <c r="D228" s="41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row>
    <row r="229">
      <c r="A229" s="409"/>
      <c r="B229" s="410"/>
      <c r="C229" s="411"/>
      <c r="D229" s="41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row>
    <row r="230">
      <c r="A230" s="409"/>
      <c r="B230" s="410"/>
      <c r="C230" s="411"/>
      <c r="D230" s="41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row>
    <row r="231">
      <c r="A231" s="409"/>
      <c r="B231" s="410"/>
      <c r="C231" s="411"/>
      <c r="D231" s="41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row>
    <row r="232">
      <c r="A232" s="409"/>
      <c r="B232" s="410"/>
      <c r="C232" s="411"/>
      <c r="D232" s="41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row>
    <row r="233">
      <c r="A233" s="409"/>
      <c r="B233" s="410"/>
      <c r="C233" s="411"/>
      <c r="D233" s="41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row>
    <row r="234">
      <c r="A234" s="409"/>
      <c r="B234" s="410"/>
      <c r="C234" s="411"/>
      <c r="D234" s="41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row>
    <row r="235">
      <c r="A235" s="409"/>
      <c r="B235" s="410"/>
      <c r="C235" s="411"/>
      <c r="D235" s="41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row>
    <row r="236">
      <c r="A236" s="409"/>
      <c r="B236" s="410"/>
      <c r="C236" s="411"/>
      <c r="D236" s="41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row>
    <row r="237">
      <c r="A237" s="409"/>
      <c r="B237" s="410"/>
      <c r="C237" s="411"/>
      <c r="D237" s="41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row>
    <row r="238">
      <c r="A238" s="409"/>
      <c r="B238" s="410"/>
      <c r="C238" s="411"/>
      <c r="D238" s="41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row>
    <row r="239">
      <c r="A239" s="409"/>
      <c r="B239" s="410"/>
      <c r="C239" s="411"/>
      <c r="D239" s="41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row>
    <row r="240">
      <c r="A240" s="409"/>
      <c r="B240" s="410"/>
      <c r="C240" s="411"/>
      <c r="D240" s="41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row>
    <row r="241">
      <c r="A241" s="409"/>
      <c r="B241" s="410"/>
      <c r="C241" s="411"/>
      <c r="D241" s="41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row>
    <row r="242">
      <c r="A242" s="409"/>
      <c r="B242" s="410"/>
      <c r="C242" s="411"/>
      <c r="D242" s="41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row>
    <row r="243">
      <c r="A243" s="409"/>
      <c r="B243" s="410"/>
      <c r="C243" s="411"/>
      <c r="D243" s="41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row>
    <row r="244">
      <c r="A244" s="409"/>
      <c r="B244" s="410"/>
      <c r="C244" s="411"/>
      <c r="D244" s="41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row>
    <row r="245">
      <c r="A245" s="409"/>
      <c r="B245" s="410"/>
      <c r="C245" s="411"/>
      <c r="D245" s="41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row>
    <row r="246">
      <c r="A246" s="409"/>
      <c r="B246" s="410"/>
      <c r="C246" s="411"/>
      <c r="D246" s="41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row>
    <row r="247">
      <c r="A247" s="409"/>
      <c r="B247" s="410"/>
      <c r="C247" s="411"/>
      <c r="D247" s="41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row>
    <row r="248">
      <c r="A248" s="409"/>
      <c r="B248" s="410"/>
      <c r="C248" s="411"/>
      <c r="D248" s="41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row>
    <row r="249">
      <c r="A249" s="409"/>
      <c r="B249" s="410"/>
      <c r="C249" s="411"/>
      <c r="D249" s="41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row>
    <row r="250">
      <c r="A250" s="409"/>
      <c r="B250" s="410"/>
      <c r="C250" s="411"/>
      <c r="D250" s="41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row>
    <row r="251">
      <c r="A251" s="409"/>
      <c r="B251" s="410"/>
      <c r="C251" s="411"/>
      <c r="D251" s="41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row>
    <row r="252">
      <c r="A252" s="409"/>
      <c r="B252" s="410"/>
      <c r="C252" s="411"/>
      <c r="D252" s="41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row>
    <row r="253">
      <c r="A253" s="409"/>
      <c r="B253" s="410"/>
      <c r="C253" s="411"/>
      <c r="D253" s="41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row>
    <row r="254">
      <c r="A254" s="409"/>
      <c r="B254" s="410"/>
      <c r="C254" s="411"/>
      <c r="D254" s="41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row>
    <row r="255">
      <c r="A255" s="409"/>
      <c r="B255" s="410"/>
      <c r="C255" s="411"/>
      <c r="D255" s="41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row>
    <row r="256">
      <c r="A256" s="409"/>
      <c r="B256" s="410"/>
      <c r="C256" s="411"/>
      <c r="D256" s="41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row>
    <row r="257">
      <c r="A257" s="409"/>
      <c r="B257" s="410"/>
      <c r="C257" s="411"/>
      <c r="D257" s="41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row>
    <row r="258">
      <c r="A258" s="409"/>
      <c r="B258" s="410"/>
      <c r="C258" s="411"/>
      <c r="D258" s="41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row>
    <row r="259">
      <c r="A259" s="409"/>
      <c r="B259" s="410"/>
      <c r="C259" s="411"/>
      <c r="D259" s="41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row>
    <row r="260">
      <c r="A260" s="409"/>
      <c r="B260" s="410"/>
      <c r="C260" s="411"/>
      <c r="D260" s="41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row>
    <row r="261">
      <c r="A261" s="409"/>
      <c r="B261" s="410"/>
      <c r="C261" s="411"/>
      <c r="D261" s="41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row>
    <row r="262">
      <c r="A262" s="409"/>
      <c r="B262" s="410"/>
      <c r="C262" s="411"/>
      <c r="D262" s="41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row>
    <row r="263">
      <c r="A263" s="409"/>
      <c r="B263" s="410"/>
      <c r="C263" s="411"/>
      <c r="D263" s="41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row>
    <row r="264">
      <c r="A264" s="409"/>
      <c r="B264" s="410"/>
      <c r="C264" s="411"/>
      <c r="D264" s="41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row>
    <row r="265">
      <c r="A265" s="409"/>
      <c r="B265" s="410"/>
      <c r="C265" s="411"/>
      <c r="D265" s="41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row>
    <row r="266">
      <c r="A266" s="409"/>
      <c r="B266" s="410"/>
      <c r="C266" s="411"/>
      <c r="D266" s="41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row>
    <row r="267">
      <c r="A267" s="409"/>
      <c r="B267" s="410"/>
      <c r="C267" s="411"/>
      <c r="D267" s="41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row>
    <row r="268">
      <c r="A268" s="409"/>
      <c r="B268" s="410"/>
      <c r="C268" s="411"/>
      <c r="D268" s="41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row>
    <row r="269">
      <c r="A269" s="409"/>
      <c r="B269" s="410"/>
      <c r="C269" s="411"/>
      <c r="D269" s="41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row>
    <row r="270">
      <c r="A270" s="409"/>
      <c r="B270" s="410"/>
      <c r="C270" s="411"/>
      <c r="D270" s="41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row>
    <row r="271">
      <c r="A271" s="409"/>
      <c r="B271" s="410"/>
      <c r="C271" s="411"/>
      <c r="D271" s="41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row>
    <row r="272">
      <c r="A272" s="409"/>
      <c r="B272" s="410"/>
      <c r="C272" s="411"/>
      <c r="D272" s="41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row>
    <row r="273">
      <c r="A273" s="409"/>
      <c r="B273" s="410"/>
      <c r="C273" s="411"/>
      <c r="D273" s="41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row>
    <row r="274">
      <c r="A274" s="409"/>
      <c r="B274" s="410"/>
      <c r="C274" s="411"/>
      <c r="D274" s="41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row>
    <row r="275">
      <c r="A275" s="409"/>
      <c r="B275" s="410"/>
      <c r="C275" s="411"/>
      <c r="D275" s="41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row>
    <row r="276">
      <c r="A276" s="409"/>
      <c r="B276" s="410"/>
      <c r="C276" s="411"/>
      <c r="D276" s="41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row>
    <row r="277">
      <c r="A277" s="409"/>
      <c r="B277" s="410"/>
      <c r="C277" s="411"/>
      <c r="D277" s="41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row>
    <row r="278">
      <c r="A278" s="409"/>
      <c r="B278" s="410"/>
      <c r="C278" s="411"/>
      <c r="D278" s="41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row>
    <row r="279">
      <c r="A279" s="409"/>
      <c r="B279" s="410"/>
      <c r="C279" s="411"/>
      <c r="D279" s="41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row>
    <row r="280">
      <c r="A280" s="409"/>
      <c r="B280" s="410"/>
      <c r="C280" s="411"/>
      <c r="D280" s="41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row>
    <row r="281">
      <c r="A281" s="409"/>
      <c r="B281" s="410"/>
      <c r="C281" s="411"/>
      <c r="D281" s="41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row>
    <row r="282">
      <c r="A282" s="409"/>
      <c r="B282" s="410"/>
      <c r="C282" s="411"/>
      <c r="D282" s="41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row>
    <row r="283">
      <c r="A283" s="409"/>
      <c r="B283" s="410"/>
      <c r="C283" s="411"/>
      <c r="D283" s="41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row>
    <row r="284">
      <c r="A284" s="409"/>
      <c r="B284" s="410"/>
      <c r="C284" s="411"/>
      <c r="D284" s="41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row>
    <row r="285">
      <c r="A285" s="409"/>
      <c r="B285" s="410"/>
      <c r="C285" s="411"/>
      <c r="D285" s="41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row>
    <row r="286">
      <c r="A286" s="409"/>
      <c r="B286" s="410"/>
      <c r="C286" s="411"/>
      <c r="D286" s="41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row>
    <row r="287">
      <c r="A287" s="409"/>
      <c r="B287" s="410"/>
      <c r="C287" s="411"/>
      <c r="D287" s="41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row>
    <row r="288">
      <c r="A288" s="409"/>
      <c r="B288" s="410"/>
      <c r="C288" s="411"/>
      <c r="D288" s="41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row>
    <row r="289">
      <c r="A289" s="409"/>
      <c r="B289" s="410"/>
      <c r="C289" s="411"/>
      <c r="D289" s="41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row>
    <row r="290">
      <c r="A290" s="409"/>
      <c r="B290" s="410"/>
      <c r="C290" s="411"/>
      <c r="D290" s="41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row>
    <row r="291">
      <c r="A291" s="409"/>
      <c r="B291" s="410"/>
      <c r="C291" s="411"/>
      <c r="D291" s="41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row>
    <row r="292">
      <c r="A292" s="409"/>
      <c r="B292" s="410"/>
      <c r="C292" s="411"/>
      <c r="D292" s="41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row>
    <row r="293">
      <c r="A293" s="409"/>
      <c r="B293" s="410"/>
      <c r="C293" s="411"/>
      <c r="D293" s="41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row>
    <row r="294">
      <c r="A294" s="409"/>
      <c r="B294" s="410"/>
      <c r="C294" s="411"/>
      <c r="D294" s="41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row>
    <row r="295">
      <c r="A295" s="409"/>
      <c r="B295" s="410"/>
      <c r="C295" s="411"/>
      <c r="D295" s="41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row>
    <row r="296">
      <c r="A296" s="409"/>
      <c r="B296" s="410"/>
      <c r="C296" s="411"/>
      <c r="D296" s="41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row>
    <row r="297">
      <c r="A297" s="409"/>
      <c r="B297" s="410"/>
      <c r="C297" s="411"/>
      <c r="D297" s="41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row>
    <row r="298">
      <c r="A298" s="409"/>
      <c r="B298" s="410"/>
      <c r="C298" s="411"/>
      <c r="D298" s="41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row>
    <row r="299">
      <c r="A299" s="409"/>
      <c r="B299" s="410"/>
      <c r="C299" s="411"/>
      <c r="D299" s="41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row>
    <row r="300">
      <c r="A300" s="409"/>
      <c r="B300" s="410"/>
      <c r="C300" s="411"/>
      <c r="D300" s="41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row>
    <row r="301">
      <c r="A301" s="409"/>
      <c r="B301" s="410"/>
      <c r="C301" s="411"/>
      <c r="D301" s="41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row>
    <row r="302">
      <c r="A302" s="409"/>
      <c r="B302" s="410"/>
      <c r="C302" s="411"/>
      <c r="D302" s="41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row>
    <row r="303">
      <c r="A303" s="409"/>
      <c r="B303" s="410"/>
      <c r="C303" s="411"/>
      <c r="D303" s="41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row>
    <row r="304">
      <c r="A304" s="409"/>
      <c r="B304" s="410"/>
      <c r="C304" s="411"/>
      <c r="D304" s="41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row>
    <row r="305">
      <c r="A305" s="409"/>
      <c r="B305" s="410"/>
      <c r="C305" s="411"/>
      <c r="D305" s="41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row>
    <row r="306">
      <c r="A306" s="409"/>
      <c r="B306" s="410"/>
      <c r="C306" s="411"/>
      <c r="D306" s="41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row>
    <row r="307">
      <c r="A307" s="409"/>
      <c r="B307" s="410"/>
      <c r="C307" s="411"/>
      <c r="D307" s="41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row>
    <row r="308">
      <c r="A308" s="409"/>
      <c r="B308" s="410"/>
      <c r="C308" s="411"/>
      <c r="D308" s="41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row>
    <row r="309">
      <c r="A309" s="409"/>
      <c r="B309" s="410"/>
      <c r="C309" s="411"/>
      <c r="D309" s="41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row>
    <row r="310">
      <c r="A310" s="409"/>
      <c r="B310" s="410"/>
      <c r="C310" s="411"/>
      <c r="D310" s="41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row>
    <row r="311">
      <c r="A311" s="409"/>
      <c r="B311" s="410"/>
      <c r="C311" s="411"/>
      <c r="D311" s="41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row>
    <row r="312">
      <c r="A312" s="409"/>
      <c r="B312" s="410"/>
      <c r="C312" s="411"/>
      <c r="D312" s="41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row>
    <row r="313">
      <c r="A313" s="409"/>
      <c r="B313" s="410"/>
      <c r="C313" s="411"/>
      <c r="D313" s="41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row>
    <row r="314">
      <c r="A314" s="409"/>
      <c r="B314" s="410"/>
      <c r="C314" s="411"/>
      <c r="D314" s="41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row>
    <row r="315">
      <c r="A315" s="409"/>
      <c r="B315" s="410"/>
      <c r="C315" s="411"/>
      <c r="D315" s="41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row>
    <row r="316">
      <c r="A316" s="409"/>
      <c r="B316" s="410"/>
      <c r="C316" s="411"/>
      <c r="D316" s="41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row>
    <row r="317">
      <c r="A317" s="409"/>
      <c r="B317" s="410"/>
      <c r="C317" s="411"/>
      <c r="D317" s="41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row>
    <row r="318">
      <c r="A318" s="409"/>
      <c r="B318" s="410"/>
      <c r="C318" s="411"/>
      <c r="D318" s="41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row>
    <row r="319">
      <c r="A319" s="409"/>
      <c r="B319" s="410"/>
      <c r="C319" s="411"/>
      <c r="D319" s="41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row>
    <row r="320">
      <c r="A320" s="409"/>
      <c r="B320" s="410"/>
      <c r="C320" s="411"/>
      <c r="D320" s="41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row>
    <row r="321">
      <c r="A321" s="409"/>
      <c r="B321" s="410"/>
      <c r="C321" s="411"/>
      <c r="D321" s="41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row>
    <row r="322">
      <c r="A322" s="409"/>
      <c r="B322" s="410"/>
      <c r="C322" s="411"/>
      <c r="D322" s="41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row>
    <row r="323">
      <c r="A323" s="409"/>
      <c r="B323" s="410"/>
      <c r="C323" s="411"/>
      <c r="D323" s="41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row>
    <row r="324">
      <c r="A324" s="409"/>
      <c r="B324" s="410"/>
      <c r="C324" s="411"/>
      <c r="D324" s="41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row>
    <row r="325">
      <c r="A325" s="409"/>
      <c r="B325" s="410"/>
      <c r="C325" s="411"/>
      <c r="D325" s="41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row>
    <row r="326">
      <c r="A326" s="409"/>
      <c r="B326" s="410"/>
      <c r="C326" s="411"/>
      <c r="D326" s="41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row>
    <row r="327">
      <c r="A327" s="409"/>
      <c r="B327" s="410"/>
      <c r="C327" s="411"/>
      <c r="D327" s="41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row>
    <row r="328">
      <c r="A328" s="409"/>
      <c r="B328" s="410"/>
      <c r="C328" s="411"/>
      <c r="D328" s="41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row>
    <row r="329">
      <c r="A329" s="409"/>
      <c r="B329" s="410"/>
      <c r="C329" s="411"/>
      <c r="D329" s="41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row>
    <row r="330">
      <c r="A330" s="409"/>
      <c r="B330" s="410"/>
      <c r="C330" s="411"/>
      <c r="D330" s="41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row>
    <row r="331">
      <c r="A331" s="409"/>
      <c r="B331" s="410"/>
      <c r="C331" s="411"/>
      <c r="D331" s="41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row>
    <row r="332">
      <c r="A332" s="409"/>
      <c r="B332" s="410"/>
      <c r="C332" s="411"/>
      <c r="D332" s="41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row>
    <row r="333">
      <c r="A333" s="409"/>
      <c r="B333" s="410"/>
      <c r="C333" s="411"/>
      <c r="D333" s="41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row>
    <row r="334">
      <c r="A334" s="409"/>
      <c r="B334" s="410"/>
      <c r="C334" s="411"/>
      <c r="D334" s="41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row>
    <row r="335">
      <c r="A335" s="409"/>
      <c r="B335" s="410"/>
      <c r="C335" s="411"/>
      <c r="D335" s="41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row>
    <row r="336">
      <c r="A336" s="409"/>
      <c r="B336" s="410"/>
      <c r="C336" s="411"/>
      <c r="D336" s="41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row>
    <row r="337">
      <c r="A337" s="409"/>
      <c r="B337" s="410"/>
      <c r="C337" s="411"/>
      <c r="D337" s="41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row>
    <row r="338">
      <c r="A338" s="409"/>
      <c r="B338" s="410"/>
      <c r="C338" s="411"/>
      <c r="D338" s="41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row>
    <row r="339">
      <c r="A339" s="409"/>
      <c r="B339" s="410"/>
      <c r="C339" s="411"/>
      <c r="D339" s="41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row>
    <row r="340">
      <c r="A340" s="409"/>
      <c r="B340" s="410"/>
      <c r="C340" s="411"/>
      <c r="D340" s="41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row>
    <row r="341">
      <c r="A341" s="409"/>
      <c r="B341" s="410"/>
      <c r="C341" s="411"/>
      <c r="D341" s="41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row>
    <row r="342">
      <c r="A342" s="409"/>
      <c r="B342" s="410"/>
      <c r="C342" s="411"/>
      <c r="D342" s="41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row>
    <row r="343">
      <c r="A343" s="409"/>
      <c r="B343" s="410"/>
      <c r="C343" s="411"/>
      <c r="D343" s="41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row>
    <row r="344">
      <c r="A344" s="409"/>
      <c r="B344" s="410"/>
      <c r="C344" s="411"/>
      <c r="D344" s="41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row>
    <row r="345">
      <c r="A345" s="409"/>
      <c r="B345" s="410"/>
      <c r="C345" s="411"/>
      <c r="D345" s="41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row>
    <row r="346">
      <c r="A346" s="409"/>
      <c r="B346" s="410"/>
      <c r="C346" s="411"/>
      <c r="D346" s="41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row>
    <row r="347">
      <c r="A347" s="409"/>
      <c r="B347" s="410"/>
      <c r="C347" s="411"/>
      <c r="D347" s="41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row>
    <row r="348">
      <c r="A348" s="409"/>
      <c r="B348" s="410"/>
      <c r="C348" s="411"/>
      <c r="D348" s="41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row>
    <row r="349">
      <c r="A349" s="409"/>
      <c r="B349" s="410"/>
      <c r="C349" s="411"/>
      <c r="D349" s="41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row>
    <row r="350">
      <c r="A350" s="409"/>
      <c r="B350" s="410"/>
      <c r="C350" s="411"/>
      <c r="D350" s="41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row>
    <row r="351">
      <c r="A351" s="409"/>
      <c r="B351" s="410"/>
      <c r="C351" s="411"/>
      <c r="D351" s="41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row>
    <row r="352">
      <c r="A352" s="409"/>
      <c r="B352" s="410"/>
      <c r="C352" s="411"/>
      <c r="D352" s="41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row>
    <row r="353">
      <c r="A353" s="409"/>
      <c r="B353" s="410"/>
      <c r="C353" s="411"/>
      <c r="D353" s="41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row>
    <row r="354">
      <c r="A354" s="409"/>
      <c r="B354" s="410"/>
      <c r="C354" s="411"/>
      <c r="D354" s="41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row>
    <row r="355">
      <c r="A355" s="409"/>
      <c r="B355" s="410"/>
      <c r="C355" s="411"/>
      <c r="D355" s="41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row>
    <row r="356">
      <c r="A356" s="409"/>
      <c r="B356" s="410"/>
      <c r="C356" s="411"/>
      <c r="D356" s="41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row>
    <row r="357">
      <c r="A357" s="409"/>
      <c r="B357" s="410"/>
      <c r="C357" s="411"/>
      <c r="D357" s="41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row>
    <row r="358">
      <c r="A358" s="409"/>
      <c r="B358" s="410"/>
      <c r="C358" s="411"/>
      <c r="D358" s="41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row>
    <row r="359">
      <c r="A359" s="409"/>
      <c r="B359" s="410"/>
      <c r="C359" s="411"/>
      <c r="D359" s="41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row>
    <row r="360">
      <c r="A360" s="409"/>
      <c r="B360" s="410"/>
      <c r="C360" s="411"/>
      <c r="D360" s="41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row>
    <row r="361">
      <c r="A361" s="409"/>
      <c r="B361" s="410"/>
      <c r="C361" s="411"/>
      <c r="D361" s="41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row>
    <row r="362">
      <c r="A362" s="409"/>
      <c r="B362" s="410"/>
      <c r="C362" s="411"/>
      <c r="D362" s="41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row>
    <row r="363">
      <c r="A363" s="409"/>
      <c r="B363" s="410"/>
      <c r="C363" s="411"/>
      <c r="D363" s="41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row>
    <row r="364">
      <c r="A364" s="409"/>
      <c r="B364" s="410"/>
      <c r="C364" s="411"/>
      <c r="D364" s="41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row>
    <row r="365">
      <c r="A365" s="409"/>
      <c r="B365" s="410"/>
      <c r="C365" s="411"/>
      <c r="D365" s="41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row>
    <row r="366">
      <c r="A366" s="409"/>
      <c r="B366" s="410"/>
      <c r="C366" s="411"/>
      <c r="D366" s="41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row>
    <row r="367">
      <c r="A367" s="409"/>
      <c r="B367" s="410"/>
      <c r="C367" s="411"/>
      <c r="D367" s="41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row>
    <row r="368">
      <c r="A368" s="409"/>
      <c r="B368" s="410"/>
      <c r="C368" s="411"/>
      <c r="D368" s="41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row>
    <row r="369">
      <c r="A369" s="409"/>
      <c r="B369" s="410"/>
      <c r="C369" s="411"/>
      <c r="D369" s="41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row>
    <row r="370">
      <c r="A370" s="409"/>
      <c r="B370" s="410"/>
      <c r="C370" s="411"/>
      <c r="D370" s="41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row>
    <row r="371">
      <c r="A371" s="409"/>
      <c r="B371" s="410"/>
      <c r="C371" s="411"/>
      <c r="D371" s="41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row>
    <row r="372">
      <c r="A372" s="409"/>
      <c r="B372" s="410"/>
      <c r="C372" s="411"/>
      <c r="D372" s="41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row>
    <row r="373">
      <c r="A373" s="409"/>
      <c r="B373" s="410"/>
      <c r="C373" s="411"/>
      <c r="D373" s="41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row>
    <row r="374">
      <c r="A374" s="409"/>
      <c r="B374" s="410"/>
      <c r="C374" s="411"/>
      <c r="D374" s="41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row>
    <row r="375">
      <c r="A375" s="409"/>
      <c r="B375" s="410"/>
      <c r="C375" s="411"/>
      <c r="D375" s="41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row>
    <row r="376">
      <c r="A376" s="409"/>
      <c r="B376" s="410"/>
      <c r="C376" s="411"/>
      <c r="D376" s="41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row>
    <row r="377">
      <c r="A377" s="409"/>
      <c r="B377" s="410"/>
      <c r="C377" s="411"/>
      <c r="D377" s="41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row>
    <row r="378">
      <c r="A378" s="409"/>
      <c r="B378" s="410"/>
      <c r="C378" s="411"/>
      <c r="D378" s="41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row>
    <row r="379">
      <c r="A379" s="409"/>
      <c r="B379" s="410"/>
      <c r="C379" s="411"/>
      <c r="D379" s="41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row>
    <row r="380">
      <c r="A380" s="409"/>
      <c r="B380" s="410"/>
      <c r="C380" s="411"/>
      <c r="D380" s="41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row>
    <row r="381">
      <c r="A381" s="409"/>
      <c r="B381" s="410"/>
      <c r="C381" s="411"/>
      <c r="D381" s="41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row>
    <row r="382">
      <c r="A382" s="409"/>
      <c r="B382" s="410"/>
      <c r="C382" s="411"/>
      <c r="D382" s="41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row>
    <row r="383">
      <c r="A383" s="409"/>
      <c r="B383" s="410"/>
      <c r="C383" s="411"/>
      <c r="D383" s="41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row>
    <row r="384">
      <c r="A384" s="409"/>
      <c r="B384" s="410"/>
      <c r="C384" s="411"/>
      <c r="D384" s="41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row>
    <row r="385">
      <c r="A385" s="409"/>
      <c r="B385" s="410"/>
      <c r="C385" s="411"/>
      <c r="D385" s="41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row>
    <row r="386">
      <c r="A386" s="409"/>
      <c r="B386" s="410"/>
      <c r="C386" s="411"/>
      <c r="D386" s="41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row>
    <row r="387">
      <c r="A387" s="409"/>
      <c r="B387" s="410"/>
      <c r="C387" s="411"/>
      <c r="D387" s="41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row>
    <row r="388">
      <c r="A388" s="409"/>
      <c r="B388" s="410"/>
      <c r="C388" s="411"/>
      <c r="D388" s="41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row>
    <row r="389">
      <c r="A389" s="409"/>
      <c r="B389" s="410"/>
      <c r="C389" s="411"/>
      <c r="D389" s="41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row>
    <row r="390">
      <c r="A390" s="409"/>
      <c r="B390" s="410"/>
      <c r="C390" s="411"/>
      <c r="D390" s="41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row>
    <row r="391">
      <c r="A391" s="409"/>
      <c r="B391" s="410"/>
      <c r="C391" s="411"/>
      <c r="D391" s="41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row>
    <row r="392">
      <c r="A392" s="409"/>
      <c r="B392" s="410"/>
      <c r="C392" s="411"/>
      <c r="D392" s="41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row>
    <row r="393">
      <c r="A393" s="409"/>
      <c r="B393" s="410"/>
      <c r="C393" s="411"/>
      <c r="D393" s="41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row>
    <row r="394">
      <c r="A394" s="409"/>
      <c r="B394" s="410"/>
      <c r="C394" s="411"/>
      <c r="D394" s="41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row>
    <row r="395">
      <c r="A395" s="409"/>
      <c r="B395" s="410"/>
      <c r="C395" s="411"/>
      <c r="D395" s="41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row>
    <row r="396">
      <c r="A396" s="409"/>
      <c r="B396" s="410"/>
      <c r="C396" s="411"/>
      <c r="D396" s="41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row>
    <row r="397">
      <c r="A397" s="409"/>
      <c r="B397" s="410"/>
      <c r="C397" s="411"/>
      <c r="D397" s="41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row>
    <row r="398">
      <c r="A398" s="409"/>
      <c r="B398" s="410"/>
      <c r="C398" s="411"/>
      <c r="D398" s="41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row>
    <row r="399">
      <c r="A399" s="409"/>
      <c r="B399" s="410"/>
      <c r="C399" s="411"/>
      <c r="D399" s="41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row>
    <row r="400">
      <c r="A400" s="409"/>
      <c r="B400" s="410"/>
      <c r="C400" s="411"/>
      <c r="D400" s="41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row>
    <row r="401">
      <c r="A401" s="409"/>
      <c r="B401" s="410"/>
      <c r="C401" s="411"/>
      <c r="D401" s="41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row>
    <row r="402">
      <c r="A402" s="409"/>
      <c r="B402" s="410"/>
      <c r="C402" s="411"/>
      <c r="D402" s="41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row>
    <row r="403">
      <c r="A403" s="409"/>
      <c r="B403" s="410"/>
      <c r="C403" s="411"/>
      <c r="D403" s="41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row>
    <row r="404">
      <c r="A404" s="409"/>
      <c r="B404" s="410"/>
      <c r="C404" s="411"/>
      <c r="D404" s="41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row>
    <row r="405">
      <c r="A405" s="409"/>
      <c r="B405" s="410"/>
      <c r="C405" s="411"/>
      <c r="D405" s="41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row>
    <row r="406">
      <c r="A406" s="409"/>
      <c r="B406" s="410"/>
      <c r="C406" s="411"/>
      <c r="D406" s="41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row>
    <row r="407">
      <c r="A407" s="409"/>
      <c r="B407" s="410"/>
      <c r="C407" s="411"/>
      <c r="D407" s="41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row>
    <row r="408">
      <c r="A408" s="409"/>
      <c r="B408" s="410"/>
      <c r="C408" s="411"/>
      <c r="D408" s="41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row>
    <row r="409">
      <c r="A409" s="409"/>
      <c r="B409" s="410"/>
      <c r="C409" s="411"/>
      <c r="D409" s="41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row>
    <row r="410">
      <c r="A410" s="409"/>
      <c r="B410" s="410"/>
      <c r="C410" s="411"/>
      <c r="D410" s="41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row>
    <row r="411">
      <c r="A411" s="409"/>
      <c r="B411" s="410"/>
      <c r="C411" s="411"/>
      <c r="D411" s="41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row>
    <row r="412">
      <c r="A412" s="409"/>
      <c r="B412" s="410"/>
      <c r="C412" s="411"/>
      <c r="D412" s="41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row>
    <row r="413">
      <c r="A413" s="409"/>
      <c r="B413" s="410"/>
      <c r="C413" s="411"/>
      <c r="D413" s="41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row>
    <row r="414">
      <c r="A414" s="409"/>
      <c r="B414" s="410"/>
      <c r="C414" s="411"/>
      <c r="D414" s="41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row>
    <row r="415">
      <c r="A415" s="409"/>
      <c r="B415" s="410"/>
      <c r="C415" s="411"/>
      <c r="D415" s="41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row>
    <row r="416">
      <c r="A416" s="409"/>
      <c r="B416" s="410"/>
      <c r="C416" s="411"/>
      <c r="D416" s="41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row>
    <row r="417">
      <c r="A417" s="409"/>
      <c r="B417" s="410"/>
      <c r="C417" s="411"/>
      <c r="D417" s="41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row>
    <row r="418">
      <c r="A418" s="409"/>
      <c r="B418" s="410"/>
      <c r="C418" s="411"/>
      <c r="D418" s="41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row>
    <row r="419">
      <c r="A419" s="409"/>
      <c r="B419" s="410"/>
      <c r="C419" s="411"/>
      <c r="D419" s="41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row>
    <row r="420">
      <c r="A420" s="409"/>
      <c r="B420" s="410"/>
      <c r="C420" s="411"/>
      <c r="D420" s="41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row>
    <row r="421">
      <c r="A421" s="409"/>
      <c r="B421" s="410"/>
      <c r="C421" s="411"/>
      <c r="D421" s="41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row>
    <row r="422">
      <c r="A422" s="409"/>
      <c r="B422" s="410"/>
      <c r="C422" s="411"/>
      <c r="D422" s="41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row>
    <row r="423">
      <c r="A423" s="409"/>
      <c r="B423" s="410"/>
      <c r="C423" s="411"/>
      <c r="D423" s="41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row>
    <row r="424">
      <c r="A424" s="409"/>
      <c r="B424" s="410"/>
      <c r="C424" s="411"/>
      <c r="D424" s="41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row>
    <row r="425">
      <c r="A425" s="409"/>
      <c r="B425" s="410"/>
      <c r="C425" s="411"/>
      <c r="D425" s="41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row>
    <row r="426">
      <c r="A426" s="409"/>
      <c r="B426" s="410"/>
      <c r="C426" s="411"/>
      <c r="D426" s="41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row>
    <row r="427">
      <c r="A427" s="409"/>
      <c r="B427" s="410"/>
      <c r="C427" s="411"/>
      <c r="D427" s="41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row>
    <row r="428">
      <c r="A428" s="409"/>
      <c r="B428" s="410"/>
      <c r="C428" s="411"/>
      <c r="D428" s="41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row>
    <row r="429">
      <c r="A429" s="409"/>
      <c r="B429" s="410"/>
      <c r="C429" s="411"/>
      <c r="D429" s="41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row>
    <row r="430">
      <c r="A430" s="409"/>
      <c r="B430" s="410"/>
      <c r="C430" s="411"/>
      <c r="D430" s="41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row>
    <row r="431">
      <c r="A431" s="409"/>
      <c r="B431" s="410"/>
      <c r="C431" s="411"/>
      <c r="D431" s="41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row>
    <row r="432">
      <c r="A432" s="409"/>
      <c r="B432" s="410"/>
      <c r="C432" s="411"/>
      <c r="D432" s="41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row>
    <row r="433">
      <c r="A433" s="409"/>
      <c r="B433" s="410"/>
      <c r="C433" s="411"/>
      <c r="D433" s="41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row>
    <row r="434">
      <c r="A434" s="409"/>
      <c r="B434" s="410"/>
      <c r="C434" s="411"/>
      <c r="D434" s="41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row>
    <row r="435">
      <c r="A435" s="409"/>
      <c r="B435" s="410"/>
      <c r="C435" s="411"/>
      <c r="D435" s="41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row>
    <row r="436">
      <c r="A436" s="409"/>
      <c r="B436" s="410"/>
      <c r="C436" s="411"/>
      <c r="D436" s="41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row>
    <row r="437">
      <c r="A437" s="409"/>
      <c r="B437" s="410"/>
      <c r="C437" s="411"/>
      <c r="D437" s="41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row>
    <row r="438">
      <c r="A438" s="409"/>
      <c r="B438" s="410"/>
      <c r="C438" s="411"/>
      <c r="D438" s="41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row>
    <row r="439">
      <c r="A439" s="409"/>
      <c r="B439" s="410"/>
      <c r="C439" s="411"/>
      <c r="D439" s="41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row>
    <row r="440">
      <c r="A440" s="409"/>
      <c r="B440" s="410"/>
      <c r="C440" s="411"/>
      <c r="D440" s="41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row>
    <row r="441">
      <c r="A441" s="409"/>
      <c r="B441" s="410"/>
      <c r="C441" s="411"/>
      <c r="D441" s="41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row>
    <row r="442">
      <c r="A442" s="409"/>
      <c r="B442" s="410"/>
      <c r="C442" s="411"/>
      <c r="D442" s="41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row>
    <row r="443">
      <c r="A443" s="409"/>
      <c r="B443" s="410"/>
      <c r="C443" s="411"/>
      <c r="D443" s="41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row>
    <row r="444">
      <c r="A444" s="409"/>
      <c r="B444" s="410"/>
      <c r="C444" s="411"/>
      <c r="D444" s="41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row>
    <row r="445">
      <c r="A445" s="409"/>
      <c r="B445" s="410"/>
      <c r="C445" s="411"/>
      <c r="D445" s="41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row>
    <row r="446">
      <c r="A446" s="409"/>
      <c r="B446" s="410"/>
      <c r="C446" s="411"/>
      <c r="D446" s="41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row>
    <row r="447">
      <c r="A447" s="409"/>
      <c r="B447" s="410"/>
      <c r="C447" s="411"/>
      <c r="D447" s="41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row>
    <row r="448">
      <c r="A448" s="409"/>
      <c r="B448" s="410"/>
      <c r="C448" s="411"/>
      <c r="D448" s="41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row>
    <row r="449">
      <c r="A449" s="409"/>
      <c r="B449" s="410"/>
      <c r="C449" s="411"/>
      <c r="D449" s="41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row>
    <row r="450">
      <c r="A450" s="409"/>
      <c r="B450" s="410"/>
      <c r="C450" s="411"/>
      <c r="D450" s="41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row>
    <row r="451">
      <c r="A451" s="409"/>
      <c r="B451" s="410"/>
      <c r="C451" s="411"/>
      <c r="D451" s="41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row>
    <row r="452">
      <c r="A452" s="409"/>
      <c r="B452" s="410"/>
      <c r="C452" s="411"/>
      <c r="D452" s="41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row>
    <row r="453">
      <c r="A453" s="409"/>
      <c r="B453" s="410"/>
      <c r="C453" s="411"/>
      <c r="D453" s="41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row>
    <row r="454">
      <c r="A454" s="409"/>
      <c r="B454" s="410"/>
      <c r="C454" s="411"/>
      <c r="D454" s="41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row>
    <row r="455">
      <c r="A455" s="409"/>
      <c r="B455" s="410"/>
      <c r="C455" s="411"/>
      <c r="D455" s="41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row>
    <row r="456">
      <c r="A456" s="409"/>
      <c r="B456" s="410"/>
      <c r="C456" s="411"/>
      <c r="D456" s="41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row>
    <row r="457">
      <c r="A457" s="409"/>
      <c r="B457" s="410"/>
      <c r="C457" s="411"/>
      <c r="D457" s="41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row>
    <row r="458">
      <c r="A458" s="409"/>
      <c r="B458" s="410"/>
      <c r="C458" s="411"/>
      <c r="D458" s="41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row>
    <row r="459">
      <c r="A459" s="409"/>
      <c r="B459" s="410"/>
      <c r="C459" s="411"/>
      <c r="D459" s="41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row>
    <row r="460">
      <c r="A460" s="409"/>
      <c r="B460" s="410"/>
      <c r="C460" s="411"/>
      <c r="D460" s="41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row>
    <row r="461">
      <c r="A461" s="409"/>
      <c r="B461" s="410"/>
      <c r="C461" s="411"/>
      <c r="D461" s="41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row>
    <row r="462">
      <c r="A462" s="409"/>
      <c r="B462" s="410"/>
      <c r="C462" s="411"/>
      <c r="D462" s="41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row>
    <row r="463">
      <c r="A463" s="409"/>
      <c r="B463" s="410"/>
      <c r="C463" s="411"/>
      <c r="D463" s="41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row>
    <row r="464">
      <c r="A464" s="409"/>
      <c r="B464" s="410"/>
      <c r="C464" s="411"/>
      <c r="D464" s="41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row>
    <row r="465">
      <c r="A465" s="409"/>
      <c r="B465" s="410"/>
      <c r="C465" s="411"/>
      <c r="D465" s="41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row>
    <row r="466">
      <c r="A466" s="409"/>
      <c r="B466" s="410"/>
      <c r="C466" s="411"/>
      <c r="D466" s="41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row>
    <row r="467">
      <c r="A467" s="409"/>
      <c r="B467" s="410"/>
      <c r="C467" s="411"/>
      <c r="D467" s="41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row>
    <row r="468">
      <c r="A468" s="409"/>
      <c r="B468" s="410"/>
      <c r="C468" s="411"/>
      <c r="D468" s="41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row>
    <row r="469">
      <c r="A469" s="409"/>
      <c r="B469" s="410"/>
      <c r="C469" s="411"/>
      <c r="D469" s="41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row>
    <row r="470">
      <c r="A470" s="409"/>
      <c r="B470" s="410"/>
      <c r="C470" s="411"/>
      <c r="D470" s="41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row>
    <row r="471">
      <c r="A471" s="409"/>
      <c r="B471" s="410"/>
      <c r="C471" s="411"/>
      <c r="D471" s="41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row>
    <row r="472">
      <c r="A472" s="409"/>
      <c r="B472" s="410"/>
      <c r="C472" s="411"/>
      <c r="D472" s="41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row>
    <row r="473">
      <c r="A473" s="409"/>
      <c r="B473" s="410"/>
      <c r="C473" s="411"/>
      <c r="D473" s="41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row>
    <row r="474">
      <c r="A474" s="409"/>
      <c r="B474" s="410"/>
      <c r="C474" s="411"/>
      <c r="D474" s="41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row>
    <row r="475">
      <c r="A475" s="409"/>
      <c r="B475" s="410"/>
      <c r="C475" s="411"/>
      <c r="D475" s="41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row>
    <row r="476">
      <c r="A476" s="409"/>
      <c r="B476" s="410"/>
      <c r="C476" s="411"/>
      <c r="D476" s="41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row>
    <row r="477">
      <c r="A477" s="409"/>
      <c r="B477" s="410"/>
      <c r="C477" s="411"/>
      <c r="D477" s="41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row>
    <row r="478">
      <c r="A478" s="409"/>
      <c r="B478" s="410"/>
      <c r="C478" s="411"/>
      <c r="D478" s="41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row>
    <row r="479">
      <c r="A479" s="409"/>
      <c r="B479" s="410"/>
      <c r="C479" s="411"/>
      <c r="D479" s="41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row>
    <row r="480">
      <c r="A480" s="409"/>
      <c r="B480" s="410"/>
      <c r="C480" s="411"/>
      <c r="D480" s="41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row>
    <row r="481">
      <c r="A481" s="409"/>
      <c r="B481" s="410"/>
      <c r="C481" s="411"/>
      <c r="D481" s="41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row>
    <row r="482">
      <c r="A482" s="409"/>
      <c r="B482" s="410"/>
      <c r="C482" s="411"/>
      <c r="D482" s="41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row>
    <row r="483">
      <c r="A483" s="409"/>
      <c r="B483" s="410"/>
      <c r="C483" s="411"/>
      <c r="D483" s="41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row>
    <row r="484">
      <c r="A484" s="409"/>
      <c r="B484" s="410"/>
      <c r="C484" s="411"/>
      <c r="D484" s="41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row>
    <row r="485">
      <c r="A485" s="409"/>
      <c r="B485" s="410"/>
      <c r="C485" s="411"/>
      <c r="D485" s="41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row>
    <row r="486">
      <c r="A486" s="409"/>
      <c r="B486" s="410"/>
      <c r="C486" s="411"/>
      <c r="D486" s="41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row>
    <row r="487">
      <c r="A487" s="409"/>
      <c r="B487" s="410"/>
      <c r="C487" s="411"/>
      <c r="D487" s="41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row>
    <row r="488">
      <c r="A488" s="409"/>
      <c r="B488" s="410"/>
      <c r="C488" s="411"/>
      <c r="D488" s="41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row>
    <row r="489">
      <c r="A489" s="409"/>
      <c r="B489" s="410"/>
      <c r="C489" s="411"/>
      <c r="D489" s="41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row>
    <row r="490">
      <c r="A490" s="409"/>
      <c r="B490" s="410"/>
      <c r="C490" s="411"/>
      <c r="D490" s="41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row>
    <row r="491">
      <c r="A491" s="409"/>
      <c r="B491" s="410"/>
      <c r="C491" s="411"/>
      <c r="D491" s="41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row>
    <row r="492">
      <c r="A492" s="409"/>
      <c r="B492" s="410"/>
      <c r="C492" s="411"/>
      <c r="D492" s="41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row>
    <row r="493">
      <c r="A493" s="409"/>
      <c r="B493" s="410"/>
      <c r="C493" s="411"/>
      <c r="D493" s="41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row>
    <row r="494">
      <c r="A494" s="409"/>
      <c r="B494" s="410"/>
      <c r="C494" s="411"/>
      <c r="D494" s="41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row>
    <row r="495">
      <c r="A495" s="409"/>
      <c r="B495" s="410"/>
      <c r="C495" s="411"/>
      <c r="D495" s="41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row>
    <row r="496">
      <c r="A496" s="409"/>
      <c r="B496" s="410"/>
      <c r="C496" s="411"/>
      <c r="D496" s="41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row>
    <row r="497">
      <c r="A497" s="409"/>
      <c r="B497" s="410"/>
      <c r="C497" s="411"/>
      <c r="D497" s="41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row>
    <row r="498">
      <c r="A498" s="409"/>
      <c r="B498" s="410"/>
      <c r="C498" s="411"/>
      <c r="D498" s="41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row>
    <row r="499">
      <c r="A499" s="409"/>
      <c r="B499" s="410"/>
      <c r="C499" s="411"/>
      <c r="D499" s="41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row>
    <row r="500">
      <c r="A500" s="409"/>
      <c r="B500" s="410"/>
      <c r="C500" s="411"/>
      <c r="D500" s="41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row>
    <row r="501">
      <c r="A501" s="409"/>
      <c r="B501" s="410"/>
      <c r="C501" s="411"/>
      <c r="D501" s="41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row>
    <row r="502">
      <c r="A502" s="409"/>
      <c r="B502" s="410"/>
      <c r="C502" s="411"/>
      <c r="D502" s="41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row>
    <row r="503">
      <c r="A503" s="409"/>
      <c r="B503" s="410"/>
      <c r="C503" s="411"/>
      <c r="D503" s="41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row>
    <row r="504">
      <c r="A504" s="409"/>
      <c r="B504" s="410"/>
      <c r="C504" s="411"/>
      <c r="D504" s="41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row>
    <row r="505">
      <c r="A505" s="409"/>
      <c r="B505" s="410"/>
      <c r="C505" s="411"/>
      <c r="D505" s="41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row>
    <row r="506">
      <c r="A506" s="409"/>
      <c r="B506" s="410"/>
      <c r="C506" s="411"/>
      <c r="D506" s="41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row>
    <row r="507">
      <c r="A507" s="409"/>
      <c r="B507" s="410"/>
      <c r="C507" s="411"/>
      <c r="D507" s="41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row>
    <row r="508">
      <c r="A508" s="409"/>
      <c r="B508" s="410"/>
      <c r="C508" s="411"/>
      <c r="D508" s="41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row>
    <row r="509">
      <c r="A509" s="409"/>
      <c r="B509" s="410"/>
      <c r="C509" s="411"/>
      <c r="D509" s="41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row>
    <row r="510">
      <c r="A510" s="409"/>
      <c r="B510" s="410"/>
      <c r="C510" s="411"/>
      <c r="D510" s="41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row>
    <row r="511">
      <c r="A511" s="409"/>
      <c r="B511" s="410"/>
      <c r="C511" s="411"/>
      <c r="D511" s="41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row>
    <row r="512">
      <c r="A512" s="409"/>
      <c r="B512" s="410"/>
      <c r="C512" s="411"/>
      <c r="D512" s="41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row>
    <row r="513">
      <c r="A513" s="409"/>
      <c r="B513" s="410"/>
      <c r="C513" s="411"/>
      <c r="D513" s="41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row>
    <row r="514">
      <c r="A514" s="409"/>
      <c r="B514" s="410"/>
      <c r="C514" s="411"/>
      <c r="D514" s="41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row>
    <row r="515">
      <c r="A515" s="409"/>
      <c r="B515" s="410"/>
      <c r="C515" s="411"/>
      <c r="D515" s="41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row>
    <row r="516">
      <c r="A516" s="409"/>
      <c r="B516" s="410"/>
      <c r="C516" s="411"/>
      <c r="D516" s="41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row>
    <row r="517">
      <c r="A517" s="409"/>
      <c r="B517" s="410"/>
      <c r="C517" s="411"/>
      <c r="D517" s="41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row>
    <row r="518">
      <c r="A518" s="409"/>
      <c r="B518" s="410"/>
      <c r="C518" s="411"/>
      <c r="D518" s="41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row>
    <row r="519">
      <c r="A519" s="409"/>
      <c r="B519" s="410"/>
      <c r="C519" s="411"/>
      <c r="D519" s="41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row>
    <row r="520">
      <c r="A520" s="409"/>
      <c r="B520" s="410"/>
      <c r="C520" s="411"/>
      <c r="D520" s="41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row>
    <row r="521">
      <c r="A521" s="409"/>
      <c r="B521" s="410"/>
      <c r="C521" s="411"/>
      <c r="D521" s="41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row>
    <row r="522">
      <c r="A522" s="409"/>
      <c r="B522" s="410"/>
      <c r="C522" s="411"/>
      <c r="D522" s="41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row>
    <row r="523">
      <c r="A523" s="409"/>
      <c r="B523" s="410"/>
      <c r="C523" s="411"/>
      <c r="D523" s="41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row>
    <row r="524">
      <c r="A524" s="409"/>
      <c r="B524" s="410"/>
      <c r="C524" s="411"/>
      <c r="D524" s="41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row>
    <row r="525">
      <c r="A525" s="409"/>
      <c r="B525" s="410"/>
      <c r="C525" s="411"/>
      <c r="D525" s="41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row>
    <row r="526">
      <c r="A526" s="409"/>
      <c r="B526" s="410"/>
      <c r="C526" s="411"/>
      <c r="D526" s="41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row>
    <row r="527">
      <c r="A527" s="409"/>
      <c r="B527" s="410"/>
      <c r="C527" s="411"/>
      <c r="D527" s="41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row>
    <row r="528">
      <c r="A528" s="409"/>
      <c r="B528" s="410"/>
      <c r="C528" s="411"/>
      <c r="D528" s="41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row>
    <row r="529">
      <c r="A529" s="409"/>
      <c r="B529" s="410"/>
      <c r="C529" s="411"/>
      <c r="D529" s="41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row>
    <row r="530">
      <c r="A530" s="409"/>
      <c r="B530" s="410"/>
      <c r="C530" s="411"/>
      <c r="D530" s="41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row>
    <row r="531">
      <c r="A531" s="409"/>
      <c r="B531" s="410"/>
      <c r="C531" s="411"/>
      <c r="D531" s="41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row>
    <row r="532">
      <c r="A532" s="409"/>
      <c r="B532" s="410"/>
      <c r="C532" s="411"/>
      <c r="D532" s="41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row>
    <row r="533">
      <c r="A533" s="409"/>
      <c r="B533" s="410"/>
      <c r="C533" s="411"/>
      <c r="D533" s="41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row>
    <row r="534">
      <c r="A534" s="409"/>
      <c r="B534" s="410"/>
      <c r="C534" s="411"/>
      <c r="D534" s="41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row>
    <row r="535">
      <c r="A535" s="409"/>
      <c r="B535" s="410"/>
      <c r="C535" s="411"/>
      <c r="D535" s="41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row>
    <row r="536">
      <c r="A536" s="409"/>
      <c r="B536" s="410"/>
      <c r="C536" s="411"/>
      <c r="D536" s="41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row>
    <row r="537">
      <c r="A537" s="409"/>
      <c r="B537" s="410"/>
      <c r="C537" s="411"/>
      <c r="D537" s="41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row>
    <row r="538">
      <c r="A538" s="409"/>
      <c r="B538" s="410"/>
      <c r="C538" s="411"/>
      <c r="D538" s="41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row>
    <row r="539">
      <c r="A539" s="409"/>
      <c r="B539" s="410"/>
      <c r="C539" s="411"/>
      <c r="D539" s="41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row>
    <row r="540">
      <c r="A540" s="409"/>
      <c r="B540" s="410"/>
      <c r="C540" s="411"/>
      <c r="D540" s="41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row>
    <row r="541">
      <c r="A541" s="409"/>
      <c r="B541" s="410"/>
      <c r="C541" s="411"/>
      <c r="D541" s="41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row>
    <row r="542">
      <c r="A542" s="409"/>
      <c r="B542" s="410"/>
      <c r="C542" s="411"/>
      <c r="D542" s="41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row>
    <row r="543">
      <c r="A543" s="409"/>
      <c r="B543" s="410"/>
      <c r="C543" s="411"/>
      <c r="D543" s="41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row>
    <row r="544">
      <c r="A544" s="409"/>
      <c r="B544" s="410"/>
      <c r="C544" s="411"/>
      <c r="D544" s="41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row>
    <row r="545">
      <c r="A545" s="409"/>
      <c r="B545" s="410"/>
      <c r="C545" s="411"/>
      <c r="D545" s="41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row>
    <row r="546">
      <c r="A546" s="409"/>
      <c r="B546" s="410"/>
      <c r="C546" s="411"/>
      <c r="D546" s="41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row>
    <row r="547">
      <c r="A547" s="409"/>
      <c r="B547" s="410"/>
      <c r="C547" s="411"/>
      <c r="D547" s="41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row>
    <row r="548">
      <c r="A548" s="409"/>
      <c r="B548" s="410"/>
      <c r="C548" s="411"/>
      <c r="D548" s="41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row>
    <row r="549">
      <c r="A549" s="409"/>
      <c r="B549" s="410"/>
      <c r="C549" s="411"/>
      <c r="D549" s="41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row>
    <row r="550">
      <c r="A550" s="409"/>
      <c r="B550" s="410"/>
      <c r="C550" s="411"/>
      <c r="D550" s="41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row>
    <row r="551">
      <c r="A551" s="409"/>
      <c r="B551" s="410"/>
      <c r="C551" s="411"/>
      <c r="D551" s="41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row>
    <row r="552">
      <c r="A552" s="409"/>
      <c r="B552" s="410"/>
      <c r="C552" s="411"/>
      <c r="D552" s="41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row>
    <row r="553">
      <c r="A553" s="409"/>
      <c r="B553" s="410"/>
      <c r="C553" s="411"/>
      <c r="D553" s="41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row>
    <row r="554">
      <c r="A554" s="409"/>
      <c r="B554" s="410"/>
      <c r="C554" s="411"/>
      <c r="D554" s="41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row>
    <row r="555">
      <c r="A555" s="409"/>
      <c r="B555" s="410"/>
      <c r="C555" s="411"/>
      <c r="D555" s="41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row>
    <row r="556">
      <c r="A556" s="409"/>
      <c r="B556" s="410"/>
      <c r="C556" s="411"/>
      <c r="D556" s="41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row>
    <row r="557">
      <c r="A557" s="409"/>
      <c r="B557" s="410"/>
      <c r="C557" s="411"/>
      <c r="D557" s="41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row>
    <row r="558">
      <c r="A558" s="409"/>
      <c r="B558" s="410"/>
      <c r="C558" s="411"/>
      <c r="D558" s="41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row>
    <row r="559">
      <c r="A559" s="409"/>
      <c r="B559" s="410"/>
      <c r="C559" s="411"/>
      <c r="D559" s="41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row>
    <row r="560">
      <c r="A560" s="409"/>
      <c r="B560" s="410"/>
      <c r="C560" s="411"/>
      <c r="D560" s="41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row>
    <row r="561">
      <c r="A561" s="409"/>
      <c r="B561" s="410"/>
      <c r="C561" s="411"/>
      <c r="D561" s="41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row>
    <row r="562">
      <c r="A562" s="409"/>
      <c r="B562" s="410"/>
      <c r="C562" s="411"/>
      <c r="D562" s="41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row>
    <row r="563">
      <c r="A563" s="409"/>
      <c r="B563" s="410"/>
      <c r="C563" s="411"/>
      <c r="D563" s="41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row>
    <row r="564">
      <c r="A564" s="409"/>
      <c r="B564" s="410"/>
      <c r="C564" s="411"/>
      <c r="D564" s="41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row>
    <row r="565">
      <c r="A565" s="409"/>
      <c r="B565" s="410"/>
      <c r="C565" s="411"/>
      <c r="D565" s="41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row>
    <row r="566">
      <c r="A566" s="409"/>
      <c r="B566" s="410"/>
      <c r="C566" s="411"/>
      <c r="D566" s="41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row>
    <row r="567">
      <c r="A567" s="409"/>
      <c r="B567" s="410"/>
      <c r="C567" s="411"/>
      <c r="D567" s="41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row>
    <row r="568">
      <c r="A568" s="409"/>
      <c r="B568" s="410"/>
      <c r="C568" s="411"/>
      <c r="D568" s="41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row>
    <row r="569">
      <c r="A569" s="409"/>
      <c r="B569" s="410"/>
      <c r="C569" s="411"/>
      <c r="D569" s="41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row>
    <row r="570">
      <c r="A570" s="409"/>
      <c r="B570" s="410"/>
      <c r="C570" s="411"/>
      <c r="D570" s="41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row>
    <row r="571">
      <c r="A571" s="409"/>
      <c r="B571" s="410"/>
      <c r="C571" s="411"/>
      <c r="D571" s="41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row>
    <row r="572">
      <c r="A572" s="409"/>
      <c r="B572" s="410"/>
      <c r="C572" s="411"/>
      <c r="D572" s="41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row>
    <row r="573">
      <c r="A573" s="409"/>
      <c r="B573" s="410"/>
      <c r="C573" s="411"/>
      <c r="D573" s="41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row>
    <row r="574">
      <c r="A574" s="409"/>
      <c r="B574" s="410"/>
      <c r="C574" s="411"/>
      <c r="D574" s="41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row>
    <row r="575">
      <c r="A575" s="409"/>
      <c r="B575" s="410"/>
      <c r="C575" s="411"/>
      <c r="D575" s="41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row>
    <row r="576">
      <c r="A576" s="409"/>
      <c r="B576" s="410"/>
      <c r="C576" s="411"/>
      <c r="D576" s="41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row>
    <row r="577">
      <c r="A577" s="409"/>
      <c r="B577" s="410"/>
      <c r="C577" s="411"/>
      <c r="D577" s="41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row>
    <row r="578">
      <c r="A578" s="409"/>
      <c r="B578" s="410"/>
      <c r="C578" s="411"/>
      <c r="D578" s="41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row>
    <row r="579">
      <c r="A579" s="409"/>
      <c r="B579" s="410"/>
      <c r="C579" s="411"/>
      <c r="D579" s="41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row>
    <row r="580">
      <c r="A580" s="409"/>
      <c r="B580" s="410"/>
      <c r="C580" s="411"/>
      <c r="D580" s="41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row>
    <row r="581">
      <c r="A581" s="409"/>
      <c r="B581" s="410"/>
      <c r="C581" s="411"/>
      <c r="D581" s="41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row>
    <row r="582">
      <c r="A582" s="409"/>
      <c r="B582" s="410"/>
      <c r="C582" s="411"/>
      <c r="D582" s="41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row>
    <row r="583">
      <c r="A583" s="409"/>
      <c r="B583" s="410"/>
      <c r="C583" s="411"/>
      <c r="D583" s="41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row>
    <row r="584">
      <c r="A584" s="409"/>
      <c r="B584" s="410"/>
      <c r="C584" s="411"/>
      <c r="D584" s="41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row>
    <row r="585">
      <c r="A585" s="409"/>
      <c r="B585" s="410"/>
      <c r="C585" s="411"/>
      <c r="D585" s="41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row>
    <row r="586">
      <c r="A586" s="409"/>
      <c r="B586" s="410"/>
      <c r="C586" s="411"/>
      <c r="D586" s="41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row>
    <row r="587">
      <c r="A587" s="409"/>
      <c r="B587" s="410"/>
      <c r="C587" s="411"/>
      <c r="D587" s="41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row>
    <row r="588">
      <c r="A588" s="409"/>
      <c r="B588" s="410"/>
      <c r="C588" s="411"/>
      <c r="D588" s="41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row>
    <row r="589">
      <c r="A589" s="409"/>
      <c r="B589" s="410"/>
      <c r="C589" s="411"/>
      <c r="D589" s="41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row>
    <row r="590">
      <c r="A590" s="409"/>
      <c r="B590" s="410"/>
      <c r="C590" s="411"/>
      <c r="D590" s="41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row>
    <row r="591">
      <c r="A591" s="409"/>
      <c r="B591" s="410"/>
      <c r="C591" s="411"/>
      <c r="D591" s="41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row>
    <row r="592">
      <c r="A592" s="409"/>
      <c r="B592" s="410"/>
      <c r="C592" s="411"/>
      <c r="D592" s="41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row>
    <row r="593">
      <c r="A593" s="409"/>
      <c r="B593" s="410"/>
      <c r="C593" s="411"/>
      <c r="D593" s="41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row>
    <row r="594">
      <c r="A594" s="409"/>
      <c r="B594" s="410"/>
      <c r="C594" s="411"/>
      <c r="D594" s="41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row>
    <row r="595">
      <c r="A595" s="409"/>
      <c r="B595" s="410"/>
      <c r="C595" s="411"/>
      <c r="D595" s="41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row>
    <row r="596">
      <c r="A596" s="409"/>
      <c r="B596" s="410"/>
      <c r="C596" s="411"/>
      <c r="D596" s="41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row>
    <row r="597">
      <c r="A597" s="409"/>
      <c r="B597" s="410"/>
      <c r="C597" s="411"/>
      <c r="D597" s="41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row>
    <row r="598">
      <c r="A598" s="409"/>
      <c r="B598" s="410"/>
      <c r="C598" s="411"/>
      <c r="D598" s="41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row>
    <row r="599">
      <c r="A599" s="409"/>
      <c r="B599" s="410"/>
      <c r="C599" s="411"/>
      <c r="D599" s="41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row>
    <row r="600">
      <c r="A600" s="409"/>
      <c r="B600" s="410"/>
      <c r="C600" s="411"/>
      <c r="D600" s="41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row>
    <row r="601">
      <c r="A601" s="409"/>
      <c r="B601" s="410"/>
      <c r="C601" s="411"/>
      <c r="D601" s="41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row>
    <row r="602">
      <c r="A602" s="409"/>
      <c r="B602" s="410"/>
      <c r="C602" s="411"/>
      <c r="D602" s="41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row>
    <row r="603">
      <c r="A603" s="409"/>
      <c r="B603" s="410"/>
      <c r="C603" s="411"/>
      <c r="D603" s="41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row>
    <row r="604">
      <c r="A604" s="409"/>
      <c r="B604" s="410"/>
      <c r="C604" s="411"/>
      <c r="D604" s="41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row>
    <row r="605">
      <c r="A605" s="409"/>
      <c r="B605" s="410"/>
      <c r="C605" s="411"/>
      <c r="D605" s="41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row>
    <row r="606">
      <c r="A606" s="409"/>
      <c r="B606" s="410"/>
      <c r="C606" s="411"/>
      <c r="D606" s="41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row>
    <row r="607">
      <c r="A607" s="409"/>
      <c r="B607" s="410"/>
      <c r="C607" s="411"/>
      <c r="D607" s="41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row>
    <row r="608">
      <c r="A608" s="409"/>
      <c r="B608" s="410"/>
      <c r="C608" s="411"/>
      <c r="D608" s="41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row>
    <row r="609">
      <c r="A609" s="409"/>
      <c r="B609" s="410"/>
      <c r="C609" s="411"/>
      <c r="D609" s="41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row>
    <row r="610">
      <c r="A610" s="409"/>
      <c r="B610" s="410"/>
      <c r="C610" s="411"/>
      <c r="D610" s="41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row>
    <row r="611">
      <c r="A611" s="409"/>
      <c r="B611" s="410"/>
      <c r="C611" s="411"/>
      <c r="D611" s="41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row>
    <row r="612">
      <c r="A612" s="409"/>
      <c r="B612" s="410"/>
      <c r="C612" s="411"/>
      <c r="D612" s="41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row>
    <row r="613">
      <c r="A613" s="409"/>
      <c r="B613" s="410"/>
      <c r="C613" s="411"/>
      <c r="D613" s="41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row>
    <row r="614">
      <c r="A614" s="409"/>
      <c r="B614" s="410"/>
      <c r="C614" s="411"/>
      <c r="D614" s="41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row>
    <row r="615">
      <c r="A615" s="409"/>
      <c r="B615" s="410"/>
      <c r="C615" s="411"/>
      <c r="D615" s="41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row>
    <row r="616">
      <c r="A616" s="409"/>
      <c r="B616" s="410"/>
      <c r="C616" s="411"/>
      <c r="D616" s="41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row>
    <row r="617">
      <c r="A617" s="409"/>
      <c r="B617" s="410"/>
      <c r="C617" s="411"/>
      <c r="D617" s="41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row>
    <row r="618">
      <c r="A618" s="409"/>
      <c r="B618" s="410"/>
      <c r="C618" s="411"/>
      <c r="D618" s="41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row>
    <row r="619">
      <c r="A619" s="409"/>
      <c r="B619" s="410"/>
      <c r="C619" s="411"/>
      <c r="D619" s="41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row>
    <row r="620">
      <c r="A620" s="409"/>
      <c r="B620" s="410"/>
      <c r="C620" s="411"/>
      <c r="D620" s="41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row>
    <row r="621">
      <c r="A621" s="409"/>
      <c r="B621" s="410"/>
      <c r="C621" s="411"/>
      <c r="D621" s="41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row>
    <row r="622">
      <c r="A622" s="409"/>
      <c r="B622" s="410"/>
      <c r="C622" s="411"/>
      <c r="D622" s="41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row>
    <row r="623">
      <c r="A623" s="409"/>
      <c r="B623" s="410"/>
      <c r="C623" s="411"/>
      <c r="D623" s="41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row>
    <row r="624">
      <c r="A624" s="409"/>
      <c r="B624" s="410"/>
      <c r="C624" s="411"/>
      <c r="D624" s="41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row>
    <row r="625">
      <c r="A625" s="409"/>
      <c r="B625" s="410"/>
      <c r="C625" s="411"/>
      <c r="D625" s="41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row>
    <row r="626">
      <c r="A626" s="409"/>
      <c r="B626" s="410"/>
      <c r="C626" s="411"/>
      <c r="D626" s="41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row>
    <row r="627">
      <c r="A627" s="409"/>
      <c r="B627" s="410"/>
      <c r="C627" s="411"/>
      <c r="D627" s="41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row>
    <row r="628">
      <c r="A628" s="409"/>
      <c r="B628" s="410"/>
      <c r="C628" s="411"/>
      <c r="D628" s="41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row>
    <row r="629">
      <c r="A629" s="409"/>
      <c r="B629" s="410"/>
      <c r="C629" s="411"/>
      <c r="D629" s="41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row>
    <row r="630">
      <c r="A630" s="409"/>
      <c r="B630" s="410"/>
      <c r="C630" s="411"/>
      <c r="D630" s="41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row>
    <row r="631">
      <c r="A631" s="409"/>
      <c r="B631" s="410"/>
      <c r="C631" s="411"/>
      <c r="D631" s="41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row>
    <row r="632">
      <c r="A632" s="409"/>
      <c r="B632" s="410"/>
      <c r="C632" s="411"/>
      <c r="D632" s="41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row>
    <row r="633">
      <c r="A633" s="409"/>
      <c r="B633" s="410"/>
      <c r="C633" s="411"/>
      <c r="D633" s="41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row>
    <row r="634">
      <c r="A634" s="409"/>
      <c r="B634" s="410"/>
      <c r="C634" s="411"/>
      <c r="D634" s="41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row>
    <row r="635">
      <c r="A635" s="409"/>
      <c r="B635" s="410"/>
      <c r="C635" s="411"/>
      <c r="D635" s="41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row>
    <row r="636">
      <c r="A636" s="409"/>
      <c r="B636" s="410"/>
      <c r="C636" s="411"/>
      <c r="D636" s="41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row>
    <row r="637">
      <c r="A637" s="409"/>
      <c r="B637" s="410"/>
      <c r="C637" s="411"/>
      <c r="D637" s="41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row>
    <row r="638">
      <c r="A638" s="409"/>
      <c r="B638" s="410"/>
      <c r="C638" s="411"/>
      <c r="D638" s="41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row>
    <row r="639">
      <c r="A639" s="409"/>
      <c r="B639" s="410"/>
      <c r="C639" s="411"/>
      <c r="D639" s="41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row>
    <row r="640">
      <c r="A640" s="409"/>
      <c r="B640" s="410"/>
      <c r="C640" s="411"/>
      <c r="D640" s="41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row>
    <row r="641">
      <c r="A641" s="409"/>
      <c r="B641" s="410"/>
      <c r="C641" s="411"/>
      <c r="D641" s="41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row>
    <row r="642">
      <c r="A642" s="409"/>
      <c r="B642" s="410"/>
      <c r="C642" s="411"/>
      <c r="D642" s="41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row>
    <row r="643">
      <c r="A643" s="409"/>
      <c r="B643" s="410"/>
      <c r="C643" s="411"/>
      <c r="D643" s="41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row>
    <row r="644">
      <c r="A644" s="409"/>
      <c r="B644" s="410"/>
      <c r="C644" s="411"/>
      <c r="D644" s="41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row>
    <row r="645">
      <c r="A645" s="409"/>
      <c r="B645" s="410"/>
      <c r="C645" s="411"/>
      <c r="D645" s="41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row>
    <row r="646">
      <c r="A646" s="409"/>
      <c r="B646" s="410"/>
      <c r="C646" s="411"/>
      <c r="D646" s="41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row>
    <row r="647">
      <c r="A647" s="409"/>
      <c r="B647" s="410"/>
      <c r="C647" s="411"/>
      <c r="D647" s="41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row>
    <row r="648">
      <c r="A648" s="409"/>
      <c r="B648" s="410"/>
      <c r="C648" s="411"/>
      <c r="D648" s="41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row>
    <row r="649">
      <c r="A649" s="409"/>
      <c r="B649" s="410"/>
      <c r="C649" s="411"/>
      <c r="D649" s="41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row>
    <row r="650">
      <c r="A650" s="409"/>
      <c r="B650" s="410"/>
      <c r="C650" s="411"/>
      <c r="D650" s="41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row>
    <row r="651">
      <c r="A651" s="409"/>
      <c r="B651" s="410"/>
      <c r="C651" s="411"/>
      <c r="D651" s="41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row>
    <row r="652">
      <c r="A652" s="409"/>
      <c r="B652" s="410"/>
      <c r="C652" s="411"/>
      <c r="D652" s="41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row>
    <row r="653">
      <c r="A653" s="409"/>
      <c r="B653" s="410"/>
      <c r="C653" s="411"/>
      <c r="D653" s="41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row>
    <row r="654">
      <c r="A654" s="409"/>
      <c r="B654" s="410"/>
      <c r="C654" s="411"/>
      <c r="D654" s="41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row>
    <row r="655">
      <c r="A655" s="409"/>
      <c r="B655" s="410"/>
      <c r="C655" s="411"/>
      <c r="D655" s="41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row>
    <row r="656">
      <c r="A656" s="409"/>
      <c r="B656" s="410"/>
      <c r="C656" s="411"/>
      <c r="D656" s="41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row>
    <row r="657">
      <c r="A657" s="409"/>
      <c r="B657" s="410"/>
      <c r="C657" s="411"/>
      <c r="D657" s="41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row>
    <row r="658">
      <c r="A658" s="409"/>
      <c r="B658" s="410"/>
      <c r="C658" s="411"/>
      <c r="D658" s="41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row>
    <row r="659">
      <c r="A659" s="409"/>
      <c r="B659" s="410"/>
      <c r="C659" s="411"/>
      <c r="D659" s="41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row>
    <row r="660">
      <c r="A660" s="409"/>
      <c r="B660" s="410"/>
      <c r="C660" s="411"/>
      <c r="D660" s="41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row>
    <row r="661">
      <c r="A661" s="409"/>
      <c r="B661" s="410"/>
      <c r="C661" s="411"/>
      <c r="D661" s="41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row>
    <row r="662">
      <c r="A662" s="409"/>
      <c r="B662" s="410"/>
      <c r="C662" s="411"/>
      <c r="D662" s="41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row>
    <row r="663">
      <c r="A663" s="409"/>
      <c r="B663" s="410"/>
      <c r="C663" s="411"/>
      <c r="D663" s="41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row>
    <row r="664">
      <c r="A664" s="409"/>
      <c r="B664" s="410"/>
      <c r="C664" s="411"/>
      <c r="D664" s="41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row>
    <row r="665">
      <c r="A665" s="409"/>
      <c r="B665" s="410"/>
      <c r="C665" s="411"/>
      <c r="D665" s="41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row>
    <row r="666">
      <c r="A666" s="409"/>
      <c r="B666" s="410"/>
      <c r="C666" s="411"/>
      <c r="D666" s="41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row>
    <row r="667">
      <c r="A667" s="409"/>
      <c r="B667" s="410"/>
      <c r="C667" s="411"/>
      <c r="D667" s="41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row>
    <row r="668">
      <c r="A668" s="409"/>
      <c r="B668" s="410"/>
      <c r="C668" s="411"/>
      <c r="D668" s="41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row>
    <row r="669">
      <c r="A669" s="409"/>
      <c r="B669" s="410"/>
      <c r="C669" s="411"/>
      <c r="D669" s="41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row>
    <row r="670">
      <c r="A670" s="409"/>
      <c r="B670" s="410"/>
      <c r="C670" s="411"/>
      <c r="D670" s="41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row>
    <row r="671">
      <c r="A671" s="409"/>
      <c r="B671" s="410"/>
      <c r="C671" s="411"/>
      <c r="D671" s="41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row>
    <row r="672">
      <c r="A672" s="409"/>
      <c r="B672" s="410"/>
      <c r="C672" s="411"/>
      <c r="D672" s="41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row>
    <row r="673">
      <c r="A673" s="409"/>
      <c r="B673" s="410"/>
      <c r="C673" s="411"/>
      <c r="D673" s="41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row>
    <row r="674">
      <c r="A674" s="409"/>
      <c r="B674" s="410"/>
      <c r="C674" s="411"/>
      <c r="D674" s="41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row>
    <row r="675">
      <c r="A675" s="409"/>
      <c r="B675" s="410"/>
      <c r="C675" s="411"/>
      <c r="D675" s="41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row>
    <row r="676">
      <c r="A676" s="409"/>
      <c r="B676" s="410"/>
      <c r="C676" s="411"/>
      <c r="D676" s="41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row>
    <row r="677">
      <c r="A677" s="409"/>
      <c r="B677" s="410"/>
      <c r="C677" s="411"/>
      <c r="D677" s="41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row>
    <row r="678">
      <c r="A678" s="409"/>
      <c r="B678" s="410"/>
      <c r="C678" s="411"/>
      <c r="D678" s="41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row>
    <row r="679">
      <c r="A679" s="409"/>
      <c r="B679" s="410"/>
      <c r="C679" s="411"/>
      <c r="D679" s="41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row>
    <row r="680">
      <c r="A680" s="409"/>
      <c r="B680" s="410"/>
      <c r="C680" s="411"/>
      <c r="D680" s="41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row>
    <row r="681">
      <c r="A681" s="409"/>
      <c r="B681" s="410"/>
      <c r="C681" s="411"/>
      <c r="D681" s="41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row>
    <row r="682">
      <c r="A682" s="409"/>
      <c r="B682" s="410"/>
      <c r="C682" s="411"/>
      <c r="D682" s="41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row>
    <row r="683">
      <c r="A683" s="409"/>
      <c r="B683" s="410"/>
      <c r="C683" s="411"/>
      <c r="D683" s="41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row>
    <row r="684">
      <c r="A684" s="409"/>
      <c r="B684" s="410"/>
      <c r="C684" s="411"/>
      <c r="D684" s="41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row>
    <row r="685">
      <c r="A685" s="409"/>
      <c r="B685" s="410"/>
      <c r="C685" s="411"/>
      <c r="D685" s="41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row>
    <row r="686">
      <c r="A686" s="409"/>
      <c r="B686" s="410"/>
      <c r="C686" s="411"/>
      <c r="D686" s="41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row>
    <row r="687">
      <c r="A687" s="409"/>
      <c r="B687" s="410"/>
      <c r="C687" s="411"/>
      <c r="D687" s="41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row>
    <row r="688">
      <c r="A688" s="409"/>
      <c r="B688" s="410"/>
      <c r="C688" s="411"/>
      <c r="D688" s="41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row>
    <row r="689">
      <c r="A689" s="409"/>
      <c r="B689" s="410"/>
      <c r="C689" s="411"/>
      <c r="D689" s="41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row>
    <row r="690">
      <c r="A690" s="409"/>
      <c r="B690" s="410"/>
      <c r="C690" s="411"/>
      <c r="D690" s="41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row>
    <row r="691">
      <c r="A691" s="409"/>
      <c r="B691" s="410"/>
      <c r="C691" s="411"/>
      <c r="D691" s="41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row>
    <row r="692">
      <c r="A692" s="409"/>
      <c r="B692" s="410"/>
      <c r="C692" s="411"/>
      <c r="D692" s="41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row>
    <row r="693">
      <c r="A693" s="409"/>
      <c r="B693" s="410"/>
      <c r="C693" s="411"/>
      <c r="D693" s="41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row>
    <row r="694">
      <c r="A694" s="409"/>
      <c r="B694" s="410"/>
      <c r="C694" s="411"/>
      <c r="D694" s="41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row>
    <row r="695">
      <c r="A695" s="409"/>
      <c r="B695" s="410"/>
      <c r="C695" s="411"/>
      <c r="D695" s="41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row>
    <row r="696">
      <c r="A696" s="409"/>
      <c r="B696" s="410"/>
      <c r="C696" s="411"/>
      <c r="D696" s="41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row>
    <row r="697">
      <c r="A697" s="409"/>
      <c r="B697" s="410"/>
      <c r="C697" s="411"/>
      <c r="D697" s="41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row>
    <row r="698">
      <c r="A698" s="409"/>
      <c r="B698" s="410"/>
      <c r="C698" s="411"/>
      <c r="D698" s="41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row>
    <row r="699">
      <c r="A699" s="409"/>
      <c r="B699" s="410"/>
      <c r="C699" s="411"/>
      <c r="D699" s="41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row>
    <row r="700">
      <c r="A700" s="409"/>
      <c r="B700" s="410"/>
      <c r="C700" s="411"/>
      <c r="D700" s="41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row>
    <row r="701">
      <c r="A701" s="409"/>
      <c r="B701" s="410"/>
      <c r="C701" s="411"/>
      <c r="D701" s="41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row>
    <row r="702">
      <c r="A702" s="409"/>
      <c r="B702" s="410"/>
      <c r="C702" s="411"/>
      <c r="D702" s="41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row>
    <row r="703">
      <c r="A703" s="409"/>
      <c r="B703" s="410"/>
      <c r="C703" s="411"/>
      <c r="D703" s="41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row>
    <row r="704">
      <c r="A704" s="409"/>
      <c r="B704" s="410"/>
      <c r="C704" s="411"/>
      <c r="D704" s="41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row>
    <row r="705">
      <c r="A705" s="409"/>
      <c r="B705" s="410"/>
      <c r="C705" s="411"/>
      <c r="D705" s="41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row>
    <row r="706">
      <c r="A706" s="409"/>
      <c r="B706" s="410"/>
      <c r="C706" s="411"/>
      <c r="D706" s="41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row>
    <row r="707">
      <c r="A707" s="409"/>
      <c r="B707" s="410"/>
      <c r="C707" s="411"/>
      <c r="D707" s="41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row>
    <row r="708">
      <c r="A708" s="409"/>
      <c r="B708" s="410"/>
      <c r="C708" s="411"/>
      <c r="D708" s="41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row>
    <row r="709">
      <c r="A709" s="409"/>
      <c r="B709" s="410"/>
      <c r="C709" s="411"/>
      <c r="D709" s="41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row>
    <row r="710">
      <c r="A710" s="409"/>
      <c r="B710" s="410"/>
      <c r="C710" s="411"/>
      <c r="D710" s="41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row>
    <row r="711">
      <c r="A711" s="409"/>
      <c r="B711" s="410"/>
      <c r="C711" s="411"/>
      <c r="D711" s="41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row>
    <row r="712">
      <c r="A712" s="409"/>
      <c r="B712" s="410"/>
      <c r="C712" s="411"/>
      <c r="D712" s="41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row>
    <row r="713">
      <c r="A713" s="409"/>
      <c r="B713" s="410"/>
      <c r="C713" s="411"/>
      <c r="D713" s="41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row>
    <row r="714">
      <c r="A714" s="409"/>
      <c r="B714" s="410"/>
      <c r="C714" s="411"/>
      <c r="D714" s="41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row>
    <row r="715">
      <c r="A715" s="409"/>
      <c r="B715" s="410"/>
      <c r="C715" s="411"/>
      <c r="D715" s="41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row>
    <row r="716">
      <c r="A716" s="409"/>
      <c r="B716" s="410"/>
      <c r="C716" s="411"/>
      <c r="D716" s="41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row>
    <row r="717">
      <c r="A717" s="409"/>
      <c r="B717" s="410"/>
      <c r="C717" s="411"/>
      <c r="D717" s="41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row>
    <row r="718">
      <c r="A718" s="409"/>
      <c r="B718" s="410"/>
      <c r="C718" s="411"/>
      <c r="D718" s="41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row>
    <row r="719">
      <c r="A719" s="409"/>
      <c r="B719" s="410"/>
      <c r="C719" s="411"/>
      <c r="D719" s="41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row>
    <row r="720">
      <c r="A720" s="409"/>
      <c r="B720" s="410"/>
      <c r="C720" s="411"/>
      <c r="D720" s="41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row>
    <row r="721">
      <c r="A721" s="409"/>
      <c r="B721" s="410"/>
      <c r="C721" s="411"/>
      <c r="D721" s="41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row>
    <row r="722">
      <c r="A722" s="409"/>
      <c r="B722" s="410"/>
      <c r="C722" s="411"/>
      <c r="D722" s="41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row>
    <row r="723">
      <c r="A723" s="409"/>
      <c r="B723" s="410"/>
      <c r="C723" s="411"/>
      <c r="D723" s="41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row>
    <row r="724">
      <c r="A724" s="409"/>
      <c r="B724" s="410"/>
      <c r="C724" s="411"/>
      <c r="D724" s="41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row>
    <row r="725">
      <c r="A725" s="409"/>
      <c r="B725" s="410"/>
      <c r="C725" s="411"/>
      <c r="D725" s="41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row>
    <row r="726">
      <c r="A726" s="409"/>
      <c r="B726" s="410"/>
      <c r="C726" s="411"/>
      <c r="D726" s="41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row>
    <row r="727">
      <c r="A727" s="409"/>
      <c r="B727" s="410"/>
      <c r="C727" s="411"/>
      <c r="D727" s="41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row>
    <row r="728">
      <c r="A728" s="409"/>
      <c r="B728" s="410"/>
      <c r="C728" s="411"/>
      <c r="D728" s="41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row>
    <row r="729">
      <c r="A729" s="409"/>
      <c r="B729" s="410"/>
      <c r="C729" s="411"/>
      <c r="D729" s="41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row>
    <row r="730">
      <c r="A730" s="409"/>
      <c r="B730" s="410"/>
      <c r="C730" s="411"/>
      <c r="D730" s="41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row>
    <row r="731">
      <c r="A731" s="409"/>
      <c r="B731" s="410"/>
      <c r="C731" s="411"/>
      <c r="D731" s="41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row>
    <row r="732">
      <c r="A732" s="409"/>
      <c r="B732" s="410"/>
      <c r="C732" s="411"/>
      <c r="D732" s="41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row>
    <row r="733">
      <c r="A733" s="409"/>
      <c r="B733" s="410"/>
      <c r="C733" s="411"/>
      <c r="D733" s="41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row>
    <row r="734">
      <c r="A734" s="409"/>
      <c r="B734" s="410"/>
      <c r="C734" s="411"/>
      <c r="D734" s="41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row>
    <row r="735">
      <c r="A735" s="409"/>
      <c r="B735" s="410"/>
      <c r="C735" s="411"/>
      <c r="D735" s="41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row>
    <row r="736">
      <c r="A736" s="409"/>
      <c r="B736" s="410"/>
      <c r="C736" s="411"/>
      <c r="D736" s="41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row>
    <row r="737">
      <c r="A737" s="409"/>
      <c r="B737" s="410"/>
      <c r="C737" s="411"/>
      <c r="D737" s="41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row>
    <row r="738">
      <c r="A738" s="409"/>
      <c r="B738" s="410"/>
      <c r="C738" s="411"/>
      <c r="D738" s="41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row>
    <row r="739">
      <c r="A739" s="409"/>
      <c r="B739" s="410"/>
      <c r="C739" s="411"/>
      <c r="D739" s="41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row>
    <row r="740">
      <c r="A740" s="409"/>
      <c r="B740" s="410"/>
      <c r="C740" s="411"/>
      <c r="D740" s="41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row>
    <row r="741">
      <c r="A741" s="409"/>
      <c r="B741" s="410"/>
      <c r="C741" s="411"/>
      <c r="D741" s="41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row>
    <row r="742">
      <c r="A742" s="409"/>
      <c r="B742" s="410"/>
      <c r="C742" s="411"/>
      <c r="D742" s="41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row>
    <row r="743">
      <c r="A743" s="409"/>
      <c r="B743" s="410"/>
      <c r="C743" s="411"/>
      <c r="D743" s="41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row>
    <row r="744">
      <c r="A744" s="409"/>
      <c r="B744" s="410"/>
      <c r="C744" s="411"/>
      <c r="D744" s="41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row>
    <row r="745">
      <c r="A745" s="409"/>
      <c r="B745" s="410"/>
      <c r="C745" s="411"/>
      <c r="D745" s="41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row>
    <row r="746">
      <c r="A746" s="409"/>
      <c r="B746" s="410"/>
      <c r="C746" s="411"/>
      <c r="D746" s="41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row>
    <row r="747">
      <c r="A747" s="409"/>
      <c r="B747" s="410"/>
      <c r="C747" s="411"/>
      <c r="D747" s="41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row>
    <row r="748">
      <c r="A748" s="409"/>
      <c r="B748" s="410"/>
      <c r="C748" s="411"/>
      <c r="D748" s="41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row>
    <row r="749">
      <c r="A749" s="409"/>
      <c r="B749" s="410"/>
      <c r="C749" s="411"/>
      <c r="D749" s="41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row>
    <row r="750">
      <c r="A750" s="409"/>
      <c r="B750" s="410"/>
      <c r="C750" s="411"/>
      <c r="D750" s="41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row>
    <row r="751">
      <c r="A751" s="409"/>
      <c r="B751" s="410"/>
      <c r="C751" s="411"/>
      <c r="D751" s="41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row>
    <row r="752">
      <c r="A752" s="409"/>
      <c r="B752" s="410"/>
      <c r="C752" s="411"/>
      <c r="D752" s="41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row>
    <row r="753">
      <c r="A753" s="409"/>
      <c r="B753" s="410"/>
      <c r="C753" s="411"/>
      <c r="D753" s="41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row>
    <row r="754">
      <c r="A754" s="409"/>
      <c r="B754" s="410"/>
      <c r="C754" s="411"/>
      <c r="D754" s="41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row>
    <row r="755">
      <c r="A755" s="409"/>
      <c r="B755" s="410"/>
      <c r="C755" s="411"/>
      <c r="D755" s="41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row>
    <row r="756">
      <c r="A756" s="409"/>
      <c r="B756" s="410"/>
      <c r="C756" s="411"/>
      <c r="D756" s="41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row>
    <row r="757">
      <c r="A757" s="409"/>
      <c r="B757" s="410"/>
      <c r="C757" s="411"/>
      <c r="D757" s="41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row>
    <row r="758">
      <c r="A758" s="409"/>
      <c r="B758" s="410"/>
      <c r="C758" s="411"/>
      <c r="D758" s="41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row>
    <row r="759">
      <c r="A759" s="409"/>
      <c r="B759" s="410"/>
      <c r="C759" s="411"/>
      <c r="D759" s="41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row>
    <row r="760">
      <c r="A760" s="409"/>
      <c r="B760" s="410"/>
      <c r="C760" s="411"/>
      <c r="D760" s="41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row>
    <row r="761">
      <c r="A761" s="409"/>
      <c r="B761" s="410"/>
      <c r="C761" s="411"/>
      <c r="D761" s="41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row>
    <row r="762">
      <c r="A762" s="409"/>
      <c r="B762" s="410"/>
      <c r="C762" s="411"/>
      <c r="D762" s="41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row>
    <row r="763">
      <c r="A763" s="409"/>
      <c r="B763" s="410"/>
      <c r="C763" s="411"/>
      <c r="D763" s="41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row>
    <row r="764">
      <c r="A764" s="409"/>
      <c r="B764" s="410"/>
      <c r="C764" s="411"/>
      <c r="D764" s="41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row>
    <row r="765">
      <c r="A765" s="409"/>
      <c r="B765" s="410"/>
      <c r="C765" s="411"/>
      <c r="D765" s="41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row>
    <row r="766">
      <c r="A766" s="409"/>
      <c r="B766" s="410"/>
      <c r="C766" s="411"/>
      <c r="D766" s="41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row>
    <row r="767">
      <c r="A767" s="409"/>
      <c r="B767" s="410"/>
      <c r="C767" s="411"/>
      <c r="D767" s="41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row>
    <row r="768">
      <c r="A768" s="409"/>
      <c r="B768" s="410"/>
      <c r="C768" s="411"/>
      <c r="D768" s="41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row>
    <row r="769">
      <c r="A769" s="409"/>
      <c r="B769" s="410"/>
      <c r="C769" s="411"/>
      <c r="D769" s="41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row>
    <row r="770">
      <c r="A770" s="409"/>
      <c r="B770" s="410"/>
      <c r="C770" s="411"/>
      <c r="D770" s="41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row>
    <row r="771">
      <c r="A771" s="409"/>
      <c r="B771" s="410"/>
      <c r="C771" s="411"/>
      <c r="D771" s="41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row>
    <row r="772">
      <c r="A772" s="409"/>
      <c r="B772" s="410"/>
      <c r="C772" s="411"/>
      <c r="D772" s="41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row>
    <row r="773">
      <c r="A773" s="409"/>
      <c r="B773" s="410"/>
      <c r="C773" s="411"/>
      <c r="D773" s="41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row>
    <row r="774">
      <c r="A774" s="409"/>
      <c r="B774" s="410"/>
      <c r="C774" s="411"/>
      <c r="D774" s="41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row>
    <row r="775">
      <c r="A775" s="409"/>
      <c r="B775" s="410"/>
      <c r="C775" s="411"/>
      <c r="D775" s="41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row>
    <row r="776">
      <c r="A776" s="409"/>
      <c r="B776" s="410"/>
      <c r="C776" s="411"/>
      <c r="D776" s="41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row>
    <row r="777">
      <c r="A777" s="409"/>
      <c r="B777" s="410"/>
      <c r="C777" s="411"/>
      <c r="D777" s="41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row>
    <row r="778">
      <c r="A778" s="409"/>
      <c r="B778" s="410"/>
      <c r="C778" s="411"/>
      <c r="D778" s="41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row>
    <row r="779">
      <c r="A779" s="409"/>
      <c r="B779" s="410"/>
      <c r="C779" s="411"/>
      <c r="D779" s="41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row>
    <row r="780">
      <c r="A780" s="409"/>
      <c r="B780" s="410"/>
      <c r="C780" s="411"/>
      <c r="D780" s="41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row>
    <row r="781">
      <c r="A781" s="409"/>
      <c r="B781" s="410"/>
      <c r="C781" s="411"/>
      <c r="D781" s="41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row>
    <row r="782">
      <c r="A782" s="409"/>
      <c r="B782" s="410"/>
      <c r="C782" s="411"/>
      <c r="D782" s="41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row>
    <row r="783">
      <c r="A783" s="409"/>
      <c r="B783" s="410"/>
      <c r="C783" s="411"/>
      <c r="D783" s="41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row>
    <row r="784">
      <c r="A784" s="409"/>
      <c r="B784" s="410"/>
      <c r="C784" s="411"/>
      <c r="D784" s="41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row>
    <row r="785">
      <c r="A785" s="409"/>
      <c r="B785" s="410"/>
      <c r="C785" s="411"/>
      <c r="D785" s="41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row>
    <row r="786">
      <c r="A786" s="409"/>
      <c r="B786" s="410"/>
      <c r="C786" s="411"/>
      <c r="D786" s="41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row>
    <row r="787">
      <c r="A787" s="409"/>
      <c r="B787" s="410"/>
      <c r="C787" s="411"/>
      <c r="D787" s="41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row>
    <row r="788">
      <c r="A788" s="409"/>
      <c r="B788" s="410"/>
      <c r="C788" s="411"/>
      <c r="D788" s="41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row>
    <row r="789">
      <c r="A789" s="409"/>
      <c r="B789" s="410"/>
      <c r="C789" s="411"/>
      <c r="D789" s="41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row>
    <row r="790">
      <c r="A790" s="409"/>
      <c r="B790" s="410"/>
      <c r="C790" s="411"/>
      <c r="D790" s="41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row>
    <row r="791">
      <c r="A791" s="409"/>
      <c r="B791" s="410"/>
      <c r="C791" s="411"/>
      <c r="D791" s="41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row>
    <row r="792">
      <c r="A792" s="409"/>
      <c r="B792" s="410"/>
      <c r="C792" s="411"/>
      <c r="D792" s="41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row>
    <row r="793">
      <c r="A793" s="409"/>
      <c r="B793" s="410"/>
      <c r="C793" s="411"/>
      <c r="D793" s="41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row>
    <row r="794">
      <c r="A794" s="409"/>
      <c r="B794" s="410"/>
      <c r="C794" s="411"/>
      <c r="D794" s="41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row>
    <row r="795">
      <c r="A795" s="409"/>
      <c r="B795" s="410"/>
      <c r="C795" s="411"/>
      <c r="D795" s="41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row>
    <row r="796">
      <c r="A796" s="409"/>
      <c r="B796" s="410"/>
      <c r="C796" s="411"/>
      <c r="D796" s="41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row>
    <row r="797">
      <c r="A797" s="409"/>
      <c r="B797" s="410"/>
      <c r="C797" s="411"/>
      <c r="D797" s="41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row>
    <row r="798">
      <c r="A798" s="409"/>
      <c r="B798" s="410"/>
      <c r="C798" s="411"/>
      <c r="D798" s="41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row>
    <row r="799">
      <c r="A799" s="409"/>
      <c r="B799" s="410"/>
      <c r="C799" s="411"/>
      <c r="D799" s="41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row>
    <row r="800">
      <c r="A800" s="409"/>
      <c r="B800" s="410"/>
      <c r="C800" s="411"/>
      <c r="D800" s="41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row>
    <row r="801">
      <c r="A801" s="409"/>
      <c r="B801" s="410"/>
      <c r="C801" s="411"/>
      <c r="D801" s="41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row>
    <row r="802">
      <c r="A802" s="409"/>
      <c r="B802" s="410"/>
      <c r="C802" s="411"/>
      <c r="D802" s="41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row>
    <row r="803">
      <c r="A803" s="409"/>
      <c r="B803" s="410"/>
      <c r="C803" s="411"/>
      <c r="D803" s="41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row>
    <row r="804">
      <c r="A804" s="409"/>
      <c r="B804" s="410"/>
      <c r="C804" s="411"/>
      <c r="D804" s="41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row>
    <row r="805">
      <c r="A805" s="409"/>
      <c r="B805" s="410"/>
      <c r="C805" s="411"/>
      <c r="D805" s="41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row>
    <row r="806">
      <c r="A806" s="409"/>
      <c r="B806" s="410"/>
      <c r="C806" s="411"/>
      <c r="D806" s="41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row>
    <row r="807">
      <c r="A807" s="409"/>
      <c r="B807" s="410"/>
      <c r="C807" s="411"/>
      <c r="D807" s="41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row>
    <row r="808">
      <c r="A808" s="409"/>
      <c r="B808" s="410"/>
      <c r="C808" s="411"/>
      <c r="D808" s="41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row>
    <row r="809">
      <c r="A809" s="409"/>
      <c r="B809" s="410"/>
      <c r="C809" s="411"/>
      <c r="D809" s="41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row>
    <row r="810">
      <c r="A810" s="409"/>
      <c r="B810" s="410"/>
      <c r="C810" s="411"/>
      <c r="D810" s="41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row>
    <row r="811">
      <c r="A811" s="409"/>
      <c r="B811" s="410"/>
      <c r="C811" s="411"/>
      <c r="D811" s="41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row>
    <row r="812">
      <c r="A812" s="409"/>
      <c r="B812" s="410"/>
      <c r="C812" s="411"/>
      <c r="D812" s="41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row>
    <row r="813">
      <c r="A813" s="409"/>
      <c r="B813" s="410"/>
      <c r="C813" s="411"/>
      <c r="D813" s="41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row>
    <row r="814">
      <c r="A814" s="409"/>
      <c r="B814" s="410"/>
      <c r="C814" s="411"/>
      <c r="D814" s="41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row>
    <row r="815">
      <c r="A815" s="409"/>
      <c r="B815" s="410"/>
      <c r="C815" s="411"/>
      <c r="D815" s="41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row>
    <row r="816">
      <c r="A816" s="409"/>
      <c r="B816" s="410"/>
      <c r="C816" s="411"/>
      <c r="D816" s="41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row>
    <row r="817">
      <c r="A817" s="409"/>
      <c r="B817" s="410"/>
      <c r="C817" s="411"/>
      <c r="D817" s="41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row>
    <row r="818">
      <c r="A818" s="409"/>
      <c r="B818" s="410"/>
      <c r="C818" s="411"/>
      <c r="D818" s="41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row>
    <row r="819">
      <c r="A819" s="409"/>
      <c r="B819" s="410"/>
      <c r="C819" s="411"/>
      <c r="D819" s="41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row>
    <row r="820">
      <c r="A820" s="409"/>
      <c r="B820" s="410"/>
      <c r="C820" s="411"/>
      <c r="D820" s="41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row>
    <row r="821">
      <c r="A821" s="409"/>
      <c r="B821" s="410"/>
      <c r="C821" s="411"/>
      <c r="D821" s="41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row>
    <row r="822">
      <c r="A822" s="409"/>
      <c r="B822" s="410"/>
      <c r="C822" s="411"/>
      <c r="D822" s="41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row>
    <row r="823">
      <c r="A823" s="409"/>
      <c r="B823" s="410"/>
      <c r="C823" s="411"/>
      <c r="D823" s="41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row>
    <row r="824">
      <c r="A824" s="409"/>
      <c r="B824" s="410"/>
      <c r="C824" s="411"/>
      <c r="D824" s="41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row>
    <row r="825">
      <c r="A825" s="409"/>
      <c r="B825" s="410"/>
      <c r="C825" s="411"/>
      <c r="D825" s="41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row>
    <row r="826">
      <c r="A826" s="409"/>
      <c r="B826" s="410"/>
      <c r="C826" s="411"/>
      <c r="D826" s="41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row>
    <row r="827">
      <c r="A827" s="409"/>
      <c r="B827" s="410"/>
      <c r="C827" s="411"/>
      <c r="D827" s="41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row>
    <row r="828">
      <c r="A828" s="409"/>
      <c r="B828" s="410"/>
      <c r="C828" s="411"/>
      <c r="D828" s="41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row>
    <row r="829">
      <c r="A829" s="409"/>
      <c r="B829" s="410"/>
      <c r="C829" s="411"/>
      <c r="D829" s="41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row>
    <row r="830">
      <c r="A830" s="409"/>
      <c r="B830" s="410"/>
      <c r="C830" s="411"/>
      <c r="D830" s="41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row>
    <row r="831">
      <c r="A831" s="409"/>
      <c r="B831" s="410"/>
      <c r="C831" s="411"/>
      <c r="D831" s="41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row>
    <row r="832">
      <c r="A832" s="409"/>
      <c r="B832" s="410"/>
      <c r="C832" s="411"/>
      <c r="D832" s="41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row>
    <row r="833">
      <c r="A833" s="409"/>
      <c r="B833" s="410"/>
      <c r="C833" s="411"/>
      <c r="D833" s="41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row>
    <row r="834">
      <c r="A834" s="409"/>
      <c r="B834" s="410"/>
      <c r="C834" s="411"/>
      <c r="D834" s="41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row>
    <row r="835">
      <c r="A835" s="409"/>
      <c r="B835" s="410"/>
      <c r="C835" s="411"/>
      <c r="D835" s="41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row>
    <row r="836">
      <c r="A836" s="409"/>
      <c r="B836" s="410"/>
      <c r="C836" s="411"/>
      <c r="D836" s="41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row>
    <row r="837">
      <c r="A837" s="409"/>
      <c r="B837" s="410"/>
      <c r="C837" s="411"/>
      <c r="D837" s="41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row>
    <row r="838">
      <c r="A838" s="409"/>
      <c r="B838" s="410"/>
      <c r="C838" s="411"/>
      <c r="D838" s="41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row>
    <row r="839">
      <c r="A839" s="409"/>
      <c r="B839" s="410"/>
      <c r="C839" s="411"/>
      <c r="D839" s="41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row>
    <row r="840">
      <c r="A840" s="409"/>
      <c r="B840" s="410"/>
      <c r="C840" s="411"/>
      <c r="D840" s="41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row>
    <row r="841">
      <c r="A841" s="409"/>
      <c r="B841" s="410"/>
      <c r="C841" s="411"/>
      <c r="D841" s="41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row>
    <row r="842">
      <c r="A842" s="409"/>
      <c r="B842" s="410"/>
      <c r="C842" s="411"/>
      <c r="D842" s="41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row>
    <row r="843">
      <c r="A843" s="409"/>
      <c r="B843" s="410"/>
      <c r="C843" s="411"/>
      <c r="D843" s="41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row>
    <row r="844">
      <c r="A844" s="409"/>
      <c r="B844" s="410"/>
      <c r="C844" s="411"/>
      <c r="D844" s="41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row>
    <row r="845">
      <c r="A845" s="409"/>
      <c r="B845" s="410"/>
      <c r="C845" s="411"/>
      <c r="D845" s="41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row>
    <row r="846">
      <c r="A846" s="409"/>
      <c r="B846" s="410"/>
      <c r="C846" s="411"/>
      <c r="D846" s="41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row>
    <row r="847">
      <c r="A847" s="409"/>
      <c r="B847" s="410"/>
      <c r="C847" s="411"/>
      <c r="D847" s="41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row>
    <row r="848">
      <c r="A848" s="409"/>
      <c r="B848" s="410"/>
      <c r="C848" s="411"/>
      <c r="D848" s="41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row>
    <row r="849">
      <c r="A849" s="409"/>
      <c r="B849" s="410"/>
      <c r="C849" s="411"/>
      <c r="D849" s="41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row>
    <row r="850">
      <c r="A850" s="409"/>
      <c r="B850" s="410"/>
      <c r="C850" s="411"/>
      <c r="D850" s="41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row>
    <row r="851">
      <c r="A851" s="409"/>
      <c r="B851" s="410"/>
      <c r="C851" s="411"/>
      <c r="D851" s="41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row>
    <row r="852">
      <c r="A852" s="409"/>
      <c r="B852" s="410"/>
      <c r="C852" s="411"/>
      <c r="D852" s="41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row>
    <row r="853">
      <c r="A853" s="409"/>
      <c r="B853" s="410"/>
      <c r="C853" s="411"/>
      <c r="D853" s="41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row>
    <row r="854">
      <c r="A854" s="409"/>
      <c r="B854" s="410"/>
      <c r="C854" s="411"/>
      <c r="D854" s="41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row>
    <row r="855">
      <c r="A855" s="409"/>
      <c r="B855" s="410"/>
      <c r="C855" s="411"/>
      <c r="D855" s="41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row>
    <row r="856">
      <c r="A856" s="409"/>
      <c r="B856" s="410"/>
      <c r="C856" s="411"/>
      <c r="D856" s="41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row>
    <row r="857">
      <c r="A857" s="409"/>
      <c r="B857" s="410"/>
      <c r="C857" s="411"/>
      <c r="D857" s="41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row>
    <row r="858">
      <c r="A858" s="409"/>
      <c r="B858" s="410"/>
      <c r="C858" s="411"/>
      <c r="D858" s="41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row>
    <row r="859">
      <c r="A859" s="409"/>
      <c r="B859" s="410"/>
      <c r="C859" s="411"/>
      <c r="D859" s="41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row>
    <row r="860">
      <c r="A860" s="409"/>
      <c r="B860" s="410"/>
      <c r="C860" s="411"/>
      <c r="D860" s="41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row>
    <row r="861">
      <c r="A861" s="409"/>
      <c r="B861" s="410"/>
      <c r="C861" s="411"/>
      <c r="D861" s="41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row>
    <row r="862">
      <c r="A862" s="409"/>
      <c r="B862" s="410"/>
      <c r="C862" s="411"/>
      <c r="D862" s="41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row>
    <row r="863">
      <c r="A863" s="409"/>
      <c r="B863" s="410"/>
      <c r="C863" s="411"/>
      <c r="D863" s="41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row>
    <row r="864">
      <c r="A864" s="409"/>
      <c r="B864" s="410"/>
      <c r="C864" s="411"/>
      <c r="D864" s="41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row>
    <row r="865">
      <c r="A865" s="409"/>
      <c r="B865" s="410"/>
      <c r="C865" s="411"/>
      <c r="D865" s="41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row>
    <row r="866">
      <c r="A866" s="409"/>
      <c r="B866" s="410"/>
      <c r="C866" s="411"/>
      <c r="D866" s="41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row>
    <row r="867">
      <c r="A867" s="409"/>
      <c r="B867" s="410"/>
      <c r="C867" s="411"/>
      <c r="D867" s="41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row>
    <row r="868">
      <c r="A868" s="409"/>
      <c r="B868" s="410"/>
      <c r="C868" s="411"/>
      <c r="D868" s="41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row>
    <row r="869">
      <c r="A869" s="409"/>
      <c r="B869" s="410"/>
      <c r="C869" s="411"/>
      <c r="D869" s="41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row>
    <row r="870">
      <c r="A870" s="409"/>
      <c r="B870" s="410"/>
      <c r="C870" s="411"/>
      <c r="D870" s="41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row>
    <row r="871">
      <c r="A871" s="409"/>
      <c r="B871" s="410"/>
      <c r="C871" s="411"/>
      <c r="D871" s="41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row>
    <row r="872">
      <c r="A872" s="409"/>
      <c r="B872" s="410"/>
      <c r="C872" s="411"/>
      <c r="D872" s="41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row>
    <row r="873">
      <c r="A873" s="409"/>
      <c r="B873" s="410"/>
      <c r="C873" s="411"/>
      <c r="D873" s="41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row>
    <row r="874">
      <c r="A874" s="409"/>
      <c r="B874" s="410"/>
      <c r="C874" s="411"/>
      <c r="D874" s="41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row>
    <row r="875">
      <c r="A875" s="409"/>
      <c r="B875" s="410"/>
      <c r="C875" s="411"/>
      <c r="D875" s="41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row>
    <row r="876">
      <c r="A876" s="409"/>
      <c r="B876" s="410"/>
      <c r="C876" s="411"/>
      <c r="D876" s="41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row>
    <row r="877">
      <c r="A877" s="409"/>
      <c r="B877" s="410"/>
      <c r="C877" s="411"/>
      <c r="D877" s="41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row>
    <row r="878">
      <c r="A878" s="409"/>
      <c r="B878" s="410"/>
      <c r="C878" s="411"/>
      <c r="D878" s="41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row>
    <row r="879">
      <c r="A879" s="409"/>
      <c r="B879" s="410"/>
      <c r="C879" s="411"/>
      <c r="D879" s="41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row>
    <row r="880">
      <c r="A880" s="409"/>
      <c r="B880" s="410"/>
      <c r="C880" s="411"/>
      <c r="D880" s="41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row>
    <row r="881">
      <c r="A881" s="409"/>
      <c r="B881" s="410"/>
      <c r="C881" s="411"/>
      <c r="D881" s="41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row>
    <row r="882">
      <c r="A882" s="409"/>
      <c r="B882" s="410"/>
      <c r="C882" s="411"/>
      <c r="D882" s="41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row>
    <row r="883">
      <c r="A883" s="409"/>
      <c r="B883" s="410"/>
      <c r="C883" s="411"/>
      <c r="D883" s="41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row>
    <row r="884">
      <c r="A884" s="409"/>
      <c r="B884" s="410"/>
      <c r="C884" s="411"/>
      <c r="D884" s="41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row>
    <row r="885">
      <c r="A885" s="409"/>
      <c r="B885" s="410"/>
      <c r="C885" s="411"/>
      <c r="D885" s="41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row>
    <row r="886">
      <c r="A886" s="409"/>
      <c r="B886" s="410"/>
      <c r="C886" s="411"/>
      <c r="D886" s="41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row>
    <row r="887">
      <c r="A887" s="409"/>
      <c r="B887" s="410"/>
      <c r="C887" s="411"/>
      <c r="D887" s="41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row>
    <row r="888">
      <c r="A888" s="409"/>
      <c r="B888" s="410"/>
      <c r="C888" s="411"/>
      <c r="D888" s="41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row>
    <row r="889">
      <c r="A889" s="409"/>
      <c r="B889" s="410"/>
      <c r="C889" s="411"/>
      <c r="D889" s="41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row>
    <row r="890">
      <c r="A890" s="409"/>
      <c r="B890" s="410"/>
      <c r="C890" s="411"/>
      <c r="D890" s="41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row>
    <row r="891">
      <c r="A891" s="409"/>
      <c r="B891" s="410"/>
      <c r="C891" s="411"/>
      <c r="D891" s="41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row>
    <row r="892">
      <c r="A892" s="409"/>
      <c r="B892" s="410"/>
      <c r="C892" s="411"/>
      <c r="D892" s="41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row>
    <row r="893">
      <c r="A893" s="409"/>
      <c r="B893" s="410"/>
      <c r="C893" s="411"/>
      <c r="D893" s="41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row>
    <row r="894">
      <c r="A894" s="409"/>
      <c r="B894" s="410"/>
      <c r="C894" s="411"/>
      <c r="D894" s="41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row>
    <row r="895">
      <c r="A895" s="409"/>
      <c r="B895" s="410"/>
      <c r="C895" s="411"/>
      <c r="D895" s="41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row>
    <row r="896">
      <c r="A896" s="409"/>
      <c r="B896" s="410"/>
      <c r="C896" s="411"/>
      <c r="D896" s="41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row>
    <row r="897">
      <c r="A897" s="409"/>
      <c r="B897" s="410"/>
      <c r="C897" s="411"/>
      <c r="D897" s="41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row>
    <row r="898">
      <c r="A898" s="409"/>
      <c r="B898" s="410"/>
      <c r="C898" s="411"/>
      <c r="D898" s="41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row>
    <row r="899">
      <c r="A899" s="409"/>
      <c r="B899" s="410"/>
      <c r="C899" s="411"/>
      <c r="D899" s="41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row>
    <row r="900">
      <c r="A900" s="409"/>
      <c r="B900" s="410"/>
      <c r="C900" s="411"/>
      <c r="D900" s="41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row>
    <row r="901">
      <c r="A901" s="409"/>
      <c r="B901" s="410"/>
      <c r="C901" s="411"/>
      <c r="D901" s="41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row>
    <row r="902">
      <c r="A902" s="409"/>
      <c r="B902" s="410"/>
      <c r="C902" s="411"/>
      <c r="D902" s="41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row>
    <row r="903">
      <c r="A903" s="409"/>
      <c r="B903" s="410"/>
      <c r="C903" s="411"/>
      <c r="D903" s="41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row>
    <row r="904">
      <c r="A904" s="409"/>
      <c r="B904" s="410"/>
      <c r="C904" s="411"/>
      <c r="D904" s="41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row>
    <row r="905">
      <c r="A905" s="409"/>
      <c r="B905" s="410"/>
      <c r="C905" s="411"/>
      <c r="D905" s="41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row>
    <row r="906">
      <c r="A906" s="409"/>
      <c r="B906" s="410"/>
      <c r="C906" s="411"/>
      <c r="D906" s="41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row>
    <row r="907">
      <c r="A907" s="409"/>
      <c r="B907" s="410"/>
      <c r="C907" s="411"/>
      <c r="D907" s="41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row>
    <row r="908">
      <c r="A908" s="409"/>
      <c r="B908" s="410"/>
      <c r="C908" s="411"/>
      <c r="D908" s="41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row>
    <row r="909">
      <c r="A909" s="409"/>
      <c r="B909" s="410"/>
      <c r="C909" s="411"/>
      <c r="D909" s="41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row>
    <row r="910">
      <c r="A910" s="409"/>
      <c r="B910" s="410"/>
      <c r="C910" s="411"/>
      <c r="D910" s="41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row>
    <row r="911">
      <c r="A911" s="409"/>
      <c r="B911" s="410"/>
      <c r="C911" s="411"/>
      <c r="D911" s="41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row>
    <row r="912">
      <c r="A912" s="409"/>
      <c r="B912" s="410"/>
      <c r="C912" s="411"/>
      <c r="D912" s="41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row>
    <row r="913">
      <c r="A913" s="409"/>
      <c r="B913" s="410"/>
      <c r="C913" s="411"/>
      <c r="D913" s="41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row>
    <row r="914">
      <c r="A914" s="409"/>
      <c r="B914" s="410"/>
      <c r="C914" s="411"/>
      <c r="D914" s="41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row>
    <row r="915">
      <c r="A915" s="409"/>
      <c r="B915" s="410"/>
      <c r="C915" s="411"/>
      <c r="D915" s="41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row>
    <row r="916">
      <c r="A916" s="409"/>
      <c r="B916" s="410"/>
      <c r="C916" s="411"/>
      <c r="D916" s="41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row>
    <row r="917">
      <c r="A917" s="409"/>
      <c r="B917" s="410"/>
      <c r="C917" s="411"/>
      <c r="D917" s="41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row>
    <row r="918">
      <c r="A918" s="409"/>
      <c r="B918" s="410"/>
      <c r="C918" s="411"/>
      <c r="D918" s="41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row>
    <row r="919">
      <c r="A919" s="409"/>
      <c r="B919" s="410"/>
      <c r="C919" s="411"/>
      <c r="D919" s="41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row>
    <row r="920">
      <c r="A920" s="409"/>
      <c r="B920" s="410"/>
      <c r="C920" s="411"/>
      <c r="D920" s="41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row>
    <row r="921">
      <c r="A921" s="409"/>
      <c r="B921" s="410"/>
      <c r="C921" s="411"/>
      <c r="D921" s="41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row>
    <row r="922">
      <c r="A922" s="409"/>
      <c r="B922" s="410"/>
      <c r="C922" s="411"/>
      <c r="D922" s="41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row>
    <row r="923">
      <c r="A923" s="409"/>
      <c r="B923" s="410"/>
      <c r="C923" s="411"/>
      <c r="D923" s="41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row>
    <row r="924">
      <c r="A924" s="409"/>
      <c r="B924" s="410"/>
      <c r="C924" s="411"/>
      <c r="D924" s="41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row>
    <row r="925">
      <c r="A925" s="409"/>
      <c r="B925" s="410"/>
      <c r="C925" s="411"/>
      <c r="D925" s="41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row>
    <row r="926">
      <c r="A926" s="409"/>
      <c r="B926" s="410"/>
      <c r="C926" s="411"/>
      <c r="D926" s="41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row>
    <row r="927">
      <c r="A927" s="409"/>
      <c r="B927" s="410"/>
      <c r="C927" s="411"/>
      <c r="D927" s="41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row>
    <row r="928">
      <c r="A928" s="409"/>
      <c r="B928" s="410"/>
      <c r="C928" s="411"/>
      <c r="D928" s="41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row>
    <row r="929">
      <c r="A929" s="409"/>
      <c r="B929" s="410"/>
      <c r="C929" s="411"/>
      <c r="D929" s="41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row>
    <row r="930">
      <c r="A930" s="409"/>
      <c r="B930" s="410"/>
      <c r="C930" s="411"/>
      <c r="D930" s="41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row>
    <row r="931">
      <c r="A931" s="409"/>
      <c r="B931" s="410"/>
      <c r="C931" s="411"/>
      <c r="D931" s="41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row>
    <row r="932">
      <c r="A932" s="409"/>
      <c r="B932" s="410"/>
      <c r="C932" s="411"/>
      <c r="D932" s="41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row>
    <row r="933">
      <c r="A933" s="409"/>
      <c r="B933" s="410"/>
      <c r="C933" s="411"/>
      <c r="D933" s="41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row>
    <row r="934">
      <c r="A934" s="409"/>
      <c r="B934" s="410"/>
      <c r="C934" s="411"/>
      <c r="D934" s="41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row>
    <row r="935">
      <c r="A935" s="409"/>
      <c r="B935" s="410"/>
      <c r="C935" s="411"/>
      <c r="D935" s="41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row>
    <row r="936">
      <c r="A936" s="409"/>
      <c r="B936" s="410"/>
      <c r="C936" s="411"/>
      <c r="D936" s="41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row>
    <row r="937">
      <c r="A937" s="409"/>
      <c r="B937" s="410"/>
      <c r="C937" s="411"/>
      <c r="D937" s="41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row>
    <row r="938">
      <c r="A938" s="409"/>
      <c r="B938" s="410"/>
      <c r="C938" s="411"/>
      <c r="D938" s="41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row>
    <row r="939">
      <c r="A939" s="409"/>
      <c r="B939" s="410"/>
      <c r="C939" s="411"/>
      <c r="D939" s="41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row>
    <row r="940">
      <c r="A940" s="409"/>
      <c r="B940" s="410"/>
      <c r="C940" s="411"/>
      <c r="D940" s="41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row>
    <row r="941">
      <c r="A941" s="409"/>
      <c r="B941" s="410"/>
      <c r="C941" s="411"/>
      <c r="D941" s="41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row>
    <row r="942">
      <c r="A942" s="409"/>
      <c r="B942" s="410"/>
      <c r="C942" s="411"/>
      <c r="D942" s="41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row>
    <row r="943">
      <c r="A943" s="409"/>
      <c r="B943" s="410"/>
      <c r="C943" s="411"/>
      <c r="D943" s="41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row>
    <row r="944">
      <c r="A944" s="409"/>
      <c r="B944" s="410"/>
      <c r="C944" s="411"/>
      <c r="D944" s="41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row>
    <row r="945">
      <c r="A945" s="409"/>
      <c r="B945" s="410"/>
      <c r="C945" s="411"/>
      <c r="D945" s="41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row>
    <row r="946">
      <c r="A946" s="409"/>
      <c r="B946" s="410"/>
      <c r="C946" s="411"/>
      <c r="D946" s="41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row>
    <row r="947">
      <c r="A947" s="409"/>
      <c r="B947" s="410"/>
      <c r="C947" s="411"/>
      <c r="D947" s="41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row>
    <row r="948">
      <c r="A948" s="409"/>
      <c r="B948" s="410"/>
      <c r="C948" s="411"/>
      <c r="D948" s="41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row>
    <row r="949">
      <c r="A949" s="409"/>
      <c r="B949" s="410"/>
      <c r="C949" s="411"/>
      <c r="D949" s="41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row>
    <row r="950">
      <c r="A950" s="409"/>
      <c r="B950" s="410"/>
      <c r="C950" s="411"/>
      <c r="D950" s="41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row>
    <row r="951">
      <c r="A951" s="409"/>
      <c r="B951" s="410"/>
      <c r="C951" s="411"/>
      <c r="D951" s="41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row>
    <row r="952">
      <c r="A952" s="409"/>
      <c r="B952" s="410"/>
      <c r="C952" s="411"/>
      <c r="D952" s="41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row>
    <row r="953">
      <c r="A953" s="409"/>
      <c r="B953" s="410"/>
      <c r="C953" s="411"/>
      <c r="D953" s="41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row>
    <row r="954">
      <c r="A954" s="409"/>
      <c r="B954" s="410"/>
      <c r="C954" s="411"/>
      <c r="D954" s="41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row>
    <row r="955">
      <c r="A955" s="409"/>
      <c r="B955" s="410"/>
      <c r="C955" s="411"/>
      <c r="D955" s="41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row>
    <row r="956">
      <c r="A956" s="409"/>
      <c r="B956" s="410"/>
      <c r="C956" s="411"/>
      <c r="D956" s="41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row>
    <row r="957">
      <c r="A957" s="409"/>
      <c r="B957" s="410"/>
      <c r="C957" s="411"/>
      <c r="D957" s="41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row>
    <row r="958">
      <c r="A958" s="409"/>
      <c r="B958" s="410"/>
      <c r="C958" s="411"/>
      <c r="D958" s="412"/>
      <c r="E958" s="402"/>
      <c r="F958" s="402"/>
      <c r="G958" s="402"/>
      <c r="H958" s="402"/>
      <c r="I958" s="402"/>
      <c r="J958" s="402"/>
      <c r="K958" s="402"/>
      <c r="L958" s="402"/>
      <c r="M958" s="402"/>
      <c r="N958" s="402"/>
      <c r="O958" s="402"/>
      <c r="P958" s="402"/>
      <c r="Q958" s="402"/>
      <c r="R958" s="402"/>
      <c r="S958" s="402"/>
      <c r="T958" s="402"/>
      <c r="U958" s="402"/>
      <c r="V958" s="402"/>
      <c r="W958" s="402"/>
      <c r="X958" s="402"/>
      <c r="Y958" s="402"/>
      <c r="Z958" s="402"/>
    </row>
    <row r="959">
      <c r="A959" s="409"/>
      <c r="B959" s="410"/>
      <c r="C959" s="411"/>
      <c r="D959" s="412"/>
      <c r="E959" s="402"/>
      <c r="F959" s="402"/>
      <c r="G959" s="402"/>
      <c r="H959" s="402"/>
      <c r="I959" s="402"/>
      <c r="J959" s="402"/>
      <c r="K959" s="402"/>
      <c r="L959" s="402"/>
      <c r="M959" s="402"/>
      <c r="N959" s="402"/>
      <c r="O959" s="402"/>
      <c r="P959" s="402"/>
      <c r="Q959" s="402"/>
      <c r="R959" s="402"/>
      <c r="S959" s="402"/>
      <c r="T959" s="402"/>
      <c r="U959" s="402"/>
      <c r="V959" s="402"/>
      <c r="W959" s="402"/>
      <c r="X959" s="402"/>
      <c r="Y959" s="402"/>
      <c r="Z959" s="402"/>
    </row>
    <row r="960">
      <c r="A960" s="409"/>
      <c r="B960" s="410"/>
      <c r="C960" s="411"/>
      <c r="D960" s="412"/>
      <c r="E960" s="402"/>
      <c r="F960" s="402"/>
      <c r="G960" s="402"/>
      <c r="H960" s="402"/>
      <c r="I960" s="402"/>
      <c r="J960" s="402"/>
      <c r="K960" s="402"/>
      <c r="L960" s="402"/>
      <c r="M960" s="402"/>
      <c r="N960" s="402"/>
      <c r="O960" s="402"/>
      <c r="P960" s="402"/>
      <c r="Q960" s="402"/>
      <c r="R960" s="402"/>
      <c r="S960" s="402"/>
      <c r="T960" s="402"/>
      <c r="U960" s="402"/>
      <c r="V960" s="402"/>
      <c r="W960" s="402"/>
      <c r="X960" s="402"/>
      <c r="Y960" s="402"/>
      <c r="Z960" s="402"/>
    </row>
    <row r="961">
      <c r="A961" s="409"/>
      <c r="B961" s="410"/>
      <c r="C961" s="411"/>
      <c r="D961" s="412"/>
      <c r="E961" s="402"/>
      <c r="F961" s="402"/>
      <c r="G961" s="402"/>
      <c r="H961" s="402"/>
      <c r="I961" s="402"/>
      <c r="J961" s="402"/>
      <c r="K961" s="402"/>
      <c r="L961" s="402"/>
      <c r="M961" s="402"/>
      <c r="N961" s="402"/>
      <c r="O961" s="402"/>
      <c r="P961" s="402"/>
      <c r="Q961" s="402"/>
      <c r="R961" s="402"/>
      <c r="S961" s="402"/>
      <c r="T961" s="402"/>
      <c r="U961" s="402"/>
      <c r="V961" s="402"/>
      <c r="W961" s="402"/>
      <c r="X961" s="402"/>
      <c r="Y961" s="402"/>
      <c r="Z961" s="402"/>
    </row>
    <row r="962">
      <c r="A962" s="409"/>
      <c r="B962" s="410"/>
      <c r="C962" s="411"/>
      <c r="D962" s="412"/>
      <c r="E962" s="402"/>
      <c r="F962" s="402"/>
      <c r="G962" s="402"/>
      <c r="H962" s="402"/>
      <c r="I962" s="402"/>
      <c r="J962" s="402"/>
      <c r="K962" s="402"/>
      <c r="L962" s="402"/>
      <c r="M962" s="402"/>
      <c r="N962" s="402"/>
      <c r="O962" s="402"/>
      <c r="P962" s="402"/>
      <c r="Q962" s="402"/>
      <c r="R962" s="402"/>
      <c r="S962" s="402"/>
      <c r="T962" s="402"/>
      <c r="U962" s="402"/>
      <c r="V962" s="402"/>
      <c r="W962" s="402"/>
      <c r="X962" s="402"/>
      <c r="Y962" s="402"/>
      <c r="Z962" s="402"/>
    </row>
    <row r="963">
      <c r="A963" s="409"/>
      <c r="B963" s="410"/>
      <c r="C963" s="411"/>
      <c r="D963" s="412"/>
      <c r="E963" s="402"/>
      <c r="F963" s="402"/>
      <c r="G963" s="402"/>
      <c r="H963" s="402"/>
      <c r="I963" s="402"/>
      <c r="J963" s="402"/>
      <c r="K963" s="402"/>
      <c r="L963" s="402"/>
      <c r="M963" s="402"/>
      <c r="N963" s="402"/>
      <c r="O963" s="402"/>
      <c r="P963" s="402"/>
      <c r="Q963" s="402"/>
      <c r="R963" s="402"/>
      <c r="S963" s="402"/>
      <c r="T963" s="402"/>
      <c r="U963" s="402"/>
      <c r="V963" s="402"/>
      <c r="W963" s="402"/>
      <c r="X963" s="402"/>
      <c r="Y963" s="402"/>
      <c r="Z963" s="402"/>
    </row>
    <row r="964">
      <c r="A964" s="409"/>
      <c r="B964" s="410"/>
      <c r="C964" s="411"/>
      <c r="D964" s="412"/>
      <c r="E964" s="402"/>
      <c r="F964" s="402"/>
      <c r="G964" s="402"/>
      <c r="H964" s="402"/>
      <c r="I964" s="402"/>
      <c r="J964" s="402"/>
      <c r="K964" s="402"/>
      <c r="L964" s="402"/>
      <c r="M964" s="402"/>
      <c r="N964" s="402"/>
      <c r="O964" s="402"/>
      <c r="P964" s="402"/>
      <c r="Q964" s="402"/>
      <c r="R964" s="402"/>
      <c r="S964" s="402"/>
      <c r="T964" s="402"/>
      <c r="U964" s="402"/>
      <c r="V964" s="402"/>
      <c r="W964" s="402"/>
      <c r="X964" s="402"/>
      <c r="Y964" s="402"/>
      <c r="Z964" s="402"/>
    </row>
    <row r="965">
      <c r="A965" s="409"/>
      <c r="B965" s="410"/>
      <c r="C965" s="411"/>
      <c r="D965" s="412"/>
      <c r="E965" s="402"/>
      <c r="F965" s="402"/>
      <c r="G965" s="402"/>
      <c r="H965" s="402"/>
      <c r="I965" s="402"/>
      <c r="J965" s="402"/>
      <c r="K965" s="402"/>
      <c r="L965" s="402"/>
      <c r="M965" s="402"/>
      <c r="N965" s="402"/>
      <c r="O965" s="402"/>
      <c r="P965" s="402"/>
      <c r="Q965" s="402"/>
      <c r="R965" s="402"/>
      <c r="S965" s="402"/>
      <c r="T965" s="402"/>
      <c r="U965" s="402"/>
      <c r="V965" s="402"/>
      <c r="W965" s="402"/>
      <c r="X965" s="402"/>
      <c r="Y965" s="402"/>
      <c r="Z965" s="402"/>
    </row>
    <row r="966">
      <c r="A966" s="409"/>
      <c r="B966" s="410"/>
      <c r="C966" s="411"/>
      <c r="D966" s="412"/>
      <c r="E966" s="402"/>
      <c r="F966" s="402"/>
      <c r="G966" s="402"/>
      <c r="H966" s="402"/>
      <c r="I966" s="402"/>
      <c r="J966" s="402"/>
      <c r="K966" s="402"/>
      <c r="L966" s="402"/>
      <c r="M966" s="402"/>
      <c r="N966" s="402"/>
      <c r="O966" s="402"/>
      <c r="P966" s="402"/>
      <c r="Q966" s="402"/>
      <c r="R966" s="402"/>
      <c r="S966" s="402"/>
      <c r="T966" s="402"/>
      <c r="U966" s="402"/>
      <c r="V966" s="402"/>
      <c r="W966" s="402"/>
      <c r="X966" s="402"/>
      <c r="Y966" s="402"/>
      <c r="Z966" s="402"/>
    </row>
    <row r="967">
      <c r="A967" s="409"/>
      <c r="B967" s="410"/>
      <c r="C967" s="411"/>
      <c r="D967" s="412"/>
      <c r="E967" s="402"/>
      <c r="F967" s="402"/>
      <c r="G967" s="402"/>
      <c r="H967" s="402"/>
      <c r="I967" s="402"/>
      <c r="J967" s="402"/>
      <c r="K967" s="402"/>
      <c r="L967" s="402"/>
      <c r="M967" s="402"/>
      <c r="N967" s="402"/>
      <c r="O967" s="402"/>
      <c r="P967" s="402"/>
      <c r="Q967" s="402"/>
      <c r="R967" s="402"/>
      <c r="S967" s="402"/>
      <c r="T967" s="402"/>
      <c r="U967" s="402"/>
      <c r="V967" s="402"/>
      <c r="W967" s="402"/>
      <c r="X967" s="402"/>
      <c r="Y967" s="402"/>
      <c r="Z967" s="402"/>
    </row>
    <row r="968">
      <c r="A968" s="409"/>
      <c r="B968" s="410"/>
      <c r="C968" s="411"/>
      <c r="D968" s="412"/>
      <c r="E968" s="402"/>
      <c r="F968" s="402"/>
      <c r="G968" s="402"/>
      <c r="H968" s="402"/>
      <c r="I968" s="402"/>
      <c r="J968" s="402"/>
      <c r="K968" s="402"/>
      <c r="L968" s="402"/>
      <c r="M968" s="402"/>
      <c r="N968" s="402"/>
      <c r="O968" s="402"/>
      <c r="P968" s="402"/>
      <c r="Q968" s="402"/>
      <c r="R968" s="402"/>
      <c r="S968" s="402"/>
      <c r="T968" s="402"/>
      <c r="U968" s="402"/>
      <c r="V968" s="402"/>
      <c r="W968" s="402"/>
      <c r="X968" s="402"/>
      <c r="Y968" s="402"/>
      <c r="Z968" s="402"/>
    </row>
    <row r="969">
      <c r="A969" s="409"/>
      <c r="B969" s="410"/>
      <c r="C969" s="411"/>
      <c r="D969" s="412"/>
      <c r="E969" s="402"/>
      <c r="F969" s="402"/>
      <c r="G969" s="402"/>
      <c r="H969" s="402"/>
      <c r="I969" s="402"/>
      <c r="J969" s="402"/>
      <c r="K969" s="402"/>
      <c r="L969" s="402"/>
      <c r="M969" s="402"/>
      <c r="N969" s="402"/>
      <c r="O969" s="402"/>
      <c r="P969" s="402"/>
      <c r="Q969" s="402"/>
      <c r="R969" s="402"/>
      <c r="S969" s="402"/>
      <c r="T969" s="402"/>
      <c r="U969" s="402"/>
      <c r="V969" s="402"/>
      <c r="W969" s="402"/>
      <c r="X969" s="402"/>
      <c r="Y969" s="402"/>
      <c r="Z969" s="402"/>
    </row>
    <row r="970">
      <c r="A970" s="409"/>
      <c r="B970" s="410"/>
      <c r="C970" s="411"/>
      <c r="D970" s="412"/>
      <c r="E970" s="402"/>
      <c r="F970" s="402"/>
      <c r="G970" s="402"/>
      <c r="H970" s="402"/>
      <c r="I970" s="402"/>
      <c r="J970" s="402"/>
      <c r="K970" s="402"/>
      <c r="L970" s="402"/>
      <c r="M970" s="402"/>
      <c r="N970" s="402"/>
      <c r="O970" s="402"/>
      <c r="P970" s="402"/>
      <c r="Q970" s="402"/>
      <c r="R970" s="402"/>
      <c r="S970" s="402"/>
      <c r="T970" s="402"/>
      <c r="U970" s="402"/>
      <c r="V970" s="402"/>
      <c r="W970" s="402"/>
      <c r="X970" s="402"/>
      <c r="Y970" s="402"/>
      <c r="Z970" s="402"/>
    </row>
    <row r="971">
      <c r="A971" s="409"/>
      <c r="B971" s="410"/>
      <c r="C971" s="411"/>
      <c r="D971" s="412"/>
      <c r="E971" s="402"/>
      <c r="F971" s="402"/>
      <c r="G971" s="402"/>
      <c r="H971" s="402"/>
      <c r="I971" s="402"/>
      <c r="J971" s="402"/>
      <c r="K971" s="402"/>
      <c r="L971" s="402"/>
      <c r="M971" s="402"/>
      <c r="N971" s="402"/>
      <c r="O971" s="402"/>
      <c r="P971" s="402"/>
      <c r="Q971" s="402"/>
      <c r="R971" s="402"/>
      <c r="S971" s="402"/>
      <c r="T971" s="402"/>
      <c r="U971" s="402"/>
      <c r="V971" s="402"/>
      <c r="W971" s="402"/>
      <c r="X971" s="402"/>
      <c r="Y971" s="402"/>
      <c r="Z971" s="402"/>
    </row>
    <row r="972">
      <c r="A972" s="409"/>
      <c r="B972" s="410"/>
      <c r="C972" s="411"/>
      <c r="D972" s="412"/>
      <c r="E972" s="402"/>
      <c r="F972" s="402"/>
      <c r="G972" s="402"/>
      <c r="H972" s="402"/>
      <c r="I972" s="402"/>
      <c r="J972" s="402"/>
      <c r="K972" s="402"/>
      <c r="L972" s="402"/>
      <c r="M972" s="402"/>
      <c r="N972" s="402"/>
      <c r="O972" s="402"/>
      <c r="P972" s="402"/>
      <c r="Q972" s="402"/>
      <c r="R972" s="402"/>
      <c r="S972" s="402"/>
      <c r="T972" s="402"/>
      <c r="U972" s="402"/>
      <c r="V972" s="402"/>
      <c r="W972" s="402"/>
      <c r="X972" s="402"/>
      <c r="Y972" s="402"/>
      <c r="Z972" s="402"/>
    </row>
    <row r="973">
      <c r="A973" s="409"/>
      <c r="B973" s="410"/>
      <c r="C973" s="411"/>
      <c r="D973" s="412"/>
      <c r="E973" s="402"/>
      <c r="F973" s="402"/>
      <c r="G973" s="402"/>
      <c r="H973" s="402"/>
      <c r="I973" s="402"/>
      <c r="J973" s="402"/>
      <c r="K973" s="402"/>
      <c r="L973" s="402"/>
      <c r="M973" s="402"/>
      <c r="N973" s="402"/>
      <c r="O973" s="402"/>
      <c r="P973" s="402"/>
      <c r="Q973" s="402"/>
      <c r="R973" s="402"/>
      <c r="S973" s="402"/>
      <c r="T973" s="402"/>
      <c r="U973" s="402"/>
      <c r="V973" s="402"/>
      <c r="W973" s="402"/>
      <c r="X973" s="402"/>
      <c r="Y973" s="402"/>
      <c r="Z973" s="402"/>
    </row>
    <row r="974">
      <c r="A974" s="409"/>
      <c r="B974" s="410"/>
      <c r="C974" s="411"/>
      <c r="D974" s="412"/>
      <c r="E974" s="402"/>
      <c r="F974" s="402"/>
      <c r="G974" s="402"/>
      <c r="H974" s="402"/>
      <c r="I974" s="402"/>
      <c r="J974" s="402"/>
      <c r="K974" s="402"/>
      <c r="L974" s="402"/>
      <c r="M974" s="402"/>
      <c r="N974" s="402"/>
      <c r="O974" s="402"/>
      <c r="P974" s="402"/>
      <c r="Q974" s="402"/>
      <c r="R974" s="402"/>
      <c r="S974" s="402"/>
      <c r="T974" s="402"/>
      <c r="U974" s="402"/>
      <c r="V974" s="402"/>
      <c r="W974" s="402"/>
      <c r="X974" s="402"/>
      <c r="Y974" s="402"/>
      <c r="Z974" s="402"/>
    </row>
    <row r="975">
      <c r="A975" s="409"/>
      <c r="B975" s="410"/>
      <c r="C975" s="411"/>
      <c r="D975" s="412"/>
      <c r="E975" s="402"/>
      <c r="F975" s="402"/>
      <c r="G975" s="402"/>
      <c r="H975" s="402"/>
      <c r="I975" s="402"/>
      <c r="J975" s="402"/>
      <c r="K975" s="402"/>
      <c r="L975" s="402"/>
      <c r="M975" s="402"/>
      <c r="N975" s="402"/>
      <c r="O975" s="402"/>
      <c r="P975" s="402"/>
      <c r="Q975" s="402"/>
      <c r="R975" s="402"/>
      <c r="S975" s="402"/>
      <c r="T975" s="402"/>
      <c r="U975" s="402"/>
      <c r="V975" s="402"/>
      <c r="W975" s="402"/>
      <c r="X975" s="402"/>
      <c r="Y975" s="402"/>
      <c r="Z975" s="402"/>
    </row>
    <row r="976">
      <c r="A976" s="409"/>
      <c r="B976" s="410"/>
      <c r="C976" s="411"/>
      <c r="D976" s="412"/>
      <c r="E976" s="402"/>
      <c r="F976" s="402"/>
      <c r="G976" s="402"/>
      <c r="H976" s="402"/>
      <c r="I976" s="402"/>
      <c r="J976" s="402"/>
      <c r="K976" s="402"/>
      <c r="L976" s="402"/>
      <c r="M976" s="402"/>
      <c r="N976" s="402"/>
      <c r="O976" s="402"/>
      <c r="P976" s="402"/>
      <c r="Q976" s="402"/>
      <c r="R976" s="402"/>
      <c r="S976" s="402"/>
      <c r="T976" s="402"/>
      <c r="U976" s="402"/>
      <c r="V976" s="402"/>
      <c r="W976" s="402"/>
      <c r="X976" s="402"/>
      <c r="Y976" s="402"/>
      <c r="Z976" s="402"/>
    </row>
    <row r="977">
      <c r="A977" s="409"/>
      <c r="B977" s="410"/>
      <c r="C977" s="411"/>
      <c r="D977" s="41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row>
    <row r="978">
      <c r="A978" s="409"/>
      <c r="B978" s="410"/>
      <c r="C978" s="411"/>
      <c r="D978" s="41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row>
    <row r="979">
      <c r="A979" s="409"/>
      <c r="B979" s="410"/>
      <c r="C979" s="411"/>
      <c r="D979" s="412"/>
      <c r="E979" s="402"/>
      <c r="F979" s="402"/>
      <c r="G979" s="402"/>
      <c r="H979" s="402"/>
      <c r="I979" s="402"/>
      <c r="J979" s="402"/>
      <c r="K979" s="402"/>
      <c r="L979" s="402"/>
      <c r="M979" s="402"/>
      <c r="N979" s="402"/>
      <c r="O979" s="402"/>
      <c r="P979" s="402"/>
      <c r="Q979" s="402"/>
      <c r="R979" s="402"/>
      <c r="S979" s="402"/>
      <c r="T979" s="402"/>
      <c r="U979" s="402"/>
      <c r="V979" s="402"/>
      <c r="W979" s="402"/>
      <c r="X979" s="402"/>
      <c r="Y979" s="402"/>
      <c r="Z979" s="402"/>
    </row>
    <row r="980">
      <c r="A980" s="409"/>
      <c r="B980" s="410"/>
      <c r="C980" s="411"/>
      <c r="D980" s="412"/>
      <c r="E980" s="402"/>
      <c r="F980" s="402"/>
      <c r="G980" s="402"/>
      <c r="H980" s="402"/>
      <c r="I980" s="402"/>
      <c r="J980" s="402"/>
      <c r="K980" s="402"/>
      <c r="L980" s="402"/>
      <c r="M980" s="402"/>
      <c r="N980" s="402"/>
      <c r="O980" s="402"/>
      <c r="P980" s="402"/>
      <c r="Q980" s="402"/>
      <c r="R980" s="402"/>
      <c r="S980" s="402"/>
      <c r="T980" s="402"/>
      <c r="U980" s="402"/>
      <c r="V980" s="402"/>
      <c r="W980" s="402"/>
      <c r="X980" s="402"/>
      <c r="Y980" s="402"/>
      <c r="Z980" s="402"/>
    </row>
    <row r="981">
      <c r="A981" s="409"/>
      <c r="B981" s="410"/>
      <c r="C981" s="411"/>
      <c r="D981" s="412"/>
      <c r="E981" s="402"/>
      <c r="F981" s="402"/>
      <c r="G981" s="402"/>
      <c r="H981" s="402"/>
      <c r="I981" s="402"/>
      <c r="J981" s="402"/>
      <c r="K981" s="402"/>
      <c r="L981" s="402"/>
      <c r="M981" s="402"/>
      <c r="N981" s="402"/>
      <c r="O981" s="402"/>
      <c r="P981" s="402"/>
      <c r="Q981" s="402"/>
      <c r="R981" s="402"/>
      <c r="S981" s="402"/>
      <c r="T981" s="402"/>
      <c r="U981" s="402"/>
      <c r="V981" s="402"/>
      <c r="W981" s="402"/>
      <c r="X981" s="402"/>
      <c r="Y981" s="402"/>
      <c r="Z981" s="402"/>
    </row>
    <row r="982">
      <c r="A982" s="409"/>
      <c r="B982" s="410"/>
      <c r="C982" s="411"/>
      <c r="D982" s="412"/>
      <c r="E982" s="402"/>
      <c r="F982" s="402"/>
      <c r="G982" s="402"/>
      <c r="H982" s="402"/>
      <c r="I982" s="402"/>
      <c r="J982" s="402"/>
      <c r="K982" s="402"/>
      <c r="L982" s="402"/>
      <c r="M982" s="402"/>
      <c r="N982" s="402"/>
      <c r="O982" s="402"/>
      <c r="P982" s="402"/>
      <c r="Q982" s="402"/>
      <c r="R982" s="402"/>
      <c r="S982" s="402"/>
      <c r="T982" s="402"/>
      <c r="U982" s="402"/>
      <c r="V982" s="402"/>
      <c r="W982" s="402"/>
      <c r="X982" s="402"/>
      <c r="Y982" s="402"/>
      <c r="Z982" s="402"/>
    </row>
    <row r="983">
      <c r="A983" s="409"/>
      <c r="B983" s="410"/>
      <c r="C983" s="411"/>
      <c r="D983" s="412"/>
      <c r="E983" s="402"/>
      <c r="F983" s="402"/>
      <c r="G983" s="402"/>
      <c r="H983" s="402"/>
      <c r="I983" s="402"/>
      <c r="J983" s="402"/>
      <c r="K983" s="402"/>
      <c r="L983" s="402"/>
      <c r="M983" s="402"/>
      <c r="N983" s="402"/>
      <c r="O983" s="402"/>
      <c r="P983" s="402"/>
      <c r="Q983" s="402"/>
      <c r="R983" s="402"/>
      <c r="S983" s="402"/>
      <c r="T983" s="402"/>
      <c r="U983" s="402"/>
      <c r="V983" s="402"/>
      <c r="W983" s="402"/>
      <c r="X983" s="402"/>
      <c r="Y983" s="402"/>
      <c r="Z983" s="402"/>
    </row>
    <row r="984">
      <c r="A984" s="409"/>
      <c r="B984" s="410"/>
      <c r="C984" s="411"/>
      <c r="D984" s="412"/>
      <c r="E984" s="402"/>
      <c r="F984" s="402"/>
      <c r="G984" s="402"/>
      <c r="H984" s="402"/>
      <c r="I984" s="402"/>
      <c r="J984" s="402"/>
      <c r="K984" s="402"/>
      <c r="L984" s="402"/>
      <c r="M984" s="402"/>
      <c r="N984" s="402"/>
      <c r="O984" s="402"/>
      <c r="P984" s="402"/>
      <c r="Q984" s="402"/>
      <c r="R984" s="402"/>
      <c r="S984" s="402"/>
      <c r="T984" s="402"/>
      <c r="U984" s="402"/>
      <c r="V984" s="402"/>
      <c r="W984" s="402"/>
      <c r="X984" s="402"/>
      <c r="Y984" s="402"/>
      <c r="Z984" s="402"/>
    </row>
    <row r="985">
      <c r="A985" s="409"/>
      <c r="B985" s="410"/>
      <c r="C985" s="411"/>
      <c r="D985" s="412"/>
      <c r="E985" s="402"/>
      <c r="F985" s="402"/>
      <c r="G985" s="402"/>
      <c r="H985" s="402"/>
      <c r="I985" s="402"/>
      <c r="J985" s="402"/>
      <c r="K985" s="402"/>
      <c r="L985" s="402"/>
      <c r="M985" s="402"/>
      <c r="N985" s="402"/>
      <c r="O985" s="402"/>
      <c r="P985" s="402"/>
      <c r="Q985" s="402"/>
      <c r="R985" s="402"/>
      <c r="S985" s="402"/>
      <c r="T985" s="402"/>
      <c r="U985" s="402"/>
      <c r="V985" s="402"/>
      <c r="W985" s="402"/>
      <c r="X985" s="402"/>
      <c r="Y985" s="402"/>
      <c r="Z985" s="402"/>
    </row>
    <row r="986">
      <c r="A986" s="409"/>
      <c r="B986" s="410"/>
      <c r="C986" s="411"/>
      <c r="D986" s="412"/>
      <c r="E986" s="402"/>
      <c r="F986" s="402"/>
      <c r="G986" s="402"/>
      <c r="H986" s="402"/>
      <c r="I986" s="402"/>
      <c r="J986" s="402"/>
      <c r="K986" s="402"/>
      <c r="L986" s="402"/>
      <c r="M986" s="402"/>
      <c r="N986" s="402"/>
      <c r="O986" s="402"/>
      <c r="P986" s="402"/>
      <c r="Q986" s="402"/>
      <c r="R986" s="402"/>
      <c r="S986" s="402"/>
      <c r="T986" s="402"/>
      <c r="U986" s="402"/>
      <c r="V986" s="402"/>
      <c r="W986" s="402"/>
      <c r="X986" s="402"/>
      <c r="Y986" s="402"/>
      <c r="Z986" s="402"/>
    </row>
    <row r="987">
      <c r="A987" s="409"/>
      <c r="B987" s="410"/>
      <c r="C987" s="411"/>
      <c r="D987" s="412"/>
      <c r="E987" s="402"/>
      <c r="F987" s="402"/>
      <c r="G987" s="402"/>
      <c r="H987" s="402"/>
      <c r="I987" s="402"/>
      <c r="J987" s="402"/>
      <c r="K987" s="402"/>
      <c r="L987" s="402"/>
      <c r="M987" s="402"/>
      <c r="N987" s="402"/>
      <c r="O987" s="402"/>
      <c r="P987" s="402"/>
      <c r="Q987" s="402"/>
      <c r="R987" s="402"/>
      <c r="S987" s="402"/>
      <c r="T987" s="402"/>
      <c r="U987" s="402"/>
      <c r="V987" s="402"/>
      <c r="W987" s="402"/>
      <c r="X987" s="402"/>
      <c r="Y987" s="402"/>
      <c r="Z987" s="402"/>
    </row>
    <row r="988">
      <c r="A988" s="409"/>
      <c r="B988" s="410"/>
      <c r="C988" s="411"/>
      <c r="D988" s="412"/>
      <c r="E988" s="402"/>
      <c r="F988" s="402"/>
      <c r="G988" s="402"/>
      <c r="H988" s="402"/>
      <c r="I988" s="402"/>
      <c r="J988" s="402"/>
      <c r="K988" s="402"/>
      <c r="L988" s="402"/>
      <c r="M988" s="402"/>
      <c r="N988" s="402"/>
      <c r="O988" s="402"/>
      <c r="P988" s="402"/>
      <c r="Q988" s="402"/>
      <c r="R988" s="402"/>
      <c r="S988" s="402"/>
      <c r="T988" s="402"/>
      <c r="U988" s="402"/>
      <c r="V988" s="402"/>
      <c r="W988" s="402"/>
      <c r="X988" s="402"/>
      <c r="Y988" s="402"/>
      <c r="Z988" s="402"/>
    </row>
    <row r="989">
      <c r="A989" s="409"/>
      <c r="B989" s="410"/>
      <c r="C989" s="411"/>
      <c r="D989" s="412"/>
      <c r="E989" s="402"/>
      <c r="F989" s="402"/>
      <c r="G989" s="402"/>
      <c r="H989" s="402"/>
      <c r="I989" s="402"/>
      <c r="J989" s="402"/>
      <c r="K989" s="402"/>
      <c r="L989" s="402"/>
      <c r="M989" s="402"/>
      <c r="N989" s="402"/>
      <c r="O989" s="402"/>
      <c r="P989" s="402"/>
      <c r="Q989" s="402"/>
      <c r="R989" s="402"/>
      <c r="S989" s="402"/>
      <c r="T989" s="402"/>
      <c r="U989" s="402"/>
      <c r="V989" s="402"/>
      <c r="W989" s="402"/>
      <c r="X989" s="402"/>
      <c r="Y989" s="402"/>
      <c r="Z989" s="402"/>
    </row>
    <row r="990">
      <c r="A990" s="409"/>
      <c r="B990" s="410"/>
      <c r="C990" s="411"/>
      <c r="D990" s="412"/>
      <c r="E990" s="402"/>
      <c r="F990" s="402"/>
      <c r="G990" s="402"/>
      <c r="H990" s="402"/>
      <c r="I990" s="402"/>
      <c r="J990" s="402"/>
      <c r="K990" s="402"/>
      <c r="L990" s="402"/>
      <c r="M990" s="402"/>
      <c r="N990" s="402"/>
      <c r="O990" s="402"/>
      <c r="P990" s="402"/>
      <c r="Q990" s="402"/>
      <c r="R990" s="402"/>
      <c r="S990" s="402"/>
      <c r="T990" s="402"/>
      <c r="U990" s="402"/>
      <c r="V990" s="402"/>
      <c r="W990" s="402"/>
      <c r="X990" s="402"/>
      <c r="Y990" s="402"/>
      <c r="Z990" s="402"/>
    </row>
    <row r="991">
      <c r="A991" s="409"/>
      <c r="B991" s="410"/>
      <c r="C991" s="411"/>
      <c r="D991" s="412"/>
      <c r="E991" s="402"/>
      <c r="F991" s="402"/>
      <c r="G991" s="402"/>
      <c r="H991" s="402"/>
      <c r="I991" s="402"/>
      <c r="J991" s="402"/>
      <c r="K991" s="402"/>
      <c r="L991" s="402"/>
      <c r="M991" s="402"/>
      <c r="N991" s="402"/>
      <c r="O991" s="402"/>
      <c r="P991" s="402"/>
      <c r="Q991" s="402"/>
      <c r="R991" s="402"/>
      <c r="S991" s="402"/>
      <c r="T991" s="402"/>
      <c r="U991" s="402"/>
      <c r="V991" s="402"/>
      <c r="W991" s="402"/>
      <c r="X991" s="402"/>
      <c r="Y991" s="402"/>
      <c r="Z991" s="402"/>
    </row>
    <row r="992">
      <c r="A992" s="409"/>
      <c r="B992" s="410"/>
      <c r="C992" s="411"/>
      <c r="D992" s="412"/>
      <c r="E992" s="402"/>
      <c r="F992" s="402"/>
      <c r="G992" s="402"/>
      <c r="H992" s="402"/>
      <c r="I992" s="402"/>
      <c r="J992" s="402"/>
      <c r="K992" s="402"/>
      <c r="L992" s="402"/>
      <c r="M992" s="402"/>
      <c r="N992" s="402"/>
      <c r="O992" s="402"/>
      <c r="P992" s="402"/>
      <c r="Q992" s="402"/>
      <c r="R992" s="402"/>
      <c r="S992" s="402"/>
      <c r="T992" s="402"/>
      <c r="U992" s="402"/>
      <c r="V992" s="402"/>
      <c r="W992" s="402"/>
      <c r="X992" s="402"/>
      <c r="Y992" s="402"/>
      <c r="Z992" s="402"/>
    </row>
    <row r="993">
      <c r="A993" s="409"/>
      <c r="B993" s="410"/>
      <c r="C993" s="411"/>
      <c r="D993" s="412"/>
      <c r="E993" s="402"/>
      <c r="F993" s="402"/>
      <c r="G993" s="402"/>
      <c r="H993" s="402"/>
      <c r="I993" s="402"/>
      <c r="J993" s="402"/>
      <c r="K993" s="402"/>
      <c r="L993" s="402"/>
      <c r="M993" s="402"/>
      <c r="N993" s="402"/>
      <c r="O993" s="402"/>
      <c r="P993" s="402"/>
      <c r="Q993" s="402"/>
      <c r="R993" s="402"/>
      <c r="S993" s="402"/>
      <c r="T993" s="402"/>
      <c r="U993" s="402"/>
      <c r="V993" s="402"/>
      <c r="W993" s="402"/>
      <c r="X993" s="402"/>
      <c r="Y993" s="402"/>
      <c r="Z993" s="402"/>
    </row>
    <row r="994">
      <c r="A994" s="409"/>
      <c r="B994" s="410"/>
      <c r="C994" s="411"/>
      <c r="D994" s="412"/>
      <c r="E994" s="402"/>
      <c r="F994" s="402"/>
      <c r="G994" s="402"/>
      <c r="H994" s="402"/>
      <c r="I994" s="402"/>
      <c r="J994" s="402"/>
      <c r="K994" s="402"/>
      <c r="L994" s="402"/>
      <c r="M994" s="402"/>
      <c r="N994" s="402"/>
      <c r="O994" s="402"/>
      <c r="P994" s="402"/>
      <c r="Q994" s="402"/>
      <c r="R994" s="402"/>
      <c r="S994" s="402"/>
      <c r="T994" s="402"/>
      <c r="U994" s="402"/>
      <c r="V994" s="402"/>
      <c r="W994" s="402"/>
      <c r="X994" s="402"/>
      <c r="Y994" s="402"/>
      <c r="Z994" s="402"/>
    </row>
    <row r="995">
      <c r="A995" s="409"/>
      <c r="B995" s="410"/>
      <c r="C995" s="411"/>
      <c r="D995" s="412"/>
      <c r="E995" s="402"/>
      <c r="F995" s="402"/>
      <c r="G995" s="402"/>
      <c r="H995" s="402"/>
      <c r="I995" s="402"/>
      <c r="J995" s="402"/>
      <c r="K995" s="402"/>
      <c r="L995" s="402"/>
      <c r="M995" s="402"/>
      <c r="N995" s="402"/>
      <c r="O995" s="402"/>
      <c r="P995" s="402"/>
      <c r="Q995" s="402"/>
      <c r="R995" s="402"/>
      <c r="S995" s="402"/>
      <c r="T995" s="402"/>
      <c r="U995" s="402"/>
      <c r="V995" s="402"/>
      <c r="W995" s="402"/>
      <c r="X995" s="402"/>
      <c r="Y995" s="402"/>
      <c r="Z995" s="402"/>
    </row>
    <row r="996">
      <c r="A996" s="409"/>
      <c r="B996" s="410"/>
      <c r="C996" s="411"/>
      <c r="D996" s="412"/>
      <c r="E996" s="402"/>
      <c r="F996" s="402"/>
      <c r="G996" s="402"/>
      <c r="H996" s="402"/>
      <c r="I996" s="402"/>
      <c r="J996" s="402"/>
      <c r="K996" s="402"/>
      <c r="L996" s="402"/>
      <c r="M996" s="402"/>
      <c r="N996" s="402"/>
      <c r="O996" s="402"/>
      <c r="P996" s="402"/>
      <c r="Q996" s="402"/>
      <c r="R996" s="402"/>
      <c r="S996" s="402"/>
      <c r="T996" s="402"/>
      <c r="U996" s="402"/>
      <c r="V996" s="402"/>
      <c r="W996" s="402"/>
      <c r="X996" s="402"/>
      <c r="Y996" s="402"/>
      <c r="Z996" s="402"/>
    </row>
    <row r="997">
      <c r="A997" s="409"/>
      <c r="B997" s="410"/>
      <c r="C997" s="411"/>
      <c r="D997" s="412"/>
      <c r="E997" s="402"/>
      <c r="F997" s="402"/>
      <c r="G997" s="402"/>
      <c r="H997" s="402"/>
      <c r="I997" s="402"/>
      <c r="J997" s="402"/>
      <c r="K997" s="402"/>
      <c r="L997" s="402"/>
      <c r="M997" s="402"/>
      <c r="N997" s="402"/>
      <c r="O997" s="402"/>
      <c r="P997" s="402"/>
      <c r="Q997" s="402"/>
      <c r="R997" s="402"/>
      <c r="S997" s="402"/>
      <c r="T997" s="402"/>
      <c r="U997" s="402"/>
      <c r="V997" s="402"/>
      <c r="W997" s="402"/>
      <c r="X997" s="402"/>
      <c r="Y997" s="402"/>
      <c r="Z997" s="402"/>
    </row>
    <row r="998">
      <c r="A998" s="409"/>
      <c r="B998" s="410"/>
      <c r="C998" s="411"/>
      <c r="D998" s="412"/>
      <c r="E998" s="402"/>
      <c r="F998" s="402"/>
      <c r="G998" s="402"/>
      <c r="H998" s="402"/>
      <c r="I998" s="402"/>
      <c r="J998" s="402"/>
      <c r="K998" s="402"/>
      <c r="L998" s="402"/>
      <c r="M998" s="402"/>
      <c r="N998" s="402"/>
      <c r="O998" s="402"/>
      <c r="P998" s="402"/>
      <c r="Q998" s="402"/>
      <c r="R998" s="402"/>
      <c r="S998" s="402"/>
      <c r="T998" s="402"/>
      <c r="U998" s="402"/>
      <c r="V998" s="402"/>
      <c r="W998" s="402"/>
      <c r="X998" s="402"/>
      <c r="Y998" s="402"/>
      <c r="Z998" s="402"/>
    </row>
    <row r="999">
      <c r="A999" s="409"/>
      <c r="B999" s="410"/>
      <c r="C999" s="411"/>
      <c r="D999" s="412"/>
      <c r="E999" s="402"/>
      <c r="F999" s="402"/>
      <c r="G999" s="402"/>
      <c r="H999" s="402"/>
      <c r="I999" s="402"/>
      <c r="J999" s="402"/>
      <c r="K999" s="402"/>
      <c r="L999" s="402"/>
      <c r="M999" s="402"/>
      <c r="N999" s="402"/>
      <c r="O999" s="402"/>
      <c r="P999" s="402"/>
      <c r="Q999" s="402"/>
      <c r="R999" s="402"/>
      <c r="S999" s="402"/>
      <c r="T999" s="402"/>
      <c r="U999" s="402"/>
      <c r="V999" s="402"/>
      <c r="W999" s="402"/>
      <c r="X999" s="402"/>
      <c r="Y999" s="402"/>
      <c r="Z999" s="402"/>
    </row>
    <row r="1000">
      <c r="A1000" s="409"/>
      <c r="B1000" s="410"/>
      <c r="C1000" s="411"/>
      <c r="D1000" s="412"/>
      <c r="E1000" s="402"/>
      <c r="F1000" s="402"/>
      <c r="G1000" s="402"/>
      <c r="H1000" s="402"/>
      <c r="I1000" s="402"/>
      <c r="J1000" s="402"/>
      <c r="K1000" s="402"/>
      <c r="L1000" s="402"/>
      <c r="M1000" s="402"/>
      <c r="N1000" s="402"/>
      <c r="O1000" s="402"/>
      <c r="P1000" s="402"/>
      <c r="Q1000" s="402"/>
      <c r="R1000" s="402"/>
      <c r="S1000" s="402"/>
      <c r="T1000" s="402"/>
      <c r="U1000" s="402"/>
      <c r="V1000" s="402"/>
      <c r="W1000" s="402"/>
      <c r="X1000" s="402"/>
      <c r="Y1000" s="402"/>
      <c r="Z1000" s="402"/>
    </row>
    <row r="1001">
      <c r="A1001" s="409"/>
      <c r="B1001" s="410"/>
      <c r="C1001" s="411"/>
      <c r="D1001" s="412"/>
      <c r="E1001" s="402"/>
      <c r="F1001" s="402"/>
      <c r="G1001" s="402"/>
      <c r="H1001" s="402"/>
      <c r="I1001" s="402"/>
      <c r="J1001" s="402"/>
      <c r="K1001" s="402"/>
      <c r="L1001" s="402"/>
      <c r="M1001" s="402"/>
      <c r="N1001" s="402"/>
      <c r="O1001" s="402"/>
      <c r="P1001" s="402"/>
      <c r="Q1001" s="402"/>
      <c r="R1001" s="402"/>
      <c r="S1001" s="402"/>
      <c r="T1001" s="402"/>
      <c r="U1001" s="402"/>
      <c r="V1001" s="402"/>
      <c r="W1001" s="402"/>
      <c r="X1001" s="402"/>
      <c r="Y1001" s="402"/>
      <c r="Z1001" s="402"/>
    </row>
    <row r="1002">
      <c r="A1002" s="409"/>
      <c r="B1002" s="410"/>
      <c r="C1002" s="411"/>
      <c r="D1002" s="412"/>
      <c r="E1002" s="402"/>
      <c r="F1002" s="402"/>
      <c r="G1002" s="402"/>
      <c r="H1002" s="402"/>
      <c r="I1002" s="402"/>
      <c r="J1002" s="402"/>
      <c r="K1002" s="402"/>
      <c r="L1002" s="402"/>
      <c r="M1002" s="402"/>
      <c r="N1002" s="402"/>
      <c r="O1002" s="402"/>
      <c r="P1002" s="402"/>
      <c r="Q1002" s="402"/>
      <c r="R1002" s="402"/>
      <c r="S1002" s="402"/>
      <c r="T1002" s="402"/>
      <c r="U1002" s="402"/>
      <c r="V1002" s="402"/>
      <c r="W1002" s="402"/>
      <c r="X1002" s="402"/>
      <c r="Y1002" s="402"/>
      <c r="Z1002" s="402"/>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3" t="s">
        <v>6776</v>
      </c>
      <c r="B1" s="294" t="str">
        <f>IFERROR(__xludf.DUMMYFUNCTION("GOOGLETRANSLATE(A1,""zh-tw"",""ja"")"),"このチュートリアルは以下の内容です：
公式モバイル版のクラウドセーブシステムが完成する前に、モバイル版のセーブデータを移行する方法
※英語チュートリアル動画提供：Gabriel B※")</f>
        <v>このチュートリアルは以下の内容です：
公式モバイル版のクラウドセーブシステムが完成する前に、モバイル版のセーブデータを移行する方法
※英語チュートリアル動画提供：Gabriel B※</v>
      </c>
      <c r="C1" s="414" t="str">
        <f>IFERROR(__xludf.DUMMYFUNCTION("GOOGLETRANSLATE(A1,""zh-tw"",""en"")"),"This tutorial is for:
How to transfer your mobile saves before the official mobile version's cloud save system is complete.
※English tutorial video provided by Gabriel B※")</f>
        <v>This tutorial is for:
How to transfer your mobile saves before the official mobile version's cloud save system is complete.
※English tutorial video provided by Gabriel B※</v>
      </c>
      <c r="D1" s="415" t="str">
        <f>IFERROR(__xludf.DUMMYFUNCTION("GOOGLETRANSLATE(A1,""zh-tw"",""zh"")"),"本教程为：
官方尚未完成手机版本云端存档系统前，而想将手机版存档搬运的教学
※英文版教学影片由Gabriel B提供※")</f>
        <v>本教程为：
官方尚未完成手机版本云端存档系统前，而想将手机版存档搬运的教学
※英文版教学影片由Gabriel B提供※</v>
      </c>
      <c r="E1" s="416"/>
      <c r="F1" s="417" t="s">
        <v>6777</v>
      </c>
      <c r="G1" s="418"/>
      <c r="H1" s="418"/>
      <c r="I1" s="418"/>
      <c r="J1" s="418"/>
      <c r="K1" s="418"/>
      <c r="L1" s="418"/>
      <c r="M1" s="418"/>
      <c r="N1" s="418"/>
      <c r="O1" s="418"/>
      <c r="P1" s="418"/>
      <c r="Q1" s="418"/>
      <c r="R1" s="418"/>
    </row>
    <row r="2">
      <c r="A2" s="419" t="s">
        <v>6778</v>
      </c>
      <c r="B2" s="125" t="str">
        <f>IFERROR(__xludf.DUMMYFUNCTION("GOOGLETRANSLATE(A2,""zh-tw"",""ja"")"),"1 - Google Play でファイル マネージャーを検索してインストールします。")</f>
        <v>1 - Google Play でファイル マネージャーを検索してインストールします。</v>
      </c>
      <c r="C2" s="206" t="str">
        <f>IFERROR(__xludf.DUMMYFUNCTION("GOOGLETRANSLATE(A2,""zh-tw"",""en"")"),"1 - Search for File Manager on Google Play and install it.")</f>
        <v>1 - Search for File Manager on Google Play and install it.</v>
      </c>
      <c r="D2" s="420" t="str">
        <f>IFERROR(__xludf.DUMMYFUNCTION("GOOGLETRANSLATE(A2,""zh-tw"",""zh"")"),"1 - 在google play上搜寻 档案管理员 安装。")</f>
        <v>1 - 在google play上搜寻 档案管理员 安装。</v>
      </c>
      <c r="E2" s="421" t="s">
        <v>6779</v>
      </c>
      <c r="F2" s="422" t="s">
        <v>6780</v>
      </c>
      <c r="G2" s="152"/>
      <c r="H2" s="152"/>
      <c r="I2" s="152"/>
      <c r="J2" s="152"/>
      <c r="K2" s="152"/>
      <c r="L2" s="152"/>
      <c r="M2" s="152"/>
      <c r="N2" s="152"/>
      <c r="O2" s="152"/>
      <c r="P2" s="152"/>
      <c r="Q2" s="152"/>
      <c r="R2" s="152"/>
    </row>
    <row r="3">
      <c r="A3" s="419" t="s">
        <v>6781</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6"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1" t="s">
        <v>6782</v>
      </c>
      <c r="F3" s="422" t="s">
        <v>6783</v>
      </c>
      <c r="G3" s="152"/>
      <c r="H3" s="152"/>
      <c r="I3" s="152"/>
      <c r="J3" s="152"/>
      <c r="K3" s="152"/>
      <c r="L3" s="152"/>
      <c r="M3" s="152"/>
      <c r="N3" s="152"/>
      <c r="O3" s="152"/>
      <c r="P3" s="152"/>
      <c r="Q3" s="152"/>
      <c r="R3" s="152"/>
    </row>
    <row r="4">
      <c r="A4" s="419" t="s">
        <v>6784</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6"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1" t="s">
        <v>6785</v>
      </c>
      <c r="F4" s="422" t="s">
        <v>6786</v>
      </c>
      <c r="G4" s="152"/>
      <c r="H4" s="152"/>
      <c r="I4" s="152"/>
      <c r="J4" s="152"/>
      <c r="K4" s="152"/>
      <c r="L4" s="152"/>
      <c r="M4" s="152"/>
      <c r="N4" s="152"/>
      <c r="O4" s="152"/>
      <c r="P4" s="152"/>
      <c r="Q4" s="152"/>
      <c r="R4" s="152"/>
    </row>
    <row r="5">
      <c r="A5" s="419" t="s">
        <v>6787</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6"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1" t="s">
        <v>6788</v>
      </c>
      <c r="F5" s="422" t="s">
        <v>6789</v>
      </c>
      <c r="G5" s="152"/>
      <c r="H5" s="152"/>
      <c r="I5" s="152"/>
      <c r="J5" s="152"/>
      <c r="K5" s="152"/>
      <c r="L5" s="152"/>
      <c r="M5" s="152"/>
      <c r="N5" s="152"/>
      <c r="O5" s="152"/>
      <c r="P5" s="152"/>
      <c r="Q5" s="152"/>
      <c r="R5" s="152"/>
    </row>
    <row r="6">
      <c r="A6" s="423" t="s">
        <v>6790</v>
      </c>
      <c r="B6" s="424" t="s">
        <v>6791</v>
      </c>
      <c r="C6" s="425" t="s">
        <v>6792</v>
      </c>
      <c r="D6" s="426" t="s">
        <v>6793</v>
      </c>
      <c r="E6" s="427" t="s">
        <v>6794</v>
      </c>
      <c r="F6" s="428" t="s">
        <v>6795</v>
      </c>
      <c r="G6" s="152"/>
      <c r="H6" s="152"/>
      <c r="I6" s="152"/>
      <c r="J6" s="152"/>
      <c r="K6" s="152"/>
      <c r="L6" s="152"/>
      <c r="M6" s="152"/>
      <c r="N6" s="152"/>
      <c r="O6" s="152"/>
      <c r="P6" s="152"/>
      <c r="Q6" s="152"/>
      <c r="R6" s="152"/>
    </row>
    <row r="7">
      <c r="A7" s="429"/>
      <c r="B7" s="152"/>
      <c r="C7" s="429"/>
      <c r="D7" s="152"/>
      <c r="E7" s="430"/>
      <c r="F7" s="143"/>
      <c r="G7" s="152"/>
      <c r="H7" s="152"/>
      <c r="I7" s="152"/>
      <c r="J7" s="152"/>
      <c r="K7" s="152"/>
      <c r="L7" s="152"/>
      <c r="M7" s="152"/>
      <c r="N7" s="152"/>
      <c r="O7" s="152"/>
      <c r="P7" s="152"/>
      <c r="Q7" s="152"/>
      <c r="R7" s="152"/>
    </row>
    <row r="8">
      <c r="A8" s="429"/>
      <c r="B8" s="152"/>
      <c r="C8" s="152"/>
      <c r="D8" s="152"/>
      <c r="E8" s="152"/>
      <c r="F8" s="143"/>
      <c r="G8" s="152"/>
      <c r="H8" s="152"/>
      <c r="I8" s="152"/>
      <c r="J8" s="152"/>
      <c r="K8" s="152"/>
      <c r="L8" s="152"/>
      <c r="M8" s="152"/>
      <c r="N8" s="152"/>
      <c r="O8" s="152"/>
      <c r="P8" s="152"/>
      <c r="Q8" s="152"/>
      <c r="R8" s="152"/>
    </row>
    <row r="9">
      <c r="A9" s="429"/>
      <c r="B9" s="152"/>
      <c r="C9" s="152"/>
      <c r="D9" s="152"/>
      <c r="E9" s="152"/>
      <c r="F9" s="143"/>
      <c r="G9" s="152"/>
      <c r="H9" s="152"/>
      <c r="I9" s="152"/>
      <c r="J9" s="152"/>
      <c r="K9" s="152"/>
      <c r="L9" s="152"/>
      <c r="M9" s="152"/>
      <c r="N9" s="152"/>
      <c r="O9" s="152"/>
      <c r="P9" s="152"/>
      <c r="Q9" s="152"/>
      <c r="R9" s="152"/>
    </row>
    <row r="10">
      <c r="A10" s="429"/>
      <c r="B10" s="152"/>
      <c r="C10" s="152"/>
      <c r="D10" s="152"/>
      <c r="E10" s="152"/>
      <c r="F10" s="143"/>
      <c r="G10" s="152"/>
      <c r="H10" s="152"/>
      <c r="I10" s="152"/>
      <c r="J10" s="152"/>
      <c r="K10" s="152"/>
      <c r="L10" s="152"/>
      <c r="M10" s="152"/>
      <c r="N10" s="152"/>
      <c r="O10" s="152"/>
      <c r="P10" s="152"/>
      <c r="Q10" s="152"/>
      <c r="R10" s="152"/>
    </row>
    <row r="11">
      <c r="A11" s="429"/>
      <c r="B11" s="152"/>
      <c r="C11" s="152"/>
      <c r="D11" s="152"/>
      <c r="E11" s="152"/>
      <c r="F11" s="143"/>
      <c r="G11" s="152"/>
      <c r="H11" s="152"/>
      <c r="I11" s="152"/>
      <c r="J11" s="152"/>
      <c r="K11" s="152"/>
      <c r="L11" s="152"/>
      <c r="M11" s="152"/>
      <c r="N11" s="152"/>
      <c r="O11" s="152"/>
      <c r="P11" s="152"/>
      <c r="Q11" s="152"/>
      <c r="R11" s="152"/>
    </row>
    <row r="12">
      <c r="A12" s="429"/>
      <c r="B12" s="152"/>
      <c r="C12" s="152"/>
      <c r="D12" s="152"/>
      <c r="E12" s="152"/>
      <c r="F12" s="143"/>
      <c r="G12" s="152"/>
      <c r="H12" s="152"/>
      <c r="I12" s="152"/>
      <c r="J12" s="152"/>
      <c r="K12" s="152"/>
      <c r="L12" s="152"/>
      <c r="M12" s="152"/>
      <c r="N12" s="152"/>
      <c r="O12" s="152"/>
      <c r="P12" s="152"/>
      <c r="Q12" s="152"/>
      <c r="R12" s="152"/>
    </row>
    <row r="13">
      <c r="A13" s="429"/>
      <c r="B13" s="152"/>
      <c r="C13" s="152"/>
      <c r="D13" s="152"/>
      <c r="E13" s="152"/>
      <c r="F13" s="143"/>
      <c r="G13" s="152"/>
      <c r="H13" s="152"/>
      <c r="I13" s="152"/>
      <c r="J13" s="152"/>
      <c r="K13" s="152"/>
      <c r="L13" s="152"/>
      <c r="M13" s="152"/>
      <c r="N13" s="152"/>
      <c r="O13" s="152"/>
      <c r="P13" s="152"/>
      <c r="Q13" s="152"/>
      <c r="R13" s="152"/>
    </row>
    <row r="14">
      <c r="A14" s="429"/>
      <c r="B14" s="152"/>
      <c r="C14" s="152"/>
      <c r="D14" s="152"/>
      <c r="E14" s="152"/>
      <c r="F14" s="143"/>
      <c r="G14" s="152"/>
      <c r="H14" s="152"/>
      <c r="I14" s="152"/>
      <c r="J14" s="152"/>
      <c r="K14" s="152"/>
      <c r="L14" s="152"/>
      <c r="M14" s="152"/>
      <c r="N14" s="152"/>
      <c r="O14" s="152"/>
      <c r="P14" s="152"/>
      <c r="Q14" s="152"/>
      <c r="R14" s="152"/>
    </row>
    <row r="15">
      <c r="A15" s="429"/>
      <c r="B15" s="152"/>
      <c r="C15" s="152"/>
      <c r="D15" s="152"/>
      <c r="E15" s="152"/>
      <c r="F15" s="143"/>
      <c r="G15" s="152"/>
      <c r="H15" s="152"/>
      <c r="I15" s="152"/>
      <c r="J15" s="152"/>
      <c r="K15" s="152"/>
      <c r="L15" s="152"/>
      <c r="M15" s="152"/>
      <c r="N15" s="152"/>
      <c r="O15" s="152"/>
      <c r="P15" s="152"/>
      <c r="Q15" s="152"/>
      <c r="R15" s="152"/>
    </row>
    <row r="16">
      <c r="A16" s="429"/>
      <c r="B16" s="152"/>
      <c r="C16" s="152"/>
      <c r="D16" s="152"/>
      <c r="E16" s="152"/>
      <c r="F16" s="143"/>
      <c r="G16" s="152"/>
      <c r="H16" s="152"/>
      <c r="I16" s="152"/>
      <c r="J16" s="152"/>
      <c r="K16" s="152"/>
      <c r="L16" s="152"/>
      <c r="M16" s="152"/>
      <c r="N16" s="152"/>
      <c r="O16" s="152"/>
      <c r="P16" s="152"/>
      <c r="Q16" s="152"/>
      <c r="R16" s="152"/>
    </row>
    <row r="17">
      <c r="A17" s="429"/>
      <c r="B17" s="152"/>
      <c r="C17" s="152"/>
      <c r="D17" s="152"/>
      <c r="E17" s="152"/>
      <c r="F17" s="143"/>
      <c r="G17" s="152"/>
      <c r="H17" s="152"/>
      <c r="I17" s="152"/>
      <c r="J17" s="152"/>
      <c r="K17" s="152"/>
      <c r="L17" s="152"/>
      <c r="M17" s="152"/>
      <c r="N17" s="152"/>
      <c r="O17" s="152"/>
      <c r="P17" s="152"/>
      <c r="Q17" s="152"/>
      <c r="R17" s="152"/>
    </row>
    <row r="18">
      <c r="A18" s="429"/>
      <c r="B18" s="152"/>
      <c r="C18" s="152"/>
      <c r="D18" s="152"/>
      <c r="E18" s="152"/>
      <c r="F18" s="143"/>
      <c r="G18" s="152"/>
      <c r="H18" s="152"/>
      <c r="I18" s="152"/>
      <c r="J18" s="152"/>
      <c r="K18" s="152"/>
      <c r="L18" s="152"/>
      <c r="M18" s="152"/>
      <c r="N18" s="152"/>
      <c r="O18" s="152"/>
      <c r="P18" s="152"/>
      <c r="Q18" s="152"/>
      <c r="R18" s="152"/>
    </row>
    <row r="19">
      <c r="A19" s="429"/>
      <c r="B19" s="152"/>
      <c r="C19" s="152"/>
      <c r="D19" s="152"/>
      <c r="E19" s="152"/>
      <c r="F19" s="143"/>
      <c r="G19" s="152"/>
      <c r="H19" s="152"/>
      <c r="I19" s="152"/>
      <c r="J19" s="152"/>
      <c r="K19" s="152"/>
      <c r="L19" s="152"/>
      <c r="M19" s="152"/>
      <c r="N19" s="152"/>
      <c r="O19" s="152"/>
      <c r="P19" s="152"/>
      <c r="Q19" s="152"/>
      <c r="R19" s="152"/>
    </row>
    <row r="20">
      <c r="A20" s="429"/>
      <c r="B20" s="152"/>
      <c r="C20" s="152"/>
      <c r="D20" s="152"/>
      <c r="E20" s="152"/>
      <c r="F20" s="143"/>
      <c r="G20" s="152"/>
      <c r="H20" s="152"/>
      <c r="I20" s="152"/>
      <c r="J20" s="152"/>
      <c r="K20" s="152"/>
      <c r="L20" s="152"/>
      <c r="M20" s="152"/>
      <c r="N20" s="152"/>
      <c r="O20" s="152"/>
      <c r="P20" s="152"/>
      <c r="Q20" s="152"/>
      <c r="R20" s="152"/>
    </row>
    <row r="21">
      <c r="A21" s="429"/>
      <c r="B21" s="152"/>
      <c r="C21" s="152"/>
      <c r="D21" s="152"/>
      <c r="E21" s="152"/>
      <c r="F21" s="143"/>
      <c r="G21" s="152"/>
      <c r="H21" s="152"/>
      <c r="I21" s="152"/>
      <c r="J21" s="152"/>
      <c r="K21" s="152"/>
      <c r="L21" s="152"/>
      <c r="M21" s="152"/>
      <c r="N21" s="152"/>
      <c r="O21" s="152"/>
      <c r="P21" s="152"/>
      <c r="Q21" s="152"/>
      <c r="R21" s="152"/>
    </row>
    <row r="22">
      <c r="A22" s="429"/>
      <c r="B22" s="152"/>
      <c r="C22" s="152"/>
      <c r="D22" s="152"/>
      <c r="E22" s="152"/>
      <c r="F22" s="143"/>
      <c r="G22" s="152"/>
      <c r="H22" s="152"/>
      <c r="I22" s="152"/>
      <c r="J22" s="152"/>
      <c r="K22" s="152"/>
      <c r="L22" s="152"/>
      <c r="M22" s="152"/>
      <c r="N22" s="152"/>
      <c r="O22" s="152"/>
      <c r="P22" s="152"/>
      <c r="Q22" s="152"/>
      <c r="R22" s="152"/>
    </row>
    <row r="23">
      <c r="A23" s="429"/>
      <c r="B23" s="152"/>
      <c r="C23" s="152"/>
      <c r="D23" s="152"/>
      <c r="E23" s="152"/>
      <c r="F23" s="143"/>
      <c r="G23" s="152"/>
      <c r="H23" s="152"/>
      <c r="I23" s="152"/>
      <c r="J23" s="152"/>
      <c r="K23" s="152"/>
      <c r="L23" s="152"/>
      <c r="M23" s="152"/>
      <c r="N23" s="152"/>
      <c r="O23" s="152"/>
      <c r="P23" s="152"/>
      <c r="Q23" s="152"/>
      <c r="R23" s="152"/>
    </row>
    <row r="24">
      <c r="A24" s="429"/>
      <c r="B24" s="152"/>
      <c r="C24" s="152"/>
      <c r="D24" s="152"/>
      <c r="E24" s="152"/>
      <c r="F24" s="143"/>
      <c r="G24" s="152"/>
      <c r="H24" s="152"/>
      <c r="I24" s="152"/>
      <c r="J24" s="152"/>
      <c r="K24" s="152"/>
      <c r="L24" s="152"/>
      <c r="M24" s="152"/>
      <c r="N24" s="152"/>
      <c r="O24" s="152"/>
      <c r="P24" s="152"/>
      <c r="Q24" s="152"/>
      <c r="R24" s="152"/>
    </row>
    <row r="25">
      <c r="A25" s="429"/>
      <c r="B25" s="152"/>
      <c r="C25" s="152"/>
      <c r="D25" s="152"/>
      <c r="E25" s="152"/>
      <c r="F25" s="143"/>
      <c r="G25" s="152"/>
      <c r="H25" s="152"/>
      <c r="I25" s="152"/>
      <c r="J25" s="152"/>
      <c r="K25" s="152"/>
      <c r="L25" s="152"/>
      <c r="M25" s="152"/>
      <c r="N25" s="152"/>
      <c r="O25" s="152"/>
      <c r="P25" s="152"/>
      <c r="Q25" s="152"/>
      <c r="R25" s="152"/>
    </row>
    <row r="26">
      <c r="A26" s="429"/>
      <c r="B26" s="152"/>
      <c r="C26" s="152"/>
      <c r="D26" s="152"/>
      <c r="E26" s="152"/>
      <c r="F26" s="143"/>
      <c r="G26" s="152"/>
      <c r="H26" s="152"/>
      <c r="I26" s="152"/>
      <c r="J26" s="152"/>
      <c r="K26" s="152"/>
      <c r="L26" s="152"/>
      <c r="M26" s="152"/>
      <c r="N26" s="152"/>
      <c r="O26" s="152"/>
      <c r="P26" s="152"/>
      <c r="Q26" s="152"/>
      <c r="R26" s="152"/>
    </row>
    <row r="27">
      <c r="A27" s="429"/>
      <c r="B27" s="152"/>
      <c r="C27" s="152"/>
      <c r="D27" s="152"/>
      <c r="E27" s="152"/>
      <c r="F27" s="143"/>
      <c r="G27" s="152"/>
      <c r="H27" s="152"/>
      <c r="I27" s="152"/>
      <c r="J27" s="152"/>
      <c r="K27" s="152"/>
      <c r="L27" s="152"/>
      <c r="M27" s="152"/>
      <c r="N27" s="152"/>
      <c r="O27" s="152"/>
      <c r="P27" s="152"/>
      <c r="Q27" s="152"/>
      <c r="R27" s="152"/>
    </row>
    <row r="28">
      <c r="A28" s="429"/>
      <c r="B28" s="152"/>
      <c r="C28" s="152"/>
      <c r="D28" s="152"/>
      <c r="E28" s="152"/>
      <c r="F28" s="143"/>
      <c r="G28" s="152"/>
      <c r="H28" s="152"/>
      <c r="I28" s="152"/>
      <c r="J28" s="152"/>
      <c r="K28" s="152"/>
      <c r="L28" s="152"/>
      <c r="M28" s="152"/>
      <c r="N28" s="152"/>
      <c r="O28" s="152"/>
      <c r="P28" s="152"/>
      <c r="Q28" s="152"/>
      <c r="R28" s="152"/>
    </row>
    <row r="29">
      <c r="A29" s="429"/>
      <c r="B29" s="152"/>
      <c r="C29" s="152"/>
      <c r="D29" s="152"/>
      <c r="E29" s="152"/>
      <c r="F29" s="143"/>
      <c r="G29" s="152"/>
      <c r="H29" s="152"/>
      <c r="I29" s="152"/>
      <c r="J29" s="152"/>
      <c r="K29" s="152"/>
      <c r="L29" s="152"/>
      <c r="M29" s="152"/>
      <c r="N29" s="152"/>
      <c r="O29" s="152"/>
      <c r="P29" s="152"/>
      <c r="Q29" s="152"/>
      <c r="R29" s="152"/>
    </row>
    <row r="30">
      <c r="A30" s="429"/>
      <c r="B30" s="152"/>
      <c r="C30" s="152"/>
      <c r="D30" s="152"/>
      <c r="E30" s="152"/>
      <c r="F30" s="143"/>
      <c r="G30" s="152"/>
      <c r="H30" s="152"/>
      <c r="I30" s="152"/>
      <c r="J30" s="152"/>
      <c r="K30" s="152"/>
      <c r="L30" s="152"/>
      <c r="M30" s="152"/>
      <c r="N30" s="152"/>
      <c r="O30" s="152"/>
      <c r="P30" s="152"/>
      <c r="Q30" s="152"/>
      <c r="R30" s="152"/>
    </row>
    <row r="31">
      <c r="A31" s="429"/>
      <c r="B31" s="152"/>
      <c r="C31" s="152"/>
      <c r="D31" s="152"/>
      <c r="E31" s="152"/>
      <c r="F31" s="143"/>
      <c r="G31" s="152"/>
      <c r="H31" s="152"/>
      <c r="I31" s="152"/>
      <c r="J31" s="152"/>
      <c r="K31" s="152"/>
      <c r="L31" s="152"/>
      <c r="M31" s="152"/>
      <c r="N31" s="152"/>
      <c r="O31" s="152"/>
      <c r="P31" s="152"/>
      <c r="Q31" s="152"/>
      <c r="R31" s="152"/>
    </row>
    <row r="32">
      <c r="A32" s="152"/>
      <c r="B32" s="152"/>
      <c r="C32" s="152"/>
      <c r="D32" s="152"/>
      <c r="E32" s="152"/>
      <c r="F32" s="143"/>
      <c r="G32" s="152"/>
      <c r="H32" s="152"/>
      <c r="I32" s="152"/>
      <c r="J32" s="152"/>
      <c r="K32" s="152"/>
      <c r="L32" s="152"/>
      <c r="M32" s="152"/>
      <c r="N32" s="152"/>
      <c r="O32" s="152"/>
      <c r="P32" s="152"/>
      <c r="Q32" s="152"/>
      <c r="R32" s="152"/>
    </row>
    <row r="33">
      <c r="A33" s="152"/>
      <c r="B33" s="152"/>
      <c r="C33" s="152"/>
      <c r="D33" s="152"/>
      <c r="E33" s="152"/>
      <c r="F33" s="143"/>
      <c r="G33" s="152"/>
      <c r="H33" s="152"/>
      <c r="I33" s="152"/>
      <c r="J33" s="152"/>
      <c r="K33" s="152"/>
      <c r="L33" s="152"/>
      <c r="M33" s="152"/>
      <c r="N33" s="152"/>
      <c r="O33" s="152"/>
      <c r="P33" s="152"/>
      <c r="Q33" s="152"/>
      <c r="R33" s="152"/>
    </row>
    <row r="34">
      <c r="A34" s="152"/>
      <c r="B34" s="152"/>
      <c r="C34" s="152"/>
      <c r="D34" s="152"/>
      <c r="E34" s="152"/>
      <c r="F34" s="143"/>
      <c r="G34" s="152"/>
      <c r="H34" s="152"/>
      <c r="I34" s="152"/>
      <c r="J34" s="152"/>
      <c r="K34" s="152"/>
      <c r="L34" s="152"/>
      <c r="M34" s="152"/>
      <c r="N34" s="152"/>
      <c r="O34" s="152"/>
      <c r="P34" s="152"/>
      <c r="Q34" s="152"/>
      <c r="R34" s="152"/>
    </row>
    <row r="35">
      <c r="A35" s="152"/>
      <c r="B35" s="152"/>
      <c r="C35" s="152"/>
      <c r="D35" s="152"/>
      <c r="E35" s="152"/>
      <c r="F35" s="143"/>
      <c r="G35" s="152"/>
      <c r="H35" s="152"/>
      <c r="I35" s="152"/>
      <c r="J35" s="152"/>
      <c r="K35" s="152"/>
      <c r="L35" s="152"/>
      <c r="M35" s="152"/>
      <c r="N35" s="152"/>
      <c r="O35" s="152"/>
      <c r="P35" s="152"/>
      <c r="Q35" s="152"/>
      <c r="R35" s="152"/>
    </row>
    <row r="36">
      <c r="A36" s="152"/>
      <c r="B36" s="152"/>
      <c r="C36" s="152"/>
      <c r="D36" s="152"/>
      <c r="E36" s="152"/>
      <c r="F36" s="143"/>
      <c r="G36" s="152"/>
      <c r="H36" s="152"/>
      <c r="I36" s="152"/>
      <c r="J36" s="152"/>
      <c r="K36" s="152"/>
      <c r="L36" s="152"/>
      <c r="M36" s="152"/>
      <c r="N36" s="152"/>
      <c r="O36" s="152"/>
      <c r="P36" s="152"/>
      <c r="Q36" s="152"/>
      <c r="R36" s="152"/>
    </row>
    <row r="37">
      <c r="A37" s="152"/>
      <c r="B37" s="152"/>
      <c r="C37" s="152"/>
      <c r="D37" s="152"/>
      <c r="E37" s="152"/>
      <c r="F37" s="143"/>
      <c r="G37" s="152"/>
      <c r="H37" s="152"/>
      <c r="I37" s="152"/>
      <c r="J37" s="152"/>
      <c r="K37" s="152"/>
      <c r="L37" s="152"/>
      <c r="M37" s="152"/>
      <c r="N37" s="152"/>
      <c r="O37" s="152"/>
      <c r="P37" s="152"/>
      <c r="Q37" s="152"/>
      <c r="R37" s="152"/>
    </row>
    <row r="38">
      <c r="A38" s="152"/>
      <c r="B38" s="152"/>
      <c r="C38" s="152"/>
      <c r="D38" s="152"/>
      <c r="E38" s="152"/>
      <c r="F38" s="143"/>
      <c r="G38" s="152"/>
      <c r="H38" s="152"/>
      <c r="I38" s="152"/>
      <c r="J38" s="152"/>
      <c r="K38" s="152"/>
      <c r="L38" s="152"/>
      <c r="M38" s="152"/>
      <c r="N38" s="152"/>
      <c r="O38" s="152"/>
      <c r="P38" s="152"/>
      <c r="Q38" s="152"/>
      <c r="R38" s="152"/>
    </row>
    <row r="39">
      <c r="A39" s="152"/>
      <c r="B39" s="152"/>
      <c r="C39" s="152"/>
      <c r="D39" s="152"/>
      <c r="E39" s="152"/>
      <c r="F39" s="143"/>
      <c r="G39" s="152"/>
      <c r="H39" s="152"/>
      <c r="I39" s="152"/>
      <c r="J39" s="152"/>
      <c r="K39" s="152"/>
      <c r="L39" s="152"/>
      <c r="M39" s="152"/>
      <c r="N39" s="152"/>
      <c r="O39" s="152"/>
      <c r="P39" s="152"/>
      <c r="Q39" s="152"/>
      <c r="R39" s="152"/>
    </row>
    <row r="40">
      <c r="A40" s="152"/>
      <c r="B40" s="152"/>
      <c r="C40" s="152"/>
      <c r="D40" s="152"/>
      <c r="E40" s="152"/>
      <c r="F40" s="143"/>
      <c r="G40" s="152"/>
      <c r="H40" s="152"/>
      <c r="I40" s="152"/>
      <c r="J40" s="152"/>
      <c r="K40" s="152"/>
      <c r="L40" s="152"/>
      <c r="M40" s="152"/>
      <c r="N40" s="152"/>
      <c r="O40" s="152"/>
      <c r="P40" s="152"/>
      <c r="Q40" s="152"/>
      <c r="R40" s="152"/>
    </row>
    <row r="41">
      <c r="A41" s="152"/>
      <c r="B41" s="152"/>
      <c r="C41" s="152"/>
      <c r="D41" s="152"/>
      <c r="E41" s="152"/>
      <c r="F41" s="143"/>
      <c r="G41" s="152"/>
      <c r="H41" s="152"/>
      <c r="I41" s="152"/>
      <c r="J41" s="152"/>
      <c r="K41" s="152"/>
      <c r="L41" s="152"/>
      <c r="M41" s="152"/>
      <c r="N41" s="152"/>
      <c r="O41" s="152"/>
      <c r="P41" s="152"/>
      <c r="Q41" s="152"/>
      <c r="R41" s="152"/>
    </row>
    <row r="42">
      <c r="A42" s="152"/>
      <c r="B42" s="152"/>
      <c r="C42" s="152"/>
      <c r="D42" s="152"/>
      <c r="E42" s="152"/>
      <c r="F42" s="143"/>
      <c r="G42" s="152"/>
      <c r="H42" s="152"/>
      <c r="I42" s="152"/>
      <c r="J42" s="152"/>
      <c r="K42" s="152"/>
      <c r="L42" s="152"/>
      <c r="M42" s="152"/>
      <c r="N42" s="152"/>
      <c r="O42" s="152"/>
      <c r="P42" s="152"/>
      <c r="Q42" s="152"/>
      <c r="R42" s="152"/>
    </row>
    <row r="43">
      <c r="A43" s="152"/>
      <c r="B43" s="152"/>
      <c r="C43" s="152"/>
      <c r="D43" s="152"/>
      <c r="E43" s="152"/>
      <c r="F43" s="143"/>
      <c r="G43" s="152"/>
      <c r="H43" s="152"/>
      <c r="I43" s="152"/>
      <c r="J43" s="152"/>
      <c r="K43" s="152"/>
      <c r="L43" s="152"/>
      <c r="M43" s="152"/>
      <c r="N43" s="152"/>
      <c r="O43" s="152"/>
      <c r="P43" s="152"/>
      <c r="Q43" s="152"/>
      <c r="R43" s="152"/>
    </row>
    <row r="44">
      <c r="A44" s="152"/>
      <c r="B44" s="152"/>
      <c r="C44" s="152"/>
      <c r="D44" s="152"/>
      <c r="E44" s="152"/>
      <c r="F44" s="143"/>
      <c r="G44" s="152"/>
      <c r="H44" s="152"/>
      <c r="I44" s="152"/>
      <c r="J44" s="152"/>
      <c r="K44" s="152"/>
      <c r="L44" s="152"/>
      <c r="M44" s="152"/>
      <c r="N44" s="152"/>
      <c r="O44" s="152"/>
      <c r="P44" s="152"/>
      <c r="Q44" s="152"/>
      <c r="R44" s="152"/>
    </row>
    <row r="45">
      <c r="A45" s="152"/>
      <c r="B45" s="152"/>
      <c r="C45" s="152"/>
      <c r="D45" s="152"/>
      <c r="E45" s="152"/>
      <c r="F45" s="143"/>
      <c r="G45" s="152"/>
      <c r="H45" s="152"/>
      <c r="I45" s="152"/>
      <c r="J45" s="152"/>
      <c r="K45" s="152"/>
      <c r="L45" s="152"/>
      <c r="M45" s="152"/>
      <c r="N45" s="152"/>
      <c r="O45" s="152"/>
      <c r="P45" s="152"/>
      <c r="Q45" s="152"/>
      <c r="R45" s="152"/>
    </row>
    <row r="46">
      <c r="A46" s="152"/>
      <c r="B46" s="152"/>
      <c r="C46" s="152"/>
      <c r="D46" s="152"/>
      <c r="E46" s="152"/>
      <c r="F46" s="143"/>
      <c r="G46" s="152"/>
      <c r="H46" s="152"/>
      <c r="I46" s="152"/>
      <c r="J46" s="152"/>
      <c r="K46" s="152"/>
      <c r="L46" s="152"/>
      <c r="M46" s="152"/>
      <c r="N46" s="152"/>
      <c r="O46" s="152"/>
      <c r="P46" s="152"/>
      <c r="Q46" s="152"/>
      <c r="R46" s="152"/>
    </row>
    <row r="47">
      <c r="A47" s="152"/>
      <c r="B47" s="152"/>
      <c r="C47" s="152"/>
      <c r="D47" s="152"/>
      <c r="E47" s="152"/>
      <c r="F47" s="143"/>
      <c r="G47" s="152"/>
      <c r="H47" s="152"/>
      <c r="I47" s="152"/>
      <c r="J47" s="152"/>
      <c r="K47" s="152"/>
      <c r="L47" s="152"/>
      <c r="M47" s="152"/>
      <c r="N47" s="152"/>
      <c r="O47" s="152"/>
      <c r="P47" s="152"/>
      <c r="Q47" s="152"/>
      <c r="R47" s="152"/>
    </row>
    <row r="48">
      <c r="A48" s="152"/>
      <c r="B48" s="152"/>
      <c r="C48" s="152"/>
      <c r="D48" s="152"/>
      <c r="E48" s="152"/>
      <c r="F48" s="143"/>
      <c r="G48" s="152"/>
      <c r="H48" s="152"/>
      <c r="I48" s="152"/>
      <c r="J48" s="152"/>
      <c r="K48" s="152"/>
      <c r="L48" s="152"/>
      <c r="M48" s="152"/>
      <c r="N48" s="152"/>
      <c r="O48" s="152"/>
      <c r="P48" s="152"/>
      <c r="Q48" s="152"/>
      <c r="R48" s="152"/>
    </row>
    <row r="49">
      <c r="A49" s="152"/>
      <c r="B49" s="152"/>
      <c r="C49" s="152"/>
      <c r="D49" s="152"/>
      <c r="E49" s="152"/>
      <c r="F49" s="143"/>
      <c r="G49" s="152"/>
      <c r="H49" s="152"/>
      <c r="I49" s="152"/>
      <c r="J49" s="152"/>
      <c r="K49" s="152"/>
      <c r="L49" s="152"/>
      <c r="M49" s="152"/>
      <c r="N49" s="152"/>
      <c r="O49" s="152"/>
      <c r="P49" s="152"/>
      <c r="Q49" s="152"/>
      <c r="R49" s="152"/>
    </row>
    <row r="50">
      <c r="A50" s="152"/>
      <c r="B50" s="152"/>
      <c r="C50" s="152"/>
      <c r="D50" s="152"/>
      <c r="E50" s="152"/>
      <c r="F50" s="143"/>
      <c r="G50" s="152"/>
      <c r="H50" s="152"/>
      <c r="I50" s="152"/>
      <c r="J50" s="152"/>
      <c r="K50" s="152"/>
      <c r="L50" s="152"/>
      <c r="M50" s="152"/>
      <c r="N50" s="152"/>
      <c r="O50" s="152"/>
      <c r="P50" s="152"/>
      <c r="Q50" s="152"/>
      <c r="R50" s="152"/>
    </row>
    <row r="51">
      <c r="A51" s="152"/>
      <c r="B51" s="152"/>
      <c r="C51" s="152"/>
      <c r="D51" s="152"/>
      <c r="E51" s="152"/>
      <c r="F51" s="143"/>
      <c r="G51" s="152"/>
      <c r="H51" s="152"/>
      <c r="I51" s="152"/>
      <c r="J51" s="152"/>
      <c r="K51" s="152"/>
      <c r="L51" s="152"/>
      <c r="M51" s="152"/>
      <c r="N51" s="152"/>
      <c r="O51" s="152"/>
      <c r="P51" s="152"/>
      <c r="Q51" s="152"/>
      <c r="R51" s="152"/>
    </row>
    <row r="52">
      <c r="A52" s="152"/>
      <c r="B52" s="152"/>
      <c r="C52" s="152"/>
      <c r="D52" s="152"/>
      <c r="E52" s="152"/>
      <c r="F52" s="143"/>
      <c r="G52" s="152"/>
      <c r="H52" s="152"/>
      <c r="I52" s="152"/>
      <c r="J52" s="152"/>
      <c r="K52" s="152"/>
      <c r="L52" s="152"/>
      <c r="M52" s="152"/>
      <c r="N52" s="152"/>
      <c r="O52" s="152"/>
      <c r="P52" s="152"/>
      <c r="Q52" s="152"/>
      <c r="R52" s="152"/>
    </row>
    <row r="53">
      <c r="A53" s="152"/>
      <c r="B53" s="152"/>
      <c r="C53" s="152"/>
      <c r="D53" s="152"/>
      <c r="E53" s="152"/>
      <c r="F53" s="143"/>
      <c r="G53" s="152"/>
      <c r="H53" s="152"/>
      <c r="I53" s="152"/>
      <c r="J53" s="152"/>
      <c r="K53" s="152"/>
      <c r="L53" s="152"/>
      <c r="M53" s="152"/>
      <c r="N53" s="152"/>
      <c r="O53" s="152"/>
      <c r="P53" s="152"/>
      <c r="Q53" s="152"/>
      <c r="R53" s="152"/>
    </row>
    <row r="54">
      <c r="A54" s="152"/>
      <c r="B54" s="152"/>
      <c r="C54" s="152"/>
      <c r="D54" s="152"/>
      <c r="E54" s="152"/>
      <c r="F54" s="143"/>
      <c r="G54" s="152"/>
      <c r="H54" s="152"/>
      <c r="I54" s="152"/>
      <c r="J54" s="152"/>
      <c r="K54" s="152"/>
      <c r="L54" s="152"/>
      <c r="M54" s="152"/>
      <c r="N54" s="152"/>
      <c r="O54" s="152"/>
      <c r="P54" s="152"/>
      <c r="Q54" s="152"/>
      <c r="R54" s="152"/>
    </row>
    <row r="55">
      <c r="A55" s="152"/>
      <c r="B55" s="152"/>
      <c r="C55" s="152"/>
      <c r="D55" s="152"/>
      <c r="E55" s="152"/>
      <c r="F55" s="143"/>
      <c r="G55" s="152"/>
      <c r="H55" s="152"/>
      <c r="I55" s="152"/>
      <c r="J55" s="152"/>
      <c r="K55" s="152"/>
      <c r="L55" s="152"/>
      <c r="M55" s="152"/>
      <c r="N55" s="152"/>
      <c r="O55" s="152"/>
      <c r="P55" s="152"/>
      <c r="Q55" s="152"/>
      <c r="R55" s="152"/>
    </row>
    <row r="56">
      <c r="A56" s="152"/>
      <c r="B56" s="152"/>
      <c r="C56" s="152"/>
      <c r="D56" s="152"/>
      <c r="E56" s="152"/>
      <c r="F56" s="143"/>
      <c r="G56" s="152"/>
      <c r="H56" s="152"/>
      <c r="I56" s="152"/>
      <c r="J56" s="152"/>
      <c r="K56" s="152"/>
      <c r="L56" s="152"/>
      <c r="M56" s="152"/>
      <c r="N56" s="152"/>
      <c r="O56" s="152"/>
      <c r="P56" s="152"/>
      <c r="Q56" s="152"/>
      <c r="R56" s="152"/>
    </row>
    <row r="57">
      <c r="A57" s="152"/>
      <c r="B57" s="152"/>
      <c r="C57" s="152"/>
      <c r="D57" s="152"/>
      <c r="E57" s="152"/>
      <c r="F57" s="143"/>
      <c r="G57" s="152"/>
      <c r="H57" s="152"/>
      <c r="I57" s="152"/>
      <c r="J57" s="152"/>
      <c r="K57" s="152"/>
      <c r="L57" s="152"/>
      <c r="M57" s="152"/>
      <c r="N57" s="152"/>
      <c r="O57" s="152"/>
      <c r="P57" s="152"/>
      <c r="Q57" s="152"/>
      <c r="R57" s="152"/>
    </row>
    <row r="58">
      <c r="A58" s="152"/>
      <c r="B58" s="152"/>
      <c r="C58" s="152"/>
      <c r="D58" s="152"/>
      <c r="E58" s="152"/>
      <c r="F58" s="143"/>
      <c r="G58" s="152"/>
      <c r="H58" s="152"/>
      <c r="I58" s="152"/>
      <c r="J58" s="152"/>
      <c r="K58" s="152"/>
      <c r="L58" s="152"/>
      <c r="M58" s="152"/>
      <c r="N58" s="152"/>
      <c r="O58" s="152"/>
      <c r="P58" s="152"/>
      <c r="Q58" s="152"/>
      <c r="R58" s="152"/>
    </row>
    <row r="59">
      <c r="A59" s="152"/>
      <c r="B59" s="152"/>
      <c r="C59" s="152"/>
      <c r="D59" s="152"/>
      <c r="E59" s="152"/>
      <c r="F59" s="143"/>
      <c r="G59" s="152"/>
      <c r="H59" s="152"/>
      <c r="I59" s="152"/>
      <c r="J59" s="152"/>
      <c r="K59" s="152"/>
      <c r="L59" s="152"/>
      <c r="M59" s="152"/>
      <c r="N59" s="152"/>
      <c r="O59" s="152"/>
      <c r="P59" s="152"/>
      <c r="Q59" s="152"/>
      <c r="R59" s="152"/>
    </row>
    <row r="60">
      <c r="A60" s="152"/>
      <c r="B60" s="152"/>
      <c r="C60" s="152"/>
      <c r="D60" s="152"/>
      <c r="E60" s="152"/>
      <c r="F60" s="143"/>
      <c r="G60" s="152"/>
      <c r="H60" s="152"/>
      <c r="I60" s="152"/>
      <c r="J60" s="152"/>
      <c r="K60" s="152"/>
      <c r="L60" s="152"/>
      <c r="M60" s="152"/>
      <c r="N60" s="152"/>
      <c r="O60" s="152"/>
      <c r="P60" s="152"/>
      <c r="Q60" s="152"/>
      <c r="R60" s="152"/>
    </row>
    <row r="61">
      <c r="A61" s="152"/>
      <c r="B61" s="152"/>
      <c r="C61" s="152"/>
      <c r="D61" s="152"/>
      <c r="E61" s="152"/>
      <c r="F61" s="143"/>
      <c r="G61" s="152"/>
      <c r="H61" s="152"/>
      <c r="I61" s="152"/>
      <c r="J61" s="152"/>
      <c r="K61" s="152"/>
      <c r="L61" s="152"/>
      <c r="M61" s="152"/>
      <c r="N61" s="152"/>
      <c r="O61" s="152"/>
      <c r="P61" s="152"/>
      <c r="Q61" s="152"/>
      <c r="R61" s="152"/>
    </row>
    <row r="62">
      <c r="A62" s="152"/>
      <c r="B62" s="152"/>
      <c r="C62" s="152"/>
      <c r="D62" s="152"/>
      <c r="E62" s="152"/>
      <c r="F62" s="143"/>
      <c r="G62" s="152"/>
      <c r="H62" s="152"/>
      <c r="I62" s="152"/>
      <c r="J62" s="152"/>
      <c r="K62" s="152"/>
      <c r="L62" s="152"/>
      <c r="M62" s="152"/>
      <c r="N62" s="152"/>
      <c r="O62" s="152"/>
      <c r="P62" s="152"/>
      <c r="Q62" s="152"/>
      <c r="R62" s="152"/>
    </row>
    <row r="63">
      <c r="A63" s="152"/>
      <c r="B63" s="152"/>
      <c r="C63" s="152"/>
      <c r="D63" s="152"/>
      <c r="E63" s="152"/>
      <c r="F63" s="143"/>
      <c r="G63" s="152"/>
      <c r="H63" s="152"/>
      <c r="I63" s="152"/>
      <c r="J63" s="152"/>
      <c r="K63" s="152"/>
      <c r="L63" s="152"/>
      <c r="M63" s="152"/>
      <c r="N63" s="152"/>
      <c r="O63" s="152"/>
      <c r="P63" s="152"/>
      <c r="Q63" s="152"/>
      <c r="R63" s="152"/>
    </row>
    <row r="64">
      <c r="A64" s="152"/>
      <c r="B64" s="152"/>
      <c r="C64" s="152"/>
      <c r="D64" s="152"/>
      <c r="E64" s="152"/>
      <c r="F64" s="143"/>
      <c r="G64" s="152"/>
      <c r="H64" s="152"/>
      <c r="I64" s="152"/>
      <c r="J64" s="152"/>
      <c r="K64" s="152"/>
      <c r="L64" s="152"/>
      <c r="M64" s="152"/>
      <c r="N64" s="152"/>
      <c r="O64" s="152"/>
      <c r="P64" s="152"/>
      <c r="Q64" s="152"/>
      <c r="R64" s="152"/>
    </row>
    <row r="65">
      <c r="A65" s="152"/>
      <c r="B65" s="152"/>
      <c r="C65" s="152"/>
      <c r="D65" s="152"/>
      <c r="E65" s="152"/>
      <c r="F65" s="143"/>
      <c r="G65" s="152"/>
      <c r="H65" s="152"/>
      <c r="I65" s="152"/>
      <c r="J65" s="152"/>
      <c r="K65" s="152"/>
      <c r="L65" s="152"/>
      <c r="M65" s="152"/>
      <c r="N65" s="152"/>
      <c r="O65" s="152"/>
      <c r="P65" s="152"/>
      <c r="Q65" s="152"/>
      <c r="R65" s="152"/>
    </row>
    <row r="66">
      <c r="A66" s="152"/>
      <c r="B66" s="152"/>
      <c r="C66" s="152"/>
      <c r="D66" s="152"/>
      <c r="E66" s="152"/>
      <c r="F66" s="143"/>
      <c r="G66" s="152"/>
      <c r="H66" s="152"/>
      <c r="I66" s="152"/>
      <c r="J66" s="152"/>
      <c r="K66" s="152"/>
      <c r="L66" s="152"/>
      <c r="M66" s="152"/>
      <c r="N66" s="152"/>
      <c r="O66" s="152"/>
      <c r="P66" s="152"/>
      <c r="Q66" s="152"/>
      <c r="R66" s="152"/>
    </row>
    <row r="67">
      <c r="A67" s="152"/>
      <c r="B67" s="152"/>
      <c r="C67" s="152"/>
      <c r="D67" s="152"/>
      <c r="E67" s="152"/>
      <c r="F67" s="143"/>
      <c r="G67" s="152"/>
      <c r="H67" s="152"/>
      <c r="I67" s="152"/>
      <c r="J67" s="152"/>
      <c r="K67" s="152"/>
      <c r="L67" s="152"/>
      <c r="M67" s="152"/>
      <c r="N67" s="152"/>
      <c r="O67" s="152"/>
      <c r="P67" s="152"/>
      <c r="Q67" s="152"/>
      <c r="R67" s="152"/>
    </row>
    <row r="68">
      <c r="A68" s="152"/>
      <c r="B68" s="152"/>
      <c r="C68" s="152"/>
      <c r="D68" s="152"/>
      <c r="E68" s="152"/>
      <c r="F68" s="143"/>
      <c r="G68" s="152"/>
      <c r="H68" s="152"/>
      <c r="I68" s="152"/>
      <c r="J68" s="152"/>
      <c r="K68" s="152"/>
      <c r="L68" s="152"/>
      <c r="M68" s="152"/>
      <c r="N68" s="152"/>
      <c r="O68" s="152"/>
      <c r="P68" s="152"/>
      <c r="Q68" s="152"/>
      <c r="R68" s="152"/>
    </row>
    <row r="69">
      <c r="A69" s="152"/>
      <c r="B69" s="152"/>
      <c r="C69" s="152"/>
      <c r="D69" s="152"/>
      <c r="E69" s="152"/>
      <c r="F69" s="143"/>
      <c r="G69" s="152"/>
      <c r="H69" s="152"/>
      <c r="I69" s="152"/>
      <c r="J69" s="152"/>
      <c r="K69" s="152"/>
      <c r="L69" s="152"/>
      <c r="M69" s="152"/>
      <c r="N69" s="152"/>
      <c r="O69" s="152"/>
      <c r="P69" s="152"/>
      <c r="Q69" s="152"/>
      <c r="R69" s="152"/>
    </row>
    <row r="70">
      <c r="A70" s="152"/>
      <c r="B70" s="152"/>
      <c r="C70" s="152"/>
      <c r="D70" s="152"/>
      <c r="E70" s="152"/>
      <c r="F70" s="143"/>
      <c r="G70" s="152"/>
      <c r="H70" s="152"/>
      <c r="I70" s="152"/>
      <c r="J70" s="152"/>
      <c r="K70" s="152"/>
      <c r="L70" s="152"/>
      <c r="M70" s="152"/>
      <c r="N70" s="152"/>
      <c r="O70" s="152"/>
      <c r="P70" s="152"/>
      <c r="Q70" s="152"/>
      <c r="R70" s="152"/>
    </row>
    <row r="71">
      <c r="A71" s="152"/>
      <c r="B71" s="152"/>
      <c r="C71" s="152"/>
      <c r="D71" s="152"/>
      <c r="E71" s="152"/>
      <c r="F71" s="143"/>
      <c r="G71" s="152"/>
      <c r="H71" s="152"/>
      <c r="I71" s="152"/>
      <c r="J71" s="152"/>
      <c r="K71" s="152"/>
      <c r="L71" s="152"/>
      <c r="M71" s="152"/>
      <c r="N71" s="152"/>
      <c r="O71" s="152"/>
      <c r="P71" s="152"/>
      <c r="Q71" s="152"/>
      <c r="R71" s="152"/>
    </row>
    <row r="72">
      <c r="A72" s="152"/>
      <c r="B72" s="152"/>
      <c r="C72" s="152"/>
      <c r="D72" s="152"/>
      <c r="E72" s="152"/>
      <c r="F72" s="143"/>
      <c r="G72" s="152"/>
      <c r="H72" s="152"/>
      <c r="I72" s="152"/>
      <c r="J72" s="152"/>
      <c r="K72" s="152"/>
      <c r="L72" s="152"/>
      <c r="M72" s="152"/>
      <c r="N72" s="152"/>
      <c r="O72" s="152"/>
      <c r="P72" s="152"/>
      <c r="Q72" s="152"/>
      <c r="R72" s="152"/>
    </row>
    <row r="73">
      <c r="A73" s="152"/>
      <c r="B73" s="152"/>
      <c r="C73" s="152"/>
      <c r="D73" s="152"/>
      <c r="E73" s="152"/>
      <c r="F73" s="143"/>
      <c r="G73" s="152"/>
      <c r="H73" s="152"/>
      <c r="I73" s="152"/>
      <c r="J73" s="152"/>
      <c r="K73" s="152"/>
      <c r="L73" s="152"/>
      <c r="M73" s="152"/>
      <c r="N73" s="152"/>
      <c r="O73" s="152"/>
      <c r="P73" s="152"/>
      <c r="Q73" s="152"/>
      <c r="R73" s="152"/>
    </row>
    <row r="74">
      <c r="A74" s="152"/>
      <c r="B74" s="152"/>
      <c r="C74" s="152"/>
      <c r="D74" s="152"/>
      <c r="E74" s="152"/>
      <c r="F74" s="143"/>
      <c r="G74" s="152"/>
      <c r="H74" s="152"/>
      <c r="I74" s="152"/>
      <c r="J74" s="152"/>
      <c r="K74" s="152"/>
      <c r="L74" s="152"/>
      <c r="M74" s="152"/>
      <c r="N74" s="152"/>
      <c r="O74" s="152"/>
      <c r="P74" s="152"/>
      <c r="Q74" s="152"/>
      <c r="R74" s="152"/>
    </row>
    <row r="75">
      <c r="A75" s="152"/>
      <c r="B75" s="152"/>
      <c r="C75" s="152"/>
      <c r="D75" s="152"/>
      <c r="E75" s="152"/>
      <c r="F75" s="143"/>
      <c r="G75" s="152"/>
      <c r="H75" s="152"/>
      <c r="I75" s="152"/>
      <c r="J75" s="152"/>
      <c r="K75" s="152"/>
      <c r="L75" s="152"/>
      <c r="M75" s="152"/>
      <c r="N75" s="152"/>
      <c r="O75" s="152"/>
      <c r="P75" s="152"/>
      <c r="Q75" s="152"/>
      <c r="R75" s="152"/>
    </row>
    <row r="76">
      <c r="A76" s="152"/>
      <c r="B76" s="152"/>
      <c r="C76" s="152"/>
      <c r="D76" s="152"/>
      <c r="E76" s="152"/>
      <c r="F76" s="143"/>
      <c r="G76" s="152"/>
      <c r="H76" s="152"/>
      <c r="I76" s="152"/>
      <c r="J76" s="152"/>
      <c r="K76" s="152"/>
      <c r="L76" s="152"/>
      <c r="M76" s="152"/>
      <c r="N76" s="152"/>
      <c r="O76" s="152"/>
      <c r="P76" s="152"/>
      <c r="Q76" s="152"/>
      <c r="R76" s="152"/>
    </row>
    <row r="77">
      <c r="A77" s="152"/>
      <c r="B77" s="152"/>
      <c r="C77" s="152"/>
      <c r="D77" s="152"/>
      <c r="E77" s="152"/>
      <c r="F77" s="143"/>
      <c r="G77" s="152"/>
      <c r="H77" s="152"/>
      <c r="I77" s="152"/>
      <c r="J77" s="152"/>
      <c r="K77" s="152"/>
      <c r="L77" s="152"/>
      <c r="M77" s="152"/>
      <c r="N77" s="152"/>
      <c r="O77" s="152"/>
      <c r="P77" s="152"/>
      <c r="Q77" s="152"/>
      <c r="R77" s="152"/>
    </row>
    <row r="78">
      <c r="A78" s="152"/>
      <c r="B78" s="152"/>
      <c r="C78" s="152"/>
      <c r="D78" s="152"/>
      <c r="E78" s="152"/>
      <c r="F78" s="143"/>
      <c r="G78" s="152"/>
      <c r="H78" s="152"/>
      <c r="I78" s="152"/>
      <c r="J78" s="152"/>
      <c r="K78" s="152"/>
      <c r="L78" s="152"/>
      <c r="M78" s="152"/>
      <c r="N78" s="152"/>
      <c r="O78" s="152"/>
      <c r="P78" s="152"/>
      <c r="Q78" s="152"/>
      <c r="R78" s="152"/>
    </row>
    <row r="79">
      <c r="A79" s="152"/>
      <c r="B79" s="152"/>
      <c r="C79" s="152"/>
      <c r="D79" s="152"/>
      <c r="E79" s="152"/>
      <c r="F79" s="143"/>
      <c r="G79" s="152"/>
      <c r="H79" s="152"/>
      <c r="I79" s="152"/>
      <c r="J79" s="152"/>
      <c r="K79" s="152"/>
      <c r="L79" s="152"/>
      <c r="M79" s="152"/>
      <c r="N79" s="152"/>
      <c r="O79" s="152"/>
      <c r="P79" s="152"/>
      <c r="Q79" s="152"/>
      <c r="R79" s="152"/>
    </row>
    <row r="80">
      <c r="A80" s="152"/>
      <c r="B80" s="152"/>
      <c r="C80" s="152"/>
      <c r="D80" s="152"/>
      <c r="E80" s="152"/>
      <c r="F80" s="143"/>
      <c r="G80" s="152"/>
      <c r="H80" s="152"/>
      <c r="I80" s="152"/>
      <c r="J80" s="152"/>
      <c r="K80" s="152"/>
      <c r="L80" s="152"/>
      <c r="M80" s="152"/>
      <c r="N80" s="152"/>
      <c r="O80" s="152"/>
      <c r="P80" s="152"/>
      <c r="Q80" s="152"/>
      <c r="R80" s="152"/>
    </row>
    <row r="81">
      <c r="A81" s="152"/>
      <c r="B81" s="152"/>
      <c r="C81" s="152"/>
      <c r="D81" s="152"/>
      <c r="E81" s="152"/>
      <c r="F81" s="143"/>
      <c r="G81" s="152"/>
      <c r="H81" s="152"/>
      <c r="I81" s="152"/>
      <c r="J81" s="152"/>
      <c r="K81" s="152"/>
      <c r="L81" s="152"/>
      <c r="M81" s="152"/>
      <c r="N81" s="152"/>
      <c r="O81" s="152"/>
      <c r="P81" s="152"/>
      <c r="Q81" s="152"/>
      <c r="R81" s="152"/>
    </row>
    <row r="82">
      <c r="A82" s="152"/>
      <c r="B82" s="152"/>
      <c r="C82" s="152"/>
      <c r="D82" s="152"/>
      <c r="E82" s="152"/>
      <c r="F82" s="143"/>
      <c r="G82" s="152"/>
      <c r="H82" s="152"/>
      <c r="I82" s="152"/>
      <c r="J82" s="152"/>
      <c r="K82" s="152"/>
      <c r="L82" s="152"/>
      <c r="M82" s="152"/>
      <c r="N82" s="152"/>
      <c r="O82" s="152"/>
      <c r="P82" s="152"/>
      <c r="Q82" s="152"/>
      <c r="R82" s="152"/>
    </row>
    <row r="83">
      <c r="A83" s="152"/>
      <c r="B83" s="152"/>
      <c r="C83" s="152"/>
      <c r="D83" s="152"/>
      <c r="E83" s="152"/>
      <c r="F83" s="143"/>
      <c r="G83" s="152"/>
      <c r="H83" s="152"/>
      <c r="I83" s="152"/>
      <c r="J83" s="152"/>
      <c r="K83" s="152"/>
      <c r="L83" s="152"/>
      <c r="M83" s="152"/>
      <c r="N83" s="152"/>
      <c r="O83" s="152"/>
      <c r="P83" s="152"/>
      <c r="Q83" s="152"/>
      <c r="R83" s="152"/>
    </row>
    <row r="84">
      <c r="A84" s="152"/>
      <c r="B84" s="152"/>
      <c r="C84" s="152"/>
      <c r="D84" s="152"/>
      <c r="E84" s="152"/>
      <c r="F84" s="143"/>
      <c r="G84" s="152"/>
      <c r="H84" s="152"/>
      <c r="I84" s="152"/>
      <c r="J84" s="152"/>
      <c r="K84" s="152"/>
      <c r="L84" s="152"/>
      <c r="M84" s="152"/>
      <c r="N84" s="152"/>
      <c r="O84" s="152"/>
      <c r="P84" s="152"/>
      <c r="Q84" s="152"/>
      <c r="R84" s="152"/>
    </row>
    <row r="85">
      <c r="A85" s="152"/>
      <c r="B85" s="152"/>
      <c r="C85" s="152"/>
      <c r="D85" s="152"/>
      <c r="E85" s="152"/>
      <c r="F85" s="143"/>
      <c r="G85" s="152"/>
      <c r="H85" s="152"/>
      <c r="I85" s="152"/>
      <c r="J85" s="152"/>
      <c r="K85" s="152"/>
      <c r="L85" s="152"/>
      <c r="M85" s="152"/>
      <c r="N85" s="152"/>
      <c r="O85" s="152"/>
      <c r="P85" s="152"/>
      <c r="Q85" s="152"/>
      <c r="R85" s="152"/>
    </row>
    <row r="86">
      <c r="A86" s="152"/>
      <c r="B86" s="152"/>
      <c r="C86" s="152"/>
      <c r="D86" s="152"/>
      <c r="E86" s="152"/>
      <c r="F86" s="143"/>
      <c r="G86" s="152"/>
      <c r="H86" s="152"/>
      <c r="I86" s="152"/>
      <c r="J86" s="152"/>
      <c r="K86" s="152"/>
      <c r="L86" s="152"/>
      <c r="M86" s="152"/>
      <c r="N86" s="152"/>
      <c r="O86" s="152"/>
      <c r="P86" s="152"/>
      <c r="Q86" s="152"/>
      <c r="R86" s="152"/>
    </row>
    <row r="87">
      <c r="A87" s="152"/>
      <c r="B87" s="152"/>
      <c r="C87" s="152"/>
      <c r="D87" s="152"/>
      <c r="E87" s="152"/>
      <c r="F87" s="143"/>
      <c r="G87" s="152"/>
      <c r="H87" s="152"/>
      <c r="I87" s="152"/>
      <c r="J87" s="152"/>
      <c r="K87" s="152"/>
      <c r="L87" s="152"/>
      <c r="M87" s="152"/>
      <c r="N87" s="152"/>
      <c r="O87" s="152"/>
      <c r="P87" s="152"/>
      <c r="Q87" s="152"/>
      <c r="R87" s="152"/>
    </row>
    <row r="88">
      <c r="A88" s="152"/>
      <c r="B88" s="152"/>
      <c r="C88" s="152"/>
      <c r="D88" s="152"/>
      <c r="E88" s="152"/>
      <c r="F88" s="143"/>
      <c r="G88" s="152"/>
      <c r="H88" s="152"/>
      <c r="I88" s="152"/>
      <c r="J88" s="152"/>
      <c r="K88" s="152"/>
      <c r="L88" s="152"/>
      <c r="M88" s="152"/>
      <c r="N88" s="152"/>
      <c r="O88" s="152"/>
      <c r="P88" s="152"/>
      <c r="Q88" s="152"/>
      <c r="R88" s="152"/>
    </row>
    <row r="89">
      <c r="A89" s="152"/>
      <c r="B89" s="152"/>
      <c r="C89" s="152"/>
      <c r="D89" s="152"/>
      <c r="E89" s="152"/>
      <c r="F89" s="143"/>
      <c r="G89" s="152"/>
      <c r="H89" s="152"/>
      <c r="I89" s="152"/>
      <c r="J89" s="152"/>
      <c r="K89" s="152"/>
      <c r="L89" s="152"/>
      <c r="M89" s="152"/>
      <c r="N89" s="152"/>
      <c r="O89" s="152"/>
      <c r="P89" s="152"/>
      <c r="Q89" s="152"/>
      <c r="R89" s="152"/>
    </row>
    <row r="90">
      <c r="A90" s="152"/>
      <c r="B90" s="152"/>
      <c r="C90" s="152"/>
      <c r="D90" s="152"/>
      <c r="E90" s="152"/>
      <c r="F90" s="143"/>
      <c r="G90" s="152"/>
      <c r="H90" s="152"/>
      <c r="I90" s="152"/>
      <c r="J90" s="152"/>
      <c r="K90" s="152"/>
      <c r="L90" s="152"/>
      <c r="M90" s="152"/>
      <c r="N90" s="152"/>
      <c r="O90" s="152"/>
      <c r="P90" s="152"/>
      <c r="Q90" s="152"/>
      <c r="R90" s="152"/>
    </row>
    <row r="91">
      <c r="A91" s="152"/>
      <c r="B91" s="152"/>
      <c r="C91" s="152"/>
      <c r="D91" s="152"/>
      <c r="E91" s="152"/>
      <c r="F91" s="143"/>
      <c r="G91" s="152"/>
      <c r="H91" s="152"/>
      <c r="I91" s="152"/>
      <c r="J91" s="152"/>
      <c r="K91" s="152"/>
      <c r="L91" s="152"/>
      <c r="M91" s="152"/>
      <c r="N91" s="152"/>
      <c r="O91" s="152"/>
      <c r="P91" s="152"/>
      <c r="Q91" s="152"/>
      <c r="R91" s="152"/>
    </row>
    <row r="92">
      <c r="A92" s="152"/>
      <c r="B92" s="152"/>
      <c r="C92" s="152"/>
      <c r="D92" s="152"/>
      <c r="E92" s="152"/>
      <c r="F92" s="143"/>
      <c r="G92" s="152"/>
      <c r="H92" s="152"/>
      <c r="I92" s="152"/>
      <c r="J92" s="152"/>
      <c r="K92" s="152"/>
      <c r="L92" s="152"/>
      <c r="M92" s="152"/>
      <c r="N92" s="152"/>
      <c r="O92" s="152"/>
      <c r="P92" s="152"/>
      <c r="Q92" s="152"/>
      <c r="R92" s="152"/>
    </row>
    <row r="93">
      <c r="A93" s="152"/>
      <c r="B93" s="152"/>
      <c r="C93" s="152"/>
      <c r="D93" s="152"/>
      <c r="E93" s="152"/>
      <c r="F93" s="143"/>
      <c r="G93" s="152"/>
      <c r="H93" s="152"/>
      <c r="I93" s="152"/>
      <c r="J93" s="152"/>
      <c r="K93" s="152"/>
      <c r="L93" s="152"/>
      <c r="M93" s="152"/>
      <c r="N93" s="152"/>
      <c r="O93" s="152"/>
      <c r="P93" s="152"/>
      <c r="Q93" s="152"/>
      <c r="R93" s="152"/>
    </row>
    <row r="94">
      <c r="A94" s="152"/>
      <c r="B94" s="152"/>
      <c r="C94" s="152"/>
      <c r="D94" s="152"/>
      <c r="E94" s="152"/>
      <c r="F94" s="143"/>
      <c r="G94" s="152"/>
      <c r="H94" s="152"/>
      <c r="I94" s="152"/>
      <c r="J94" s="152"/>
      <c r="K94" s="152"/>
      <c r="L94" s="152"/>
      <c r="M94" s="152"/>
      <c r="N94" s="152"/>
      <c r="O94" s="152"/>
      <c r="P94" s="152"/>
      <c r="Q94" s="152"/>
      <c r="R94" s="152"/>
    </row>
    <row r="95">
      <c r="A95" s="152"/>
      <c r="B95" s="152"/>
      <c r="C95" s="152"/>
      <c r="D95" s="152"/>
      <c r="E95" s="152"/>
      <c r="F95" s="143"/>
      <c r="G95" s="152"/>
      <c r="H95" s="152"/>
      <c r="I95" s="152"/>
      <c r="J95" s="152"/>
      <c r="K95" s="152"/>
      <c r="L95" s="152"/>
      <c r="M95" s="152"/>
      <c r="N95" s="152"/>
      <c r="O95" s="152"/>
      <c r="P95" s="152"/>
      <c r="Q95" s="152"/>
      <c r="R95" s="152"/>
    </row>
    <row r="96">
      <c r="A96" s="152"/>
      <c r="B96" s="152"/>
      <c r="C96" s="152"/>
      <c r="D96" s="152"/>
      <c r="E96" s="152"/>
      <c r="F96" s="143"/>
      <c r="G96" s="152"/>
      <c r="H96" s="152"/>
      <c r="I96" s="152"/>
      <c r="J96" s="152"/>
      <c r="K96" s="152"/>
      <c r="L96" s="152"/>
      <c r="M96" s="152"/>
      <c r="N96" s="152"/>
      <c r="O96" s="152"/>
      <c r="P96" s="152"/>
      <c r="Q96" s="152"/>
      <c r="R96" s="152"/>
    </row>
    <row r="97">
      <c r="A97" s="152"/>
      <c r="B97" s="152"/>
      <c r="C97" s="152"/>
      <c r="D97" s="152"/>
      <c r="E97" s="152"/>
      <c r="F97" s="143"/>
      <c r="G97" s="152"/>
      <c r="H97" s="152"/>
      <c r="I97" s="152"/>
      <c r="J97" s="152"/>
      <c r="K97" s="152"/>
      <c r="L97" s="152"/>
      <c r="M97" s="152"/>
      <c r="N97" s="152"/>
      <c r="O97" s="152"/>
      <c r="P97" s="152"/>
      <c r="Q97" s="152"/>
      <c r="R97" s="152"/>
    </row>
    <row r="98">
      <c r="A98" s="152"/>
      <c r="B98" s="152"/>
      <c r="C98" s="152"/>
      <c r="D98" s="152"/>
      <c r="E98" s="152"/>
      <c r="F98" s="143"/>
      <c r="G98" s="152"/>
      <c r="H98" s="152"/>
      <c r="I98" s="152"/>
      <c r="J98" s="152"/>
      <c r="K98" s="152"/>
      <c r="L98" s="152"/>
      <c r="M98" s="152"/>
      <c r="N98" s="152"/>
      <c r="O98" s="152"/>
      <c r="P98" s="152"/>
      <c r="Q98" s="152"/>
      <c r="R98" s="152"/>
    </row>
    <row r="99">
      <c r="A99" s="152"/>
      <c r="B99" s="152"/>
      <c r="C99" s="152"/>
      <c r="D99" s="152"/>
      <c r="E99" s="152"/>
      <c r="F99" s="143"/>
      <c r="G99" s="152"/>
      <c r="H99" s="152"/>
      <c r="I99" s="152"/>
      <c r="J99" s="152"/>
      <c r="K99" s="152"/>
      <c r="L99" s="152"/>
      <c r="M99" s="152"/>
      <c r="N99" s="152"/>
      <c r="O99" s="152"/>
      <c r="P99" s="152"/>
      <c r="Q99" s="152"/>
      <c r="R99" s="152"/>
    </row>
    <row r="100">
      <c r="A100" s="152"/>
      <c r="B100" s="152"/>
      <c r="C100" s="152"/>
      <c r="D100" s="152"/>
      <c r="E100" s="152"/>
      <c r="F100" s="143"/>
      <c r="G100" s="152"/>
      <c r="H100" s="152"/>
      <c r="I100" s="152"/>
      <c r="J100" s="152"/>
      <c r="K100" s="152"/>
      <c r="L100" s="152"/>
      <c r="M100" s="152"/>
      <c r="N100" s="152"/>
      <c r="O100" s="152"/>
      <c r="P100" s="152"/>
      <c r="Q100" s="152"/>
      <c r="R100" s="152"/>
    </row>
    <row r="101">
      <c r="A101" s="152"/>
      <c r="B101" s="152"/>
      <c r="C101" s="152"/>
      <c r="D101" s="152"/>
      <c r="E101" s="152"/>
      <c r="F101" s="143"/>
      <c r="G101" s="152"/>
      <c r="H101" s="152"/>
      <c r="I101" s="152"/>
      <c r="J101" s="152"/>
      <c r="K101" s="152"/>
      <c r="L101" s="152"/>
      <c r="M101" s="152"/>
      <c r="N101" s="152"/>
      <c r="O101" s="152"/>
      <c r="P101" s="152"/>
      <c r="Q101" s="152"/>
      <c r="R101" s="152"/>
    </row>
    <row r="102">
      <c r="A102" s="152"/>
      <c r="B102" s="152"/>
      <c r="C102" s="152"/>
      <c r="D102" s="152"/>
      <c r="E102" s="152"/>
      <c r="F102" s="143"/>
      <c r="G102" s="152"/>
      <c r="H102" s="152"/>
      <c r="I102" s="152"/>
      <c r="J102" s="152"/>
      <c r="K102" s="152"/>
      <c r="L102" s="152"/>
      <c r="M102" s="152"/>
      <c r="N102" s="152"/>
      <c r="O102" s="152"/>
      <c r="P102" s="152"/>
      <c r="Q102" s="152"/>
      <c r="R102" s="152"/>
    </row>
    <row r="103">
      <c r="A103" s="152"/>
      <c r="B103" s="152"/>
      <c r="C103" s="152"/>
      <c r="D103" s="152"/>
      <c r="E103" s="152"/>
      <c r="F103" s="143"/>
      <c r="G103" s="152"/>
      <c r="H103" s="152"/>
      <c r="I103" s="152"/>
      <c r="J103" s="152"/>
      <c r="K103" s="152"/>
      <c r="L103" s="152"/>
      <c r="M103" s="152"/>
      <c r="N103" s="152"/>
      <c r="O103" s="152"/>
      <c r="P103" s="152"/>
      <c r="Q103" s="152"/>
      <c r="R103" s="152"/>
    </row>
    <row r="104">
      <c r="A104" s="152"/>
      <c r="B104" s="152"/>
      <c r="C104" s="152"/>
      <c r="D104" s="152"/>
      <c r="E104" s="152"/>
      <c r="F104" s="143"/>
      <c r="G104" s="152"/>
      <c r="H104" s="152"/>
      <c r="I104" s="152"/>
      <c r="J104" s="152"/>
      <c r="K104" s="152"/>
      <c r="L104" s="152"/>
      <c r="M104" s="152"/>
      <c r="N104" s="152"/>
      <c r="O104" s="152"/>
      <c r="P104" s="152"/>
      <c r="Q104" s="152"/>
      <c r="R104" s="152"/>
    </row>
    <row r="105">
      <c r="A105" s="152"/>
      <c r="B105" s="152"/>
      <c r="C105" s="152"/>
      <c r="D105" s="152"/>
      <c r="E105" s="152"/>
      <c r="F105" s="143"/>
      <c r="G105" s="152"/>
      <c r="H105" s="152"/>
      <c r="I105" s="152"/>
      <c r="J105" s="152"/>
      <c r="K105" s="152"/>
      <c r="L105" s="152"/>
      <c r="M105" s="152"/>
      <c r="N105" s="152"/>
      <c r="O105" s="152"/>
      <c r="P105" s="152"/>
      <c r="Q105" s="152"/>
      <c r="R105" s="152"/>
    </row>
    <row r="106">
      <c r="A106" s="152"/>
      <c r="B106" s="152"/>
      <c r="C106" s="152"/>
      <c r="D106" s="152"/>
      <c r="E106" s="152"/>
      <c r="F106" s="143"/>
      <c r="G106" s="152"/>
      <c r="H106" s="152"/>
      <c r="I106" s="152"/>
      <c r="J106" s="152"/>
      <c r="K106" s="152"/>
      <c r="L106" s="152"/>
      <c r="M106" s="152"/>
      <c r="N106" s="152"/>
      <c r="O106" s="152"/>
      <c r="P106" s="152"/>
      <c r="Q106" s="152"/>
      <c r="R106" s="152"/>
    </row>
    <row r="107">
      <c r="A107" s="152"/>
      <c r="B107" s="152"/>
      <c r="C107" s="152"/>
      <c r="D107" s="152"/>
      <c r="E107" s="152"/>
      <c r="F107" s="143"/>
      <c r="G107" s="152"/>
      <c r="H107" s="152"/>
      <c r="I107" s="152"/>
      <c r="J107" s="152"/>
      <c r="K107" s="152"/>
      <c r="L107" s="152"/>
      <c r="M107" s="152"/>
      <c r="N107" s="152"/>
      <c r="O107" s="152"/>
      <c r="P107" s="152"/>
      <c r="Q107" s="152"/>
      <c r="R107" s="152"/>
    </row>
    <row r="108">
      <c r="A108" s="152"/>
      <c r="B108" s="152"/>
      <c r="C108" s="152"/>
      <c r="D108" s="152"/>
      <c r="E108" s="152"/>
      <c r="F108" s="143"/>
      <c r="G108" s="152"/>
      <c r="H108" s="152"/>
      <c r="I108" s="152"/>
      <c r="J108" s="152"/>
      <c r="K108" s="152"/>
      <c r="L108" s="152"/>
      <c r="M108" s="152"/>
      <c r="N108" s="152"/>
      <c r="O108" s="152"/>
      <c r="P108" s="152"/>
      <c r="Q108" s="152"/>
      <c r="R108" s="152"/>
    </row>
    <row r="109">
      <c r="A109" s="152"/>
      <c r="B109" s="152"/>
      <c r="C109" s="152"/>
      <c r="D109" s="152"/>
      <c r="E109" s="152"/>
      <c r="F109" s="143"/>
      <c r="G109" s="152"/>
      <c r="H109" s="152"/>
      <c r="I109" s="152"/>
      <c r="J109" s="152"/>
      <c r="K109" s="152"/>
      <c r="L109" s="152"/>
      <c r="M109" s="152"/>
      <c r="N109" s="152"/>
      <c r="O109" s="152"/>
      <c r="P109" s="152"/>
      <c r="Q109" s="152"/>
      <c r="R109" s="152"/>
    </row>
    <row r="110">
      <c r="A110" s="152"/>
      <c r="B110" s="152"/>
      <c r="C110" s="152"/>
      <c r="D110" s="152"/>
      <c r="E110" s="152"/>
      <c r="F110" s="143"/>
      <c r="G110" s="152"/>
      <c r="H110" s="152"/>
      <c r="I110" s="152"/>
      <c r="J110" s="152"/>
      <c r="K110" s="152"/>
      <c r="L110" s="152"/>
      <c r="M110" s="152"/>
      <c r="N110" s="152"/>
      <c r="O110" s="152"/>
      <c r="P110" s="152"/>
      <c r="Q110" s="152"/>
      <c r="R110" s="152"/>
    </row>
    <row r="111">
      <c r="A111" s="152"/>
      <c r="B111" s="152"/>
      <c r="C111" s="152"/>
      <c r="D111" s="152"/>
      <c r="E111" s="152"/>
      <c r="F111" s="143"/>
      <c r="G111" s="152"/>
      <c r="H111" s="152"/>
      <c r="I111" s="152"/>
      <c r="J111" s="152"/>
      <c r="K111" s="152"/>
      <c r="L111" s="152"/>
      <c r="M111" s="152"/>
      <c r="N111" s="152"/>
      <c r="O111" s="152"/>
      <c r="P111" s="152"/>
      <c r="Q111" s="152"/>
      <c r="R111" s="152"/>
    </row>
    <row r="112">
      <c r="A112" s="152"/>
      <c r="B112" s="152"/>
      <c r="C112" s="152"/>
      <c r="D112" s="152"/>
      <c r="E112" s="152"/>
      <c r="F112" s="143"/>
      <c r="G112" s="152"/>
      <c r="H112" s="152"/>
      <c r="I112" s="152"/>
      <c r="J112" s="152"/>
      <c r="K112" s="152"/>
      <c r="L112" s="152"/>
      <c r="M112" s="152"/>
      <c r="N112" s="152"/>
      <c r="O112" s="152"/>
      <c r="P112" s="152"/>
      <c r="Q112" s="152"/>
      <c r="R112" s="152"/>
    </row>
    <row r="113">
      <c r="A113" s="152"/>
      <c r="B113" s="152"/>
      <c r="C113" s="152"/>
      <c r="D113" s="152"/>
      <c r="E113" s="152"/>
      <c r="F113" s="143"/>
      <c r="G113" s="152"/>
      <c r="H113" s="152"/>
      <c r="I113" s="152"/>
      <c r="J113" s="152"/>
      <c r="K113" s="152"/>
      <c r="L113" s="152"/>
      <c r="M113" s="152"/>
      <c r="N113" s="152"/>
      <c r="O113" s="152"/>
      <c r="P113" s="152"/>
      <c r="Q113" s="152"/>
      <c r="R113" s="152"/>
    </row>
    <row r="114">
      <c r="A114" s="152"/>
      <c r="B114" s="152"/>
      <c r="C114" s="152"/>
      <c r="D114" s="152"/>
      <c r="E114" s="152"/>
      <c r="F114" s="143"/>
      <c r="G114" s="152"/>
      <c r="H114" s="152"/>
      <c r="I114" s="152"/>
      <c r="J114" s="152"/>
      <c r="K114" s="152"/>
      <c r="L114" s="152"/>
      <c r="M114" s="152"/>
      <c r="N114" s="152"/>
      <c r="O114" s="152"/>
      <c r="P114" s="152"/>
      <c r="Q114" s="152"/>
      <c r="R114" s="152"/>
    </row>
    <row r="115">
      <c r="A115" s="152"/>
      <c r="B115" s="152"/>
      <c r="C115" s="152"/>
      <c r="D115" s="152"/>
      <c r="E115" s="152"/>
      <c r="F115" s="143"/>
      <c r="G115" s="152"/>
      <c r="H115" s="152"/>
      <c r="I115" s="152"/>
      <c r="J115" s="152"/>
      <c r="K115" s="152"/>
      <c r="L115" s="152"/>
      <c r="M115" s="152"/>
      <c r="N115" s="152"/>
      <c r="O115" s="152"/>
      <c r="P115" s="152"/>
      <c r="Q115" s="152"/>
      <c r="R115" s="152"/>
    </row>
    <row r="116">
      <c r="A116" s="152"/>
      <c r="B116" s="152"/>
      <c r="C116" s="152"/>
      <c r="D116" s="152"/>
      <c r="E116" s="152"/>
      <c r="F116" s="143"/>
      <c r="G116" s="152"/>
      <c r="H116" s="152"/>
      <c r="I116" s="152"/>
      <c r="J116" s="152"/>
      <c r="K116" s="152"/>
      <c r="L116" s="152"/>
      <c r="M116" s="152"/>
      <c r="N116" s="152"/>
      <c r="O116" s="152"/>
      <c r="P116" s="152"/>
      <c r="Q116" s="152"/>
      <c r="R116" s="152"/>
    </row>
    <row r="117">
      <c r="A117" s="152"/>
      <c r="B117" s="152"/>
      <c r="C117" s="152"/>
      <c r="D117" s="152"/>
      <c r="E117" s="152"/>
      <c r="F117" s="143"/>
      <c r="G117" s="152"/>
      <c r="H117" s="152"/>
      <c r="I117" s="152"/>
      <c r="J117" s="152"/>
      <c r="K117" s="152"/>
      <c r="L117" s="152"/>
      <c r="M117" s="152"/>
      <c r="N117" s="152"/>
      <c r="O117" s="152"/>
      <c r="P117" s="152"/>
      <c r="Q117" s="152"/>
      <c r="R117" s="152"/>
    </row>
    <row r="118">
      <c r="A118" s="152"/>
      <c r="B118" s="152"/>
      <c r="C118" s="152"/>
      <c r="D118" s="152"/>
      <c r="E118" s="152"/>
      <c r="F118" s="143"/>
      <c r="G118" s="152"/>
      <c r="H118" s="152"/>
      <c r="I118" s="152"/>
      <c r="J118" s="152"/>
      <c r="K118" s="152"/>
      <c r="L118" s="152"/>
      <c r="M118" s="152"/>
      <c r="N118" s="152"/>
      <c r="O118" s="152"/>
      <c r="P118" s="152"/>
      <c r="Q118" s="152"/>
      <c r="R118" s="152"/>
    </row>
    <row r="119">
      <c r="A119" s="152"/>
      <c r="B119" s="152"/>
      <c r="C119" s="152"/>
      <c r="D119" s="152"/>
      <c r="E119" s="152"/>
      <c r="F119" s="143"/>
      <c r="G119" s="152"/>
      <c r="H119" s="152"/>
      <c r="I119" s="152"/>
      <c r="J119" s="152"/>
      <c r="K119" s="152"/>
      <c r="L119" s="152"/>
      <c r="M119" s="152"/>
      <c r="N119" s="152"/>
      <c r="O119" s="152"/>
      <c r="P119" s="152"/>
      <c r="Q119" s="152"/>
      <c r="R119" s="152"/>
    </row>
    <row r="120">
      <c r="A120" s="152"/>
      <c r="B120" s="152"/>
      <c r="C120" s="152"/>
      <c r="D120" s="152"/>
      <c r="E120" s="152"/>
      <c r="F120" s="143"/>
      <c r="G120" s="152"/>
      <c r="H120" s="152"/>
      <c r="I120" s="152"/>
      <c r="J120" s="152"/>
      <c r="K120" s="152"/>
      <c r="L120" s="152"/>
      <c r="M120" s="152"/>
      <c r="N120" s="152"/>
      <c r="O120" s="152"/>
      <c r="P120" s="152"/>
      <c r="Q120" s="152"/>
      <c r="R120" s="152"/>
    </row>
    <row r="121">
      <c r="A121" s="152"/>
      <c r="B121" s="152"/>
      <c r="C121" s="152"/>
      <c r="D121" s="152"/>
      <c r="E121" s="152"/>
      <c r="F121" s="143"/>
      <c r="G121" s="152"/>
      <c r="H121" s="152"/>
      <c r="I121" s="152"/>
      <c r="J121" s="152"/>
      <c r="K121" s="152"/>
      <c r="L121" s="152"/>
      <c r="M121" s="152"/>
      <c r="N121" s="152"/>
      <c r="O121" s="152"/>
      <c r="P121" s="152"/>
      <c r="Q121" s="152"/>
      <c r="R121" s="152"/>
    </row>
    <row r="122">
      <c r="A122" s="152"/>
      <c r="B122" s="152"/>
      <c r="C122" s="152"/>
      <c r="D122" s="152"/>
      <c r="E122" s="152"/>
      <c r="F122" s="143"/>
      <c r="G122" s="152"/>
      <c r="H122" s="152"/>
      <c r="I122" s="152"/>
      <c r="J122" s="152"/>
      <c r="K122" s="152"/>
      <c r="L122" s="152"/>
      <c r="M122" s="152"/>
      <c r="N122" s="152"/>
      <c r="O122" s="152"/>
      <c r="P122" s="152"/>
      <c r="Q122" s="152"/>
      <c r="R122" s="152"/>
    </row>
    <row r="123">
      <c r="A123" s="152"/>
      <c r="B123" s="152"/>
      <c r="C123" s="152"/>
      <c r="D123" s="152"/>
      <c r="E123" s="152"/>
      <c r="F123" s="143"/>
      <c r="G123" s="152"/>
      <c r="H123" s="152"/>
      <c r="I123" s="152"/>
      <c r="J123" s="152"/>
      <c r="K123" s="152"/>
      <c r="L123" s="152"/>
      <c r="M123" s="152"/>
      <c r="N123" s="152"/>
      <c r="O123" s="152"/>
      <c r="P123" s="152"/>
      <c r="Q123" s="152"/>
      <c r="R123" s="152"/>
    </row>
    <row r="124">
      <c r="A124" s="152"/>
      <c r="B124" s="152"/>
      <c r="C124" s="152"/>
      <c r="D124" s="152"/>
      <c r="E124" s="152"/>
      <c r="F124" s="143"/>
      <c r="G124" s="152"/>
      <c r="H124" s="152"/>
      <c r="I124" s="152"/>
      <c r="J124" s="152"/>
      <c r="K124" s="152"/>
      <c r="L124" s="152"/>
      <c r="M124" s="152"/>
      <c r="N124" s="152"/>
      <c r="O124" s="152"/>
      <c r="P124" s="152"/>
      <c r="Q124" s="152"/>
      <c r="R124" s="152"/>
    </row>
    <row r="125">
      <c r="A125" s="152"/>
      <c r="B125" s="152"/>
      <c r="C125" s="152"/>
      <c r="D125" s="152"/>
      <c r="E125" s="152"/>
      <c r="F125" s="143"/>
      <c r="G125" s="152"/>
      <c r="H125" s="152"/>
      <c r="I125" s="152"/>
      <c r="J125" s="152"/>
      <c r="K125" s="152"/>
      <c r="L125" s="152"/>
      <c r="M125" s="152"/>
      <c r="N125" s="152"/>
      <c r="O125" s="152"/>
      <c r="P125" s="152"/>
      <c r="Q125" s="152"/>
      <c r="R125" s="152"/>
    </row>
    <row r="126">
      <c r="A126" s="152"/>
      <c r="B126" s="152"/>
      <c r="C126" s="152"/>
      <c r="D126" s="152"/>
      <c r="E126" s="152"/>
      <c r="F126" s="143"/>
      <c r="G126" s="152"/>
      <c r="H126" s="152"/>
      <c r="I126" s="152"/>
      <c r="J126" s="152"/>
      <c r="K126" s="152"/>
      <c r="L126" s="152"/>
      <c r="M126" s="152"/>
      <c r="N126" s="152"/>
      <c r="O126" s="152"/>
      <c r="P126" s="152"/>
      <c r="Q126" s="152"/>
      <c r="R126" s="152"/>
    </row>
    <row r="127">
      <c r="A127" s="152"/>
      <c r="B127" s="152"/>
      <c r="C127" s="152"/>
      <c r="D127" s="152"/>
      <c r="E127" s="152"/>
      <c r="F127" s="143"/>
      <c r="G127" s="152"/>
      <c r="H127" s="152"/>
      <c r="I127" s="152"/>
      <c r="J127" s="152"/>
      <c r="K127" s="152"/>
      <c r="L127" s="152"/>
      <c r="M127" s="152"/>
      <c r="N127" s="152"/>
      <c r="O127" s="152"/>
      <c r="P127" s="152"/>
      <c r="Q127" s="152"/>
      <c r="R127" s="152"/>
    </row>
    <row r="128">
      <c r="A128" s="152"/>
      <c r="B128" s="152"/>
      <c r="C128" s="152"/>
      <c r="D128" s="152"/>
      <c r="E128" s="152"/>
      <c r="F128" s="143"/>
      <c r="G128" s="152"/>
      <c r="H128" s="152"/>
      <c r="I128" s="152"/>
      <c r="J128" s="152"/>
      <c r="K128" s="152"/>
      <c r="L128" s="152"/>
      <c r="M128" s="152"/>
      <c r="N128" s="152"/>
      <c r="O128" s="152"/>
      <c r="P128" s="152"/>
      <c r="Q128" s="152"/>
      <c r="R128" s="152"/>
    </row>
    <row r="129">
      <c r="A129" s="152"/>
      <c r="B129" s="152"/>
      <c r="C129" s="152"/>
      <c r="D129" s="152"/>
      <c r="E129" s="152"/>
      <c r="F129" s="143"/>
      <c r="G129" s="152"/>
      <c r="H129" s="152"/>
      <c r="I129" s="152"/>
      <c r="J129" s="152"/>
      <c r="K129" s="152"/>
      <c r="L129" s="152"/>
      <c r="M129" s="152"/>
      <c r="N129" s="152"/>
      <c r="O129" s="152"/>
      <c r="P129" s="152"/>
      <c r="Q129" s="152"/>
      <c r="R129" s="152"/>
    </row>
    <row r="130">
      <c r="A130" s="152"/>
      <c r="B130" s="152"/>
      <c r="C130" s="152"/>
      <c r="D130" s="152"/>
      <c r="E130" s="152"/>
      <c r="F130" s="143"/>
      <c r="G130" s="152"/>
      <c r="H130" s="152"/>
      <c r="I130" s="152"/>
      <c r="J130" s="152"/>
      <c r="K130" s="152"/>
      <c r="L130" s="152"/>
      <c r="M130" s="152"/>
      <c r="N130" s="152"/>
      <c r="O130" s="152"/>
      <c r="P130" s="152"/>
      <c r="Q130" s="152"/>
      <c r="R130" s="152"/>
    </row>
    <row r="131">
      <c r="A131" s="152"/>
      <c r="B131" s="152"/>
      <c r="C131" s="152"/>
      <c r="D131" s="152"/>
      <c r="E131" s="152"/>
      <c r="F131" s="143"/>
      <c r="G131" s="152"/>
      <c r="H131" s="152"/>
      <c r="I131" s="152"/>
      <c r="J131" s="152"/>
      <c r="K131" s="152"/>
      <c r="L131" s="152"/>
      <c r="M131" s="152"/>
      <c r="N131" s="152"/>
      <c r="O131" s="152"/>
      <c r="P131" s="152"/>
      <c r="Q131" s="152"/>
      <c r="R131" s="152"/>
    </row>
    <row r="132">
      <c r="A132" s="152"/>
      <c r="B132" s="152"/>
      <c r="C132" s="152"/>
      <c r="D132" s="152"/>
      <c r="E132" s="152"/>
      <c r="F132" s="143"/>
      <c r="G132" s="152"/>
      <c r="H132" s="152"/>
      <c r="I132" s="152"/>
      <c r="J132" s="152"/>
      <c r="K132" s="152"/>
      <c r="L132" s="152"/>
      <c r="M132" s="152"/>
      <c r="N132" s="152"/>
      <c r="O132" s="152"/>
      <c r="P132" s="152"/>
      <c r="Q132" s="152"/>
      <c r="R132" s="152"/>
    </row>
    <row r="133">
      <c r="A133" s="152"/>
      <c r="B133" s="152"/>
      <c r="C133" s="152"/>
      <c r="D133" s="152"/>
      <c r="E133" s="152"/>
      <c r="F133" s="143"/>
      <c r="G133" s="152"/>
      <c r="H133" s="152"/>
      <c r="I133" s="152"/>
      <c r="J133" s="152"/>
      <c r="K133" s="152"/>
      <c r="L133" s="152"/>
      <c r="M133" s="152"/>
      <c r="N133" s="152"/>
      <c r="O133" s="152"/>
      <c r="P133" s="152"/>
      <c r="Q133" s="152"/>
      <c r="R133" s="152"/>
    </row>
    <row r="134">
      <c r="A134" s="152"/>
      <c r="B134" s="152"/>
      <c r="C134" s="152"/>
      <c r="D134" s="152"/>
      <c r="E134" s="152"/>
      <c r="F134" s="143"/>
      <c r="G134" s="152"/>
      <c r="H134" s="152"/>
      <c r="I134" s="152"/>
      <c r="J134" s="152"/>
      <c r="K134" s="152"/>
      <c r="L134" s="152"/>
      <c r="M134" s="152"/>
      <c r="N134" s="152"/>
      <c r="O134" s="152"/>
      <c r="P134" s="152"/>
      <c r="Q134" s="152"/>
      <c r="R134" s="152"/>
    </row>
    <row r="135">
      <c r="A135" s="152"/>
      <c r="B135" s="152"/>
      <c r="C135" s="152"/>
      <c r="D135" s="152"/>
      <c r="E135" s="152"/>
      <c r="F135" s="143"/>
      <c r="G135" s="152"/>
      <c r="H135" s="152"/>
      <c r="I135" s="152"/>
      <c r="J135" s="152"/>
      <c r="K135" s="152"/>
      <c r="L135" s="152"/>
      <c r="M135" s="152"/>
      <c r="N135" s="152"/>
      <c r="O135" s="152"/>
      <c r="P135" s="152"/>
      <c r="Q135" s="152"/>
      <c r="R135" s="152"/>
    </row>
    <row r="136">
      <c r="A136" s="152"/>
      <c r="B136" s="152"/>
      <c r="C136" s="152"/>
      <c r="D136" s="152"/>
      <c r="E136" s="152"/>
      <c r="F136" s="143"/>
      <c r="G136" s="152"/>
      <c r="H136" s="152"/>
      <c r="I136" s="152"/>
      <c r="J136" s="152"/>
      <c r="K136" s="152"/>
      <c r="L136" s="152"/>
      <c r="M136" s="152"/>
      <c r="N136" s="152"/>
      <c r="O136" s="152"/>
      <c r="P136" s="152"/>
      <c r="Q136" s="152"/>
      <c r="R136" s="152"/>
    </row>
    <row r="137">
      <c r="A137" s="152"/>
      <c r="B137" s="152"/>
      <c r="C137" s="152"/>
      <c r="D137" s="152"/>
      <c r="E137" s="152"/>
      <c r="F137" s="143"/>
      <c r="G137" s="152"/>
      <c r="H137" s="152"/>
      <c r="I137" s="152"/>
      <c r="J137" s="152"/>
      <c r="K137" s="152"/>
      <c r="L137" s="152"/>
      <c r="M137" s="152"/>
      <c r="N137" s="152"/>
      <c r="O137" s="152"/>
      <c r="P137" s="152"/>
      <c r="Q137" s="152"/>
      <c r="R137" s="152"/>
    </row>
    <row r="138">
      <c r="A138" s="152"/>
      <c r="B138" s="152"/>
      <c r="C138" s="152"/>
      <c r="D138" s="152"/>
      <c r="E138" s="152"/>
      <c r="F138" s="143"/>
      <c r="G138" s="152"/>
      <c r="H138" s="152"/>
      <c r="I138" s="152"/>
      <c r="J138" s="152"/>
      <c r="K138" s="152"/>
      <c r="L138" s="152"/>
      <c r="M138" s="152"/>
      <c r="N138" s="152"/>
      <c r="O138" s="152"/>
      <c r="P138" s="152"/>
      <c r="Q138" s="152"/>
      <c r="R138" s="152"/>
    </row>
    <row r="139">
      <c r="A139" s="152"/>
      <c r="B139" s="152"/>
      <c r="C139" s="152"/>
      <c r="D139" s="152"/>
      <c r="E139" s="152"/>
      <c r="F139" s="143"/>
      <c r="G139" s="152"/>
      <c r="H139" s="152"/>
      <c r="I139" s="152"/>
      <c r="J139" s="152"/>
      <c r="K139" s="152"/>
      <c r="L139" s="152"/>
      <c r="M139" s="152"/>
      <c r="N139" s="152"/>
      <c r="O139" s="152"/>
      <c r="P139" s="152"/>
      <c r="Q139" s="152"/>
      <c r="R139" s="152"/>
    </row>
    <row r="140">
      <c r="A140" s="152"/>
      <c r="B140" s="152"/>
      <c r="C140" s="152"/>
      <c r="D140" s="152"/>
      <c r="E140" s="152"/>
      <c r="F140" s="143"/>
      <c r="G140" s="152"/>
      <c r="H140" s="152"/>
      <c r="I140" s="152"/>
      <c r="J140" s="152"/>
      <c r="K140" s="152"/>
      <c r="L140" s="152"/>
      <c r="M140" s="152"/>
      <c r="N140" s="152"/>
      <c r="O140" s="152"/>
      <c r="P140" s="152"/>
      <c r="Q140" s="152"/>
      <c r="R140" s="152"/>
    </row>
    <row r="141">
      <c r="A141" s="152"/>
      <c r="B141" s="152"/>
      <c r="C141" s="152"/>
      <c r="D141" s="152"/>
      <c r="E141" s="152"/>
      <c r="F141" s="143"/>
      <c r="G141" s="152"/>
      <c r="H141" s="152"/>
      <c r="I141" s="152"/>
      <c r="J141" s="152"/>
      <c r="K141" s="152"/>
      <c r="L141" s="152"/>
      <c r="M141" s="152"/>
      <c r="N141" s="152"/>
      <c r="O141" s="152"/>
      <c r="P141" s="152"/>
      <c r="Q141" s="152"/>
      <c r="R141" s="152"/>
    </row>
    <row r="142">
      <c r="A142" s="152"/>
      <c r="B142" s="152"/>
      <c r="C142" s="152"/>
      <c r="D142" s="152"/>
      <c r="E142" s="152"/>
      <c r="F142" s="143"/>
      <c r="G142" s="152"/>
      <c r="H142" s="152"/>
      <c r="I142" s="152"/>
      <c r="J142" s="152"/>
      <c r="K142" s="152"/>
      <c r="L142" s="152"/>
      <c r="M142" s="152"/>
      <c r="N142" s="152"/>
      <c r="O142" s="152"/>
      <c r="P142" s="152"/>
      <c r="Q142" s="152"/>
      <c r="R142" s="152"/>
    </row>
    <row r="143">
      <c r="A143" s="152"/>
      <c r="B143" s="152"/>
      <c r="C143" s="152"/>
      <c r="D143" s="152"/>
      <c r="E143" s="152"/>
      <c r="F143" s="143"/>
      <c r="G143" s="152"/>
      <c r="H143" s="152"/>
      <c r="I143" s="152"/>
      <c r="J143" s="152"/>
      <c r="K143" s="152"/>
      <c r="L143" s="152"/>
      <c r="M143" s="152"/>
      <c r="N143" s="152"/>
      <c r="O143" s="152"/>
      <c r="P143" s="152"/>
      <c r="Q143" s="152"/>
      <c r="R143" s="152"/>
    </row>
    <row r="144">
      <c r="A144" s="152"/>
      <c r="B144" s="152"/>
      <c r="C144" s="152"/>
      <c r="D144" s="152"/>
      <c r="E144" s="152"/>
      <c r="F144" s="143"/>
      <c r="G144" s="152"/>
      <c r="H144" s="152"/>
      <c r="I144" s="152"/>
      <c r="J144" s="152"/>
      <c r="K144" s="152"/>
      <c r="L144" s="152"/>
      <c r="M144" s="152"/>
      <c r="N144" s="152"/>
      <c r="O144" s="152"/>
      <c r="P144" s="152"/>
      <c r="Q144" s="152"/>
      <c r="R144" s="152"/>
    </row>
    <row r="145">
      <c r="A145" s="152"/>
      <c r="B145" s="152"/>
      <c r="C145" s="152"/>
      <c r="D145" s="152"/>
      <c r="E145" s="152"/>
      <c r="F145" s="143"/>
      <c r="G145" s="152"/>
      <c r="H145" s="152"/>
      <c r="I145" s="152"/>
      <c r="J145" s="152"/>
      <c r="K145" s="152"/>
      <c r="L145" s="152"/>
      <c r="M145" s="152"/>
      <c r="N145" s="152"/>
      <c r="O145" s="152"/>
      <c r="P145" s="152"/>
      <c r="Q145" s="152"/>
      <c r="R145" s="152"/>
    </row>
    <row r="146">
      <c r="A146" s="152"/>
      <c r="B146" s="152"/>
      <c r="C146" s="152"/>
      <c r="D146" s="152"/>
      <c r="E146" s="152"/>
      <c r="F146" s="143"/>
      <c r="G146" s="152"/>
      <c r="H146" s="152"/>
      <c r="I146" s="152"/>
      <c r="J146" s="152"/>
      <c r="K146" s="152"/>
      <c r="L146" s="152"/>
      <c r="M146" s="152"/>
      <c r="N146" s="152"/>
      <c r="O146" s="152"/>
      <c r="P146" s="152"/>
      <c r="Q146" s="152"/>
      <c r="R146" s="152"/>
    </row>
    <row r="147">
      <c r="A147" s="152"/>
      <c r="B147" s="152"/>
      <c r="C147" s="152"/>
      <c r="D147" s="152"/>
      <c r="E147" s="152"/>
      <c r="F147" s="143"/>
      <c r="G147" s="152"/>
      <c r="H147" s="152"/>
      <c r="I147" s="152"/>
      <c r="J147" s="152"/>
      <c r="K147" s="152"/>
      <c r="L147" s="152"/>
      <c r="M147" s="152"/>
      <c r="N147" s="152"/>
      <c r="O147" s="152"/>
      <c r="P147" s="152"/>
      <c r="Q147" s="152"/>
      <c r="R147" s="152"/>
    </row>
    <row r="148">
      <c r="A148" s="152"/>
      <c r="B148" s="152"/>
      <c r="C148" s="152"/>
      <c r="D148" s="152"/>
      <c r="E148" s="152"/>
      <c r="F148" s="143"/>
      <c r="G148" s="152"/>
      <c r="H148" s="152"/>
      <c r="I148" s="152"/>
      <c r="J148" s="152"/>
      <c r="K148" s="152"/>
      <c r="L148" s="152"/>
      <c r="M148" s="152"/>
      <c r="N148" s="152"/>
      <c r="O148" s="152"/>
      <c r="P148" s="152"/>
      <c r="Q148" s="152"/>
      <c r="R148" s="152"/>
    </row>
    <row r="149">
      <c r="A149" s="152"/>
      <c r="B149" s="152"/>
      <c r="C149" s="152"/>
      <c r="D149" s="152"/>
      <c r="E149" s="152"/>
      <c r="F149" s="143"/>
      <c r="G149" s="152"/>
      <c r="H149" s="152"/>
      <c r="I149" s="152"/>
      <c r="J149" s="152"/>
      <c r="K149" s="152"/>
      <c r="L149" s="152"/>
      <c r="M149" s="152"/>
      <c r="N149" s="152"/>
      <c r="O149" s="152"/>
      <c r="P149" s="152"/>
      <c r="Q149" s="152"/>
      <c r="R149" s="152"/>
    </row>
    <row r="150">
      <c r="A150" s="152"/>
      <c r="B150" s="152"/>
      <c r="C150" s="152"/>
      <c r="D150" s="152"/>
      <c r="E150" s="152"/>
      <c r="F150" s="143"/>
      <c r="G150" s="152"/>
      <c r="H150" s="152"/>
      <c r="I150" s="152"/>
      <c r="J150" s="152"/>
      <c r="K150" s="152"/>
      <c r="L150" s="152"/>
      <c r="M150" s="152"/>
      <c r="N150" s="152"/>
      <c r="O150" s="152"/>
      <c r="P150" s="152"/>
      <c r="Q150" s="152"/>
      <c r="R150" s="152"/>
    </row>
    <row r="151">
      <c r="A151" s="152"/>
      <c r="B151" s="152"/>
      <c r="C151" s="152"/>
      <c r="D151" s="152"/>
      <c r="E151" s="152"/>
      <c r="F151" s="143"/>
      <c r="G151" s="152"/>
      <c r="H151" s="152"/>
      <c r="I151" s="152"/>
      <c r="J151" s="152"/>
      <c r="K151" s="152"/>
      <c r="L151" s="152"/>
      <c r="M151" s="152"/>
      <c r="N151" s="152"/>
      <c r="O151" s="152"/>
      <c r="P151" s="152"/>
      <c r="Q151" s="152"/>
      <c r="R151" s="152"/>
    </row>
    <row r="152">
      <c r="A152" s="152"/>
      <c r="B152" s="152"/>
      <c r="C152" s="152"/>
      <c r="D152" s="152"/>
      <c r="E152" s="152"/>
      <c r="F152" s="143"/>
      <c r="G152" s="152"/>
      <c r="H152" s="152"/>
      <c r="I152" s="152"/>
      <c r="J152" s="152"/>
      <c r="K152" s="152"/>
      <c r="L152" s="152"/>
      <c r="M152" s="152"/>
      <c r="N152" s="152"/>
      <c r="O152" s="152"/>
      <c r="P152" s="152"/>
      <c r="Q152" s="152"/>
      <c r="R152" s="152"/>
    </row>
    <row r="153">
      <c r="A153" s="152"/>
      <c r="B153" s="152"/>
      <c r="C153" s="152"/>
      <c r="D153" s="152"/>
      <c r="E153" s="152"/>
      <c r="F153" s="143"/>
      <c r="G153" s="152"/>
      <c r="H153" s="152"/>
      <c r="I153" s="152"/>
      <c r="J153" s="152"/>
      <c r="K153" s="152"/>
      <c r="L153" s="152"/>
      <c r="M153" s="152"/>
      <c r="N153" s="152"/>
      <c r="O153" s="152"/>
      <c r="P153" s="152"/>
      <c r="Q153" s="152"/>
      <c r="R153" s="152"/>
    </row>
    <row r="154">
      <c r="A154" s="152"/>
      <c r="B154" s="152"/>
      <c r="C154" s="152"/>
      <c r="D154" s="152"/>
      <c r="E154" s="152"/>
      <c r="F154" s="143"/>
      <c r="G154" s="152"/>
      <c r="H154" s="152"/>
      <c r="I154" s="152"/>
      <c r="J154" s="152"/>
      <c r="K154" s="152"/>
      <c r="L154" s="152"/>
      <c r="M154" s="152"/>
      <c r="N154" s="152"/>
      <c r="O154" s="152"/>
      <c r="P154" s="152"/>
      <c r="Q154" s="152"/>
      <c r="R154" s="152"/>
    </row>
    <row r="155">
      <c r="A155" s="152"/>
      <c r="B155" s="152"/>
      <c r="C155" s="152"/>
      <c r="D155" s="152"/>
      <c r="E155" s="152"/>
      <c r="F155" s="143"/>
      <c r="G155" s="152"/>
      <c r="H155" s="152"/>
      <c r="I155" s="152"/>
      <c r="J155" s="152"/>
      <c r="K155" s="152"/>
      <c r="L155" s="152"/>
      <c r="M155" s="152"/>
      <c r="N155" s="152"/>
      <c r="O155" s="152"/>
      <c r="P155" s="152"/>
      <c r="Q155" s="152"/>
      <c r="R155" s="152"/>
    </row>
    <row r="156">
      <c r="A156" s="152"/>
      <c r="B156" s="152"/>
      <c r="C156" s="152"/>
      <c r="D156" s="152"/>
      <c r="E156" s="152"/>
      <c r="F156" s="143"/>
      <c r="G156" s="152"/>
      <c r="H156" s="152"/>
      <c r="I156" s="152"/>
      <c r="J156" s="152"/>
      <c r="K156" s="152"/>
      <c r="L156" s="152"/>
      <c r="M156" s="152"/>
      <c r="N156" s="152"/>
      <c r="O156" s="152"/>
      <c r="P156" s="152"/>
      <c r="Q156" s="152"/>
      <c r="R156" s="152"/>
    </row>
    <row r="157">
      <c r="A157" s="152"/>
      <c r="B157" s="152"/>
      <c r="C157" s="152"/>
      <c r="D157" s="152"/>
      <c r="E157" s="152"/>
      <c r="F157" s="143"/>
      <c r="G157" s="152"/>
      <c r="H157" s="152"/>
      <c r="I157" s="152"/>
      <c r="J157" s="152"/>
      <c r="K157" s="152"/>
      <c r="L157" s="152"/>
      <c r="M157" s="152"/>
      <c r="N157" s="152"/>
      <c r="O157" s="152"/>
      <c r="P157" s="152"/>
      <c r="Q157" s="152"/>
      <c r="R157" s="152"/>
    </row>
    <row r="158">
      <c r="A158" s="152"/>
      <c r="B158" s="152"/>
      <c r="C158" s="152"/>
      <c r="D158" s="152"/>
      <c r="E158" s="152"/>
      <c r="F158" s="143"/>
      <c r="G158" s="152"/>
      <c r="H158" s="152"/>
      <c r="I158" s="152"/>
      <c r="J158" s="152"/>
      <c r="K158" s="152"/>
      <c r="L158" s="152"/>
      <c r="M158" s="152"/>
      <c r="N158" s="152"/>
      <c r="O158" s="152"/>
      <c r="P158" s="152"/>
      <c r="Q158" s="152"/>
      <c r="R158" s="152"/>
    </row>
    <row r="159">
      <c r="A159" s="152"/>
      <c r="B159" s="152"/>
      <c r="C159" s="152"/>
      <c r="D159" s="152"/>
      <c r="E159" s="152"/>
      <c r="F159" s="143"/>
      <c r="G159" s="152"/>
      <c r="H159" s="152"/>
      <c r="I159" s="152"/>
      <c r="J159" s="152"/>
      <c r="K159" s="152"/>
      <c r="L159" s="152"/>
      <c r="M159" s="152"/>
      <c r="N159" s="152"/>
      <c r="O159" s="152"/>
      <c r="P159" s="152"/>
      <c r="Q159" s="152"/>
      <c r="R159" s="152"/>
    </row>
    <row r="160">
      <c r="A160" s="152"/>
      <c r="B160" s="152"/>
      <c r="C160" s="152"/>
      <c r="D160" s="152"/>
      <c r="E160" s="152"/>
      <c r="F160" s="143"/>
      <c r="G160" s="152"/>
      <c r="H160" s="152"/>
      <c r="I160" s="152"/>
      <c r="J160" s="152"/>
      <c r="K160" s="152"/>
      <c r="L160" s="152"/>
      <c r="M160" s="152"/>
      <c r="N160" s="152"/>
      <c r="O160" s="152"/>
      <c r="P160" s="152"/>
      <c r="Q160" s="152"/>
      <c r="R160" s="152"/>
    </row>
    <row r="161">
      <c r="A161" s="152"/>
      <c r="B161" s="152"/>
      <c r="C161" s="152"/>
      <c r="D161" s="152"/>
      <c r="E161" s="152"/>
      <c r="F161" s="143"/>
      <c r="G161" s="152"/>
      <c r="H161" s="152"/>
      <c r="I161" s="152"/>
      <c r="J161" s="152"/>
      <c r="K161" s="152"/>
      <c r="L161" s="152"/>
      <c r="M161" s="152"/>
      <c r="N161" s="152"/>
      <c r="O161" s="152"/>
      <c r="P161" s="152"/>
      <c r="Q161" s="152"/>
      <c r="R161" s="152"/>
    </row>
    <row r="162">
      <c r="A162" s="152"/>
      <c r="B162" s="152"/>
      <c r="C162" s="152"/>
      <c r="D162" s="152"/>
      <c r="E162" s="152"/>
      <c r="F162" s="143"/>
      <c r="G162" s="152"/>
      <c r="H162" s="152"/>
      <c r="I162" s="152"/>
      <c r="J162" s="152"/>
      <c r="K162" s="152"/>
      <c r="L162" s="152"/>
      <c r="M162" s="152"/>
      <c r="N162" s="152"/>
      <c r="O162" s="152"/>
      <c r="P162" s="152"/>
      <c r="Q162" s="152"/>
      <c r="R162" s="152"/>
    </row>
    <row r="163">
      <c r="A163" s="152"/>
      <c r="B163" s="152"/>
      <c r="C163" s="152"/>
      <c r="D163" s="152"/>
      <c r="E163" s="152"/>
      <c r="F163" s="143"/>
      <c r="G163" s="152"/>
      <c r="H163" s="152"/>
      <c r="I163" s="152"/>
      <c r="J163" s="152"/>
      <c r="K163" s="152"/>
      <c r="L163" s="152"/>
      <c r="M163" s="152"/>
      <c r="N163" s="152"/>
      <c r="O163" s="152"/>
      <c r="P163" s="152"/>
      <c r="Q163" s="152"/>
      <c r="R163" s="152"/>
    </row>
    <row r="164">
      <c r="A164" s="152"/>
      <c r="B164" s="152"/>
      <c r="C164" s="152"/>
      <c r="D164" s="152"/>
      <c r="E164" s="152"/>
      <c r="F164" s="143"/>
      <c r="G164" s="152"/>
      <c r="H164" s="152"/>
      <c r="I164" s="152"/>
      <c r="J164" s="152"/>
      <c r="K164" s="152"/>
      <c r="L164" s="152"/>
      <c r="M164" s="152"/>
      <c r="N164" s="152"/>
      <c r="O164" s="152"/>
      <c r="P164" s="152"/>
      <c r="Q164" s="152"/>
      <c r="R164" s="152"/>
    </row>
    <row r="165">
      <c r="A165" s="152"/>
      <c r="B165" s="152"/>
      <c r="C165" s="152"/>
      <c r="D165" s="152"/>
      <c r="E165" s="152"/>
      <c r="F165" s="143"/>
      <c r="G165" s="152"/>
      <c r="H165" s="152"/>
      <c r="I165" s="152"/>
      <c r="J165" s="152"/>
      <c r="K165" s="152"/>
      <c r="L165" s="152"/>
      <c r="M165" s="152"/>
      <c r="N165" s="152"/>
      <c r="O165" s="152"/>
      <c r="P165" s="152"/>
      <c r="Q165" s="152"/>
      <c r="R165" s="152"/>
    </row>
    <row r="166">
      <c r="A166" s="152"/>
      <c r="B166" s="152"/>
      <c r="C166" s="152"/>
      <c r="D166" s="152"/>
      <c r="E166" s="152"/>
      <c r="F166" s="143"/>
      <c r="G166" s="152"/>
      <c r="H166" s="152"/>
      <c r="I166" s="152"/>
      <c r="J166" s="152"/>
      <c r="K166" s="152"/>
      <c r="L166" s="152"/>
      <c r="M166" s="152"/>
      <c r="N166" s="152"/>
      <c r="O166" s="152"/>
      <c r="P166" s="152"/>
      <c r="Q166" s="152"/>
      <c r="R166" s="152"/>
    </row>
    <row r="167">
      <c r="A167" s="152"/>
      <c r="B167" s="152"/>
      <c r="C167" s="152"/>
      <c r="D167" s="152"/>
      <c r="E167" s="152"/>
      <c r="F167" s="143"/>
      <c r="G167" s="152"/>
      <c r="H167" s="152"/>
      <c r="I167" s="152"/>
      <c r="J167" s="152"/>
      <c r="K167" s="152"/>
      <c r="L167" s="152"/>
      <c r="M167" s="152"/>
      <c r="N167" s="152"/>
      <c r="O167" s="152"/>
      <c r="P167" s="152"/>
      <c r="Q167" s="152"/>
      <c r="R167" s="152"/>
    </row>
    <row r="168">
      <c r="A168" s="152"/>
      <c r="B168" s="152"/>
      <c r="C168" s="152"/>
      <c r="D168" s="152"/>
      <c r="E168" s="152"/>
      <c r="F168" s="143"/>
      <c r="G168" s="152"/>
      <c r="H168" s="152"/>
      <c r="I168" s="152"/>
      <c r="J168" s="152"/>
      <c r="K168" s="152"/>
      <c r="L168" s="152"/>
      <c r="M168" s="152"/>
      <c r="N168" s="152"/>
      <c r="O168" s="152"/>
      <c r="P168" s="152"/>
      <c r="Q168" s="152"/>
      <c r="R168" s="152"/>
    </row>
    <row r="169">
      <c r="A169" s="152"/>
      <c r="B169" s="152"/>
      <c r="C169" s="152"/>
      <c r="D169" s="152"/>
      <c r="E169" s="152"/>
      <c r="F169" s="143"/>
      <c r="G169" s="152"/>
      <c r="H169" s="152"/>
      <c r="I169" s="152"/>
      <c r="J169" s="152"/>
      <c r="K169" s="152"/>
      <c r="L169" s="152"/>
      <c r="M169" s="152"/>
      <c r="N169" s="152"/>
      <c r="O169" s="152"/>
      <c r="P169" s="152"/>
      <c r="Q169" s="152"/>
      <c r="R169" s="152"/>
    </row>
    <row r="170">
      <c r="A170" s="152"/>
      <c r="B170" s="152"/>
      <c r="C170" s="152"/>
      <c r="D170" s="152"/>
      <c r="E170" s="152"/>
      <c r="F170" s="143"/>
      <c r="G170" s="152"/>
      <c r="H170" s="152"/>
      <c r="I170" s="152"/>
      <c r="J170" s="152"/>
      <c r="K170" s="152"/>
      <c r="L170" s="152"/>
      <c r="M170" s="152"/>
      <c r="N170" s="152"/>
      <c r="O170" s="152"/>
      <c r="P170" s="152"/>
      <c r="Q170" s="152"/>
      <c r="R170" s="152"/>
    </row>
    <row r="171">
      <c r="A171" s="152"/>
      <c r="B171" s="152"/>
      <c r="C171" s="152"/>
      <c r="D171" s="152"/>
      <c r="E171" s="152"/>
      <c r="F171" s="143"/>
      <c r="G171" s="152"/>
      <c r="H171" s="152"/>
      <c r="I171" s="152"/>
      <c r="J171" s="152"/>
      <c r="K171" s="152"/>
      <c r="L171" s="152"/>
      <c r="M171" s="152"/>
      <c r="N171" s="152"/>
      <c r="O171" s="152"/>
      <c r="P171" s="152"/>
      <c r="Q171" s="152"/>
      <c r="R171" s="152"/>
    </row>
    <row r="172">
      <c r="A172" s="152"/>
      <c r="B172" s="152"/>
      <c r="C172" s="152"/>
      <c r="D172" s="152"/>
      <c r="E172" s="152"/>
      <c r="F172" s="143"/>
      <c r="G172" s="152"/>
      <c r="H172" s="152"/>
      <c r="I172" s="152"/>
      <c r="J172" s="152"/>
      <c r="K172" s="152"/>
      <c r="L172" s="152"/>
      <c r="M172" s="152"/>
      <c r="N172" s="152"/>
      <c r="O172" s="152"/>
      <c r="P172" s="152"/>
      <c r="Q172" s="152"/>
      <c r="R172" s="152"/>
    </row>
    <row r="173">
      <c r="A173" s="152"/>
      <c r="B173" s="152"/>
      <c r="C173" s="152"/>
      <c r="D173" s="152"/>
      <c r="E173" s="152"/>
      <c r="F173" s="143"/>
      <c r="G173" s="152"/>
      <c r="H173" s="152"/>
      <c r="I173" s="152"/>
      <c r="J173" s="152"/>
      <c r="K173" s="152"/>
      <c r="L173" s="152"/>
      <c r="M173" s="152"/>
      <c r="N173" s="152"/>
      <c r="O173" s="152"/>
      <c r="P173" s="152"/>
      <c r="Q173" s="152"/>
      <c r="R173" s="152"/>
    </row>
    <row r="174">
      <c r="A174" s="152"/>
      <c r="B174" s="152"/>
      <c r="C174" s="152"/>
      <c r="D174" s="152"/>
      <c r="E174" s="152"/>
      <c r="F174" s="143"/>
      <c r="G174" s="152"/>
      <c r="H174" s="152"/>
      <c r="I174" s="152"/>
      <c r="J174" s="152"/>
      <c r="K174" s="152"/>
      <c r="L174" s="152"/>
      <c r="M174" s="152"/>
      <c r="N174" s="152"/>
      <c r="O174" s="152"/>
      <c r="P174" s="152"/>
      <c r="Q174" s="152"/>
      <c r="R174" s="152"/>
    </row>
    <row r="175">
      <c r="A175" s="152"/>
      <c r="B175" s="152"/>
      <c r="C175" s="152"/>
      <c r="D175" s="152"/>
      <c r="E175" s="152"/>
      <c r="F175" s="143"/>
      <c r="G175" s="152"/>
      <c r="H175" s="152"/>
      <c r="I175" s="152"/>
      <c r="J175" s="152"/>
      <c r="K175" s="152"/>
      <c r="L175" s="152"/>
      <c r="M175" s="152"/>
      <c r="N175" s="152"/>
      <c r="O175" s="152"/>
      <c r="P175" s="152"/>
      <c r="Q175" s="152"/>
      <c r="R175" s="152"/>
    </row>
    <row r="176">
      <c r="A176" s="152"/>
      <c r="B176" s="152"/>
      <c r="C176" s="152"/>
      <c r="D176" s="152"/>
      <c r="E176" s="152"/>
      <c r="F176" s="143"/>
      <c r="G176" s="152"/>
      <c r="H176" s="152"/>
      <c r="I176" s="152"/>
      <c r="J176" s="152"/>
      <c r="K176" s="152"/>
      <c r="L176" s="152"/>
      <c r="M176" s="152"/>
      <c r="N176" s="152"/>
      <c r="O176" s="152"/>
      <c r="P176" s="152"/>
      <c r="Q176" s="152"/>
      <c r="R176" s="152"/>
    </row>
    <row r="177">
      <c r="A177" s="152"/>
      <c r="B177" s="152"/>
      <c r="C177" s="152"/>
      <c r="D177" s="152"/>
      <c r="E177" s="152"/>
      <c r="F177" s="143"/>
      <c r="G177" s="152"/>
      <c r="H177" s="152"/>
      <c r="I177" s="152"/>
      <c r="J177" s="152"/>
      <c r="K177" s="152"/>
      <c r="L177" s="152"/>
      <c r="M177" s="152"/>
      <c r="N177" s="152"/>
      <c r="O177" s="152"/>
      <c r="P177" s="152"/>
      <c r="Q177" s="152"/>
      <c r="R177" s="152"/>
    </row>
    <row r="178">
      <c r="A178" s="152"/>
      <c r="B178" s="152"/>
      <c r="C178" s="152"/>
      <c r="D178" s="152"/>
      <c r="E178" s="152"/>
      <c r="F178" s="143"/>
      <c r="G178" s="152"/>
      <c r="H178" s="152"/>
      <c r="I178" s="152"/>
      <c r="J178" s="152"/>
      <c r="K178" s="152"/>
      <c r="L178" s="152"/>
      <c r="M178" s="152"/>
      <c r="N178" s="152"/>
      <c r="O178" s="152"/>
      <c r="P178" s="152"/>
      <c r="Q178" s="152"/>
      <c r="R178" s="152"/>
    </row>
    <row r="179">
      <c r="A179" s="152"/>
      <c r="B179" s="152"/>
      <c r="C179" s="152"/>
      <c r="D179" s="152"/>
      <c r="E179" s="152"/>
      <c r="F179" s="143"/>
      <c r="G179" s="152"/>
      <c r="H179" s="152"/>
      <c r="I179" s="152"/>
      <c r="J179" s="152"/>
      <c r="K179" s="152"/>
      <c r="L179" s="152"/>
      <c r="M179" s="152"/>
      <c r="N179" s="152"/>
      <c r="O179" s="152"/>
      <c r="P179" s="152"/>
      <c r="Q179" s="152"/>
      <c r="R179" s="152"/>
    </row>
    <row r="180">
      <c r="A180" s="152"/>
      <c r="B180" s="152"/>
      <c r="C180" s="152"/>
      <c r="D180" s="152"/>
      <c r="E180" s="152"/>
      <c r="F180" s="143"/>
      <c r="G180" s="152"/>
      <c r="H180" s="152"/>
      <c r="I180" s="152"/>
      <c r="J180" s="152"/>
      <c r="K180" s="152"/>
      <c r="L180" s="152"/>
      <c r="M180" s="152"/>
      <c r="N180" s="152"/>
      <c r="O180" s="152"/>
      <c r="P180" s="152"/>
      <c r="Q180" s="152"/>
      <c r="R180" s="152"/>
    </row>
    <row r="181">
      <c r="A181" s="152"/>
      <c r="B181" s="152"/>
      <c r="C181" s="152"/>
      <c r="D181" s="152"/>
      <c r="E181" s="152"/>
      <c r="F181" s="143"/>
      <c r="G181" s="152"/>
      <c r="H181" s="152"/>
      <c r="I181" s="152"/>
      <c r="J181" s="152"/>
      <c r="K181" s="152"/>
      <c r="L181" s="152"/>
      <c r="M181" s="152"/>
      <c r="N181" s="152"/>
      <c r="O181" s="152"/>
      <c r="P181" s="152"/>
      <c r="Q181" s="152"/>
      <c r="R181" s="152"/>
    </row>
    <row r="182">
      <c r="A182" s="152"/>
      <c r="B182" s="152"/>
      <c r="C182" s="152"/>
      <c r="D182" s="152"/>
      <c r="E182" s="152"/>
      <c r="F182" s="143"/>
      <c r="G182" s="152"/>
      <c r="H182" s="152"/>
      <c r="I182" s="152"/>
      <c r="J182" s="152"/>
      <c r="K182" s="152"/>
      <c r="L182" s="152"/>
      <c r="M182" s="152"/>
      <c r="N182" s="152"/>
      <c r="O182" s="152"/>
      <c r="P182" s="152"/>
      <c r="Q182" s="152"/>
      <c r="R182" s="152"/>
    </row>
    <row r="183">
      <c r="A183" s="152"/>
      <c r="B183" s="152"/>
      <c r="C183" s="152"/>
      <c r="D183" s="152"/>
      <c r="E183" s="152"/>
      <c r="F183" s="143"/>
      <c r="G183" s="152"/>
      <c r="H183" s="152"/>
      <c r="I183" s="152"/>
      <c r="J183" s="152"/>
      <c r="K183" s="152"/>
      <c r="L183" s="152"/>
      <c r="M183" s="152"/>
      <c r="N183" s="152"/>
      <c r="O183" s="152"/>
      <c r="P183" s="152"/>
      <c r="Q183" s="152"/>
      <c r="R183" s="152"/>
    </row>
    <row r="184">
      <c r="A184" s="152"/>
      <c r="B184" s="152"/>
      <c r="C184" s="152"/>
      <c r="D184" s="152"/>
      <c r="E184" s="152"/>
      <c r="F184" s="143"/>
      <c r="G184" s="152"/>
      <c r="H184" s="152"/>
      <c r="I184" s="152"/>
      <c r="J184" s="152"/>
      <c r="K184" s="152"/>
      <c r="L184" s="152"/>
      <c r="M184" s="152"/>
      <c r="N184" s="152"/>
      <c r="O184" s="152"/>
      <c r="P184" s="152"/>
      <c r="Q184" s="152"/>
      <c r="R184" s="152"/>
    </row>
    <row r="185">
      <c r="A185" s="152"/>
      <c r="B185" s="152"/>
      <c r="C185" s="152"/>
      <c r="D185" s="152"/>
      <c r="E185" s="152"/>
      <c r="F185" s="143"/>
      <c r="G185" s="152"/>
      <c r="H185" s="152"/>
      <c r="I185" s="152"/>
      <c r="J185" s="152"/>
      <c r="K185" s="152"/>
      <c r="L185" s="152"/>
      <c r="M185" s="152"/>
      <c r="N185" s="152"/>
      <c r="O185" s="152"/>
      <c r="P185" s="152"/>
      <c r="Q185" s="152"/>
      <c r="R185" s="152"/>
    </row>
    <row r="186">
      <c r="A186" s="152"/>
      <c r="B186" s="152"/>
      <c r="C186" s="152"/>
      <c r="D186" s="152"/>
      <c r="E186" s="152"/>
      <c r="F186" s="143"/>
      <c r="G186" s="152"/>
      <c r="H186" s="152"/>
      <c r="I186" s="152"/>
      <c r="J186" s="152"/>
      <c r="K186" s="152"/>
      <c r="L186" s="152"/>
      <c r="M186" s="152"/>
      <c r="N186" s="152"/>
      <c r="O186" s="152"/>
      <c r="P186" s="152"/>
      <c r="Q186" s="152"/>
      <c r="R186" s="152"/>
    </row>
    <row r="187">
      <c r="A187" s="152"/>
      <c r="B187" s="152"/>
      <c r="C187" s="152"/>
      <c r="D187" s="152"/>
      <c r="E187" s="152"/>
      <c r="F187" s="143"/>
      <c r="G187" s="152"/>
      <c r="H187" s="152"/>
      <c r="I187" s="152"/>
      <c r="J187" s="152"/>
      <c r="K187" s="152"/>
      <c r="L187" s="152"/>
      <c r="M187" s="152"/>
      <c r="N187" s="152"/>
      <c r="O187" s="152"/>
      <c r="P187" s="152"/>
      <c r="Q187" s="152"/>
      <c r="R187" s="152"/>
    </row>
    <row r="188">
      <c r="A188" s="152"/>
      <c r="B188" s="152"/>
      <c r="C188" s="152"/>
      <c r="D188" s="152"/>
      <c r="E188" s="152"/>
      <c r="F188" s="143"/>
      <c r="G188" s="152"/>
      <c r="H188" s="152"/>
      <c r="I188" s="152"/>
      <c r="J188" s="152"/>
      <c r="K188" s="152"/>
      <c r="L188" s="152"/>
      <c r="M188" s="152"/>
      <c r="N188" s="152"/>
      <c r="O188" s="152"/>
      <c r="P188" s="152"/>
      <c r="Q188" s="152"/>
      <c r="R188" s="152"/>
    </row>
    <row r="189">
      <c r="A189" s="152"/>
      <c r="B189" s="152"/>
      <c r="C189" s="152"/>
      <c r="D189" s="152"/>
      <c r="E189" s="152"/>
      <c r="F189" s="143"/>
      <c r="G189" s="152"/>
      <c r="H189" s="152"/>
      <c r="I189" s="152"/>
      <c r="J189" s="152"/>
      <c r="K189" s="152"/>
      <c r="L189" s="152"/>
      <c r="M189" s="152"/>
      <c r="N189" s="152"/>
      <c r="O189" s="152"/>
      <c r="P189" s="152"/>
      <c r="Q189" s="152"/>
      <c r="R189" s="152"/>
    </row>
    <row r="190">
      <c r="A190" s="152"/>
      <c r="B190" s="152"/>
      <c r="C190" s="152"/>
      <c r="D190" s="152"/>
      <c r="E190" s="152"/>
      <c r="F190" s="143"/>
      <c r="G190" s="152"/>
      <c r="H190" s="152"/>
      <c r="I190" s="152"/>
      <c r="J190" s="152"/>
      <c r="K190" s="152"/>
      <c r="L190" s="152"/>
      <c r="M190" s="152"/>
      <c r="N190" s="152"/>
      <c r="O190" s="152"/>
      <c r="P190" s="152"/>
      <c r="Q190" s="152"/>
      <c r="R190" s="152"/>
    </row>
    <row r="191">
      <c r="A191" s="152"/>
      <c r="B191" s="152"/>
      <c r="C191" s="152"/>
      <c r="D191" s="152"/>
      <c r="E191" s="152"/>
      <c r="F191" s="143"/>
      <c r="G191" s="152"/>
      <c r="H191" s="152"/>
      <c r="I191" s="152"/>
      <c r="J191" s="152"/>
      <c r="K191" s="152"/>
      <c r="L191" s="152"/>
      <c r="M191" s="152"/>
      <c r="N191" s="152"/>
      <c r="O191" s="152"/>
      <c r="P191" s="152"/>
      <c r="Q191" s="152"/>
      <c r="R191" s="152"/>
    </row>
    <row r="192">
      <c r="A192" s="152"/>
      <c r="B192" s="152"/>
      <c r="C192" s="152"/>
      <c r="D192" s="152"/>
      <c r="E192" s="152"/>
      <c r="F192" s="143"/>
      <c r="G192" s="152"/>
      <c r="H192" s="152"/>
      <c r="I192" s="152"/>
      <c r="J192" s="152"/>
      <c r="K192" s="152"/>
      <c r="L192" s="152"/>
      <c r="M192" s="152"/>
      <c r="N192" s="152"/>
      <c r="O192" s="152"/>
      <c r="P192" s="152"/>
      <c r="Q192" s="152"/>
      <c r="R192" s="152"/>
    </row>
    <row r="193">
      <c r="A193" s="152"/>
      <c r="B193" s="152"/>
      <c r="C193" s="152"/>
      <c r="D193" s="152"/>
      <c r="E193" s="152"/>
      <c r="F193" s="143"/>
      <c r="G193" s="152"/>
      <c r="H193" s="152"/>
      <c r="I193" s="152"/>
      <c r="J193" s="152"/>
      <c r="K193" s="152"/>
      <c r="L193" s="152"/>
      <c r="M193" s="152"/>
      <c r="N193" s="152"/>
      <c r="O193" s="152"/>
      <c r="P193" s="152"/>
      <c r="Q193" s="152"/>
      <c r="R193" s="152"/>
    </row>
    <row r="194">
      <c r="A194" s="152"/>
      <c r="B194" s="152"/>
      <c r="C194" s="152"/>
      <c r="D194" s="152"/>
      <c r="E194" s="152"/>
      <c r="F194" s="143"/>
      <c r="G194" s="152"/>
      <c r="H194" s="152"/>
      <c r="I194" s="152"/>
      <c r="J194" s="152"/>
      <c r="K194" s="152"/>
      <c r="L194" s="152"/>
      <c r="M194" s="152"/>
      <c r="N194" s="152"/>
      <c r="O194" s="152"/>
      <c r="P194" s="152"/>
      <c r="Q194" s="152"/>
      <c r="R194" s="152"/>
    </row>
    <row r="195">
      <c r="A195" s="152"/>
      <c r="B195" s="152"/>
      <c r="C195" s="152"/>
      <c r="D195" s="152"/>
      <c r="E195" s="152"/>
      <c r="F195" s="143"/>
      <c r="G195" s="152"/>
      <c r="H195" s="152"/>
      <c r="I195" s="152"/>
      <c r="J195" s="152"/>
      <c r="K195" s="152"/>
      <c r="L195" s="152"/>
      <c r="M195" s="152"/>
      <c r="N195" s="152"/>
      <c r="O195" s="152"/>
      <c r="P195" s="152"/>
      <c r="Q195" s="152"/>
      <c r="R195" s="152"/>
    </row>
    <row r="196">
      <c r="A196" s="152"/>
      <c r="B196" s="152"/>
      <c r="C196" s="152"/>
      <c r="D196" s="152"/>
      <c r="E196" s="152"/>
      <c r="F196" s="143"/>
      <c r="G196" s="152"/>
      <c r="H196" s="152"/>
      <c r="I196" s="152"/>
      <c r="J196" s="152"/>
      <c r="K196" s="152"/>
      <c r="L196" s="152"/>
      <c r="M196" s="152"/>
      <c r="N196" s="152"/>
      <c r="O196" s="152"/>
      <c r="P196" s="152"/>
      <c r="Q196" s="152"/>
      <c r="R196" s="152"/>
    </row>
    <row r="197">
      <c r="A197" s="152"/>
      <c r="B197" s="152"/>
      <c r="C197" s="152"/>
      <c r="D197" s="152"/>
      <c r="E197" s="152"/>
      <c r="F197" s="143"/>
      <c r="G197" s="152"/>
      <c r="H197" s="152"/>
      <c r="I197" s="152"/>
      <c r="J197" s="152"/>
      <c r="K197" s="152"/>
      <c r="L197" s="152"/>
      <c r="M197" s="152"/>
      <c r="N197" s="152"/>
      <c r="O197" s="152"/>
      <c r="P197" s="152"/>
      <c r="Q197" s="152"/>
      <c r="R197" s="152"/>
    </row>
    <row r="198">
      <c r="A198" s="152"/>
      <c r="B198" s="152"/>
      <c r="C198" s="152"/>
      <c r="D198" s="152"/>
      <c r="E198" s="152"/>
      <c r="F198" s="143"/>
      <c r="G198" s="152"/>
      <c r="H198" s="152"/>
      <c r="I198" s="152"/>
      <c r="J198" s="152"/>
      <c r="K198" s="152"/>
      <c r="L198" s="152"/>
      <c r="M198" s="152"/>
      <c r="N198" s="152"/>
      <c r="O198" s="152"/>
      <c r="P198" s="152"/>
      <c r="Q198" s="152"/>
      <c r="R198" s="152"/>
    </row>
    <row r="199">
      <c r="A199" s="152"/>
      <c r="B199" s="152"/>
      <c r="C199" s="152"/>
      <c r="D199" s="152"/>
      <c r="E199" s="152"/>
      <c r="F199" s="143"/>
      <c r="G199" s="152"/>
      <c r="H199" s="152"/>
      <c r="I199" s="152"/>
      <c r="J199" s="152"/>
      <c r="K199" s="152"/>
      <c r="L199" s="152"/>
      <c r="M199" s="152"/>
      <c r="N199" s="152"/>
      <c r="O199" s="152"/>
      <c r="P199" s="152"/>
      <c r="Q199" s="152"/>
      <c r="R199" s="152"/>
    </row>
    <row r="200">
      <c r="A200" s="152"/>
      <c r="B200" s="152"/>
      <c r="C200" s="152"/>
      <c r="D200" s="152"/>
      <c r="E200" s="152"/>
      <c r="F200" s="143"/>
      <c r="G200" s="152"/>
      <c r="H200" s="152"/>
      <c r="I200" s="152"/>
      <c r="J200" s="152"/>
      <c r="K200" s="152"/>
      <c r="L200" s="152"/>
      <c r="M200" s="152"/>
      <c r="N200" s="152"/>
      <c r="O200" s="152"/>
      <c r="P200" s="152"/>
      <c r="Q200" s="152"/>
      <c r="R200" s="152"/>
    </row>
    <row r="201">
      <c r="A201" s="152"/>
      <c r="B201" s="152"/>
      <c r="C201" s="152"/>
      <c r="D201" s="152"/>
      <c r="E201" s="152"/>
      <c r="F201" s="143"/>
      <c r="G201" s="152"/>
      <c r="H201" s="152"/>
      <c r="I201" s="152"/>
      <c r="J201" s="152"/>
      <c r="K201" s="152"/>
      <c r="L201" s="152"/>
      <c r="M201" s="152"/>
      <c r="N201" s="152"/>
      <c r="O201" s="152"/>
      <c r="P201" s="152"/>
      <c r="Q201" s="152"/>
      <c r="R201" s="152"/>
    </row>
    <row r="202">
      <c r="A202" s="152"/>
      <c r="B202" s="152"/>
      <c r="C202" s="152"/>
      <c r="D202" s="152"/>
      <c r="E202" s="152"/>
      <c r="F202" s="143"/>
      <c r="G202" s="152"/>
      <c r="H202" s="152"/>
      <c r="I202" s="152"/>
      <c r="J202" s="152"/>
      <c r="K202" s="152"/>
      <c r="L202" s="152"/>
      <c r="M202" s="152"/>
      <c r="N202" s="152"/>
      <c r="O202" s="152"/>
      <c r="P202" s="152"/>
      <c r="Q202" s="152"/>
      <c r="R202" s="152"/>
    </row>
    <row r="203">
      <c r="A203" s="152"/>
      <c r="B203" s="152"/>
      <c r="C203" s="152"/>
      <c r="D203" s="152"/>
      <c r="E203" s="152"/>
      <c r="F203" s="143"/>
      <c r="G203" s="152"/>
      <c r="H203" s="152"/>
      <c r="I203" s="152"/>
      <c r="J203" s="152"/>
      <c r="K203" s="152"/>
      <c r="L203" s="152"/>
      <c r="M203" s="152"/>
      <c r="N203" s="152"/>
      <c r="O203" s="152"/>
      <c r="P203" s="152"/>
      <c r="Q203" s="152"/>
      <c r="R203" s="152"/>
    </row>
    <row r="204">
      <c r="A204" s="152"/>
      <c r="B204" s="152"/>
      <c r="C204" s="152"/>
      <c r="D204" s="152"/>
      <c r="E204" s="152"/>
      <c r="F204" s="143"/>
      <c r="G204" s="152"/>
      <c r="H204" s="152"/>
      <c r="I204" s="152"/>
      <c r="J204" s="152"/>
      <c r="K204" s="152"/>
      <c r="L204" s="152"/>
      <c r="M204" s="152"/>
      <c r="N204" s="152"/>
      <c r="O204" s="152"/>
      <c r="P204" s="152"/>
      <c r="Q204" s="152"/>
      <c r="R204" s="152"/>
    </row>
    <row r="205">
      <c r="A205" s="152"/>
      <c r="B205" s="152"/>
      <c r="C205" s="152"/>
      <c r="D205" s="152"/>
      <c r="E205" s="152"/>
      <c r="F205" s="143"/>
      <c r="G205" s="152"/>
      <c r="H205" s="152"/>
      <c r="I205" s="152"/>
      <c r="J205" s="152"/>
      <c r="K205" s="152"/>
      <c r="L205" s="152"/>
      <c r="M205" s="152"/>
      <c r="N205" s="152"/>
      <c r="O205" s="152"/>
      <c r="P205" s="152"/>
      <c r="Q205" s="152"/>
      <c r="R205" s="152"/>
    </row>
    <row r="206">
      <c r="A206" s="152"/>
      <c r="B206" s="152"/>
      <c r="C206" s="152"/>
      <c r="D206" s="152"/>
      <c r="E206" s="152"/>
      <c r="F206" s="143"/>
      <c r="G206" s="152"/>
      <c r="H206" s="152"/>
      <c r="I206" s="152"/>
      <c r="J206" s="152"/>
      <c r="K206" s="152"/>
      <c r="L206" s="152"/>
      <c r="M206" s="152"/>
      <c r="N206" s="152"/>
      <c r="O206" s="152"/>
      <c r="P206" s="152"/>
      <c r="Q206" s="152"/>
      <c r="R206" s="152"/>
    </row>
    <row r="207">
      <c r="A207" s="152"/>
      <c r="B207" s="152"/>
      <c r="C207" s="152"/>
      <c r="D207" s="152"/>
      <c r="E207" s="152"/>
      <c r="F207" s="143"/>
      <c r="G207" s="152"/>
      <c r="H207" s="152"/>
      <c r="I207" s="152"/>
      <c r="J207" s="152"/>
      <c r="K207" s="152"/>
      <c r="L207" s="152"/>
      <c r="M207" s="152"/>
      <c r="N207" s="152"/>
      <c r="O207" s="152"/>
      <c r="P207" s="152"/>
      <c r="Q207" s="152"/>
      <c r="R207" s="152"/>
    </row>
    <row r="208">
      <c r="A208" s="152"/>
      <c r="B208" s="152"/>
      <c r="C208" s="152"/>
      <c r="D208" s="152"/>
      <c r="E208" s="152"/>
      <c r="F208" s="143"/>
      <c r="G208" s="152"/>
      <c r="H208" s="152"/>
      <c r="I208" s="152"/>
      <c r="J208" s="152"/>
      <c r="K208" s="152"/>
      <c r="L208" s="152"/>
      <c r="M208" s="152"/>
      <c r="N208" s="152"/>
      <c r="O208" s="152"/>
      <c r="P208" s="152"/>
      <c r="Q208" s="152"/>
      <c r="R208" s="152"/>
    </row>
    <row r="209">
      <c r="A209" s="152"/>
      <c r="B209" s="152"/>
      <c r="C209" s="152"/>
      <c r="D209" s="152"/>
      <c r="E209" s="152"/>
      <c r="F209" s="143"/>
      <c r="G209" s="152"/>
      <c r="H209" s="152"/>
      <c r="I209" s="152"/>
      <c r="J209" s="152"/>
      <c r="K209" s="152"/>
      <c r="L209" s="152"/>
      <c r="M209" s="152"/>
      <c r="N209" s="152"/>
      <c r="O209" s="152"/>
      <c r="P209" s="152"/>
      <c r="Q209" s="152"/>
      <c r="R209" s="152"/>
    </row>
    <row r="210">
      <c r="A210" s="152"/>
      <c r="B210" s="152"/>
      <c r="C210" s="152"/>
      <c r="D210" s="152"/>
      <c r="E210" s="152"/>
      <c r="F210" s="143"/>
      <c r="G210" s="152"/>
      <c r="H210" s="152"/>
      <c r="I210" s="152"/>
      <c r="J210" s="152"/>
      <c r="K210" s="152"/>
      <c r="L210" s="152"/>
      <c r="M210" s="152"/>
      <c r="N210" s="152"/>
      <c r="O210" s="152"/>
      <c r="P210" s="152"/>
      <c r="Q210" s="152"/>
      <c r="R210" s="152"/>
    </row>
    <row r="211">
      <c r="A211" s="152"/>
      <c r="B211" s="152"/>
      <c r="C211" s="152"/>
      <c r="D211" s="152"/>
      <c r="E211" s="152"/>
      <c r="F211" s="143"/>
      <c r="G211" s="152"/>
      <c r="H211" s="152"/>
      <c r="I211" s="152"/>
      <c r="J211" s="152"/>
      <c r="K211" s="152"/>
      <c r="L211" s="152"/>
      <c r="M211" s="152"/>
      <c r="N211" s="152"/>
      <c r="O211" s="152"/>
      <c r="P211" s="152"/>
      <c r="Q211" s="152"/>
      <c r="R211" s="152"/>
    </row>
    <row r="212">
      <c r="A212" s="152"/>
      <c r="B212" s="152"/>
      <c r="C212" s="152"/>
      <c r="D212" s="152"/>
      <c r="E212" s="152"/>
      <c r="F212" s="143"/>
      <c r="G212" s="152"/>
      <c r="H212" s="152"/>
      <c r="I212" s="152"/>
      <c r="J212" s="152"/>
      <c r="K212" s="152"/>
      <c r="L212" s="152"/>
      <c r="M212" s="152"/>
      <c r="N212" s="152"/>
      <c r="O212" s="152"/>
      <c r="P212" s="152"/>
      <c r="Q212" s="152"/>
      <c r="R212" s="152"/>
    </row>
    <row r="213">
      <c r="A213" s="152"/>
      <c r="B213" s="152"/>
      <c r="C213" s="152"/>
      <c r="D213" s="152"/>
      <c r="E213" s="152"/>
      <c r="F213" s="143"/>
      <c r="G213" s="152"/>
      <c r="H213" s="152"/>
      <c r="I213" s="152"/>
      <c r="J213" s="152"/>
      <c r="K213" s="152"/>
      <c r="L213" s="152"/>
      <c r="M213" s="152"/>
      <c r="N213" s="152"/>
      <c r="O213" s="152"/>
      <c r="P213" s="152"/>
      <c r="Q213" s="152"/>
      <c r="R213" s="152"/>
    </row>
    <row r="214">
      <c r="A214" s="152"/>
      <c r="B214" s="152"/>
      <c r="C214" s="152"/>
      <c r="D214" s="152"/>
      <c r="E214" s="152"/>
      <c r="F214" s="143"/>
      <c r="G214" s="152"/>
      <c r="H214" s="152"/>
      <c r="I214" s="152"/>
      <c r="J214" s="152"/>
      <c r="K214" s="152"/>
      <c r="L214" s="152"/>
      <c r="M214" s="152"/>
      <c r="N214" s="152"/>
      <c r="O214" s="152"/>
      <c r="P214" s="152"/>
      <c r="Q214" s="152"/>
      <c r="R214" s="152"/>
    </row>
    <row r="215">
      <c r="A215" s="152"/>
      <c r="B215" s="152"/>
      <c r="C215" s="152"/>
      <c r="D215" s="152"/>
      <c r="E215" s="152"/>
      <c r="F215" s="143"/>
      <c r="G215" s="152"/>
      <c r="H215" s="152"/>
      <c r="I215" s="152"/>
      <c r="J215" s="152"/>
      <c r="K215" s="152"/>
      <c r="L215" s="152"/>
      <c r="M215" s="152"/>
      <c r="N215" s="152"/>
      <c r="O215" s="152"/>
      <c r="P215" s="152"/>
      <c r="Q215" s="152"/>
      <c r="R215" s="152"/>
    </row>
    <row r="216">
      <c r="A216" s="152"/>
      <c r="B216" s="152"/>
      <c r="C216" s="152"/>
      <c r="D216" s="152"/>
      <c r="E216" s="152"/>
      <c r="F216" s="143"/>
      <c r="G216" s="152"/>
      <c r="H216" s="152"/>
      <c r="I216" s="152"/>
      <c r="J216" s="152"/>
      <c r="K216" s="152"/>
      <c r="L216" s="152"/>
      <c r="M216" s="152"/>
      <c r="N216" s="152"/>
      <c r="O216" s="152"/>
      <c r="P216" s="152"/>
      <c r="Q216" s="152"/>
      <c r="R216" s="152"/>
    </row>
    <row r="217">
      <c r="A217" s="152"/>
      <c r="B217" s="152"/>
      <c r="C217" s="152"/>
      <c r="D217" s="152"/>
      <c r="E217" s="152"/>
      <c r="F217" s="143"/>
      <c r="G217" s="152"/>
      <c r="H217" s="152"/>
      <c r="I217" s="152"/>
      <c r="J217" s="152"/>
      <c r="K217" s="152"/>
      <c r="L217" s="152"/>
      <c r="M217" s="152"/>
      <c r="N217" s="152"/>
      <c r="O217" s="152"/>
      <c r="P217" s="152"/>
      <c r="Q217" s="152"/>
      <c r="R217" s="152"/>
    </row>
    <row r="218">
      <c r="A218" s="152"/>
      <c r="B218" s="152"/>
      <c r="C218" s="152"/>
      <c r="D218" s="152"/>
      <c r="E218" s="152"/>
      <c r="F218" s="143"/>
      <c r="G218" s="152"/>
      <c r="H218" s="152"/>
      <c r="I218" s="152"/>
      <c r="J218" s="152"/>
      <c r="K218" s="152"/>
      <c r="L218" s="152"/>
      <c r="M218" s="152"/>
      <c r="N218" s="152"/>
      <c r="O218" s="152"/>
      <c r="P218" s="152"/>
      <c r="Q218" s="152"/>
      <c r="R218" s="152"/>
    </row>
    <row r="219">
      <c r="A219" s="152"/>
      <c r="B219" s="152"/>
      <c r="C219" s="152"/>
      <c r="D219" s="152"/>
      <c r="E219" s="152"/>
      <c r="F219" s="143"/>
      <c r="G219" s="152"/>
      <c r="H219" s="152"/>
      <c r="I219" s="152"/>
      <c r="J219" s="152"/>
      <c r="K219" s="152"/>
      <c r="L219" s="152"/>
      <c r="M219" s="152"/>
      <c r="N219" s="152"/>
      <c r="O219" s="152"/>
      <c r="P219" s="152"/>
      <c r="Q219" s="152"/>
      <c r="R219" s="152"/>
    </row>
    <row r="220">
      <c r="A220" s="152"/>
      <c r="B220" s="152"/>
      <c r="C220" s="152"/>
      <c r="D220" s="152"/>
      <c r="E220" s="152"/>
      <c r="F220" s="143"/>
      <c r="G220" s="152"/>
      <c r="H220" s="152"/>
      <c r="I220" s="152"/>
      <c r="J220" s="152"/>
      <c r="K220" s="152"/>
      <c r="L220" s="152"/>
      <c r="M220" s="152"/>
      <c r="N220" s="152"/>
      <c r="O220" s="152"/>
      <c r="P220" s="152"/>
      <c r="Q220" s="152"/>
      <c r="R220" s="152"/>
    </row>
    <row r="221">
      <c r="A221" s="152"/>
      <c r="B221" s="152"/>
      <c r="C221" s="152"/>
      <c r="D221" s="152"/>
      <c r="E221" s="152"/>
      <c r="F221" s="143"/>
      <c r="G221" s="152"/>
      <c r="H221" s="152"/>
      <c r="I221" s="152"/>
      <c r="J221" s="152"/>
      <c r="K221" s="152"/>
      <c r="L221" s="152"/>
      <c r="M221" s="152"/>
      <c r="N221" s="152"/>
      <c r="O221" s="152"/>
      <c r="P221" s="152"/>
      <c r="Q221" s="152"/>
      <c r="R221" s="152"/>
    </row>
    <row r="222">
      <c r="A222" s="152"/>
      <c r="B222" s="152"/>
      <c r="C222" s="152"/>
      <c r="D222" s="152"/>
      <c r="E222" s="152"/>
      <c r="F222" s="143"/>
      <c r="G222" s="152"/>
      <c r="H222" s="152"/>
      <c r="I222" s="152"/>
      <c r="J222" s="152"/>
      <c r="K222" s="152"/>
      <c r="L222" s="152"/>
      <c r="M222" s="152"/>
      <c r="N222" s="152"/>
      <c r="O222" s="152"/>
      <c r="P222" s="152"/>
      <c r="Q222" s="152"/>
      <c r="R222" s="152"/>
    </row>
    <row r="223">
      <c r="A223" s="152"/>
      <c r="B223" s="152"/>
      <c r="C223" s="152"/>
      <c r="D223" s="152"/>
      <c r="E223" s="152"/>
      <c r="F223" s="143"/>
      <c r="G223" s="152"/>
      <c r="H223" s="152"/>
      <c r="I223" s="152"/>
      <c r="J223" s="152"/>
      <c r="K223" s="152"/>
      <c r="L223" s="152"/>
      <c r="M223" s="152"/>
      <c r="N223" s="152"/>
      <c r="O223" s="152"/>
      <c r="P223" s="152"/>
      <c r="Q223" s="152"/>
      <c r="R223" s="152"/>
    </row>
    <row r="224">
      <c r="A224" s="152"/>
      <c r="B224" s="152"/>
      <c r="C224" s="152"/>
      <c r="D224" s="152"/>
      <c r="E224" s="152"/>
      <c r="F224" s="143"/>
      <c r="G224" s="152"/>
      <c r="H224" s="152"/>
      <c r="I224" s="152"/>
      <c r="J224" s="152"/>
      <c r="K224" s="152"/>
      <c r="L224" s="152"/>
      <c r="M224" s="152"/>
      <c r="N224" s="152"/>
      <c r="O224" s="152"/>
      <c r="P224" s="152"/>
      <c r="Q224" s="152"/>
      <c r="R224" s="152"/>
    </row>
    <row r="225">
      <c r="A225" s="152"/>
      <c r="B225" s="152"/>
      <c r="C225" s="152"/>
      <c r="D225" s="152"/>
      <c r="E225" s="152"/>
      <c r="F225" s="143"/>
      <c r="G225" s="152"/>
      <c r="H225" s="152"/>
      <c r="I225" s="152"/>
      <c r="J225" s="152"/>
      <c r="K225" s="152"/>
      <c r="L225" s="152"/>
      <c r="M225" s="152"/>
      <c r="N225" s="152"/>
      <c r="O225" s="152"/>
      <c r="P225" s="152"/>
      <c r="Q225" s="152"/>
      <c r="R225" s="152"/>
    </row>
    <row r="226">
      <c r="A226" s="152"/>
      <c r="B226" s="152"/>
      <c r="C226" s="152"/>
      <c r="D226" s="152"/>
      <c r="E226" s="152"/>
      <c r="F226" s="143"/>
      <c r="G226" s="152"/>
      <c r="H226" s="152"/>
      <c r="I226" s="152"/>
      <c r="J226" s="152"/>
      <c r="K226" s="152"/>
      <c r="L226" s="152"/>
      <c r="M226" s="152"/>
      <c r="N226" s="152"/>
      <c r="O226" s="152"/>
      <c r="P226" s="152"/>
      <c r="Q226" s="152"/>
      <c r="R226" s="152"/>
    </row>
    <row r="227">
      <c r="A227" s="152"/>
      <c r="B227" s="152"/>
      <c r="C227" s="152"/>
      <c r="D227" s="152"/>
      <c r="E227" s="152"/>
      <c r="F227" s="143"/>
      <c r="G227" s="152"/>
      <c r="H227" s="152"/>
      <c r="I227" s="152"/>
      <c r="J227" s="152"/>
      <c r="K227" s="152"/>
      <c r="L227" s="152"/>
      <c r="M227" s="152"/>
      <c r="N227" s="152"/>
      <c r="O227" s="152"/>
      <c r="P227" s="152"/>
      <c r="Q227" s="152"/>
      <c r="R227" s="152"/>
    </row>
    <row r="228">
      <c r="A228" s="152"/>
      <c r="B228" s="152"/>
      <c r="C228" s="152"/>
      <c r="D228" s="152"/>
      <c r="E228" s="152"/>
      <c r="F228" s="143"/>
      <c r="G228" s="152"/>
      <c r="H228" s="152"/>
      <c r="I228" s="152"/>
      <c r="J228" s="152"/>
      <c r="K228" s="152"/>
      <c r="L228" s="152"/>
      <c r="M228" s="152"/>
      <c r="N228" s="152"/>
      <c r="O228" s="152"/>
      <c r="P228" s="152"/>
      <c r="Q228" s="152"/>
      <c r="R228" s="152"/>
    </row>
    <row r="229">
      <c r="A229" s="152"/>
      <c r="B229" s="152"/>
      <c r="C229" s="152"/>
      <c r="D229" s="152"/>
      <c r="E229" s="152"/>
      <c r="F229" s="143"/>
      <c r="G229" s="152"/>
      <c r="H229" s="152"/>
      <c r="I229" s="152"/>
      <c r="J229" s="152"/>
      <c r="K229" s="152"/>
      <c r="L229" s="152"/>
      <c r="M229" s="152"/>
      <c r="N229" s="152"/>
      <c r="O229" s="152"/>
      <c r="P229" s="152"/>
      <c r="Q229" s="152"/>
      <c r="R229" s="152"/>
    </row>
    <row r="230">
      <c r="A230" s="152"/>
      <c r="B230" s="152"/>
      <c r="C230" s="152"/>
      <c r="D230" s="152"/>
      <c r="E230" s="152"/>
      <c r="F230" s="143"/>
      <c r="G230" s="152"/>
      <c r="H230" s="152"/>
      <c r="I230" s="152"/>
      <c r="J230" s="152"/>
      <c r="K230" s="152"/>
      <c r="L230" s="152"/>
      <c r="M230" s="152"/>
      <c r="N230" s="152"/>
      <c r="O230" s="152"/>
      <c r="P230" s="152"/>
      <c r="Q230" s="152"/>
      <c r="R230" s="152"/>
    </row>
    <row r="231">
      <c r="A231" s="152"/>
      <c r="B231" s="152"/>
      <c r="C231" s="152"/>
      <c r="D231" s="152"/>
      <c r="E231" s="152"/>
      <c r="F231" s="143"/>
      <c r="G231" s="152"/>
      <c r="H231" s="152"/>
      <c r="I231" s="152"/>
      <c r="J231" s="152"/>
      <c r="K231" s="152"/>
      <c r="L231" s="152"/>
      <c r="M231" s="152"/>
      <c r="N231" s="152"/>
      <c r="O231" s="152"/>
      <c r="P231" s="152"/>
      <c r="Q231" s="152"/>
      <c r="R231" s="152"/>
    </row>
    <row r="232">
      <c r="A232" s="152"/>
      <c r="B232" s="152"/>
      <c r="C232" s="152"/>
      <c r="D232" s="152"/>
      <c r="E232" s="152"/>
      <c r="F232" s="143"/>
      <c r="G232" s="152"/>
      <c r="H232" s="152"/>
      <c r="I232" s="152"/>
      <c r="J232" s="152"/>
      <c r="K232" s="152"/>
      <c r="L232" s="152"/>
      <c r="M232" s="152"/>
      <c r="N232" s="152"/>
      <c r="O232" s="152"/>
      <c r="P232" s="152"/>
      <c r="Q232" s="152"/>
      <c r="R232" s="152"/>
    </row>
    <row r="233">
      <c r="A233" s="152"/>
      <c r="B233" s="152"/>
      <c r="C233" s="152"/>
      <c r="D233" s="152"/>
      <c r="E233" s="152"/>
      <c r="F233" s="143"/>
      <c r="G233" s="152"/>
      <c r="H233" s="152"/>
      <c r="I233" s="152"/>
      <c r="J233" s="152"/>
      <c r="K233" s="152"/>
      <c r="L233" s="152"/>
      <c r="M233" s="152"/>
      <c r="N233" s="152"/>
      <c r="O233" s="152"/>
      <c r="P233" s="152"/>
      <c r="Q233" s="152"/>
      <c r="R233" s="152"/>
    </row>
    <row r="234">
      <c r="A234" s="152"/>
      <c r="B234" s="152"/>
      <c r="C234" s="152"/>
      <c r="D234" s="152"/>
      <c r="E234" s="152"/>
      <c r="F234" s="143"/>
      <c r="G234" s="152"/>
      <c r="H234" s="152"/>
      <c r="I234" s="152"/>
      <c r="J234" s="152"/>
      <c r="K234" s="152"/>
      <c r="L234" s="152"/>
      <c r="M234" s="152"/>
      <c r="N234" s="152"/>
      <c r="O234" s="152"/>
      <c r="P234" s="152"/>
      <c r="Q234" s="152"/>
      <c r="R234" s="152"/>
    </row>
    <row r="235">
      <c r="A235" s="152"/>
      <c r="B235" s="152"/>
      <c r="C235" s="152"/>
      <c r="D235" s="152"/>
      <c r="E235" s="152"/>
      <c r="F235" s="143"/>
      <c r="G235" s="152"/>
      <c r="H235" s="152"/>
      <c r="I235" s="152"/>
      <c r="J235" s="152"/>
      <c r="K235" s="152"/>
      <c r="L235" s="152"/>
      <c r="M235" s="152"/>
      <c r="N235" s="152"/>
      <c r="O235" s="152"/>
      <c r="P235" s="152"/>
      <c r="Q235" s="152"/>
      <c r="R235" s="152"/>
    </row>
    <row r="236">
      <c r="A236" s="152"/>
      <c r="B236" s="152"/>
      <c r="C236" s="152"/>
      <c r="D236" s="152"/>
      <c r="E236" s="152"/>
      <c r="F236" s="143"/>
      <c r="G236" s="152"/>
      <c r="H236" s="152"/>
      <c r="I236" s="152"/>
      <c r="J236" s="152"/>
      <c r="K236" s="152"/>
      <c r="L236" s="152"/>
      <c r="M236" s="152"/>
      <c r="N236" s="152"/>
      <c r="O236" s="152"/>
      <c r="P236" s="152"/>
      <c r="Q236" s="152"/>
      <c r="R236" s="152"/>
    </row>
    <row r="237">
      <c r="A237" s="152"/>
      <c r="B237" s="152"/>
      <c r="C237" s="152"/>
      <c r="D237" s="152"/>
      <c r="E237" s="152"/>
      <c r="F237" s="143"/>
      <c r="G237" s="152"/>
      <c r="H237" s="152"/>
      <c r="I237" s="152"/>
      <c r="J237" s="152"/>
      <c r="K237" s="152"/>
      <c r="L237" s="152"/>
      <c r="M237" s="152"/>
      <c r="N237" s="152"/>
      <c r="O237" s="152"/>
      <c r="P237" s="152"/>
      <c r="Q237" s="152"/>
      <c r="R237" s="152"/>
    </row>
    <row r="238">
      <c r="A238" s="152"/>
      <c r="B238" s="152"/>
      <c r="C238" s="152"/>
      <c r="D238" s="152"/>
      <c r="E238" s="152"/>
      <c r="F238" s="143"/>
      <c r="G238" s="152"/>
      <c r="H238" s="152"/>
      <c r="I238" s="152"/>
      <c r="J238" s="152"/>
      <c r="K238" s="152"/>
      <c r="L238" s="152"/>
      <c r="M238" s="152"/>
      <c r="N238" s="152"/>
      <c r="O238" s="152"/>
      <c r="P238" s="152"/>
      <c r="Q238" s="152"/>
      <c r="R238" s="152"/>
    </row>
    <row r="239">
      <c r="A239" s="152"/>
      <c r="B239" s="152"/>
      <c r="C239" s="152"/>
      <c r="D239" s="152"/>
      <c r="E239" s="152"/>
      <c r="F239" s="143"/>
      <c r="G239" s="152"/>
      <c r="H239" s="152"/>
      <c r="I239" s="152"/>
      <c r="J239" s="152"/>
      <c r="K239" s="152"/>
      <c r="L239" s="152"/>
      <c r="M239" s="152"/>
      <c r="N239" s="152"/>
      <c r="O239" s="152"/>
      <c r="P239" s="152"/>
      <c r="Q239" s="152"/>
      <c r="R239" s="152"/>
    </row>
    <row r="240">
      <c r="A240" s="152"/>
      <c r="B240" s="152"/>
      <c r="C240" s="152"/>
      <c r="D240" s="152"/>
      <c r="E240" s="152"/>
      <c r="F240" s="143"/>
      <c r="G240" s="152"/>
      <c r="H240" s="152"/>
      <c r="I240" s="152"/>
      <c r="J240" s="152"/>
      <c r="K240" s="152"/>
      <c r="L240" s="152"/>
      <c r="M240" s="152"/>
      <c r="N240" s="152"/>
      <c r="O240" s="152"/>
      <c r="P240" s="152"/>
      <c r="Q240" s="152"/>
      <c r="R240" s="152"/>
    </row>
    <row r="241">
      <c r="A241" s="152"/>
      <c r="B241" s="152"/>
      <c r="C241" s="152"/>
      <c r="D241" s="152"/>
      <c r="E241" s="152"/>
      <c r="F241" s="143"/>
      <c r="G241" s="152"/>
      <c r="H241" s="152"/>
      <c r="I241" s="152"/>
      <c r="J241" s="152"/>
      <c r="K241" s="152"/>
      <c r="L241" s="152"/>
      <c r="M241" s="152"/>
      <c r="N241" s="152"/>
      <c r="O241" s="152"/>
      <c r="P241" s="152"/>
      <c r="Q241" s="152"/>
      <c r="R241" s="152"/>
    </row>
    <row r="242">
      <c r="A242" s="152"/>
      <c r="B242" s="152"/>
      <c r="C242" s="152"/>
      <c r="D242" s="152"/>
      <c r="E242" s="152"/>
      <c r="F242" s="143"/>
      <c r="G242" s="152"/>
      <c r="H242" s="152"/>
      <c r="I242" s="152"/>
      <c r="J242" s="152"/>
      <c r="K242" s="152"/>
      <c r="L242" s="152"/>
      <c r="M242" s="152"/>
      <c r="N242" s="152"/>
      <c r="O242" s="152"/>
      <c r="P242" s="152"/>
      <c r="Q242" s="152"/>
      <c r="R242" s="152"/>
    </row>
    <row r="243">
      <c r="A243" s="152"/>
      <c r="B243" s="152"/>
      <c r="C243" s="152"/>
      <c r="D243" s="152"/>
      <c r="E243" s="152"/>
      <c r="F243" s="143"/>
      <c r="G243" s="152"/>
      <c r="H243" s="152"/>
      <c r="I243" s="152"/>
      <c r="J243" s="152"/>
      <c r="K243" s="152"/>
      <c r="L243" s="152"/>
      <c r="M243" s="152"/>
      <c r="N243" s="152"/>
      <c r="O243" s="152"/>
      <c r="P243" s="152"/>
      <c r="Q243" s="152"/>
      <c r="R243" s="152"/>
    </row>
    <row r="244">
      <c r="A244" s="152"/>
      <c r="B244" s="152"/>
      <c r="C244" s="152"/>
      <c r="D244" s="152"/>
      <c r="E244" s="152"/>
      <c r="F244" s="143"/>
      <c r="G244" s="152"/>
      <c r="H244" s="152"/>
      <c r="I244" s="152"/>
      <c r="J244" s="152"/>
      <c r="K244" s="152"/>
      <c r="L244" s="152"/>
      <c r="M244" s="152"/>
      <c r="N244" s="152"/>
      <c r="O244" s="152"/>
      <c r="P244" s="152"/>
      <c r="Q244" s="152"/>
      <c r="R244" s="152"/>
    </row>
    <row r="245">
      <c r="A245" s="152"/>
      <c r="B245" s="152"/>
      <c r="C245" s="152"/>
      <c r="D245" s="152"/>
      <c r="E245" s="152"/>
      <c r="F245" s="143"/>
      <c r="G245" s="152"/>
      <c r="H245" s="152"/>
      <c r="I245" s="152"/>
      <c r="J245" s="152"/>
      <c r="K245" s="152"/>
      <c r="L245" s="152"/>
      <c r="M245" s="152"/>
      <c r="N245" s="152"/>
      <c r="O245" s="152"/>
      <c r="P245" s="152"/>
      <c r="Q245" s="152"/>
      <c r="R245" s="152"/>
    </row>
    <row r="246">
      <c r="A246" s="152"/>
      <c r="B246" s="152"/>
      <c r="C246" s="152"/>
      <c r="D246" s="152"/>
      <c r="E246" s="152"/>
      <c r="F246" s="143"/>
      <c r="G246" s="152"/>
      <c r="H246" s="152"/>
      <c r="I246" s="152"/>
      <c r="J246" s="152"/>
      <c r="K246" s="152"/>
      <c r="L246" s="152"/>
      <c r="M246" s="152"/>
      <c r="N246" s="152"/>
      <c r="O246" s="152"/>
      <c r="P246" s="152"/>
      <c r="Q246" s="152"/>
      <c r="R246" s="152"/>
    </row>
    <row r="247">
      <c r="A247" s="152"/>
      <c r="B247" s="152"/>
      <c r="C247" s="152"/>
      <c r="D247" s="152"/>
      <c r="E247" s="152"/>
      <c r="F247" s="143"/>
      <c r="G247" s="152"/>
      <c r="H247" s="152"/>
      <c r="I247" s="152"/>
      <c r="J247" s="152"/>
      <c r="K247" s="152"/>
      <c r="L247" s="152"/>
      <c r="M247" s="152"/>
      <c r="N247" s="152"/>
      <c r="O247" s="152"/>
      <c r="P247" s="152"/>
      <c r="Q247" s="152"/>
      <c r="R247" s="152"/>
    </row>
    <row r="248">
      <c r="A248" s="152"/>
      <c r="B248" s="152"/>
      <c r="C248" s="152"/>
      <c r="D248" s="152"/>
      <c r="E248" s="152"/>
      <c r="F248" s="143"/>
      <c r="G248" s="152"/>
      <c r="H248" s="152"/>
      <c r="I248" s="152"/>
      <c r="J248" s="152"/>
      <c r="K248" s="152"/>
      <c r="L248" s="152"/>
      <c r="M248" s="152"/>
      <c r="N248" s="152"/>
      <c r="O248" s="152"/>
      <c r="P248" s="152"/>
      <c r="Q248" s="152"/>
      <c r="R248" s="152"/>
    </row>
    <row r="249">
      <c r="A249" s="152"/>
      <c r="B249" s="152"/>
      <c r="C249" s="152"/>
      <c r="D249" s="152"/>
      <c r="E249" s="152"/>
      <c r="F249" s="143"/>
      <c r="G249" s="152"/>
      <c r="H249" s="152"/>
      <c r="I249" s="152"/>
      <c r="J249" s="152"/>
      <c r="K249" s="152"/>
      <c r="L249" s="152"/>
      <c r="M249" s="152"/>
      <c r="N249" s="152"/>
      <c r="O249" s="152"/>
      <c r="P249" s="152"/>
      <c r="Q249" s="152"/>
      <c r="R249" s="152"/>
    </row>
    <row r="250">
      <c r="A250" s="152"/>
      <c r="B250" s="152"/>
      <c r="C250" s="152"/>
      <c r="D250" s="152"/>
      <c r="E250" s="152"/>
      <c r="F250" s="143"/>
      <c r="G250" s="152"/>
      <c r="H250" s="152"/>
      <c r="I250" s="152"/>
      <c r="J250" s="152"/>
      <c r="K250" s="152"/>
      <c r="L250" s="152"/>
      <c r="M250" s="152"/>
      <c r="N250" s="152"/>
      <c r="O250" s="152"/>
      <c r="P250" s="152"/>
      <c r="Q250" s="152"/>
      <c r="R250" s="152"/>
    </row>
    <row r="251">
      <c r="A251" s="152"/>
      <c r="B251" s="152"/>
      <c r="C251" s="152"/>
      <c r="D251" s="152"/>
      <c r="E251" s="152"/>
      <c r="F251" s="143"/>
      <c r="G251" s="152"/>
      <c r="H251" s="152"/>
      <c r="I251" s="152"/>
      <c r="J251" s="152"/>
      <c r="K251" s="152"/>
      <c r="L251" s="152"/>
      <c r="M251" s="152"/>
      <c r="N251" s="152"/>
      <c r="O251" s="152"/>
      <c r="P251" s="152"/>
      <c r="Q251" s="152"/>
      <c r="R251" s="152"/>
    </row>
    <row r="252">
      <c r="A252" s="152"/>
      <c r="B252" s="152"/>
      <c r="C252" s="152"/>
      <c r="D252" s="152"/>
      <c r="E252" s="152"/>
      <c r="F252" s="143"/>
      <c r="G252" s="152"/>
      <c r="H252" s="152"/>
      <c r="I252" s="152"/>
      <c r="J252" s="152"/>
      <c r="K252" s="152"/>
      <c r="L252" s="152"/>
      <c r="M252" s="152"/>
      <c r="N252" s="152"/>
      <c r="O252" s="152"/>
      <c r="P252" s="152"/>
      <c r="Q252" s="152"/>
      <c r="R252" s="152"/>
    </row>
    <row r="253">
      <c r="A253" s="152"/>
      <c r="B253" s="152"/>
      <c r="C253" s="152"/>
      <c r="D253" s="152"/>
      <c r="E253" s="152"/>
      <c r="F253" s="143"/>
      <c r="G253" s="152"/>
      <c r="H253" s="152"/>
      <c r="I253" s="152"/>
      <c r="J253" s="152"/>
      <c r="K253" s="152"/>
      <c r="L253" s="152"/>
      <c r="M253" s="152"/>
      <c r="N253" s="152"/>
      <c r="O253" s="152"/>
      <c r="P253" s="152"/>
      <c r="Q253" s="152"/>
      <c r="R253" s="152"/>
    </row>
    <row r="254">
      <c r="A254" s="152"/>
      <c r="B254" s="152"/>
      <c r="C254" s="152"/>
      <c r="D254" s="152"/>
      <c r="E254" s="152"/>
      <c r="F254" s="143"/>
      <c r="G254" s="152"/>
      <c r="H254" s="152"/>
      <c r="I254" s="152"/>
      <c r="J254" s="152"/>
      <c r="K254" s="152"/>
      <c r="L254" s="152"/>
      <c r="M254" s="152"/>
      <c r="N254" s="152"/>
      <c r="O254" s="152"/>
      <c r="P254" s="152"/>
      <c r="Q254" s="152"/>
      <c r="R254" s="152"/>
    </row>
    <row r="255">
      <c r="A255" s="152"/>
      <c r="B255" s="152"/>
      <c r="C255" s="152"/>
      <c r="D255" s="152"/>
      <c r="E255" s="152"/>
      <c r="F255" s="143"/>
      <c r="G255" s="152"/>
      <c r="H255" s="152"/>
      <c r="I255" s="152"/>
      <c r="J255" s="152"/>
      <c r="K255" s="152"/>
      <c r="L255" s="152"/>
      <c r="M255" s="152"/>
      <c r="N255" s="152"/>
      <c r="O255" s="152"/>
      <c r="P255" s="152"/>
      <c r="Q255" s="152"/>
      <c r="R255" s="152"/>
    </row>
    <row r="256">
      <c r="A256" s="152"/>
      <c r="B256" s="152"/>
      <c r="C256" s="152"/>
      <c r="D256" s="152"/>
      <c r="E256" s="152"/>
      <c r="F256" s="143"/>
      <c r="G256" s="152"/>
      <c r="H256" s="152"/>
      <c r="I256" s="152"/>
      <c r="J256" s="152"/>
      <c r="K256" s="152"/>
      <c r="L256" s="152"/>
      <c r="M256" s="152"/>
      <c r="N256" s="152"/>
      <c r="O256" s="152"/>
      <c r="P256" s="152"/>
      <c r="Q256" s="152"/>
      <c r="R256" s="152"/>
    </row>
    <row r="257">
      <c r="A257" s="152"/>
      <c r="B257" s="152"/>
      <c r="C257" s="152"/>
      <c r="D257" s="152"/>
      <c r="E257" s="152"/>
      <c r="F257" s="143"/>
      <c r="G257" s="152"/>
      <c r="H257" s="152"/>
      <c r="I257" s="152"/>
      <c r="J257" s="152"/>
      <c r="K257" s="152"/>
      <c r="L257" s="152"/>
      <c r="M257" s="152"/>
      <c r="N257" s="152"/>
      <c r="O257" s="152"/>
      <c r="P257" s="152"/>
      <c r="Q257" s="152"/>
      <c r="R257" s="152"/>
    </row>
    <row r="258">
      <c r="A258" s="152"/>
      <c r="B258" s="152"/>
      <c r="C258" s="152"/>
      <c r="D258" s="152"/>
      <c r="E258" s="152"/>
      <c r="F258" s="143"/>
      <c r="G258" s="152"/>
      <c r="H258" s="152"/>
      <c r="I258" s="152"/>
      <c r="J258" s="152"/>
      <c r="K258" s="152"/>
      <c r="L258" s="152"/>
      <c r="M258" s="152"/>
      <c r="N258" s="152"/>
      <c r="O258" s="152"/>
      <c r="P258" s="152"/>
      <c r="Q258" s="152"/>
      <c r="R258" s="152"/>
    </row>
    <row r="259">
      <c r="A259" s="152"/>
      <c r="B259" s="152"/>
      <c r="C259" s="152"/>
      <c r="D259" s="152"/>
      <c r="E259" s="152"/>
      <c r="F259" s="143"/>
      <c r="G259" s="152"/>
      <c r="H259" s="152"/>
      <c r="I259" s="152"/>
      <c r="J259" s="152"/>
      <c r="K259" s="152"/>
      <c r="L259" s="152"/>
      <c r="M259" s="152"/>
      <c r="N259" s="152"/>
      <c r="O259" s="152"/>
      <c r="P259" s="152"/>
      <c r="Q259" s="152"/>
      <c r="R259" s="152"/>
    </row>
    <row r="260">
      <c r="A260" s="152"/>
      <c r="B260" s="152"/>
      <c r="C260" s="152"/>
      <c r="D260" s="152"/>
      <c r="E260" s="152"/>
      <c r="F260" s="143"/>
      <c r="G260" s="152"/>
      <c r="H260" s="152"/>
      <c r="I260" s="152"/>
      <c r="J260" s="152"/>
      <c r="K260" s="152"/>
      <c r="L260" s="152"/>
      <c r="M260" s="152"/>
      <c r="N260" s="152"/>
      <c r="O260" s="152"/>
      <c r="P260" s="152"/>
      <c r="Q260" s="152"/>
      <c r="R260" s="152"/>
    </row>
    <row r="261">
      <c r="A261" s="152"/>
      <c r="B261" s="152"/>
      <c r="C261" s="152"/>
      <c r="D261" s="152"/>
      <c r="E261" s="152"/>
      <c r="F261" s="143"/>
      <c r="G261" s="152"/>
      <c r="H261" s="152"/>
      <c r="I261" s="152"/>
      <c r="J261" s="152"/>
      <c r="K261" s="152"/>
      <c r="L261" s="152"/>
      <c r="M261" s="152"/>
      <c r="N261" s="152"/>
      <c r="O261" s="152"/>
      <c r="P261" s="152"/>
      <c r="Q261" s="152"/>
      <c r="R261" s="152"/>
    </row>
    <row r="262">
      <c r="A262" s="152"/>
      <c r="B262" s="152"/>
      <c r="C262" s="152"/>
      <c r="D262" s="152"/>
      <c r="E262" s="152"/>
      <c r="F262" s="143"/>
      <c r="G262" s="152"/>
      <c r="H262" s="152"/>
      <c r="I262" s="152"/>
      <c r="J262" s="152"/>
      <c r="K262" s="152"/>
      <c r="L262" s="152"/>
      <c r="M262" s="152"/>
      <c r="N262" s="152"/>
      <c r="O262" s="152"/>
      <c r="P262" s="152"/>
      <c r="Q262" s="152"/>
      <c r="R262" s="152"/>
    </row>
    <row r="263">
      <c r="A263" s="152"/>
      <c r="B263" s="152"/>
      <c r="C263" s="152"/>
      <c r="D263" s="152"/>
      <c r="E263" s="152"/>
      <c r="F263" s="143"/>
      <c r="G263" s="152"/>
      <c r="H263" s="152"/>
      <c r="I263" s="152"/>
      <c r="J263" s="152"/>
      <c r="K263" s="152"/>
      <c r="L263" s="152"/>
      <c r="M263" s="152"/>
      <c r="N263" s="152"/>
      <c r="O263" s="152"/>
      <c r="P263" s="152"/>
      <c r="Q263" s="152"/>
      <c r="R263" s="152"/>
    </row>
    <row r="264">
      <c r="A264" s="152"/>
      <c r="B264" s="152"/>
      <c r="C264" s="152"/>
      <c r="D264" s="152"/>
      <c r="E264" s="152"/>
      <c r="F264" s="143"/>
      <c r="G264" s="152"/>
      <c r="H264" s="152"/>
      <c r="I264" s="152"/>
      <c r="J264" s="152"/>
      <c r="K264" s="152"/>
      <c r="L264" s="152"/>
      <c r="M264" s="152"/>
      <c r="N264" s="152"/>
      <c r="O264" s="152"/>
      <c r="P264" s="152"/>
      <c r="Q264" s="152"/>
      <c r="R264" s="152"/>
    </row>
    <row r="265">
      <c r="A265" s="152"/>
      <c r="B265" s="152"/>
      <c r="C265" s="152"/>
      <c r="D265" s="152"/>
      <c r="E265" s="152"/>
      <c r="F265" s="143"/>
      <c r="G265" s="152"/>
      <c r="H265" s="152"/>
      <c r="I265" s="152"/>
      <c r="J265" s="152"/>
      <c r="K265" s="152"/>
      <c r="L265" s="152"/>
      <c r="M265" s="152"/>
      <c r="N265" s="152"/>
      <c r="O265" s="152"/>
      <c r="P265" s="152"/>
      <c r="Q265" s="152"/>
      <c r="R265" s="152"/>
    </row>
    <row r="266">
      <c r="A266" s="152"/>
      <c r="B266" s="152"/>
      <c r="C266" s="152"/>
      <c r="D266" s="152"/>
      <c r="E266" s="152"/>
      <c r="F266" s="143"/>
      <c r="G266" s="152"/>
      <c r="H266" s="152"/>
      <c r="I266" s="152"/>
      <c r="J266" s="152"/>
      <c r="K266" s="152"/>
      <c r="L266" s="152"/>
      <c r="M266" s="152"/>
      <c r="N266" s="152"/>
      <c r="O266" s="152"/>
      <c r="P266" s="152"/>
      <c r="Q266" s="152"/>
      <c r="R266" s="152"/>
    </row>
    <row r="267">
      <c r="A267" s="152"/>
      <c r="B267" s="152"/>
      <c r="C267" s="152"/>
      <c r="D267" s="152"/>
      <c r="E267" s="152"/>
      <c r="F267" s="143"/>
      <c r="G267" s="152"/>
      <c r="H267" s="152"/>
      <c r="I267" s="152"/>
      <c r="J267" s="152"/>
      <c r="K267" s="152"/>
      <c r="L267" s="152"/>
      <c r="M267" s="152"/>
      <c r="N267" s="152"/>
      <c r="O267" s="152"/>
      <c r="P267" s="152"/>
      <c r="Q267" s="152"/>
      <c r="R267" s="152"/>
    </row>
    <row r="268">
      <c r="A268" s="152"/>
      <c r="B268" s="152"/>
      <c r="C268" s="152"/>
      <c r="D268" s="152"/>
      <c r="E268" s="152"/>
      <c r="F268" s="143"/>
      <c r="G268" s="152"/>
      <c r="H268" s="152"/>
      <c r="I268" s="152"/>
      <c r="J268" s="152"/>
      <c r="K268" s="152"/>
      <c r="L268" s="152"/>
      <c r="M268" s="152"/>
      <c r="N268" s="152"/>
      <c r="O268" s="152"/>
      <c r="P268" s="152"/>
      <c r="Q268" s="152"/>
      <c r="R268" s="152"/>
    </row>
    <row r="269">
      <c r="A269" s="152"/>
      <c r="B269" s="152"/>
      <c r="C269" s="152"/>
      <c r="D269" s="152"/>
      <c r="E269" s="152"/>
      <c r="F269" s="143"/>
      <c r="G269" s="152"/>
      <c r="H269" s="152"/>
      <c r="I269" s="152"/>
      <c r="J269" s="152"/>
      <c r="K269" s="152"/>
      <c r="L269" s="152"/>
      <c r="M269" s="152"/>
      <c r="N269" s="152"/>
      <c r="O269" s="152"/>
      <c r="P269" s="152"/>
      <c r="Q269" s="152"/>
      <c r="R269" s="152"/>
    </row>
    <row r="270">
      <c r="A270" s="152"/>
      <c r="B270" s="152"/>
      <c r="C270" s="152"/>
      <c r="D270" s="152"/>
      <c r="E270" s="152"/>
      <c r="F270" s="143"/>
      <c r="G270" s="152"/>
      <c r="H270" s="152"/>
      <c r="I270" s="152"/>
      <c r="J270" s="152"/>
      <c r="K270" s="152"/>
      <c r="L270" s="152"/>
      <c r="M270" s="152"/>
      <c r="N270" s="152"/>
      <c r="O270" s="152"/>
      <c r="P270" s="152"/>
      <c r="Q270" s="152"/>
      <c r="R270" s="152"/>
    </row>
    <row r="271">
      <c r="A271" s="152"/>
      <c r="B271" s="152"/>
      <c r="C271" s="152"/>
      <c r="D271" s="152"/>
      <c r="E271" s="152"/>
      <c r="F271" s="143"/>
      <c r="G271" s="152"/>
      <c r="H271" s="152"/>
      <c r="I271" s="152"/>
      <c r="J271" s="152"/>
      <c r="K271" s="152"/>
      <c r="L271" s="152"/>
      <c r="M271" s="152"/>
      <c r="N271" s="152"/>
      <c r="O271" s="152"/>
      <c r="P271" s="152"/>
      <c r="Q271" s="152"/>
      <c r="R271" s="152"/>
    </row>
    <row r="272">
      <c r="A272" s="152"/>
      <c r="B272" s="152"/>
      <c r="C272" s="152"/>
      <c r="D272" s="152"/>
      <c r="E272" s="152"/>
      <c r="F272" s="143"/>
      <c r="G272" s="152"/>
      <c r="H272" s="152"/>
      <c r="I272" s="152"/>
      <c r="J272" s="152"/>
      <c r="K272" s="152"/>
      <c r="L272" s="152"/>
      <c r="M272" s="152"/>
      <c r="N272" s="152"/>
      <c r="O272" s="152"/>
      <c r="P272" s="152"/>
      <c r="Q272" s="152"/>
      <c r="R272" s="152"/>
    </row>
    <row r="273">
      <c r="A273" s="152"/>
      <c r="B273" s="152"/>
      <c r="C273" s="152"/>
      <c r="D273" s="152"/>
      <c r="E273" s="152"/>
      <c r="F273" s="143"/>
      <c r="G273" s="152"/>
      <c r="H273" s="152"/>
      <c r="I273" s="152"/>
      <c r="J273" s="152"/>
      <c r="K273" s="152"/>
      <c r="L273" s="152"/>
      <c r="M273" s="152"/>
      <c r="N273" s="152"/>
      <c r="O273" s="152"/>
      <c r="P273" s="152"/>
      <c r="Q273" s="152"/>
      <c r="R273" s="152"/>
    </row>
    <row r="274">
      <c r="A274" s="152"/>
      <c r="B274" s="152"/>
      <c r="C274" s="152"/>
      <c r="D274" s="152"/>
      <c r="E274" s="152"/>
      <c r="F274" s="143"/>
      <c r="G274" s="152"/>
      <c r="H274" s="152"/>
      <c r="I274" s="152"/>
      <c r="J274" s="152"/>
      <c r="K274" s="152"/>
      <c r="L274" s="152"/>
      <c r="M274" s="152"/>
      <c r="N274" s="152"/>
      <c r="O274" s="152"/>
      <c r="P274" s="152"/>
      <c r="Q274" s="152"/>
      <c r="R274" s="152"/>
    </row>
    <row r="275">
      <c r="A275" s="152"/>
      <c r="B275" s="152"/>
      <c r="C275" s="152"/>
      <c r="D275" s="152"/>
      <c r="E275" s="152"/>
      <c r="F275" s="143"/>
      <c r="G275" s="152"/>
      <c r="H275" s="152"/>
      <c r="I275" s="152"/>
      <c r="J275" s="152"/>
      <c r="K275" s="152"/>
      <c r="L275" s="152"/>
      <c r="M275" s="152"/>
      <c r="N275" s="152"/>
      <c r="O275" s="152"/>
      <c r="P275" s="152"/>
      <c r="Q275" s="152"/>
      <c r="R275" s="152"/>
    </row>
    <row r="276">
      <c r="A276" s="152"/>
      <c r="B276" s="152"/>
      <c r="C276" s="152"/>
      <c r="D276" s="152"/>
      <c r="E276" s="152"/>
      <c r="F276" s="143"/>
      <c r="G276" s="152"/>
      <c r="H276" s="152"/>
      <c r="I276" s="152"/>
      <c r="J276" s="152"/>
      <c r="K276" s="152"/>
      <c r="L276" s="152"/>
      <c r="M276" s="152"/>
      <c r="N276" s="152"/>
      <c r="O276" s="152"/>
      <c r="P276" s="152"/>
      <c r="Q276" s="152"/>
      <c r="R276" s="152"/>
    </row>
    <row r="277">
      <c r="A277" s="152"/>
      <c r="B277" s="152"/>
      <c r="C277" s="152"/>
      <c r="D277" s="152"/>
      <c r="E277" s="152"/>
      <c r="F277" s="143"/>
      <c r="G277" s="152"/>
      <c r="H277" s="152"/>
      <c r="I277" s="152"/>
      <c r="J277" s="152"/>
      <c r="K277" s="152"/>
      <c r="L277" s="152"/>
      <c r="M277" s="152"/>
      <c r="N277" s="152"/>
      <c r="O277" s="152"/>
      <c r="P277" s="152"/>
      <c r="Q277" s="152"/>
      <c r="R277" s="152"/>
    </row>
    <row r="278">
      <c r="A278" s="152"/>
      <c r="B278" s="152"/>
      <c r="C278" s="152"/>
      <c r="D278" s="152"/>
      <c r="E278" s="152"/>
      <c r="F278" s="143"/>
      <c r="G278" s="152"/>
      <c r="H278" s="152"/>
      <c r="I278" s="152"/>
      <c r="J278" s="152"/>
      <c r="K278" s="152"/>
      <c r="L278" s="152"/>
      <c r="M278" s="152"/>
      <c r="N278" s="152"/>
      <c r="O278" s="152"/>
      <c r="P278" s="152"/>
      <c r="Q278" s="152"/>
      <c r="R278" s="152"/>
    </row>
    <row r="279">
      <c r="A279" s="152"/>
      <c r="B279" s="152"/>
      <c r="C279" s="152"/>
      <c r="D279" s="152"/>
      <c r="E279" s="152"/>
      <c r="F279" s="143"/>
      <c r="G279" s="152"/>
      <c r="H279" s="152"/>
      <c r="I279" s="152"/>
      <c r="J279" s="152"/>
      <c r="K279" s="152"/>
      <c r="L279" s="152"/>
      <c r="M279" s="152"/>
      <c r="N279" s="152"/>
      <c r="O279" s="152"/>
      <c r="P279" s="152"/>
      <c r="Q279" s="152"/>
      <c r="R279" s="152"/>
    </row>
    <row r="280">
      <c r="A280" s="152"/>
      <c r="B280" s="152"/>
      <c r="C280" s="152"/>
      <c r="D280" s="152"/>
      <c r="E280" s="152"/>
      <c r="F280" s="143"/>
      <c r="G280" s="152"/>
      <c r="H280" s="152"/>
      <c r="I280" s="152"/>
      <c r="J280" s="152"/>
      <c r="K280" s="152"/>
      <c r="L280" s="152"/>
      <c r="M280" s="152"/>
      <c r="N280" s="152"/>
      <c r="O280" s="152"/>
      <c r="P280" s="152"/>
      <c r="Q280" s="152"/>
      <c r="R280" s="152"/>
    </row>
    <row r="281">
      <c r="A281" s="152"/>
      <c r="B281" s="152"/>
      <c r="C281" s="152"/>
      <c r="D281" s="152"/>
      <c r="E281" s="152"/>
      <c r="F281" s="143"/>
      <c r="G281" s="152"/>
      <c r="H281" s="152"/>
      <c r="I281" s="152"/>
      <c r="J281" s="152"/>
      <c r="K281" s="152"/>
      <c r="L281" s="152"/>
      <c r="M281" s="152"/>
      <c r="N281" s="152"/>
      <c r="O281" s="152"/>
      <c r="P281" s="152"/>
      <c r="Q281" s="152"/>
      <c r="R281" s="152"/>
    </row>
    <row r="282">
      <c r="A282" s="152"/>
      <c r="B282" s="152"/>
      <c r="C282" s="152"/>
      <c r="D282" s="152"/>
      <c r="E282" s="152"/>
      <c r="F282" s="143"/>
      <c r="G282" s="152"/>
      <c r="H282" s="152"/>
      <c r="I282" s="152"/>
      <c r="J282" s="152"/>
      <c r="K282" s="152"/>
      <c r="L282" s="152"/>
      <c r="M282" s="152"/>
      <c r="N282" s="152"/>
      <c r="O282" s="152"/>
      <c r="P282" s="152"/>
      <c r="Q282" s="152"/>
      <c r="R282" s="152"/>
    </row>
    <row r="283">
      <c r="A283" s="152"/>
      <c r="B283" s="152"/>
      <c r="C283" s="152"/>
      <c r="D283" s="152"/>
      <c r="E283" s="152"/>
      <c r="F283" s="143"/>
      <c r="G283" s="152"/>
      <c r="H283" s="152"/>
      <c r="I283" s="152"/>
      <c r="J283" s="152"/>
      <c r="K283" s="152"/>
      <c r="L283" s="152"/>
      <c r="M283" s="152"/>
      <c r="N283" s="152"/>
      <c r="O283" s="152"/>
      <c r="P283" s="152"/>
      <c r="Q283" s="152"/>
      <c r="R283" s="152"/>
    </row>
    <row r="284">
      <c r="A284" s="152"/>
      <c r="B284" s="152"/>
      <c r="C284" s="152"/>
      <c r="D284" s="152"/>
      <c r="E284" s="152"/>
      <c r="F284" s="143"/>
      <c r="G284" s="152"/>
      <c r="H284" s="152"/>
      <c r="I284" s="152"/>
      <c r="J284" s="152"/>
      <c r="K284" s="152"/>
      <c r="L284" s="152"/>
      <c r="M284" s="152"/>
      <c r="N284" s="152"/>
      <c r="O284" s="152"/>
      <c r="P284" s="152"/>
      <c r="Q284" s="152"/>
      <c r="R284" s="152"/>
    </row>
    <row r="285">
      <c r="A285" s="152"/>
      <c r="B285" s="152"/>
      <c r="C285" s="152"/>
      <c r="D285" s="152"/>
      <c r="E285" s="152"/>
      <c r="F285" s="143"/>
      <c r="G285" s="152"/>
      <c r="H285" s="152"/>
      <c r="I285" s="152"/>
      <c r="J285" s="152"/>
      <c r="K285" s="152"/>
      <c r="L285" s="152"/>
      <c r="M285" s="152"/>
      <c r="N285" s="152"/>
      <c r="O285" s="152"/>
      <c r="P285" s="152"/>
      <c r="Q285" s="152"/>
      <c r="R285" s="152"/>
    </row>
    <row r="286">
      <c r="A286" s="152"/>
      <c r="B286" s="152"/>
      <c r="C286" s="152"/>
      <c r="D286" s="152"/>
      <c r="E286" s="152"/>
      <c r="F286" s="143"/>
      <c r="G286" s="152"/>
      <c r="H286" s="152"/>
      <c r="I286" s="152"/>
      <c r="J286" s="152"/>
      <c r="K286" s="152"/>
      <c r="L286" s="152"/>
      <c r="M286" s="152"/>
      <c r="N286" s="152"/>
      <c r="O286" s="152"/>
      <c r="P286" s="152"/>
      <c r="Q286" s="152"/>
      <c r="R286" s="152"/>
    </row>
    <row r="287">
      <c r="A287" s="152"/>
      <c r="B287" s="152"/>
      <c r="C287" s="152"/>
      <c r="D287" s="152"/>
      <c r="E287" s="152"/>
      <c r="F287" s="143"/>
      <c r="G287" s="152"/>
      <c r="H287" s="152"/>
      <c r="I287" s="152"/>
      <c r="J287" s="152"/>
      <c r="K287" s="152"/>
      <c r="L287" s="152"/>
      <c r="M287" s="152"/>
      <c r="N287" s="152"/>
      <c r="O287" s="152"/>
      <c r="P287" s="152"/>
      <c r="Q287" s="152"/>
      <c r="R287" s="152"/>
    </row>
    <row r="288">
      <c r="A288" s="152"/>
      <c r="B288" s="152"/>
      <c r="C288" s="152"/>
      <c r="D288" s="152"/>
      <c r="E288" s="152"/>
      <c r="F288" s="143"/>
      <c r="G288" s="152"/>
      <c r="H288" s="152"/>
      <c r="I288" s="152"/>
      <c r="J288" s="152"/>
      <c r="K288" s="152"/>
      <c r="L288" s="152"/>
      <c r="M288" s="152"/>
      <c r="N288" s="152"/>
      <c r="O288" s="152"/>
      <c r="P288" s="152"/>
      <c r="Q288" s="152"/>
      <c r="R288" s="152"/>
    </row>
    <row r="289">
      <c r="A289" s="152"/>
      <c r="B289" s="152"/>
      <c r="C289" s="152"/>
      <c r="D289" s="152"/>
      <c r="E289" s="152"/>
      <c r="F289" s="143"/>
      <c r="G289" s="152"/>
      <c r="H289" s="152"/>
      <c r="I289" s="152"/>
      <c r="J289" s="152"/>
      <c r="K289" s="152"/>
      <c r="L289" s="152"/>
      <c r="M289" s="152"/>
      <c r="N289" s="152"/>
      <c r="O289" s="152"/>
      <c r="P289" s="152"/>
      <c r="Q289" s="152"/>
      <c r="R289" s="152"/>
    </row>
    <row r="290">
      <c r="A290" s="152"/>
      <c r="B290" s="152"/>
      <c r="C290" s="152"/>
      <c r="D290" s="152"/>
      <c r="E290" s="152"/>
      <c r="F290" s="143"/>
      <c r="G290" s="152"/>
      <c r="H290" s="152"/>
      <c r="I290" s="152"/>
      <c r="J290" s="152"/>
      <c r="K290" s="152"/>
      <c r="L290" s="152"/>
      <c r="M290" s="152"/>
      <c r="N290" s="152"/>
      <c r="O290" s="152"/>
      <c r="P290" s="152"/>
      <c r="Q290" s="152"/>
      <c r="R290" s="152"/>
    </row>
    <row r="291">
      <c r="A291" s="152"/>
      <c r="B291" s="152"/>
      <c r="C291" s="152"/>
      <c r="D291" s="152"/>
      <c r="E291" s="152"/>
      <c r="F291" s="143"/>
      <c r="G291" s="152"/>
      <c r="H291" s="152"/>
      <c r="I291" s="152"/>
      <c r="J291" s="152"/>
      <c r="K291" s="152"/>
      <c r="L291" s="152"/>
      <c r="M291" s="152"/>
      <c r="N291" s="152"/>
      <c r="O291" s="152"/>
      <c r="P291" s="152"/>
      <c r="Q291" s="152"/>
      <c r="R291" s="152"/>
    </row>
    <row r="292">
      <c r="A292" s="152"/>
      <c r="B292" s="152"/>
      <c r="C292" s="152"/>
      <c r="D292" s="152"/>
      <c r="E292" s="152"/>
      <c r="F292" s="143"/>
      <c r="G292" s="152"/>
      <c r="H292" s="152"/>
      <c r="I292" s="152"/>
      <c r="J292" s="152"/>
      <c r="K292" s="152"/>
      <c r="L292" s="152"/>
      <c r="M292" s="152"/>
      <c r="N292" s="152"/>
      <c r="O292" s="152"/>
      <c r="P292" s="152"/>
      <c r="Q292" s="152"/>
      <c r="R292" s="152"/>
    </row>
    <row r="293">
      <c r="A293" s="152"/>
      <c r="B293" s="152"/>
      <c r="C293" s="152"/>
      <c r="D293" s="152"/>
      <c r="E293" s="152"/>
      <c r="F293" s="143"/>
      <c r="G293" s="152"/>
      <c r="H293" s="152"/>
      <c r="I293" s="152"/>
      <c r="J293" s="152"/>
      <c r="K293" s="152"/>
      <c r="L293" s="152"/>
      <c r="M293" s="152"/>
      <c r="N293" s="152"/>
      <c r="O293" s="152"/>
      <c r="P293" s="152"/>
      <c r="Q293" s="152"/>
      <c r="R293" s="152"/>
    </row>
    <row r="294">
      <c r="A294" s="152"/>
      <c r="B294" s="152"/>
      <c r="C294" s="152"/>
      <c r="D294" s="152"/>
      <c r="E294" s="152"/>
      <c r="F294" s="143"/>
      <c r="G294" s="152"/>
      <c r="H294" s="152"/>
      <c r="I294" s="152"/>
      <c r="J294" s="152"/>
      <c r="K294" s="152"/>
      <c r="L294" s="152"/>
      <c r="M294" s="152"/>
      <c r="N294" s="152"/>
      <c r="O294" s="152"/>
      <c r="P294" s="152"/>
      <c r="Q294" s="152"/>
      <c r="R294" s="152"/>
    </row>
    <row r="295">
      <c r="A295" s="152"/>
      <c r="B295" s="152"/>
      <c r="C295" s="152"/>
      <c r="D295" s="152"/>
      <c r="E295" s="152"/>
      <c r="F295" s="143"/>
      <c r="G295" s="152"/>
      <c r="H295" s="152"/>
      <c r="I295" s="152"/>
      <c r="J295" s="152"/>
      <c r="K295" s="152"/>
      <c r="L295" s="152"/>
      <c r="M295" s="152"/>
      <c r="N295" s="152"/>
      <c r="O295" s="152"/>
      <c r="P295" s="152"/>
      <c r="Q295" s="152"/>
      <c r="R295" s="152"/>
    </row>
    <row r="296">
      <c r="A296" s="152"/>
      <c r="B296" s="152"/>
      <c r="C296" s="152"/>
      <c r="D296" s="152"/>
      <c r="E296" s="152"/>
      <c r="F296" s="143"/>
      <c r="G296" s="152"/>
      <c r="H296" s="152"/>
      <c r="I296" s="152"/>
      <c r="J296" s="152"/>
      <c r="K296" s="152"/>
      <c r="L296" s="152"/>
      <c r="M296" s="152"/>
      <c r="N296" s="152"/>
      <c r="O296" s="152"/>
      <c r="P296" s="152"/>
      <c r="Q296" s="152"/>
      <c r="R296" s="152"/>
    </row>
    <row r="297">
      <c r="A297" s="152"/>
      <c r="B297" s="152"/>
      <c r="C297" s="152"/>
      <c r="D297" s="152"/>
      <c r="E297" s="152"/>
      <c r="F297" s="143"/>
      <c r="G297" s="152"/>
      <c r="H297" s="152"/>
      <c r="I297" s="152"/>
      <c r="J297" s="152"/>
      <c r="K297" s="152"/>
      <c r="L297" s="152"/>
      <c r="M297" s="152"/>
      <c r="N297" s="152"/>
      <c r="O297" s="152"/>
      <c r="P297" s="152"/>
      <c r="Q297" s="152"/>
      <c r="R297" s="152"/>
    </row>
    <row r="298">
      <c r="A298" s="152"/>
      <c r="B298" s="152"/>
      <c r="C298" s="152"/>
      <c r="D298" s="152"/>
      <c r="E298" s="152"/>
      <c r="F298" s="143"/>
      <c r="G298" s="152"/>
      <c r="H298" s="152"/>
      <c r="I298" s="152"/>
      <c r="J298" s="152"/>
      <c r="K298" s="152"/>
      <c r="L298" s="152"/>
      <c r="M298" s="152"/>
      <c r="N298" s="152"/>
      <c r="O298" s="152"/>
      <c r="P298" s="152"/>
      <c r="Q298" s="152"/>
      <c r="R298" s="152"/>
    </row>
    <row r="299">
      <c r="A299" s="152"/>
      <c r="B299" s="152"/>
      <c r="C299" s="152"/>
      <c r="D299" s="152"/>
      <c r="E299" s="152"/>
      <c r="F299" s="143"/>
      <c r="G299" s="152"/>
      <c r="H299" s="152"/>
      <c r="I299" s="152"/>
      <c r="J299" s="152"/>
      <c r="K299" s="152"/>
      <c r="L299" s="152"/>
      <c r="M299" s="152"/>
      <c r="N299" s="152"/>
      <c r="O299" s="152"/>
      <c r="P299" s="152"/>
      <c r="Q299" s="152"/>
      <c r="R299" s="152"/>
    </row>
    <row r="300">
      <c r="A300" s="152"/>
      <c r="B300" s="152"/>
      <c r="C300" s="152"/>
      <c r="D300" s="152"/>
      <c r="E300" s="152"/>
      <c r="F300" s="143"/>
      <c r="G300" s="152"/>
      <c r="H300" s="152"/>
      <c r="I300" s="152"/>
      <c r="J300" s="152"/>
      <c r="K300" s="152"/>
      <c r="L300" s="152"/>
      <c r="M300" s="152"/>
      <c r="N300" s="152"/>
      <c r="O300" s="152"/>
      <c r="P300" s="152"/>
      <c r="Q300" s="152"/>
      <c r="R300" s="152"/>
    </row>
    <row r="301">
      <c r="A301" s="152"/>
      <c r="B301" s="152"/>
      <c r="C301" s="152"/>
      <c r="D301" s="152"/>
      <c r="E301" s="152"/>
      <c r="F301" s="143"/>
      <c r="G301" s="152"/>
      <c r="H301" s="152"/>
      <c r="I301" s="152"/>
      <c r="J301" s="152"/>
      <c r="K301" s="152"/>
      <c r="L301" s="152"/>
      <c r="M301" s="152"/>
      <c r="N301" s="152"/>
      <c r="O301" s="152"/>
      <c r="P301" s="152"/>
      <c r="Q301" s="152"/>
      <c r="R301" s="152"/>
    </row>
    <row r="302">
      <c r="A302" s="152"/>
      <c r="B302" s="152"/>
      <c r="C302" s="152"/>
      <c r="D302" s="152"/>
      <c r="E302" s="152"/>
      <c r="F302" s="143"/>
      <c r="G302" s="152"/>
      <c r="H302" s="152"/>
      <c r="I302" s="152"/>
      <c r="J302" s="152"/>
      <c r="K302" s="152"/>
      <c r="L302" s="152"/>
      <c r="M302" s="152"/>
      <c r="N302" s="152"/>
      <c r="O302" s="152"/>
      <c r="P302" s="152"/>
      <c r="Q302" s="152"/>
      <c r="R302" s="152"/>
    </row>
    <row r="303">
      <c r="A303" s="152"/>
      <c r="B303" s="152"/>
      <c r="C303" s="152"/>
      <c r="D303" s="152"/>
      <c r="E303" s="152"/>
      <c r="F303" s="143"/>
      <c r="G303" s="152"/>
      <c r="H303" s="152"/>
      <c r="I303" s="152"/>
      <c r="J303" s="152"/>
      <c r="K303" s="152"/>
      <c r="L303" s="152"/>
      <c r="M303" s="152"/>
      <c r="N303" s="152"/>
      <c r="O303" s="152"/>
      <c r="P303" s="152"/>
      <c r="Q303" s="152"/>
      <c r="R303" s="152"/>
    </row>
    <row r="304">
      <c r="A304" s="152"/>
      <c r="B304" s="152"/>
      <c r="C304" s="152"/>
      <c r="D304" s="152"/>
      <c r="E304" s="152"/>
      <c r="F304" s="143"/>
      <c r="G304" s="152"/>
      <c r="H304" s="152"/>
      <c r="I304" s="152"/>
      <c r="J304" s="152"/>
      <c r="K304" s="152"/>
      <c r="L304" s="152"/>
      <c r="M304" s="152"/>
      <c r="N304" s="152"/>
      <c r="O304" s="152"/>
      <c r="P304" s="152"/>
      <c r="Q304" s="152"/>
      <c r="R304" s="152"/>
    </row>
    <row r="305">
      <c r="A305" s="152"/>
      <c r="B305" s="152"/>
      <c r="C305" s="152"/>
      <c r="D305" s="152"/>
      <c r="E305" s="152"/>
      <c r="F305" s="143"/>
      <c r="G305" s="152"/>
      <c r="H305" s="152"/>
      <c r="I305" s="152"/>
      <c r="J305" s="152"/>
      <c r="K305" s="152"/>
      <c r="L305" s="152"/>
      <c r="M305" s="152"/>
      <c r="N305" s="152"/>
      <c r="O305" s="152"/>
      <c r="P305" s="152"/>
      <c r="Q305" s="152"/>
      <c r="R305" s="152"/>
    </row>
    <row r="306">
      <c r="A306" s="152"/>
      <c r="B306" s="152"/>
      <c r="C306" s="152"/>
      <c r="D306" s="152"/>
      <c r="E306" s="152"/>
      <c r="F306" s="143"/>
      <c r="G306" s="152"/>
      <c r="H306" s="152"/>
      <c r="I306" s="152"/>
      <c r="J306" s="152"/>
      <c r="K306" s="152"/>
      <c r="L306" s="152"/>
      <c r="M306" s="152"/>
      <c r="N306" s="152"/>
      <c r="O306" s="152"/>
      <c r="P306" s="152"/>
      <c r="Q306" s="152"/>
      <c r="R306" s="152"/>
    </row>
    <row r="307">
      <c r="A307" s="152"/>
      <c r="B307" s="152"/>
      <c r="C307" s="152"/>
      <c r="D307" s="152"/>
      <c r="E307" s="152"/>
      <c r="F307" s="143"/>
      <c r="G307" s="152"/>
      <c r="H307" s="152"/>
      <c r="I307" s="152"/>
      <c r="J307" s="152"/>
      <c r="K307" s="152"/>
      <c r="L307" s="152"/>
      <c r="M307" s="152"/>
      <c r="N307" s="152"/>
      <c r="O307" s="152"/>
      <c r="P307" s="152"/>
      <c r="Q307" s="152"/>
      <c r="R307" s="152"/>
    </row>
    <row r="308">
      <c r="A308" s="152"/>
      <c r="B308" s="152"/>
      <c r="C308" s="152"/>
      <c r="D308" s="152"/>
      <c r="E308" s="152"/>
      <c r="F308" s="143"/>
      <c r="G308" s="152"/>
      <c r="H308" s="152"/>
      <c r="I308" s="152"/>
      <c r="J308" s="152"/>
      <c r="K308" s="152"/>
      <c r="L308" s="152"/>
      <c r="M308" s="152"/>
      <c r="N308" s="152"/>
      <c r="O308" s="152"/>
      <c r="P308" s="152"/>
      <c r="Q308" s="152"/>
      <c r="R308" s="152"/>
    </row>
    <row r="309">
      <c r="A309" s="152"/>
      <c r="B309" s="152"/>
      <c r="C309" s="152"/>
      <c r="D309" s="152"/>
      <c r="E309" s="152"/>
      <c r="F309" s="143"/>
      <c r="G309" s="152"/>
      <c r="H309" s="152"/>
      <c r="I309" s="152"/>
      <c r="J309" s="152"/>
      <c r="K309" s="152"/>
      <c r="L309" s="152"/>
      <c r="M309" s="152"/>
      <c r="N309" s="152"/>
      <c r="O309" s="152"/>
      <c r="P309" s="152"/>
      <c r="Q309" s="152"/>
      <c r="R309" s="152"/>
    </row>
    <row r="310">
      <c r="A310" s="152"/>
      <c r="B310" s="152"/>
      <c r="C310" s="152"/>
      <c r="D310" s="152"/>
      <c r="E310" s="152"/>
      <c r="F310" s="143"/>
      <c r="G310" s="152"/>
      <c r="H310" s="152"/>
      <c r="I310" s="152"/>
      <c r="J310" s="152"/>
      <c r="K310" s="152"/>
      <c r="L310" s="152"/>
      <c r="M310" s="152"/>
      <c r="N310" s="152"/>
      <c r="O310" s="152"/>
      <c r="P310" s="152"/>
      <c r="Q310" s="152"/>
      <c r="R310" s="152"/>
    </row>
    <row r="311">
      <c r="A311" s="152"/>
      <c r="B311" s="152"/>
      <c r="C311" s="152"/>
      <c r="D311" s="152"/>
      <c r="E311" s="152"/>
      <c r="F311" s="143"/>
      <c r="G311" s="152"/>
      <c r="H311" s="152"/>
      <c r="I311" s="152"/>
      <c r="J311" s="152"/>
      <c r="K311" s="152"/>
      <c r="L311" s="152"/>
      <c r="M311" s="152"/>
      <c r="N311" s="152"/>
      <c r="O311" s="152"/>
      <c r="P311" s="152"/>
      <c r="Q311" s="152"/>
      <c r="R311" s="152"/>
    </row>
    <row r="312">
      <c r="A312" s="152"/>
      <c r="B312" s="152"/>
      <c r="C312" s="152"/>
      <c r="D312" s="152"/>
      <c r="E312" s="152"/>
      <c r="F312" s="143"/>
      <c r="G312" s="152"/>
      <c r="H312" s="152"/>
      <c r="I312" s="152"/>
      <c r="J312" s="152"/>
      <c r="K312" s="152"/>
      <c r="L312" s="152"/>
      <c r="M312" s="152"/>
      <c r="N312" s="152"/>
      <c r="O312" s="152"/>
      <c r="P312" s="152"/>
      <c r="Q312" s="152"/>
      <c r="R312" s="152"/>
    </row>
    <row r="313">
      <c r="A313" s="152"/>
      <c r="B313" s="152"/>
      <c r="C313" s="152"/>
      <c r="D313" s="152"/>
      <c r="E313" s="152"/>
      <c r="F313" s="143"/>
      <c r="G313" s="152"/>
      <c r="H313" s="152"/>
      <c r="I313" s="152"/>
      <c r="J313" s="152"/>
      <c r="K313" s="152"/>
      <c r="L313" s="152"/>
      <c r="M313" s="152"/>
      <c r="N313" s="152"/>
      <c r="O313" s="152"/>
      <c r="P313" s="152"/>
      <c r="Q313" s="152"/>
      <c r="R313" s="152"/>
    </row>
    <row r="314">
      <c r="A314" s="152"/>
      <c r="B314" s="152"/>
      <c r="C314" s="152"/>
      <c r="D314" s="152"/>
      <c r="E314" s="152"/>
      <c r="F314" s="143"/>
      <c r="G314" s="152"/>
      <c r="H314" s="152"/>
      <c r="I314" s="152"/>
      <c r="J314" s="152"/>
      <c r="K314" s="152"/>
      <c r="L314" s="152"/>
      <c r="M314" s="152"/>
      <c r="N314" s="152"/>
      <c r="O314" s="152"/>
      <c r="P314" s="152"/>
      <c r="Q314" s="152"/>
      <c r="R314" s="152"/>
    </row>
    <row r="315">
      <c r="A315" s="152"/>
      <c r="B315" s="152"/>
      <c r="C315" s="152"/>
      <c r="D315" s="152"/>
      <c r="E315" s="152"/>
      <c r="F315" s="143"/>
      <c r="G315" s="152"/>
      <c r="H315" s="152"/>
      <c r="I315" s="152"/>
      <c r="J315" s="152"/>
      <c r="K315" s="152"/>
      <c r="L315" s="152"/>
      <c r="M315" s="152"/>
      <c r="N315" s="152"/>
      <c r="O315" s="152"/>
      <c r="P315" s="152"/>
      <c r="Q315" s="152"/>
      <c r="R315" s="152"/>
    </row>
    <row r="316">
      <c r="A316" s="152"/>
      <c r="B316" s="152"/>
      <c r="C316" s="152"/>
      <c r="D316" s="152"/>
      <c r="E316" s="152"/>
      <c r="F316" s="143"/>
      <c r="G316" s="152"/>
      <c r="H316" s="152"/>
      <c r="I316" s="152"/>
      <c r="J316" s="152"/>
      <c r="K316" s="152"/>
      <c r="L316" s="152"/>
      <c r="M316" s="152"/>
      <c r="N316" s="152"/>
      <c r="O316" s="152"/>
      <c r="P316" s="152"/>
      <c r="Q316" s="152"/>
      <c r="R316" s="152"/>
    </row>
    <row r="317">
      <c r="A317" s="152"/>
      <c r="B317" s="152"/>
      <c r="C317" s="152"/>
      <c r="D317" s="152"/>
      <c r="E317" s="152"/>
      <c r="F317" s="143"/>
      <c r="G317" s="152"/>
      <c r="H317" s="152"/>
      <c r="I317" s="152"/>
      <c r="J317" s="152"/>
      <c r="K317" s="152"/>
      <c r="L317" s="152"/>
      <c r="M317" s="152"/>
      <c r="N317" s="152"/>
      <c r="O317" s="152"/>
      <c r="P317" s="152"/>
      <c r="Q317" s="152"/>
      <c r="R317" s="152"/>
    </row>
    <row r="318">
      <c r="A318" s="152"/>
      <c r="B318" s="152"/>
      <c r="C318" s="152"/>
      <c r="D318" s="152"/>
      <c r="E318" s="152"/>
      <c r="F318" s="143"/>
      <c r="G318" s="152"/>
      <c r="H318" s="152"/>
      <c r="I318" s="152"/>
      <c r="J318" s="152"/>
      <c r="K318" s="152"/>
      <c r="L318" s="152"/>
      <c r="M318" s="152"/>
      <c r="N318" s="152"/>
      <c r="O318" s="152"/>
      <c r="P318" s="152"/>
      <c r="Q318" s="152"/>
      <c r="R318" s="152"/>
    </row>
    <row r="319">
      <c r="A319" s="152"/>
      <c r="B319" s="152"/>
      <c r="C319" s="152"/>
      <c r="D319" s="152"/>
      <c r="E319" s="152"/>
      <c r="F319" s="143"/>
      <c r="G319" s="152"/>
      <c r="H319" s="152"/>
      <c r="I319" s="152"/>
      <c r="J319" s="152"/>
      <c r="K319" s="152"/>
      <c r="L319" s="152"/>
      <c r="M319" s="152"/>
      <c r="N319" s="152"/>
      <c r="O319" s="152"/>
      <c r="P319" s="152"/>
      <c r="Q319" s="152"/>
      <c r="R319" s="152"/>
    </row>
    <row r="320">
      <c r="A320" s="152"/>
      <c r="B320" s="152"/>
      <c r="C320" s="152"/>
      <c r="D320" s="152"/>
      <c r="E320" s="152"/>
      <c r="F320" s="143"/>
      <c r="G320" s="152"/>
      <c r="H320" s="152"/>
      <c r="I320" s="152"/>
      <c r="J320" s="152"/>
      <c r="K320" s="152"/>
      <c r="L320" s="152"/>
      <c r="M320" s="152"/>
      <c r="N320" s="152"/>
      <c r="O320" s="152"/>
      <c r="P320" s="152"/>
      <c r="Q320" s="152"/>
      <c r="R320" s="152"/>
    </row>
    <row r="321">
      <c r="A321" s="152"/>
      <c r="B321" s="152"/>
      <c r="C321" s="152"/>
      <c r="D321" s="152"/>
      <c r="E321" s="152"/>
      <c r="F321" s="143"/>
      <c r="G321" s="152"/>
      <c r="H321" s="152"/>
      <c r="I321" s="152"/>
      <c r="J321" s="152"/>
      <c r="K321" s="152"/>
      <c r="L321" s="152"/>
      <c r="M321" s="152"/>
      <c r="N321" s="152"/>
      <c r="O321" s="152"/>
      <c r="P321" s="152"/>
      <c r="Q321" s="152"/>
      <c r="R321" s="152"/>
    </row>
    <row r="322">
      <c r="A322" s="152"/>
      <c r="B322" s="152"/>
      <c r="C322" s="152"/>
      <c r="D322" s="152"/>
      <c r="E322" s="152"/>
      <c r="F322" s="143"/>
      <c r="G322" s="152"/>
      <c r="H322" s="152"/>
      <c r="I322" s="152"/>
      <c r="J322" s="152"/>
      <c r="K322" s="152"/>
      <c r="L322" s="152"/>
      <c r="M322" s="152"/>
      <c r="N322" s="152"/>
      <c r="O322" s="152"/>
      <c r="P322" s="152"/>
      <c r="Q322" s="152"/>
      <c r="R322" s="152"/>
    </row>
    <row r="323">
      <c r="A323" s="152"/>
      <c r="B323" s="152"/>
      <c r="C323" s="152"/>
      <c r="D323" s="152"/>
      <c r="E323" s="152"/>
      <c r="F323" s="143"/>
      <c r="G323" s="152"/>
      <c r="H323" s="152"/>
      <c r="I323" s="152"/>
      <c r="J323" s="152"/>
      <c r="K323" s="152"/>
      <c r="L323" s="152"/>
      <c r="M323" s="152"/>
      <c r="N323" s="152"/>
      <c r="O323" s="152"/>
      <c r="P323" s="152"/>
      <c r="Q323" s="152"/>
      <c r="R323" s="152"/>
    </row>
    <row r="324">
      <c r="A324" s="152"/>
      <c r="B324" s="152"/>
      <c r="C324" s="152"/>
      <c r="D324" s="152"/>
      <c r="E324" s="152"/>
      <c r="F324" s="143"/>
      <c r="G324" s="152"/>
      <c r="H324" s="152"/>
      <c r="I324" s="152"/>
      <c r="J324" s="152"/>
      <c r="K324" s="152"/>
      <c r="L324" s="152"/>
      <c r="M324" s="152"/>
      <c r="N324" s="152"/>
      <c r="O324" s="152"/>
      <c r="P324" s="152"/>
      <c r="Q324" s="152"/>
      <c r="R324" s="152"/>
    </row>
    <row r="325">
      <c r="A325" s="152"/>
      <c r="B325" s="152"/>
      <c r="C325" s="152"/>
      <c r="D325" s="152"/>
      <c r="E325" s="152"/>
      <c r="F325" s="143"/>
      <c r="G325" s="152"/>
      <c r="H325" s="152"/>
      <c r="I325" s="152"/>
      <c r="J325" s="152"/>
      <c r="K325" s="152"/>
      <c r="L325" s="152"/>
      <c r="M325" s="152"/>
      <c r="N325" s="152"/>
      <c r="O325" s="152"/>
      <c r="P325" s="152"/>
      <c r="Q325" s="152"/>
      <c r="R325" s="152"/>
    </row>
    <row r="326">
      <c r="A326" s="152"/>
      <c r="B326" s="152"/>
      <c r="C326" s="152"/>
      <c r="D326" s="152"/>
      <c r="E326" s="152"/>
      <c r="F326" s="143"/>
      <c r="G326" s="152"/>
      <c r="H326" s="152"/>
      <c r="I326" s="152"/>
      <c r="J326" s="152"/>
      <c r="K326" s="152"/>
      <c r="L326" s="152"/>
      <c r="M326" s="152"/>
      <c r="N326" s="152"/>
      <c r="O326" s="152"/>
      <c r="P326" s="152"/>
      <c r="Q326" s="152"/>
      <c r="R326" s="152"/>
    </row>
    <row r="327">
      <c r="A327" s="152"/>
      <c r="B327" s="152"/>
      <c r="C327" s="152"/>
      <c r="D327" s="152"/>
      <c r="E327" s="152"/>
      <c r="F327" s="143"/>
      <c r="G327" s="152"/>
      <c r="H327" s="152"/>
      <c r="I327" s="152"/>
      <c r="J327" s="152"/>
      <c r="K327" s="152"/>
      <c r="L327" s="152"/>
      <c r="M327" s="152"/>
      <c r="N327" s="152"/>
      <c r="O327" s="152"/>
      <c r="P327" s="152"/>
      <c r="Q327" s="152"/>
      <c r="R327" s="152"/>
    </row>
    <row r="328">
      <c r="A328" s="152"/>
      <c r="B328" s="152"/>
      <c r="C328" s="152"/>
      <c r="D328" s="152"/>
      <c r="E328" s="152"/>
      <c r="F328" s="143"/>
      <c r="G328" s="152"/>
      <c r="H328" s="152"/>
      <c r="I328" s="152"/>
      <c r="J328" s="152"/>
      <c r="K328" s="152"/>
      <c r="L328" s="152"/>
      <c r="M328" s="152"/>
      <c r="N328" s="152"/>
      <c r="O328" s="152"/>
      <c r="P328" s="152"/>
      <c r="Q328" s="152"/>
      <c r="R328" s="152"/>
    </row>
    <row r="329">
      <c r="A329" s="152"/>
      <c r="B329" s="152"/>
      <c r="C329" s="152"/>
      <c r="D329" s="152"/>
      <c r="E329" s="152"/>
      <c r="F329" s="143"/>
      <c r="G329" s="152"/>
      <c r="H329" s="152"/>
      <c r="I329" s="152"/>
      <c r="J329" s="152"/>
      <c r="K329" s="152"/>
      <c r="L329" s="152"/>
      <c r="M329" s="152"/>
      <c r="N329" s="152"/>
      <c r="O329" s="152"/>
      <c r="P329" s="152"/>
      <c r="Q329" s="152"/>
      <c r="R329" s="152"/>
    </row>
    <row r="330">
      <c r="A330" s="152"/>
      <c r="B330" s="152"/>
      <c r="C330" s="152"/>
      <c r="D330" s="152"/>
      <c r="E330" s="152"/>
      <c r="F330" s="143"/>
      <c r="G330" s="152"/>
      <c r="H330" s="152"/>
      <c r="I330" s="152"/>
      <c r="J330" s="152"/>
      <c r="K330" s="152"/>
      <c r="L330" s="152"/>
      <c r="M330" s="152"/>
      <c r="N330" s="152"/>
      <c r="O330" s="152"/>
      <c r="P330" s="152"/>
      <c r="Q330" s="152"/>
      <c r="R330" s="152"/>
    </row>
    <row r="331">
      <c r="A331" s="152"/>
      <c r="B331" s="152"/>
      <c r="C331" s="152"/>
      <c r="D331" s="152"/>
      <c r="E331" s="152"/>
      <c r="F331" s="143"/>
      <c r="G331" s="152"/>
      <c r="H331" s="152"/>
      <c r="I331" s="152"/>
      <c r="J331" s="152"/>
      <c r="K331" s="152"/>
      <c r="L331" s="152"/>
      <c r="M331" s="152"/>
      <c r="N331" s="152"/>
      <c r="O331" s="152"/>
      <c r="P331" s="152"/>
      <c r="Q331" s="152"/>
      <c r="R331" s="152"/>
    </row>
    <row r="332">
      <c r="A332" s="152"/>
      <c r="B332" s="152"/>
      <c r="C332" s="152"/>
      <c r="D332" s="152"/>
      <c r="E332" s="152"/>
      <c r="F332" s="143"/>
      <c r="G332" s="152"/>
      <c r="H332" s="152"/>
      <c r="I332" s="152"/>
      <c r="J332" s="152"/>
      <c r="K332" s="152"/>
      <c r="L332" s="152"/>
      <c r="M332" s="152"/>
      <c r="N332" s="152"/>
      <c r="O332" s="152"/>
      <c r="P332" s="152"/>
      <c r="Q332" s="152"/>
      <c r="R332" s="152"/>
    </row>
    <row r="333">
      <c r="A333" s="152"/>
      <c r="B333" s="152"/>
      <c r="C333" s="152"/>
      <c r="D333" s="152"/>
      <c r="E333" s="152"/>
      <c r="F333" s="143"/>
      <c r="G333" s="152"/>
      <c r="H333" s="152"/>
      <c r="I333" s="152"/>
      <c r="J333" s="152"/>
      <c r="K333" s="152"/>
      <c r="L333" s="152"/>
      <c r="M333" s="152"/>
      <c r="N333" s="152"/>
      <c r="O333" s="152"/>
      <c r="P333" s="152"/>
      <c r="Q333" s="152"/>
      <c r="R333" s="152"/>
    </row>
    <row r="334">
      <c r="A334" s="152"/>
      <c r="B334" s="152"/>
      <c r="C334" s="152"/>
      <c r="D334" s="152"/>
      <c r="E334" s="152"/>
      <c r="F334" s="143"/>
      <c r="G334" s="152"/>
      <c r="H334" s="152"/>
      <c r="I334" s="152"/>
      <c r="J334" s="152"/>
      <c r="K334" s="152"/>
      <c r="L334" s="152"/>
      <c r="M334" s="152"/>
      <c r="N334" s="152"/>
      <c r="O334" s="152"/>
      <c r="P334" s="152"/>
      <c r="Q334" s="152"/>
      <c r="R334" s="152"/>
    </row>
    <row r="335">
      <c r="A335" s="152"/>
      <c r="B335" s="152"/>
      <c r="C335" s="152"/>
      <c r="D335" s="152"/>
      <c r="E335" s="152"/>
      <c r="F335" s="143"/>
      <c r="G335" s="152"/>
      <c r="H335" s="152"/>
      <c r="I335" s="152"/>
      <c r="J335" s="152"/>
      <c r="K335" s="152"/>
      <c r="L335" s="152"/>
      <c r="M335" s="152"/>
      <c r="N335" s="152"/>
      <c r="O335" s="152"/>
      <c r="P335" s="152"/>
      <c r="Q335" s="152"/>
      <c r="R335" s="152"/>
    </row>
    <row r="336">
      <c r="A336" s="152"/>
      <c r="B336" s="152"/>
      <c r="C336" s="152"/>
      <c r="D336" s="152"/>
      <c r="E336" s="152"/>
      <c r="F336" s="143"/>
      <c r="G336" s="152"/>
      <c r="H336" s="152"/>
      <c r="I336" s="152"/>
      <c r="J336" s="152"/>
      <c r="K336" s="152"/>
      <c r="L336" s="152"/>
      <c r="M336" s="152"/>
      <c r="N336" s="152"/>
      <c r="O336" s="152"/>
      <c r="P336" s="152"/>
      <c r="Q336" s="152"/>
      <c r="R336" s="152"/>
    </row>
    <row r="337">
      <c r="A337" s="152"/>
      <c r="B337" s="152"/>
      <c r="C337" s="152"/>
      <c r="D337" s="152"/>
      <c r="E337" s="152"/>
      <c r="F337" s="143"/>
      <c r="G337" s="152"/>
      <c r="H337" s="152"/>
      <c r="I337" s="152"/>
      <c r="J337" s="152"/>
      <c r="K337" s="152"/>
      <c r="L337" s="152"/>
      <c r="M337" s="152"/>
      <c r="N337" s="152"/>
      <c r="O337" s="152"/>
      <c r="P337" s="152"/>
      <c r="Q337" s="152"/>
      <c r="R337" s="152"/>
    </row>
    <row r="338">
      <c r="A338" s="152"/>
      <c r="B338" s="152"/>
      <c r="C338" s="152"/>
      <c r="D338" s="152"/>
      <c r="E338" s="152"/>
      <c r="F338" s="143"/>
      <c r="G338" s="152"/>
      <c r="H338" s="152"/>
      <c r="I338" s="152"/>
      <c r="J338" s="152"/>
      <c r="K338" s="152"/>
      <c r="L338" s="152"/>
      <c r="M338" s="152"/>
      <c r="N338" s="152"/>
      <c r="O338" s="152"/>
      <c r="P338" s="152"/>
      <c r="Q338" s="152"/>
      <c r="R338" s="152"/>
    </row>
    <row r="339">
      <c r="A339" s="152"/>
      <c r="B339" s="152"/>
      <c r="C339" s="152"/>
      <c r="D339" s="152"/>
      <c r="E339" s="152"/>
      <c r="F339" s="143"/>
      <c r="G339" s="152"/>
      <c r="H339" s="152"/>
      <c r="I339" s="152"/>
      <c r="J339" s="152"/>
      <c r="K339" s="152"/>
      <c r="L339" s="152"/>
      <c r="M339" s="152"/>
      <c r="N339" s="152"/>
      <c r="O339" s="152"/>
      <c r="P339" s="152"/>
      <c r="Q339" s="152"/>
      <c r="R339" s="152"/>
    </row>
    <row r="340">
      <c r="A340" s="152"/>
      <c r="B340" s="152"/>
      <c r="C340" s="152"/>
      <c r="D340" s="152"/>
      <c r="E340" s="152"/>
      <c r="F340" s="143"/>
      <c r="G340" s="152"/>
      <c r="H340" s="152"/>
      <c r="I340" s="152"/>
      <c r="J340" s="152"/>
      <c r="K340" s="152"/>
      <c r="L340" s="152"/>
      <c r="M340" s="152"/>
      <c r="N340" s="152"/>
      <c r="O340" s="152"/>
      <c r="P340" s="152"/>
      <c r="Q340" s="152"/>
      <c r="R340" s="152"/>
    </row>
    <row r="341">
      <c r="A341" s="152"/>
      <c r="B341" s="152"/>
      <c r="C341" s="152"/>
      <c r="D341" s="152"/>
      <c r="E341" s="152"/>
      <c r="F341" s="143"/>
      <c r="G341" s="152"/>
      <c r="H341" s="152"/>
      <c r="I341" s="152"/>
      <c r="J341" s="152"/>
      <c r="K341" s="152"/>
      <c r="L341" s="152"/>
      <c r="M341" s="152"/>
      <c r="N341" s="152"/>
      <c r="O341" s="152"/>
      <c r="P341" s="152"/>
      <c r="Q341" s="152"/>
      <c r="R341" s="152"/>
    </row>
    <row r="342">
      <c r="A342" s="152"/>
      <c r="B342" s="152"/>
      <c r="C342" s="152"/>
      <c r="D342" s="152"/>
      <c r="E342" s="152"/>
      <c r="F342" s="143"/>
      <c r="G342" s="152"/>
      <c r="H342" s="152"/>
      <c r="I342" s="152"/>
      <c r="J342" s="152"/>
      <c r="K342" s="152"/>
      <c r="L342" s="152"/>
      <c r="M342" s="152"/>
      <c r="N342" s="152"/>
      <c r="O342" s="152"/>
      <c r="P342" s="152"/>
      <c r="Q342" s="152"/>
      <c r="R342" s="152"/>
    </row>
    <row r="343">
      <c r="A343" s="152"/>
      <c r="B343" s="152"/>
      <c r="C343" s="152"/>
      <c r="D343" s="152"/>
      <c r="E343" s="152"/>
      <c r="F343" s="143"/>
      <c r="G343" s="152"/>
      <c r="H343" s="152"/>
      <c r="I343" s="152"/>
      <c r="J343" s="152"/>
      <c r="K343" s="152"/>
      <c r="L343" s="152"/>
      <c r="M343" s="152"/>
      <c r="N343" s="152"/>
      <c r="O343" s="152"/>
      <c r="P343" s="152"/>
      <c r="Q343" s="152"/>
      <c r="R343" s="152"/>
    </row>
    <row r="344">
      <c r="A344" s="152"/>
      <c r="B344" s="152"/>
      <c r="C344" s="152"/>
      <c r="D344" s="152"/>
      <c r="E344" s="152"/>
      <c r="F344" s="143"/>
      <c r="G344" s="152"/>
      <c r="H344" s="152"/>
      <c r="I344" s="152"/>
      <c r="J344" s="152"/>
      <c r="K344" s="152"/>
      <c r="L344" s="152"/>
      <c r="M344" s="152"/>
      <c r="N344" s="152"/>
      <c r="O344" s="152"/>
      <c r="P344" s="152"/>
      <c r="Q344" s="152"/>
      <c r="R344" s="152"/>
    </row>
    <row r="345">
      <c r="A345" s="152"/>
      <c r="B345" s="152"/>
      <c r="C345" s="152"/>
      <c r="D345" s="152"/>
      <c r="E345" s="152"/>
      <c r="F345" s="143"/>
      <c r="G345" s="152"/>
      <c r="H345" s="152"/>
      <c r="I345" s="152"/>
      <c r="J345" s="152"/>
      <c r="K345" s="152"/>
      <c r="L345" s="152"/>
      <c r="M345" s="152"/>
      <c r="N345" s="152"/>
      <c r="O345" s="152"/>
      <c r="P345" s="152"/>
      <c r="Q345" s="152"/>
      <c r="R345" s="152"/>
    </row>
    <row r="346">
      <c r="A346" s="152"/>
      <c r="B346" s="152"/>
      <c r="C346" s="152"/>
      <c r="D346" s="152"/>
      <c r="E346" s="152"/>
      <c r="F346" s="143"/>
      <c r="G346" s="152"/>
      <c r="H346" s="152"/>
      <c r="I346" s="152"/>
      <c r="J346" s="152"/>
      <c r="K346" s="152"/>
      <c r="L346" s="152"/>
      <c r="M346" s="152"/>
      <c r="N346" s="152"/>
      <c r="O346" s="152"/>
      <c r="P346" s="152"/>
      <c r="Q346" s="152"/>
      <c r="R346" s="152"/>
    </row>
    <row r="347">
      <c r="A347" s="152"/>
      <c r="B347" s="152"/>
      <c r="C347" s="152"/>
      <c r="D347" s="152"/>
      <c r="E347" s="152"/>
      <c r="F347" s="143"/>
      <c r="G347" s="152"/>
      <c r="H347" s="152"/>
      <c r="I347" s="152"/>
      <c r="J347" s="152"/>
      <c r="K347" s="152"/>
      <c r="L347" s="152"/>
      <c r="M347" s="152"/>
      <c r="N347" s="152"/>
      <c r="O347" s="152"/>
      <c r="P347" s="152"/>
      <c r="Q347" s="152"/>
      <c r="R347" s="152"/>
    </row>
    <row r="348">
      <c r="A348" s="152"/>
      <c r="B348" s="152"/>
      <c r="C348" s="152"/>
      <c r="D348" s="152"/>
      <c r="E348" s="152"/>
      <c r="F348" s="143"/>
      <c r="G348" s="152"/>
      <c r="H348" s="152"/>
      <c r="I348" s="152"/>
      <c r="J348" s="152"/>
      <c r="K348" s="152"/>
      <c r="L348" s="152"/>
      <c r="M348" s="152"/>
      <c r="N348" s="152"/>
      <c r="O348" s="152"/>
      <c r="P348" s="152"/>
      <c r="Q348" s="152"/>
      <c r="R348" s="152"/>
    </row>
    <row r="349">
      <c r="A349" s="152"/>
      <c r="B349" s="152"/>
      <c r="C349" s="152"/>
      <c r="D349" s="152"/>
      <c r="E349" s="152"/>
      <c r="F349" s="143"/>
      <c r="G349" s="152"/>
      <c r="H349" s="152"/>
      <c r="I349" s="152"/>
      <c r="J349" s="152"/>
      <c r="K349" s="152"/>
      <c r="L349" s="152"/>
      <c r="M349" s="152"/>
      <c r="N349" s="152"/>
      <c r="O349" s="152"/>
      <c r="P349" s="152"/>
      <c r="Q349" s="152"/>
      <c r="R349" s="152"/>
    </row>
    <row r="350">
      <c r="A350" s="152"/>
      <c r="B350" s="152"/>
      <c r="C350" s="152"/>
      <c r="D350" s="152"/>
      <c r="E350" s="152"/>
      <c r="F350" s="143"/>
      <c r="G350" s="152"/>
      <c r="H350" s="152"/>
      <c r="I350" s="152"/>
      <c r="J350" s="152"/>
      <c r="K350" s="152"/>
      <c r="L350" s="152"/>
      <c r="M350" s="152"/>
      <c r="N350" s="152"/>
      <c r="O350" s="152"/>
      <c r="P350" s="152"/>
      <c r="Q350" s="152"/>
      <c r="R350" s="152"/>
    </row>
    <row r="351">
      <c r="A351" s="152"/>
      <c r="B351" s="152"/>
      <c r="C351" s="152"/>
      <c r="D351" s="152"/>
      <c r="E351" s="152"/>
      <c r="F351" s="143"/>
      <c r="G351" s="152"/>
      <c r="H351" s="152"/>
      <c r="I351" s="152"/>
      <c r="J351" s="152"/>
      <c r="K351" s="152"/>
      <c r="L351" s="152"/>
      <c r="M351" s="152"/>
      <c r="N351" s="152"/>
      <c r="O351" s="152"/>
      <c r="P351" s="152"/>
      <c r="Q351" s="152"/>
      <c r="R351" s="152"/>
    </row>
    <row r="352">
      <c r="A352" s="152"/>
      <c r="B352" s="152"/>
      <c r="C352" s="152"/>
      <c r="D352" s="152"/>
      <c r="E352" s="152"/>
      <c r="F352" s="143"/>
      <c r="G352" s="152"/>
      <c r="H352" s="152"/>
      <c r="I352" s="152"/>
      <c r="J352" s="152"/>
      <c r="K352" s="152"/>
      <c r="L352" s="152"/>
      <c r="M352" s="152"/>
      <c r="N352" s="152"/>
      <c r="O352" s="152"/>
      <c r="P352" s="152"/>
      <c r="Q352" s="152"/>
      <c r="R352" s="152"/>
    </row>
    <row r="353">
      <c r="A353" s="152"/>
      <c r="B353" s="152"/>
      <c r="C353" s="152"/>
      <c r="D353" s="152"/>
      <c r="E353" s="152"/>
      <c r="F353" s="143"/>
      <c r="G353" s="152"/>
      <c r="H353" s="152"/>
      <c r="I353" s="152"/>
      <c r="J353" s="152"/>
      <c r="K353" s="152"/>
      <c r="L353" s="152"/>
      <c r="M353" s="152"/>
      <c r="N353" s="152"/>
      <c r="O353" s="152"/>
      <c r="P353" s="152"/>
      <c r="Q353" s="152"/>
      <c r="R353" s="152"/>
    </row>
    <row r="354">
      <c r="A354" s="152"/>
      <c r="B354" s="152"/>
      <c r="C354" s="152"/>
      <c r="D354" s="152"/>
      <c r="E354" s="152"/>
      <c r="F354" s="143"/>
      <c r="G354" s="152"/>
      <c r="H354" s="152"/>
      <c r="I354" s="152"/>
      <c r="J354" s="152"/>
      <c r="K354" s="152"/>
      <c r="L354" s="152"/>
      <c r="M354" s="152"/>
      <c r="N354" s="152"/>
      <c r="O354" s="152"/>
      <c r="P354" s="152"/>
      <c r="Q354" s="152"/>
      <c r="R354" s="152"/>
    </row>
    <row r="355">
      <c r="A355" s="152"/>
      <c r="B355" s="152"/>
      <c r="C355" s="152"/>
      <c r="D355" s="152"/>
      <c r="E355" s="152"/>
      <c r="F355" s="143"/>
      <c r="G355" s="152"/>
      <c r="H355" s="152"/>
      <c r="I355" s="152"/>
      <c r="J355" s="152"/>
      <c r="K355" s="152"/>
      <c r="L355" s="152"/>
      <c r="M355" s="152"/>
      <c r="N355" s="152"/>
      <c r="O355" s="152"/>
      <c r="P355" s="152"/>
      <c r="Q355" s="152"/>
      <c r="R355" s="152"/>
    </row>
    <row r="356">
      <c r="A356" s="152"/>
      <c r="B356" s="152"/>
      <c r="C356" s="152"/>
      <c r="D356" s="152"/>
      <c r="E356" s="152"/>
      <c r="F356" s="143"/>
      <c r="G356" s="152"/>
      <c r="H356" s="152"/>
      <c r="I356" s="152"/>
      <c r="J356" s="152"/>
      <c r="K356" s="152"/>
      <c r="L356" s="152"/>
      <c r="M356" s="152"/>
      <c r="N356" s="152"/>
      <c r="O356" s="152"/>
      <c r="P356" s="152"/>
      <c r="Q356" s="152"/>
      <c r="R356" s="152"/>
    </row>
    <row r="357">
      <c r="A357" s="152"/>
      <c r="B357" s="152"/>
      <c r="C357" s="152"/>
      <c r="D357" s="152"/>
      <c r="E357" s="152"/>
      <c r="F357" s="143"/>
      <c r="G357" s="152"/>
      <c r="H357" s="152"/>
      <c r="I357" s="152"/>
      <c r="J357" s="152"/>
      <c r="K357" s="152"/>
      <c r="L357" s="152"/>
      <c r="M357" s="152"/>
      <c r="N357" s="152"/>
      <c r="O357" s="152"/>
      <c r="P357" s="152"/>
      <c r="Q357" s="152"/>
      <c r="R357" s="152"/>
    </row>
    <row r="358">
      <c r="A358" s="152"/>
      <c r="B358" s="152"/>
      <c r="C358" s="152"/>
      <c r="D358" s="152"/>
      <c r="E358" s="152"/>
      <c r="F358" s="143"/>
      <c r="G358" s="152"/>
      <c r="H358" s="152"/>
      <c r="I358" s="152"/>
      <c r="J358" s="152"/>
      <c r="K358" s="152"/>
      <c r="L358" s="152"/>
      <c r="M358" s="152"/>
      <c r="N358" s="152"/>
      <c r="O358" s="152"/>
      <c r="P358" s="152"/>
      <c r="Q358" s="152"/>
      <c r="R358" s="152"/>
    </row>
    <row r="359">
      <c r="A359" s="152"/>
      <c r="B359" s="152"/>
      <c r="C359" s="152"/>
      <c r="D359" s="152"/>
      <c r="E359" s="152"/>
      <c r="F359" s="143"/>
      <c r="G359" s="152"/>
      <c r="H359" s="152"/>
      <c r="I359" s="152"/>
      <c r="J359" s="152"/>
      <c r="K359" s="152"/>
      <c r="L359" s="152"/>
      <c r="M359" s="152"/>
      <c r="N359" s="152"/>
      <c r="O359" s="152"/>
      <c r="P359" s="152"/>
      <c r="Q359" s="152"/>
      <c r="R359" s="152"/>
    </row>
    <row r="360">
      <c r="A360" s="152"/>
      <c r="B360" s="152"/>
      <c r="C360" s="152"/>
      <c r="D360" s="152"/>
      <c r="E360" s="152"/>
      <c r="F360" s="143"/>
      <c r="G360" s="152"/>
      <c r="H360" s="152"/>
      <c r="I360" s="152"/>
      <c r="J360" s="152"/>
      <c r="K360" s="152"/>
      <c r="L360" s="152"/>
      <c r="M360" s="152"/>
      <c r="N360" s="152"/>
      <c r="O360" s="152"/>
      <c r="P360" s="152"/>
      <c r="Q360" s="152"/>
      <c r="R360" s="152"/>
    </row>
    <row r="361">
      <c r="A361" s="152"/>
      <c r="B361" s="152"/>
      <c r="C361" s="152"/>
      <c r="D361" s="152"/>
      <c r="E361" s="152"/>
      <c r="F361" s="143"/>
      <c r="G361" s="152"/>
      <c r="H361" s="152"/>
      <c r="I361" s="152"/>
      <c r="J361" s="152"/>
      <c r="K361" s="152"/>
      <c r="L361" s="152"/>
      <c r="M361" s="152"/>
      <c r="N361" s="152"/>
      <c r="O361" s="152"/>
      <c r="P361" s="152"/>
      <c r="Q361" s="152"/>
      <c r="R361" s="152"/>
    </row>
    <row r="362">
      <c r="A362" s="152"/>
      <c r="B362" s="152"/>
      <c r="C362" s="152"/>
      <c r="D362" s="152"/>
      <c r="E362" s="152"/>
      <c r="F362" s="143"/>
      <c r="G362" s="152"/>
      <c r="H362" s="152"/>
      <c r="I362" s="152"/>
      <c r="J362" s="152"/>
      <c r="K362" s="152"/>
      <c r="L362" s="152"/>
      <c r="M362" s="152"/>
      <c r="N362" s="152"/>
      <c r="O362" s="152"/>
      <c r="P362" s="152"/>
      <c r="Q362" s="152"/>
      <c r="R362" s="152"/>
    </row>
    <row r="363">
      <c r="A363" s="152"/>
      <c r="B363" s="152"/>
      <c r="C363" s="152"/>
      <c r="D363" s="152"/>
      <c r="E363" s="152"/>
      <c r="F363" s="143"/>
      <c r="G363" s="152"/>
      <c r="H363" s="152"/>
      <c r="I363" s="152"/>
      <c r="J363" s="152"/>
      <c r="K363" s="152"/>
      <c r="L363" s="152"/>
      <c r="M363" s="152"/>
      <c r="N363" s="152"/>
      <c r="O363" s="152"/>
      <c r="P363" s="152"/>
      <c r="Q363" s="152"/>
      <c r="R363" s="152"/>
    </row>
    <row r="364">
      <c r="A364" s="152"/>
      <c r="B364" s="152"/>
      <c r="C364" s="152"/>
      <c r="D364" s="152"/>
      <c r="E364" s="152"/>
      <c r="F364" s="143"/>
      <c r="G364" s="152"/>
      <c r="H364" s="152"/>
      <c r="I364" s="152"/>
      <c r="J364" s="152"/>
      <c r="K364" s="152"/>
      <c r="L364" s="152"/>
      <c r="M364" s="152"/>
      <c r="N364" s="152"/>
      <c r="O364" s="152"/>
      <c r="P364" s="152"/>
      <c r="Q364" s="152"/>
      <c r="R364" s="152"/>
    </row>
    <row r="365">
      <c r="A365" s="152"/>
      <c r="B365" s="152"/>
      <c r="C365" s="152"/>
      <c r="D365" s="152"/>
      <c r="E365" s="152"/>
      <c r="F365" s="143"/>
      <c r="G365" s="152"/>
      <c r="H365" s="152"/>
      <c r="I365" s="152"/>
      <c r="J365" s="152"/>
      <c r="K365" s="152"/>
      <c r="L365" s="152"/>
      <c r="M365" s="152"/>
      <c r="N365" s="152"/>
      <c r="O365" s="152"/>
      <c r="P365" s="152"/>
      <c r="Q365" s="152"/>
      <c r="R365" s="152"/>
    </row>
    <row r="366">
      <c r="A366" s="152"/>
      <c r="B366" s="152"/>
      <c r="C366" s="152"/>
      <c r="D366" s="152"/>
      <c r="E366" s="152"/>
      <c r="F366" s="143"/>
      <c r="G366" s="152"/>
      <c r="H366" s="152"/>
      <c r="I366" s="152"/>
      <c r="J366" s="152"/>
      <c r="K366" s="152"/>
      <c r="L366" s="152"/>
      <c r="M366" s="152"/>
      <c r="N366" s="152"/>
      <c r="O366" s="152"/>
      <c r="P366" s="152"/>
      <c r="Q366" s="152"/>
      <c r="R366" s="152"/>
    </row>
    <row r="367">
      <c r="A367" s="152"/>
      <c r="B367" s="152"/>
      <c r="C367" s="152"/>
      <c r="D367" s="152"/>
      <c r="E367" s="152"/>
      <c r="F367" s="143"/>
      <c r="G367" s="152"/>
      <c r="H367" s="152"/>
      <c r="I367" s="152"/>
      <c r="J367" s="152"/>
      <c r="K367" s="152"/>
      <c r="L367" s="152"/>
      <c r="M367" s="152"/>
      <c r="N367" s="152"/>
      <c r="O367" s="152"/>
      <c r="P367" s="152"/>
      <c r="Q367" s="152"/>
      <c r="R367" s="152"/>
    </row>
    <row r="368">
      <c r="A368" s="152"/>
      <c r="B368" s="152"/>
      <c r="C368" s="152"/>
      <c r="D368" s="152"/>
      <c r="E368" s="152"/>
      <c r="F368" s="143"/>
      <c r="G368" s="152"/>
      <c r="H368" s="152"/>
      <c r="I368" s="152"/>
      <c r="J368" s="152"/>
      <c r="K368" s="152"/>
      <c r="L368" s="152"/>
      <c r="M368" s="152"/>
      <c r="N368" s="152"/>
      <c r="O368" s="152"/>
      <c r="P368" s="152"/>
      <c r="Q368" s="152"/>
      <c r="R368" s="152"/>
    </row>
    <row r="369">
      <c r="A369" s="152"/>
      <c r="B369" s="152"/>
      <c r="C369" s="152"/>
      <c r="D369" s="152"/>
      <c r="E369" s="152"/>
      <c r="F369" s="143"/>
      <c r="G369" s="152"/>
      <c r="H369" s="152"/>
      <c r="I369" s="152"/>
      <c r="J369" s="152"/>
      <c r="K369" s="152"/>
      <c r="L369" s="152"/>
      <c r="M369" s="152"/>
      <c r="N369" s="152"/>
      <c r="O369" s="152"/>
      <c r="P369" s="152"/>
      <c r="Q369" s="152"/>
      <c r="R369" s="152"/>
    </row>
    <row r="370">
      <c r="A370" s="152"/>
      <c r="B370" s="152"/>
      <c r="C370" s="152"/>
      <c r="D370" s="152"/>
      <c r="E370" s="152"/>
      <c r="F370" s="143"/>
      <c r="G370" s="152"/>
      <c r="H370" s="152"/>
      <c r="I370" s="152"/>
      <c r="J370" s="152"/>
      <c r="K370" s="152"/>
      <c r="L370" s="152"/>
      <c r="M370" s="152"/>
      <c r="N370" s="152"/>
      <c r="O370" s="152"/>
      <c r="P370" s="152"/>
      <c r="Q370" s="152"/>
      <c r="R370" s="152"/>
    </row>
    <row r="371">
      <c r="A371" s="152"/>
      <c r="B371" s="152"/>
      <c r="C371" s="152"/>
      <c r="D371" s="152"/>
      <c r="E371" s="152"/>
      <c r="F371" s="143"/>
      <c r="G371" s="152"/>
      <c r="H371" s="152"/>
      <c r="I371" s="152"/>
      <c r="J371" s="152"/>
      <c r="K371" s="152"/>
      <c r="L371" s="152"/>
      <c r="M371" s="152"/>
      <c r="N371" s="152"/>
      <c r="O371" s="152"/>
      <c r="P371" s="152"/>
      <c r="Q371" s="152"/>
      <c r="R371" s="152"/>
    </row>
    <row r="372">
      <c r="A372" s="152"/>
      <c r="B372" s="152"/>
      <c r="C372" s="152"/>
      <c r="D372" s="152"/>
      <c r="E372" s="152"/>
      <c r="F372" s="143"/>
      <c r="G372" s="152"/>
      <c r="H372" s="152"/>
      <c r="I372" s="152"/>
      <c r="J372" s="152"/>
      <c r="K372" s="152"/>
      <c r="L372" s="152"/>
      <c r="M372" s="152"/>
      <c r="N372" s="152"/>
      <c r="O372" s="152"/>
      <c r="P372" s="152"/>
      <c r="Q372" s="152"/>
      <c r="R372" s="152"/>
    </row>
    <row r="373">
      <c r="A373" s="152"/>
      <c r="B373" s="152"/>
      <c r="C373" s="152"/>
      <c r="D373" s="152"/>
      <c r="E373" s="152"/>
      <c r="F373" s="143"/>
      <c r="G373" s="152"/>
      <c r="H373" s="152"/>
      <c r="I373" s="152"/>
      <c r="J373" s="152"/>
      <c r="K373" s="152"/>
      <c r="L373" s="152"/>
      <c r="M373" s="152"/>
      <c r="N373" s="152"/>
      <c r="O373" s="152"/>
      <c r="P373" s="152"/>
      <c r="Q373" s="152"/>
      <c r="R373" s="152"/>
    </row>
    <row r="374">
      <c r="A374" s="152"/>
      <c r="B374" s="152"/>
      <c r="C374" s="152"/>
      <c r="D374" s="152"/>
      <c r="E374" s="152"/>
      <c r="F374" s="143"/>
      <c r="G374" s="152"/>
      <c r="H374" s="152"/>
      <c r="I374" s="152"/>
      <c r="J374" s="152"/>
      <c r="K374" s="152"/>
      <c r="L374" s="152"/>
      <c r="M374" s="152"/>
      <c r="N374" s="152"/>
      <c r="O374" s="152"/>
      <c r="P374" s="152"/>
      <c r="Q374" s="152"/>
      <c r="R374" s="152"/>
    </row>
    <row r="375">
      <c r="A375" s="152"/>
      <c r="B375" s="152"/>
      <c r="C375" s="152"/>
      <c r="D375" s="152"/>
      <c r="E375" s="152"/>
      <c r="F375" s="143"/>
      <c r="G375" s="152"/>
      <c r="H375" s="152"/>
      <c r="I375" s="152"/>
      <c r="J375" s="152"/>
      <c r="K375" s="152"/>
      <c r="L375" s="152"/>
      <c r="M375" s="152"/>
      <c r="N375" s="152"/>
      <c r="O375" s="152"/>
      <c r="P375" s="152"/>
      <c r="Q375" s="152"/>
      <c r="R375" s="152"/>
    </row>
    <row r="376">
      <c r="A376" s="152"/>
      <c r="B376" s="152"/>
      <c r="C376" s="152"/>
      <c r="D376" s="152"/>
      <c r="E376" s="152"/>
      <c r="F376" s="143"/>
      <c r="G376" s="152"/>
      <c r="H376" s="152"/>
      <c r="I376" s="152"/>
      <c r="J376" s="152"/>
      <c r="K376" s="152"/>
      <c r="L376" s="152"/>
      <c r="M376" s="152"/>
      <c r="N376" s="152"/>
      <c r="O376" s="152"/>
      <c r="P376" s="152"/>
      <c r="Q376" s="152"/>
      <c r="R376" s="152"/>
    </row>
    <row r="377">
      <c r="A377" s="152"/>
      <c r="B377" s="152"/>
      <c r="C377" s="152"/>
      <c r="D377" s="152"/>
      <c r="E377" s="152"/>
      <c r="F377" s="143"/>
      <c r="G377" s="152"/>
      <c r="H377" s="152"/>
      <c r="I377" s="152"/>
      <c r="J377" s="152"/>
      <c r="K377" s="152"/>
      <c r="L377" s="152"/>
      <c r="M377" s="152"/>
      <c r="N377" s="152"/>
      <c r="O377" s="152"/>
      <c r="P377" s="152"/>
      <c r="Q377" s="152"/>
      <c r="R377" s="152"/>
    </row>
    <row r="378">
      <c r="A378" s="152"/>
      <c r="B378" s="152"/>
      <c r="C378" s="152"/>
      <c r="D378" s="152"/>
      <c r="E378" s="152"/>
      <c r="F378" s="143"/>
      <c r="G378" s="152"/>
      <c r="H378" s="152"/>
      <c r="I378" s="152"/>
      <c r="J378" s="152"/>
      <c r="K378" s="152"/>
      <c r="L378" s="152"/>
      <c r="M378" s="152"/>
      <c r="N378" s="152"/>
      <c r="O378" s="152"/>
      <c r="P378" s="152"/>
      <c r="Q378" s="152"/>
      <c r="R378" s="152"/>
    </row>
    <row r="379">
      <c r="A379" s="152"/>
      <c r="B379" s="152"/>
      <c r="C379" s="152"/>
      <c r="D379" s="152"/>
      <c r="E379" s="152"/>
      <c r="F379" s="143"/>
      <c r="G379" s="152"/>
      <c r="H379" s="152"/>
      <c r="I379" s="152"/>
      <c r="J379" s="152"/>
      <c r="K379" s="152"/>
      <c r="L379" s="152"/>
      <c r="M379" s="152"/>
      <c r="N379" s="152"/>
      <c r="O379" s="152"/>
      <c r="P379" s="152"/>
      <c r="Q379" s="152"/>
      <c r="R379" s="152"/>
    </row>
    <row r="380">
      <c r="A380" s="152"/>
      <c r="B380" s="152"/>
      <c r="C380" s="152"/>
      <c r="D380" s="152"/>
      <c r="E380" s="152"/>
      <c r="F380" s="143"/>
      <c r="G380" s="152"/>
      <c r="H380" s="152"/>
      <c r="I380" s="152"/>
      <c r="J380" s="152"/>
      <c r="K380" s="152"/>
      <c r="L380" s="152"/>
      <c r="M380" s="152"/>
      <c r="N380" s="152"/>
      <c r="O380" s="152"/>
      <c r="P380" s="152"/>
      <c r="Q380" s="152"/>
      <c r="R380" s="152"/>
    </row>
    <row r="381">
      <c r="A381" s="152"/>
      <c r="B381" s="152"/>
      <c r="C381" s="152"/>
      <c r="D381" s="152"/>
      <c r="E381" s="152"/>
      <c r="F381" s="143"/>
      <c r="G381" s="152"/>
      <c r="H381" s="152"/>
      <c r="I381" s="152"/>
      <c r="J381" s="152"/>
      <c r="K381" s="152"/>
      <c r="L381" s="152"/>
      <c r="M381" s="152"/>
      <c r="N381" s="152"/>
      <c r="O381" s="152"/>
      <c r="P381" s="152"/>
      <c r="Q381" s="152"/>
      <c r="R381" s="152"/>
    </row>
    <row r="382">
      <c r="A382" s="152"/>
      <c r="B382" s="152"/>
      <c r="C382" s="152"/>
      <c r="D382" s="152"/>
      <c r="E382" s="152"/>
      <c r="F382" s="143"/>
      <c r="G382" s="152"/>
      <c r="H382" s="152"/>
      <c r="I382" s="152"/>
      <c r="J382" s="152"/>
      <c r="K382" s="152"/>
      <c r="L382" s="152"/>
      <c r="M382" s="152"/>
      <c r="N382" s="152"/>
      <c r="O382" s="152"/>
      <c r="P382" s="152"/>
      <c r="Q382" s="152"/>
      <c r="R382" s="152"/>
    </row>
    <row r="383">
      <c r="A383" s="152"/>
      <c r="B383" s="152"/>
      <c r="C383" s="152"/>
      <c r="D383" s="152"/>
      <c r="E383" s="152"/>
      <c r="F383" s="143"/>
      <c r="G383" s="152"/>
      <c r="H383" s="152"/>
      <c r="I383" s="152"/>
      <c r="J383" s="152"/>
      <c r="K383" s="152"/>
      <c r="L383" s="152"/>
      <c r="M383" s="152"/>
      <c r="N383" s="152"/>
      <c r="O383" s="152"/>
      <c r="P383" s="152"/>
      <c r="Q383" s="152"/>
      <c r="R383" s="152"/>
    </row>
    <row r="384">
      <c r="A384" s="152"/>
      <c r="B384" s="152"/>
      <c r="C384" s="152"/>
      <c r="D384" s="152"/>
      <c r="E384" s="152"/>
      <c r="F384" s="143"/>
      <c r="G384" s="152"/>
      <c r="H384" s="152"/>
      <c r="I384" s="152"/>
      <c r="J384" s="152"/>
      <c r="K384" s="152"/>
      <c r="L384" s="152"/>
      <c r="M384" s="152"/>
      <c r="N384" s="152"/>
      <c r="O384" s="152"/>
      <c r="P384" s="152"/>
      <c r="Q384" s="152"/>
      <c r="R384" s="152"/>
    </row>
    <row r="385">
      <c r="A385" s="152"/>
      <c r="B385" s="152"/>
      <c r="C385" s="152"/>
      <c r="D385" s="152"/>
      <c r="E385" s="152"/>
      <c r="F385" s="143"/>
      <c r="G385" s="152"/>
      <c r="H385" s="152"/>
      <c r="I385" s="152"/>
      <c r="J385" s="152"/>
      <c r="K385" s="152"/>
      <c r="L385" s="152"/>
      <c r="M385" s="152"/>
      <c r="N385" s="152"/>
      <c r="O385" s="152"/>
      <c r="P385" s="152"/>
      <c r="Q385" s="152"/>
      <c r="R385" s="152"/>
    </row>
    <row r="386">
      <c r="A386" s="152"/>
      <c r="B386" s="152"/>
      <c r="C386" s="152"/>
      <c r="D386" s="152"/>
      <c r="E386" s="152"/>
      <c r="F386" s="143"/>
      <c r="G386" s="152"/>
      <c r="H386" s="152"/>
      <c r="I386" s="152"/>
      <c r="J386" s="152"/>
      <c r="K386" s="152"/>
      <c r="L386" s="152"/>
      <c r="M386" s="152"/>
      <c r="N386" s="152"/>
      <c r="O386" s="152"/>
      <c r="P386" s="152"/>
      <c r="Q386" s="152"/>
      <c r="R386" s="152"/>
    </row>
    <row r="387">
      <c r="A387" s="152"/>
      <c r="B387" s="152"/>
      <c r="C387" s="152"/>
      <c r="D387" s="152"/>
      <c r="E387" s="152"/>
      <c r="F387" s="143"/>
      <c r="G387" s="152"/>
      <c r="H387" s="152"/>
      <c r="I387" s="152"/>
      <c r="J387" s="152"/>
      <c r="K387" s="152"/>
      <c r="L387" s="152"/>
      <c r="M387" s="152"/>
      <c r="N387" s="152"/>
      <c r="O387" s="152"/>
      <c r="P387" s="152"/>
      <c r="Q387" s="152"/>
      <c r="R387" s="152"/>
    </row>
    <row r="388">
      <c r="A388" s="152"/>
      <c r="B388" s="152"/>
      <c r="C388" s="152"/>
      <c r="D388" s="152"/>
      <c r="E388" s="152"/>
      <c r="F388" s="143"/>
      <c r="G388" s="152"/>
      <c r="H388" s="152"/>
      <c r="I388" s="152"/>
      <c r="J388" s="152"/>
      <c r="K388" s="152"/>
      <c r="L388" s="152"/>
      <c r="M388" s="152"/>
      <c r="N388" s="152"/>
      <c r="O388" s="152"/>
      <c r="P388" s="152"/>
      <c r="Q388" s="152"/>
      <c r="R388" s="152"/>
    </row>
    <row r="389">
      <c r="A389" s="152"/>
      <c r="B389" s="152"/>
      <c r="C389" s="152"/>
      <c r="D389" s="152"/>
      <c r="E389" s="152"/>
      <c r="F389" s="143"/>
      <c r="G389" s="152"/>
      <c r="H389" s="152"/>
      <c r="I389" s="152"/>
      <c r="J389" s="152"/>
      <c r="K389" s="152"/>
      <c r="L389" s="152"/>
      <c r="M389" s="152"/>
      <c r="N389" s="152"/>
      <c r="O389" s="152"/>
      <c r="P389" s="152"/>
      <c r="Q389" s="152"/>
      <c r="R389" s="152"/>
    </row>
    <row r="390">
      <c r="A390" s="152"/>
      <c r="B390" s="152"/>
      <c r="C390" s="152"/>
      <c r="D390" s="152"/>
      <c r="E390" s="152"/>
      <c r="F390" s="143"/>
      <c r="G390" s="152"/>
      <c r="H390" s="152"/>
      <c r="I390" s="152"/>
      <c r="J390" s="152"/>
      <c r="K390" s="152"/>
      <c r="L390" s="152"/>
      <c r="M390" s="152"/>
      <c r="N390" s="152"/>
      <c r="O390" s="152"/>
      <c r="P390" s="152"/>
      <c r="Q390" s="152"/>
      <c r="R390" s="152"/>
    </row>
    <row r="391">
      <c r="A391" s="152"/>
      <c r="B391" s="152"/>
      <c r="C391" s="152"/>
      <c r="D391" s="152"/>
      <c r="E391" s="152"/>
      <c r="F391" s="143"/>
      <c r="G391" s="152"/>
      <c r="H391" s="152"/>
      <c r="I391" s="152"/>
      <c r="J391" s="152"/>
      <c r="K391" s="152"/>
      <c r="L391" s="152"/>
      <c r="M391" s="152"/>
      <c r="N391" s="152"/>
      <c r="O391" s="152"/>
      <c r="P391" s="152"/>
      <c r="Q391" s="152"/>
      <c r="R391" s="152"/>
    </row>
    <row r="392">
      <c r="A392" s="152"/>
      <c r="B392" s="152"/>
      <c r="C392" s="152"/>
      <c r="D392" s="152"/>
      <c r="E392" s="152"/>
      <c r="F392" s="143"/>
      <c r="G392" s="152"/>
      <c r="H392" s="152"/>
      <c r="I392" s="152"/>
      <c r="J392" s="152"/>
      <c r="K392" s="152"/>
      <c r="L392" s="152"/>
      <c r="M392" s="152"/>
      <c r="N392" s="152"/>
      <c r="O392" s="152"/>
      <c r="P392" s="152"/>
      <c r="Q392" s="152"/>
      <c r="R392" s="152"/>
    </row>
    <row r="393">
      <c r="A393" s="152"/>
      <c r="B393" s="152"/>
      <c r="C393" s="152"/>
      <c r="D393" s="152"/>
      <c r="E393" s="152"/>
      <c r="F393" s="143"/>
      <c r="G393" s="152"/>
      <c r="H393" s="152"/>
      <c r="I393" s="152"/>
      <c r="J393" s="152"/>
      <c r="K393" s="152"/>
      <c r="L393" s="152"/>
      <c r="M393" s="152"/>
      <c r="N393" s="152"/>
      <c r="O393" s="152"/>
      <c r="P393" s="152"/>
      <c r="Q393" s="152"/>
      <c r="R393" s="152"/>
    </row>
    <row r="394">
      <c r="A394" s="152"/>
      <c r="B394" s="152"/>
      <c r="C394" s="152"/>
      <c r="D394" s="152"/>
      <c r="E394" s="152"/>
      <c r="F394" s="143"/>
      <c r="G394" s="152"/>
      <c r="H394" s="152"/>
      <c r="I394" s="152"/>
      <c r="J394" s="152"/>
      <c r="K394" s="152"/>
      <c r="L394" s="152"/>
      <c r="M394" s="152"/>
      <c r="N394" s="152"/>
      <c r="O394" s="152"/>
      <c r="P394" s="152"/>
      <c r="Q394" s="152"/>
      <c r="R394" s="152"/>
    </row>
    <row r="395">
      <c r="A395" s="152"/>
      <c r="B395" s="152"/>
      <c r="C395" s="152"/>
      <c r="D395" s="152"/>
      <c r="E395" s="152"/>
      <c r="F395" s="143"/>
      <c r="G395" s="152"/>
      <c r="H395" s="152"/>
      <c r="I395" s="152"/>
      <c r="J395" s="152"/>
      <c r="K395" s="152"/>
      <c r="L395" s="152"/>
      <c r="M395" s="152"/>
      <c r="N395" s="152"/>
      <c r="O395" s="152"/>
      <c r="P395" s="152"/>
      <c r="Q395" s="152"/>
      <c r="R395" s="152"/>
    </row>
    <row r="396">
      <c r="A396" s="152"/>
      <c r="B396" s="152"/>
      <c r="C396" s="152"/>
      <c r="D396" s="152"/>
      <c r="E396" s="152"/>
      <c r="F396" s="143"/>
      <c r="G396" s="152"/>
      <c r="H396" s="152"/>
      <c r="I396" s="152"/>
      <c r="J396" s="152"/>
      <c r="K396" s="152"/>
      <c r="L396" s="152"/>
      <c r="M396" s="152"/>
      <c r="N396" s="152"/>
      <c r="O396" s="152"/>
      <c r="P396" s="152"/>
      <c r="Q396" s="152"/>
      <c r="R396" s="152"/>
    </row>
    <row r="397">
      <c r="A397" s="152"/>
      <c r="B397" s="152"/>
      <c r="C397" s="152"/>
      <c r="D397" s="152"/>
      <c r="E397" s="152"/>
      <c r="F397" s="143"/>
      <c r="G397" s="152"/>
      <c r="H397" s="152"/>
      <c r="I397" s="152"/>
      <c r="J397" s="152"/>
      <c r="K397" s="152"/>
      <c r="L397" s="152"/>
      <c r="M397" s="152"/>
      <c r="N397" s="152"/>
      <c r="O397" s="152"/>
      <c r="P397" s="152"/>
      <c r="Q397" s="152"/>
      <c r="R397" s="152"/>
    </row>
    <row r="398">
      <c r="A398" s="152"/>
      <c r="B398" s="152"/>
      <c r="C398" s="152"/>
      <c r="D398" s="152"/>
      <c r="E398" s="152"/>
      <c r="F398" s="143"/>
      <c r="G398" s="152"/>
      <c r="H398" s="152"/>
      <c r="I398" s="152"/>
      <c r="J398" s="152"/>
      <c r="K398" s="152"/>
      <c r="L398" s="152"/>
      <c r="M398" s="152"/>
      <c r="N398" s="152"/>
      <c r="O398" s="152"/>
      <c r="P398" s="152"/>
      <c r="Q398" s="152"/>
      <c r="R398" s="152"/>
    </row>
    <row r="399">
      <c r="A399" s="152"/>
      <c r="B399" s="152"/>
      <c r="C399" s="152"/>
      <c r="D399" s="152"/>
      <c r="E399" s="152"/>
      <c r="F399" s="143"/>
      <c r="G399" s="152"/>
      <c r="H399" s="152"/>
      <c r="I399" s="152"/>
      <c r="J399" s="152"/>
      <c r="K399" s="152"/>
      <c r="L399" s="152"/>
      <c r="M399" s="152"/>
      <c r="N399" s="152"/>
      <c r="O399" s="152"/>
      <c r="P399" s="152"/>
      <c r="Q399" s="152"/>
      <c r="R399" s="152"/>
    </row>
    <row r="400">
      <c r="A400" s="152"/>
      <c r="B400" s="152"/>
      <c r="C400" s="152"/>
      <c r="D400" s="152"/>
      <c r="E400" s="152"/>
      <c r="F400" s="143"/>
      <c r="G400" s="152"/>
      <c r="H400" s="152"/>
      <c r="I400" s="152"/>
      <c r="J400" s="152"/>
      <c r="K400" s="152"/>
      <c r="L400" s="152"/>
      <c r="M400" s="152"/>
      <c r="N400" s="152"/>
      <c r="O400" s="152"/>
      <c r="P400" s="152"/>
      <c r="Q400" s="152"/>
      <c r="R400" s="152"/>
    </row>
    <row r="401">
      <c r="A401" s="152"/>
      <c r="B401" s="152"/>
      <c r="C401" s="152"/>
      <c r="D401" s="152"/>
      <c r="E401" s="152"/>
      <c r="F401" s="143"/>
      <c r="G401" s="152"/>
      <c r="H401" s="152"/>
      <c r="I401" s="152"/>
      <c r="J401" s="152"/>
      <c r="K401" s="152"/>
      <c r="L401" s="152"/>
      <c r="M401" s="152"/>
      <c r="N401" s="152"/>
      <c r="O401" s="152"/>
      <c r="P401" s="152"/>
      <c r="Q401" s="152"/>
      <c r="R401" s="152"/>
    </row>
    <row r="402">
      <c r="A402" s="152"/>
      <c r="B402" s="152"/>
      <c r="C402" s="152"/>
      <c r="D402" s="152"/>
      <c r="E402" s="152"/>
      <c r="F402" s="143"/>
      <c r="G402" s="152"/>
      <c r="H402" s="152"/>
      <c r="I402" s="152"/>
      <c r="J402" s="152"/>
      <c r="K402" s="152"/>
      <c r="L402" s="152"/>
      <c r="M402" s="152"/>
      <c r="N402" s="152"/>
      <c r="O402" s="152"/>
      <c r="P402" s="152"/>
      <c r="Q402" s="152"/>
      <c r="R402" s="152"/>
    </row>
    <row r="403">
      <c r="A403" s="152"/>
      <c r="B403" s="152"/>
      <c r="C403" s="152"/>
      <c r="D403" s="152"/>
      <c r="E403" s="152"/>
      <c r="F403" s="143"/>
      <c r="G403" s="152"/>
      <c r="H403" s="152"/>
      <c r="I403" s="152"/>
      <c r="J403" s="152"/>
      <c r="K403" s="152"/>
      <c r="L403" s="152"/>
      <c r="M403" s="152"/>
      <c r="N403" s="152"/>
      <c r="O403" s="152"/>
      <c r="P403" s="152"/>
      <c r="Q403" s="152"/>
      <c r="R403" s="152"/>
    </row>
    <row r="404">
      <c r="A404" s="152"/>
      <c r="B404" s="152"/>
      <c r="C404" s="152"/>
      <c r="D404" s="152"/>
      <c r="E404" s="152"/>
      <c r="F404" s="143"/>
      <c r="G404" s="152"/>
      <c r="H404" s="152"/>
      <c r="I404" s="152"/>
      <c r="J404" s="152"/>
      <c r="K404" s="152"/>
      <c r="L404" s="152"/>
      <c r="M404" s="152"/>
      <c r="N404" s="152"/>
      <c r="O404" s="152"/>
      <c r="P404" s="152"/>
      <c r="Q404" s="152"/>
      <c r="R404" s="152"/>
    </row>
    <row r="405">
      <c r="A405" s="152"/>
      <c r="B405" s="152"/>
      <c r="C405" s="152"/>
      <c r="D405" s="152"/>
      <c r="E405" s="152"/>
      <c r="F405" s="143"/>
      <c r="G405" s="152"/>
      <c r="H405" s="152"/>
      <c r="I405" s="152"/>
      <c r="J405" s="152"/>
      <c r="K405" s="152"/>
      <c r="L405" s="152"/>
      <c r="M405" s="152"/>
      <c r="N405" s="152"/>
      <c r="O405" s="152"/>
      <c r="P405" s="152"/>
      <c r="Q405" s="152"/>
      <c r="R405" s="152"/>
    </row>
    <row r="406">
      <c r="A406" s="152"/>
      <c r="B406" s="152"/>
      <c r="C406" s="152"/>
      <c r="D406" s="152"/>
      <c r="E406" s="152"/>
      <c r="F406" s="143"/>
      <c r="G406" s="152"/>
      <c r="H406" s="152"/>
      <c r="I406" s="152"/>
      <c r="J406" s="152"/>
      <c r="K406" s="152"/>
      <c r="L406" s="152"/>
      <c r="M406" s="152"/>
      <c r="N406" s="152"/>
      <c r="O406" s="152"/>
      <c r="P406" s="152"/>
      <c r="Q406" s="152"/>
      <c r="R406" s="152"/>
    </row>
    <row r="407">
      <c r="A407" s="152"/>
      <c r="B407" s="152"/>
      <c r="C407" s="152"/>
      <c r="D407" s="152"/>
      <c r="E407" s="152"/>
      <c r="F407" s="143"/>
      <c r="G407" s="152"/>
      <c r="H407" s="152"/>
      <c r="I407" s="152"/>
      <c r="J407" s="152"/>
      <c r="K407" s="152"/>
      <c r="L407" s="152"/>
      <c r="M407" s="152"/>
      <c r="N407" s="152"/>
      <c r="O407" s="152"/>
      <c r="P407" s="152"/>
      <c r="Q407" s="152"/>
      <c r="R407" s="152"/>
    </row>
    <row r="408">
      <c r="A408" s="152"/>
      <c r="B408" s="152"/>
      <c r="C408" s="152"/>
      <c r="D408" s="152"/>
      <c r="E408" s="152"/>
      <c r="F408" s="143"/>
      <c r="G408" s="152"/>
      <c r="H408" s="152"/>
      <c r="I408" s="152"/>
      <c r="J408" s="152"/>
      <c r="K408" s="152"/>
      <c r="L408" s="152"/>
      <c r="M408" s="152"/>
      <c r="N408" s="152"/>
      <c r="O408" s="152"/>
      <c r="P408" s="152"/>
      <c r="Q408" s="152"/>
      <c r="R408" s="152"/>
    </row>
    <row r="409">
      <c r="A409" s="152"/>
      <c r="B409" s="152"/>
      <c r="C409" s="152"/>
      <c r="D409" s="152"/>
      <c r="E409" s="152"/>
      <c r="F409" s="143"/>
      <c r="G409" s="152"/>
      <c r="H409" s="152"/>
      <c r="I409" s="152"/>
      <c r="J409" s="152"/>
      <c r="K409" s="152"/>
      <c r="L409" s="152"/>
      <c r="M409" s="152"/>
      <c r="N409" s="152"/>
      <c r="O409" s="152"/>
      <c r="P409" s="152"/>
      <c r="Q409" s="152"/>
      <c r="R409" s="152"/>
    </row>
    <row r="410">
      <c r="A410" s="152"/>
      <c r="B410" s="152"/>
      <c r="C410" s="152"/>
      <c r="D410" s="152"/>
      <c r="E410" s="152"/>
      <c r="F410" s="143"/>
      <c r="G410" s="152"/>
      <c r="H410" s="152"/>
      <c r="I410" s="152"/>
      <c r="J410" s="152"/>
      <c r="K410" s="152"/>
      <c r="L410" s="152"/>
      <c r="M410" s="152"/>
      <c r="N410" s="152"/>
      <c r="O410" s="152"/>
      <c r="P410" s="152"/>
      <c r="Q410" s="152"/>
      <c r="R410" s="152"/>
    </row>
    <row r="411">
      <c r="A411" s="152"/>
      <c r="B411" s="152"/>
      <c r="C411" s="152"/>
      <c r="D411" s="152"/>
      <c r="E411" s="152"/>
      <c r="F411" s="143"/>
      <c r="G411" s="152"/>
      <c r="H411" s="152"/>
      <c r="I411" s="152"/>
      <c r="J411" s="152"/>
      <c r="K411" s="152"/>
      <c r="L411" s="152"/>
      <c r="M411" s="152"/>
      <c r="N411" s="152"/>
      <c r="O411" s="152"/>
      <c r="P411" s="152"/>
      <c r="Q411" s="152"/>
      <c r="R411" s="152"/>
    </row>
    <row r="412">
      <c r="A412" s="152"/>
      <c r="B412" s="152"/>
      <c r="C412" s="152"/>
      <c r="D412" s="152"/>
      <c r="E412" s="152"/>
      <c r="F412" s="143"/>
      <c r="G412" s="152"/>
      <c r="H412" s="152"/>
      <c r="I412" s="152"/>
      <c r="J412" s="152"/>
      <c r="K412" s="152"/>
      <c r="L412" s="152"/>
      <c r="M412" s="152"/>
      <c r="N412" s="152"/>
      <c r="O412" s="152"/>
      <c r="P412" s="152"/>
      <c r="Q412" s="152"/>
      <c r="R412" s="152"/>
    </row>
    <row r="413">
      <c r="A413" s="152"/>
      <c r="B413" s="152"/>
      <c r="C413" s="152"/>
      <c r="D413" s="152"/>
      <c r="E413" s="152"/>
      <c r="F413" s="143"/>
      <c r="G413" s="152"/>
      <c r="H413" s="152"/>
      <c r="I413" s="152"/>
      <c r="J413" s="152"/>
      <c r="K413" s="152"/>
      <c r="L413" s="152"/>
      <c r="M413" s="152"/>
      <c r="N413" s="152"/>
      <c r="O413" s="152"/>
      <c r="P413" s="152"/>
      <c r="Q413" s="152"/>
      <c r="R413" s="152"/>
    </row>
    <row r="414">
      <c r="A414" s="152"/>
      <c r="B414" s="152"/>
      <c r="C414" s="152"/>
      <c r="D414" s="152"/>
      <c r="E414" s="152"/>
      <c r="F414" s="143"/>
      <c r="G414" s="152"/>
      <c r="H414" s="152"/>
      <c r="I414" s="152"/>
      <c r="J414" s="152"/>
      <c r="K414" s="152"/>
      <c r="L414" s="152"/>
      <c r="M414" s="152"/>
      <c r="N414" s="152"/>
      <c r="O414" s="152"/>
      <c r="P414" s="152"/>
      <c r="Q414" s="152"/>
      <c r="R414" s="152"/>
    </row>
    <row r="415">
      <c r="A415" s="152"/>
      <c r="B415" s="152"/>
      <c r="C415" s="152"/>
      <c r="D415" s="152"/>
      <c r="E415" s="152"/>
      <c r="F415" s="143"/>
      <c r="G415" s="152"/>
      <c r="H415" s="152"/>
      <c r="I415" s="152"/>
      <c r="J415" s="152"/>
      <c r="K415" s="152"/>
      <c r="L415" s="152"/>
      <c r="M415" s="152"/>
      <c r="N415" s="152"/>
      <c r="O415" s="152"/>
      <c r="P415" s="152"/>
      <c r="Q415" s="152"/>
      <c r="R415" s="152"/>
    </row>
    <row r="416">
      <c r="A416" s="152"/>
      <c r="B416" s="152"/>
      <c r="C416" s="152"/>
      <c r="D416" s="152"/>
      <c r="E416" s="152"/>
      <c r="F416" s="143"/>
      <c r="G416" s="152"/>
      <c r="H416" s="152"/>
      <c r="I416" s="152"/>
      <c r="J416" s="152"/>
      <c r="K416" s="152"/>
      <c r="L416" s="152"/>
      <c r="M416" s="152"/>
      <c r="N416" s="152"/>
      <c r="O416" s="152"/>
      <c r="P416" s="152"/>
      <c r="Q416" s="152"/>
      <c r="R416" s="152"/>
    </row>
    <row r="417">
      <c r="A417" s="152"/>
      <c r="B417" s="152"/>
      <c r="C417" s="152"/>
      <c r="D417" s="152"/>
      <c r="E417" s="152"/>
      <c r="F417" s="143"/>
      <c r="G417" s="152"/>
      <c r="H417" s="152"/>
      <c r="I417" s="152"/>
      <c r="J417" s="152"/>
      <c r="K417" s="152"/>
      <c r="L417" s="152"/>
      <c r="M417" s="152"/>
      <c r="N417" s="152"/>
      <c r="O417" s="152"/>
      <c r="P417" s="152"/>
      <c r="Q417" s="152"/>
      <c r="R417" s="152"/>
    </row>
    <row r="418">
      <c r="A418" s="152"/>
      <c r="B418" s="152"/>
      <c r="C418" s="152"/>
      <c r="D418" s="152"/>
      <c r="E418" s="152"/>
      <c r="F418" s="143"/>
      <c r="G418" s="152"/>
      <c r="H418" s="152"/>
      <c r="I418" s="152"/>
      <c r="J418" s="152"/>
      <c r="K418" s="152"/>
      <c r="L418" s="152"/>
      <c r="M418" s="152"/>
      <c r="N418" s="152"/>
      <c r="O418" s="152"/>
      <c r="P418" s="152"/>
      <c r="Q418" s="152"/>
      <c r="R418" s="152"/>
    </row>
    <row r="419">
      <c r="A419" s="152"/>
      <c r="B419" s="152"/>
      <c r="C419" s="152"/>
      <c r="D419" s="152"/>
      <c r="E419" s="152"/>
      <c r="F419" s="143"/>
      <c r="G419" s="152"/>
      <c r="H419" s="152"/>
      <c r="I419" s="152"/>
      <c r="J419" s="152"/>
      <c r="K419" s="152"/>
      <c r="L419" s="152"/>
      <c r="M419" s="152"/>
      <c r="N419" s="152"/>
      <c r="O419" s="152"/>
      <c r="P419" s="152"/>
      <c r="Q419" s="152"/>
      <c r="R419" s="152"/>
    </row>
    <row r="420">
      <c r="A420" s="152"/>
      <c r="B420" s="152"/>
      <c r="C420" s="152"/>
      <c r="D420" s="152"/>
      <c r="E420" s="152"/>
      <c r="F420" s="143"/>
      <c r="G420" s="152"/>
      <c r="H420" s="152"/>
      <c r="I420" s="152"/>
      <c r="J420" s="152"/>
      <c r="K420" s="152"/>
      <c r="L420" s="152"/>
      <c r="M420" s="152"/>
      <c r="N420" s="152"/>
      <c r="O420" s="152"/>
      <c r="P420" s="152"/>
      <c r="Q420" s="152"/>
      <c r="R420" s="152"/>
    </row>
    <row r="421">
      <c r="A421" s="152"/>
      <c r="B421" s="152"/>
      <c r="C421" s="152"/>
      <c r="D421" s="152"/>
      <c r="E421" s="152"/>
      <c r="F421" s="143"/>
      <c r="G421" s="152"/>
      <c r="H421" s="152"/>
      <c r="I421" s="152"/>
      <c r="J421" s="152"/>
      <c r="K421" s="152"/>
      <c r="L421" s="152"/>
      <c r="M421" s="152"/>
      <c r="N421" s="152"/>
      <c r="O421" s="152"/>
      <c r="P421" s="152"/>
      <c r="Q421" s="152"/>
      <c r="R421" s="152"/>
    </row>
    <row r="422">
      <c r="A422" s="152"/>
      <c r="B422" s="152"/>
      <c r="C422" s="152"/>
      <c r="D422" s="152"/>
      <c r="E422" s="152"/>
      <c r="F422" s="143"/>
      <c r="G422" s="152"/>
      <c r="H422" s="152"/>
      <c r="I422" s="152"/>
      <c r="J422" s="152"/>
      <c r="K422" s="152"/>
      <c r="L422" s="152"/>
      <c r="M422" s="152"/>
      <c r="N422" s="152"/>
      <c r="O422" s="152"/>
      <c r="P422" s="152"/>
      <c r="Q422" s="152"/>
      <c r="R422" s="152"/>
    </row>
    <row r="423">
      <c r="A423" s="152"/>
      <c r="B423" s="152"/>
      <c r="C423" s="152"/>
      <c r="D423" s="152"/>
      <c r="E423" s="152"/>
      <c r="F423" s="143"/>
      <c r="G423" s="152"/>
      <c r="H423" s="152"/>
      <c r="I423" s="152"/>
      <c r="J423" s="152"/>
      <c r="K423" s="152"/>
      <c r="L423" s="152"/>
      <c r="M423" s="152"/>
      <c r="N423" s="152"/>
      <c r="O423" s="152"/>
      <c r="P423" s="152"/>
      <c r="Q423" s="152"/>
      <c r="R423" s="152"/>
    </row>
    <row r="424">
      <c r="A424" s="152"/>
      <c r="B424" s="152"/>
      <c r="C424" s="152"/>
      <c r="D424" s="152"/>
      <c r="E424" s="152"/>
      <c r="F424" s="143"/>
      <c r="G424" s="152"/>
      <c r="H424" s="152"/>
      <c r="I424" s="152"/>
      <c r="J424" s="152"/>
      <c r="K424" s="152"/>
      <c r="L424" s="152"/>
      <c r="M424" s="152"/>
      <c r="N424" s="152"/>
      <c r="O424" s="152"/>
      <c r="P424" s="152"/>
      <c r="Q424" s="152"/>
      <c r="R424" s="152"/>
    </row>
    <row r="425">
      <c r="A425" s="152"/>
      <c r="B425" s="152"/>
      <c r="C425" s="152"/>
      <c r="D425" s="152"/>
      <c r="E425" s="152"/>
      <c r="F425" s="143"/>
      <c r="G425" s="152"/>
      <c r="H425" s="152"/>
      <c r="I425" s="152"/>
      <c r="J425" s="152"/>
      <c r="K425" s="152"/>
      <c r="L425" s="152"/>
      <c r="M425" s="152"/>
      <c r="N425" s="152"/>
      <c r="O425" s="152"/>
      <c r="P425" s="152"/>
      <c r="Q425" s="152"/>
      <c r="R425" s="152"/>
    </row>
    <row r="426">
      <c r="A426" s="152"/>
      <c r="B426" s="152"/>
      <c r="C426" s="152"/>
      <c r="D426" s="152"/>
      <c r="E426" s="152"/>
      <c r="F426" s="143"/>
      <c r="G426" s="152"/>
      <c r="H426" s="152"/>
      <c r="I426" s="152"/>
      <c r="J426" s="152"/>
      <c r="K426" s="152"/>
      <c r="L426" s="152"/>
      <c r="M426" s="152"/>
      <c r="N426" s="152"/>
      <c r="O426" s="152"/>
      <c r="P426" s="152"/>
      <c r="Q426" s="152"/>
      <c r="R426" s="152"/>
    </row>
    <row r="427">
      <c r="A427" s="152"/>
      <c r="B427" s="152"/>
      <c r="C427" s="152"/>
      <c r="D427" s="152"/>
      <c r="E427" s="152"/>
      <c r="F427" s="143"/>
      <c r="G427" s="152"/>
      <c r="H427" s="152"/>
      <c r="I427" s="152"/>
      <c r="J427" s="152"/>
      <c r="K427" s="152"/>
      <c r="L427" s="152"/>
      <c r="M427" s="152"/>
      <c r="N427" s="152"/>
      <c r="O427" s="152"/>
      <c r="P427" s="152"/>
      <c r="Q427" s="152"/>
      <c r="R427" s="152"/>
    </row>
    <row r="428">
      <c r="A428" s="152"/>
      <c r="B428" s="152"/>
      <c r="C428" s="152"/>
      <c r="D428" s="152"/>
      <c r="E428" s="152"/>
      <c r="F428" s="143"/>
      <c r="G428" s="152"/>
      <c r="H428" s="152"/>
      <c r="I428" s="152"/>
      <c r="J428" s="152"/>
      <c r="K428" s="152"/>
      <c r="L428" s="152"/>
      <c r="M428" s="152"/>
      <c r="N428" s="152"/>
      <c r="O428" s="152"/>
      <c r="P428" s="152"/>
      <c r="Q428" s="152"/>
      <c r="R428" s="152"/>
    </row>
    <row r="429">
      <c r="A429" s="152"/>
      <c r="B429" s="152"/>
      <c r="C429" s="152"/>
      <c r="D429" s="152"/>
      <c r="E429" s="152"/>
      <c r="F429" s="143"/>
      <c r="G429" s="152"/>
      <c r="H429" s="152"/>
      <c r="I429" s="152"/>
      <c r="J429" s="152"/>
      <c r="K429" s="152"/>
      <c r="L429" s="152"/>
      <c r="M429" s="152"/>
      <c r="N429" s="152"/>
      <c r="O429" s="152"/>
      <c r="P429" s="152"/>
      <c r="Q429" s="152"/>
      <c r="R429" s="152"/>
    </row>
    <row r="430">
      <c r="A430" s="152"/>
      <c r="B430" s="152"/>
      <c r="C430" s="152"/>
      <c r="D430" s="152"/>
      <c r="E430" s="152"/>
      <c r="F430" s="143"/>
      <c r="G430" s="152"/>
      <c r="H430" s="152"/>
      <c r="I430" s="152"/>
      <c r="J430" s="152"/>
      <c r="K430" s="152"/>
      <c r="L430" s="152"/>
      <c r="M430" s="152"/>
      <c r="N430" s="152"/>
      <c r="O430" s="152"/>
      <c r="P430" s="152"/>
      <c r="Q430" s="152"/>
      <c r="R430" s="152"/>
    </row>
    <row r="431">
      <c r="A431" s="152"/>
      <c r="B431" s="152"/>
      <c r="C431" s="152"/>
      <c r="D431" s="152"/>
      <c r="E431" s="152"/>
      <c r="F431" s="143"/>
      <c r="G431" s="152"/>
      <c r="H431" s="152"/>
      <c r="I431" s="152"/>
      <c r="J431" s="152"/>
      <c r="K431" s="152"/>
      <c r="L431" s="152"/>
      <c r="M431" s="152"/>
      <c r="N431" s="152"/>
      <c r="O431" s="152"/>
      <c r="P431" s="152"/>
      <c r="Q431" s="152"/>
      <c r="R431" s="152"/>
    </row>
    <row r="432">
      <c r="A432" s="152"/>
      <c r="B432" s="152"/>
      <c r="C432" s="152"/>
      <c r="D432" s="152"/>
      <c r="E432" s="152"/>
      <c r="F432" s="143"/>
      <c r="G432" s="152"/>
      <c r="H432" s="152"/>
      <c r="I432" s="152"/>
      <c r="J432" s="152"/>
      <c r="K432" s="152"/>
      <c r="L432" s="152"/>
      <c r="M432" s="152"/>
      <c r="N432" s="152"/>
      <c r="O432" s="152"/>
      <c r="P432" s="152"/>
      <c r="Q432" s="152"/>
      <c r="R432" s="152"/>
    </row>
    <row r="433">
      <c r="A433" s="152"/>
      <c r="B433" s="152"/>
      <c r="C433" s="152"/>
      <c r="D433" s="152"/>
      <c r="E433" s="152"/>
      <c r="F433" s="143"/>
      <c r="G433" s="152"/>
      <c r="H433" s="152"/>
      <c r="I433" s="152"/>
      <c r="J433" s="152"/>
      <c r="K433" s="152"/>
      <c r="L433" s="152"/>
      <c r="M433" s="152"/>
      <c r="N433" s="152"/>
      <c r="O433" s="152"/>
      <c r="P433" s="152"/>
      <c r="Q433" s="152"/>
      <c r="R433" s="152"/>
    </row>
    <row r="434">
      <c r="A434" s="152"/>
      <c r="B434" s="152"/>
      <c r="C434" s="152"/>
      <c r="D434" s="152"/>
      <c r="E434" s="152"/>
      <c r="F434" s="143"/>
      <c r="G434" s="152"/>
      <c r="H434" s="152"/>
      <c r="I434" s="152"/>
      <c r="J434" s="152"/>
      <c r="K434" s="152"/>
      <c r="L434" s="152"/>
      <c r="M434" s="152"/>
      <c r="N434" s="152"/>
      <c r="O434" s="152"/>
      <c r="P434" s="152"/>
      <c r="Q434" s="152"/>
      <c r="R434" s="152"/>
    </row>
    <row r="435">
      <c r="A435" s="152"/>
      <c r="B435" s="152"/>
      <c r="C435" s="152"/>
      <c r="D435" s="152"/>
      <c r="E435" s="152"/>
      <c r="F435" s="143"/>
      <c r="G435" s="152"/>
      <c r="H435" s="152"/>
      <c r="I435" s="152"/>
      <c r="J435" s="152"/>
      <c r="K435" s="152"/>
      <c r="L435" s="152"/>
      <c r="M435" s="152"/>
      <c r="N435" s="152"/>
      <c r="O435" s="152"/>
      <c r="P435" s="152"/>
      <c r="Q435" s="152"/>
      <c r="R435" s="152"/>
    </row>
    <row r="436">
      <c r="A436" s="152"/>
      <c r="B436" s="152"/>
      <c r="C436" s="152"/>
      <c r="D436" s="152"/>
      <c r="E436" s="152"/>
      <c r="F436" s="143"/>
      <c r="G436" s="152"/>
      <c r="H436" s="152"/>
      <c r="I436" s="152"/>
      <c r="J436" s="152"/>
      <c r="K436" s="152"/>
      <c r="L436" s="152"/>
      <c r="M436" s="152"/>
      <c r="N436" s="152"/>
      <c r="O436" s="152"/>
      <c r="P436" s="152"/>
      <c r="Q436" s="152"/>
      <c r="R436" s="152"/>
    </row>
    <row r="437">
      <c r="A437" s="152"/>
      <c r="B437" s="152"/>
      <c r="C437" s="152"/>
      <c r="D437" s="152"/>
      <c r="E437" s="152"/>
      <c r="F437" s="143"/>
      <c r="G437" s="152"/>
      <c r="H437" s="152"/>
      <c r="I437" s="152"/>
      <c r="J437" s="152"/>
      <c r="K437" s="152"/>
      <c r="L437" s="152"/>
      <c r="M437" s="152"/>
      <c r="N437" s="152"/>
      <c r="O437" s="152"/>
      <c r="P437" s="152"/>
      <c r="Q437" s="152"/>
      <c r="R437" s="152"/>
    </row>
    <row r="438">
      <c r="A438" s="152"/>
      <c r="B438" s="152"/>
      <c r="C438" s="152"/>
      <c r="D438" s="152"/>
      <c r="E438" s="152"/>
      <c r="F438" s="143"/>
      <c r="G438" s="152"/>
      <c r="H438" s="152"/>
      <c r="I438" s="152"/>
      <c r="J438" s="152"/>
      <c r="K438" s="152"/>
      <c r="L438" s="152"/>
      <c r="M438" s="152"/>
      <c r="N438" s="152"/>
      <c r="O438" s="152"/>
      <c r="P438" s="152"/>
      <c r="Q438" s="152"/>
      <c r="R438" s="152"/>
    </row>
    <row r="439">
      <c r="A439" s="152"/>
      <c r="B439" s="152"/>
      <c r="C439" s="152"/>
      <c r="D439" s="152"/>
      <c r="E439" s="152"/>
      <c r="F439" s="143"/>
      <c r="G439" s="152"/>
      <c r="H439" s="152"/>
      <c r="I439" s="152"/>
      <c r="J439" s="152"/>
      <c r="K439" s="152"/>
      <c r="L439" s="152"/>
      <c r="M439" s="152"/>
      <c r="N439" s="152"/>
      <c r="O439" s="152"/>
      <c r="P439" s="152"/>
      <c r="Q439" s="152"/>
      <c r="R439" s="152"/>
    </row>
    <row r="440">
      <c r="A440" s="152"/>
      <c r="B440" s="152"/>
      <c r="C440" s="152"/>
      <c r="D440" s="152"/>
      <c r="E440" s="152"/>
      <c r="F440" s="143"/>
      <c r="G440" s="152"/>
      <c r="H440" s="152"/>
      <c r="I440" s="152"/>
      <c r="J440" s="152"/>
      <c r="K440" s="152"/>
      <c r="L440" s="152"/>
      <c r="M440" s="152"/>
      <c r="N440" s="152"/>
      <c r="O440" s="152"/>
      <c r="P440" s="152"/>
      <c r="Q440" s="152"/>
      <c r="R440" s="152"/>
    </row>
    <row r="441">
      <c r="A441" s="152"/>
      <c r="B441" s="152"/>
      <c r="C441" s="152"/>
      <c r="D441" s="152"/>
      <c r="E441" s="152"/>
      <c r="F441" s="143"/>
      <c r="G441" s="152"/>
      <c r="H441" s="152"/>
      <c r="I441" s="152"/>
      <c r="J441" s="152"/>
      <c r="K441" s="152"/>
      <c r="L441" s="152"/>
      <c r="M441" s="152"/>
      <c r="N441" s="152"/>
      <c r="O441" s="152"/>
      <c r="P441" s="152"/>
      <c r="Q441" s="152"/>
      <c r="R441" s="152"/>
    </row>
    <row r="442">
      <c r="A442" s="152"/>
      <c r="B442" s="152"/>
      <c r="C442" s="152"/>
      <c r="D442" s="152"/>
      <c r="E442" s="152"/>
      <c r="F442" s="143"/>
      <c r="G442" s="152"/>
      <c r="H442" s="152"/>
      <c r="I442" s="152"/>
      <c r="J442" s="152"/>
      <c r="K442" s="152"/>
      <c r="L442" s="152"/>
      <c r="M442" s="152"/>
      <c r="N442" s="152"/>
      <c r="O442" s="152"/>
      <c r="P442" s="152"/>
      <c r="Q442" s="152"/>
      <c r="R442" s="152"/>
    </row>
    <row r="443">
      <c r="A443" s="152"/>
      <c r="B443" s="152"/>
      <c r="C443" s="152"/>
      <c r="D443" s="152"/>
      <c r="E443" s="152"/>
      <c r="F443" s="143"/>
      <c r="G443" s="152"/>
      <c r="H443" s="152"/>
      <c r="I443" s="152"/>
      <c r="J443" s="152"/>
      <c r="K443" s="152"/>
      <c r="L443" s="152"/>
      <c r="M443" s="152"/>
      <c r="N443" s="152"/>
      <c r="O443" s="152"/>
      <c r="P443" s="152"/>
      <c r="Q443" s="152"/>
      <c r="R443" s="152"/>
    </row>
    <row r="444">
      <c r="A444" s="152"/>
      <c r="B444" s="152"/>
      <c r="C444" s="152"/>
      <c r="D444" s="152"/>
      <c r="E444" s="152"/>
      <c r="F444" s="143"/>
      <c r="G444" s="152"/>
      <c r="H444" s="152"/>
      <c r="I444" s="152"/>
      <c r="J444" s="152"/>
      <c r="K444" s="152"/>
      <c r="L444" s="152"/>
      <c r="M444" s="152"/>
      <c r="N444" s="152"/>
      <c r="O444" s="152"/>
      <c r="P444" s="152"/>
      <c r="Q444" s="152"/>
      <c r="R444" s="152"/>
    </row>
    <row r="445">
      <c r="A445" s="152"/>
      <c r="B445" s="152"/>
      <c r="C445" s="152"/>
      <c r="D445" s="152"/>
      <c r="E445" s="152"/>
      <c r="F445" s="143"/>
      <c r="G445" s="152"/>
      <c r="H445" s="152"/>
      <c r="I445" s="152"/>
      <c r="J445" s="152"/>
      <c r="K445" s="152"/>
      <c r="L445" s="152"/>
      <c r="M445" s="152"/>
      <c r="N445" s="152"/>
      <c r="O445" s="152"/>
      <c r="P445" s="152"/>
      <c r="Q445" s="152"/>
      <c r="R445" s="152"/>
    </row>
    <row r="446">
      <c r="A446" s="152"/>
      <c r="B446" s="152"/>
      <c r="C446" s="152"/>
      <c r="D446" s="152"/>
      <c r="E446" s="152"/>
      <c r="F446" s="143"/>
      <c r="G446" s="152"/>
      <c r="H446" s="152"/>
      <c r="I446" s="152"/>
      <c r="J446" s="152"/>
      <c r="K446" s="152"/>
      <c r="L446" s="152"/>
      <c r="M446" s="152"/>
      <c r="N446" s="152"/>
      <c r="O446" s="152"/>
      <c r="P446" s="152"/>
      <c r="Q446" s="152"/>
      <c r="R446" s="152"/>
    </row>
    <row r="447">
      <c r="A447" s="152"/>
      <c r="B447" s="152"/>
      <c r="C447" s="152"/>
      <c r="D447" s="152"/>
      <c r="E447" s="152"/>
      <c r="F447" s="143"/>
      <c r="G447" s="152"/>
      <c r="H447" s="152"/>
      <c r="I447" s="152"/>
      <c r="J447" s="152"/>
      <c r="K447" s="152"/>
      <c r="L447" s="152"/>
      <c r="M447" s="152"/>
      <c r="N447" s="152"/>
      <c r="O447" s="152"/>
      <c r="P447" s="152"/>
      <c r="Q447" s="152"/>
      <c r="R447" s="152"/>
    </row>
    <row r="448">
      <c r="A448" s="152"/>
      <c r="B448" s="152"/>
      <c r="C448" s="152"/>
      <c r="D448" s="152"/>
      <c r="E448" s="152"/>
      <c r="F448" s="143"/>
      <c r="G448" s="152"/>
      <c r="H448" s="152"/>
      <c r="I448" s="152"/>
      <c r="J448" s="152"/>
      <c r="K448" s="152"/>
      <c r="L448" s="152"/>
      <c r="M448" s="152"/>
      <c r="N448" s="152"/>
      <c r="O448" s="152"/>
      <c r="P448" s="152"/>
      <c r="Q448" s="152"/>
      <c r="R448" s="152"/>
    </row>
    <row r="449">
      <c r="A449" s="152"/>
      <c r="B449" s="152"/>
      <c r="C449" s="152"/>
      <c r="D449" s="152"/>
      <c r="E449" s="152"/>
      <c r="F449" s="143"/>
      <c r="G449" s="152"/>
      <c r="H449" s="152"/>
      <c r="I449" s="152"/>
      <c r="J449" s="152"/>
      <c r="K449" s="152"/>
      <c r="L449" s="152"/>
      <c r="M449" s="152"/>
      <c r="N449" s="152"/>
      <c r="O449" s="152"/>
      <c r="P449" s="152"/>
      <c r="Q449" s="152"/>
      <c r="R449" s="152"/>
    </row>
    <row r="450">
      <c r="A450" s="152"/>
      <c r="B450" s="152"/>
      <c r="C450" s="152"/>
      <c r="D450" s="152"/>
      <c r="E450" s="152"/>
      <c r="F450" s="143"/>
      <c r="G450" s="152"/>
      <c r="H450" s="152"/>
      <c r="I450" s="152"/>
      <c r="J450" s="152"/>
      <c r="K450" s="152"/>
      <c r="L450" s="152"/>
      <c r="M450" s="152"/>
      <c r="N450" s="152"/>
      <c r="O450" s="152"/>
      <c r="P450" s="152"/>
      <c r="Q450" s="152"/>
      <c r="R450" s="152"/>
    </row>
    <row r="451">
      <c r="A451" s="152"/>
      <c r="B451" s="152"/>
      <c r="C451" s="152"/>
      <c r="D451" s="152"/>
      <c r="E451" s="152"/>
      <c r="F451" s="143"/>
      <c r="G451" s="152"/>
      <c r="H451" s="152"/>
      <c r="I451" s="152"/>
      <c r="J451" s="152"/>
      <c r="K451" s="152"/>
      <c r="L451" s="152"/>
      <c r="M451" s="152"/>
      <c r="N451" s="152"/>
      <c r="O451" s="152"/>
      <c r="P451" s="152"/>
      <c r="Q451" s="152"/>
      <c r="R451" s="152"/>
    </row>
    <row r="452">
      <c r="A452" s="152"/>
      <c r="B452" s="152"/>
      <c r="C452" s="152"/>
      <c r="D452" s="152"/>
      <c r="E452" s="152"/>
      <c r="F452" s="143"/>
      <c r="G452" s="152"/>
      <c r="H452" s="152"/>
      <c r="I452" s="152"/>
      <c r="J452" s="152"/>
      <c r="K452" s="152"/>
      <c r="L452" s="152"/>
      <c r="M452" s="152"/>
      <c r="N452" s="152"/>
      <c r="O452" s="152"/>
      <c r="P452" s="152"/>
      <c r="Q452" s="152"/>
      <c r="R452" s="152"/>
    </row>
    <row r="453">
      <c r="A453" s="152"/>
      <c r="B453" s="152"/>
      <c r="C453" s="152"/>
      <c r="D453" s="152"/>
      <c r="E453" s="152"/>
      <c r="F453" s="143"/>
      <c r="G453" s="152"/>
      <c r="H453" s="152"/>
      <c r="I453" s="152"/>
      <c r="J453" s="152"/>
      <c r="K453" s="152"/>
      <c r="L453" s="152"/>
      <c r="M453" s="152"/>
      <c r="N453" s="152"/>
      <c r="O453" s="152"/>
      <c r="P453" s="152"/>
      <c r="Q453" s="152"/>
      <c r="R453" s="152"/>
    </row>
    <row r="454">
      <c r="A454" s="152"/>
      <c r="B454" s="152"/>
      <c r="C454" s="152"/>
      <c r="D454" s="152"/>
      <c r="E454" s="152"/>
      <c r="F454" s="143"/>
      <c r="G454" s="152"/>
      <c r="H454" s="152"/>
      <c r="I454" s="152"/>
      <c r="J454" s="152"/>
      <c r="K454" s="152"/>
      <c r="L454" s="152"/>
      <c r="M454" s="152"/>
      <c r="N454" s="152"/>
      <c r="O454" s="152"/>
      <c r="P454" s="152"/>
      <c r="Q454" s="152"/>
      <c r="R454" s="152"/>
    </row>
    <row r="455">
      <c r="A455" s="152"/>
      <c r="B455" s="152"/>
      <c r="C455" s="152"/>
      <c r="D455" s="152"/>
      <c r="E455" s="152"/>
      <c r="F455" s="143"/>
      <c r="G455" s="152"/>
      <c r="H455" s="152"/>
      <c r="I455" s="152"/>
      <c r="J455" s="152"/>
      <c r="K455" s="152"/>
      <c r="L455" s="152"/>
      <c r="M455" s="152"/>
      <c r="N455" s="152"/>
      <c r="O455" s="152"/>
      <c r="P455" s="152"/>
      <c r="Q455" s="152"/>
      <c r="R455" s="152"/>
    </row>
    <row r="456">
      <c r="A456" s="152"/>
      <c r="B456" s="152"/>
      <c r="C456" s="152"/>
      <c r="D456" s="152"/>
      <c r="E456" s="152"/>
      <c r="F456" s="143"/>
      <c r="G456" s="152"/>
      <c r="H456" s="152"/>
      <c r="I456" s="152"/>
      <c r="J456" s="152"/>
      <c r="K456" s="152"/>
      <c r="L456" s="152"/>
      <c r="M456" s="152"/>
      <c r="N456" s="152"/>
      <c r="O456" s="152"/>
      <c r="P456" s="152"/>
      <c r="Q456" s="152"/>
      <c r="R456" s="152"/>
    </row>
    <row r="457">
      <c r="A457" s="152"/>
      <c r="B457" s="152"/>
      <c r="C457" s="152"/>
      <c r="D457" s="152"/>
      <c r="E457" s="152"/>
      <c r="F457" s="143"/>
      <c r="G457" s="152"/>
      <c r="H457" s="152"/>
      <c r="I457" s="152"/>
      <c r="J457" s="152"/>
      <c r="K457" s="152"/>
      <c r="L457" s="152"/>
      <c r="M457" s="152"/>
      <c r="N457" s="152"/>
      <c r="O457" s="152"/>
      <c r="P457" s="152"/>
      <c r="Q457" s="152"/>
      <c r="R457" s="152"/>
    </row>
    <row r="458">
      <c r="A458" s="152"/>
      <c r="B458" s="152"/>
      <c r="C458" s="152"/>
      <c r="D458" s="152"/>
      <c r="E458" s="152"/>
      <c r="F458" s="143"/>
      <c r="G458" s="152"/>
      <c r="H458" s="152"/>
      <c r="I458" s="152"/>
      <c r="J458" s="152"/>
      <c r="K458" s="152"/>
      <c r="L458" s="152"/>
      <c r="M458" s="152"/>
      <c r="N458" s="152"/>
      <c r="O458" s="152"/>
      <c r="P458" s="152"/>
      <c r="Q458" s="152"/>
      <c r="R458" s="152"/>
    </row>
    <row r="459">
      <c r="A459" s="152"/>
      <c r="B459" s="152"/>
      <c r="C459" s="152"/>
      <c r="D459" s="152"/>
      <c r="E459" s="152"/>
      <c r="F459" s="143"/>
      <c r="G459" s="152"/>
      <c r="H459" s="152"/>
      <c r="I459" s="152"/>
      <c r="J459" s="152"/>
      <c r="K459" s="152"/>
      <c r="L459" s="152"/>
      <c r="M459" s="152"/>
      <c r="N459" s="152"/>
      <c r="O459" s="152"/>
      <c r="P459" s="152"/>
      <c r="Q459" s="152"/>
      <c r="R459" s="152"/>
    </row>
    <row r="460">
      <c r="A460" s="152"/>
      <c r="B460" s="152"/>
      <c r="C460" s="152"/>
      <c r="D460" s="152"/>
      <c r="E460" s="152"/>
      <c r="F460" s="143"/>
      <c r="G460" s="152"/>
      <c r="H460" s="152"/>
      <c r="I460" s="152"/>
      <c r="J460" s="152"/>
      <c r="K460" s="152"/>
      <c r="L460" s="152"/>
      <c r="M460" s="152"/>
      <c r="N460" s="152"/>
      <c r="O460" s="152"/>
      <c r="P460" s="152"/>
      <c r="Q460" s="152"/>
      <c r="R460" s="152"/>
    </row>
    <row r="461">
      <c r="A461" s="152"/>
      <c r="B461" s="152"/>
      <c r="C461" s="152"/>
      <c r="D461" s="152"/>
      <c r="E461" s="152"/>
      <c r="F461" s="143"/>
      <c r="G461" s="152"/>
      <c r="H461" s="152"/>
      <c r="I461" s="152"/>
      <c r="J461" s="152"/>
      <c r="K461" s="152"/>
      <c r="L461" s="152"/>
      <c r="M461" s="152"/>
      <c r="N461" s="152"/>
      <c r="O461" s="152"/>
      <c r="P461" s="152"/>
      <c r="Q461" s="152"/>
      <c r="R461" s="152"/>
    </row>
    <row r="462">
      <c r="A462" s="152"/>
      <c r="B462" s="152"/>
      <c r="C462" s="152"/>
      <c r="D462" s="152"/>
      <c r="E462" s="152"/>
      <c r="F462" s="143"/>
      <c r="G462" s="152"/>
      <c r="H462" s="152"/>
      <c r="I462" s="152"/>
      <c r="J462" s="152"/>
      <c r="K462" s="152"/>
      <c r="L462" s="152"/>
      <c r="M462" s="152"/>
      <c r="N462" s="152"/>
      <c r="O462" s="152"/>
      <c r="P462" s="152"/>
      <c r="Q462" s="152"/>
      <c r="R462" s="152"/>
    </row>
    <row r="463">
      <c r="A463" s="152"/>
      <c r="B463" s="152"/>
      <c r="C463" s="152"/>
      <c r="D463" s="152"/>
      <c r="E463" s="152"/>
      <c r="F463" s="143"/>
      <c r="G463" s="152"/>
      <c r="H463" s="152"/>
      <c r="I463" s="152"/>
      <c r="J463" s="152"/>
      <c r="K463" s="152"/>
      <c r="L463" s="152"/>
      <c r="M463" s="152"/>
      <c r="N463" s="152"/>
      <c r="O463" s="152"/>
      <c r="P463" s="152"/>
      <c r="Q463" s="152"/>
      <c r="R463" s="152"/>
    </row>
    <row r="464">
      <c r="A464" s="152"/>
      <c r="B464" s="152"/>
      <c r="C464" s="152"/>
      <c r="D464" s="152"/>
      <c r="E464" s="152"/>
      <c r="F464" s="143"/>
      <c r="G464" s="152"/>
      <c r="H464" s="152"/>
      <c r="I464" s="152"/>
      <c r="J464" s="152"/>
      <c r="K464" s="152"/>
      <c r="L464" s="152"/>
      <c r="M464" s="152"/>
      <c r="N464" s="152"/>
      <c r="O464" s="152"/>
      <c r="P464" s="152"/>
      <c r="Q464" s="152"/>
      <c r="R464" s="152"/>
    </row>
    <row r="465">
      <c r="A465" s="152"/>
      <c r="B465" s="152"/>
      <c r="C465" s="152"/>
      <c r="D465" s="152"/>
      <c r="E465" s="152"/>
      <c r="F465" s="143"/>
      <c r="G465" s="152"/>
      <c r="H465" s="152"/>
      <c r="I465" s="152"/>
      <c r="J465" s="152"/>
      <c r="K465" s="152"/>
      <c r="L465" s="152"/>
      <c r="M465" s="152"/>
      <c r="N465" s="152"/>
      <c r="O465" s="152"/>
      <c r="P465" s="152"/>
      <c r="Q465" s="152"/>
      <c r="R465" s="152"/>
    </row>
    <row r="466">
      <c r="A466" s="152"/>
      <c r="B466" s="152"/>
      <c r="C466" s="152"/>
      <c r="D466" s="152"/>
      <c r="E466" s="152"/>
      <c r="F466" s="143"/>
      <c r="G466" s="152"/>
      <c r="H466" s="152"/>
      <c r="I466" s="152"/>
      <c r="J466" s="152"/>
      <c r="K466" s="152"/>
      <c r="L466" s="152"/>
      <c r="M466" s="152"/>
      <c r="N466" s="152"/>
      <c r="O466" s="152"/>
      <c r="P466" s="152"/>
      <c r="Q466" s="152"/>
      <c r="R466" s="152"/>
    </row>
    <row r="467">
      <c r="A467" s="152"/>
      <c r="B467" s="152"/>
      <c r="C467" s="152"/>
      <c r="D467" s="152"/>
      <c r="E467" s="152"/>
      <c r="F467" s="143"/>
      <c r="G467" s="152"/>
      <c r="H467" s="152"/>
      <c r="I467" s="152"/>
      <c r="J467" s="152"/>
      <c r="K467" s="152"/>
      <c r="L467" s="152"/>
      <c r="M467" s="152"/>
      <c r="N467" s="152"/>
      <c r="O467" s="152"/>
      <c r="P467" s="152"/>
      <c r="Q467" s="152"/>
      <c r="R467" s="152"/>
    </row>
    <row r="468">
      <c r="A468" s="152"/>
      <c r="B468" s="152"/>
      <c r="C468" s="152"/>
      <c r="D468" s="152"/>
      <c r="E468" s="152"/>
      <c r="F468" s="143"/>
      <c r="G468" s="152"/>
      <c r="H468" s="152"/>
      <c r="I468" s="152"/>
      <c r="J468" s="152"/>
      <c r="K468" s="152"/>
      <c r="L468" s="152"/>
      <c r="M468" s="152"/>
      <c r="N468" s="152"/>
      <c r="O468" s="152"/>
      <c r="P468" s="152"/>
      <c r="Q468" s="152"/>
      <c r="R468" s="152"/>
    </row>
    <row r="469">
      <c r="A469" s="152"/>
      <c r="B469" s="152"/>
      <c r="C469" s="152"/>
      <c r="D469" s="152"/>
      <c r="E469" s="152"/>
      <c r="F469" s="143"/>
      <c r="G469" s="152"/>
      <c r="H469" s="152"/>
      <c r="I469" s="152"/>
      <c r="J469" s="152"/>
      <c r="K469" s="152"/>
      <c r="L469" s="152"/>
      <c r="M469" s="152"/>
      <c r="N469" s="152"/>
      <c r="O469" s="152"/>
      <c r="P469" s="152"/>
      <c r="Q469" s="152"/>
      <c r="R469" s="152"/>
    </row>
    <row r="470">
      <c r="A470" s="152"/>
      <c r="B470" s="152"/>
      <c r="C470" s="152"/>
      <c r="D470" s="152"/>
      <c r="E470" s="152"/>
      <c r="F470" s="143"/>
      <c r="G470" s="152"/>
      <c r="H470" s="152"/>
      <c r="I470" s="152"/>
      <c r="J470" s="152"/>
      <c r="K470" s="152"/>
      <c r="L470" s="152"/>
      <c r="M470" s="152"/>
      <c r="N470" s="152"/>
      <c r="O470" s="152"/>
      <c r="P470" s="152"/>
      <c r="Q470" s="152"/>
      <c r="R470" s="152"/>
    </row>
    <row r="471">
      <c r="A471" s="152"/>
      <c r="B471" s="152"/>
      <c r="C471" s="152"/>
      <c r="D471" s="152"/>
      <c r="E471" s="152"/>
      <c r="F471" s="143"/>
      <c r="G471" s="152"/>
      <c r="H471" s="152"/>
      <c r="I471" s="152"/>
      <c r="J471" s="152"/>
      <c r="K471" s="152"/>
      <c r="L471" s="152"/>
      <c r="M471" s="152"/>
      <c r="N471" s="152"/>
      <c r="O471" s="152"/>
      <c r="P471" s="152"/>
      <c r="Q471" s="152"/>
      <c r="R471" s="152"/>
    </row>
    <row r="472">
      <c r="A472" s="152"/>
      <c r="B472" s="152"/>
      <c r="C472" s="152"/>
      <c r="D472" s="152"/>
      <c r="E472" s="152"/>
      <c r="F472" s="143"/>
      <c r="G472" s="152"/>
      <c r="H472" s="152"/>
      <c r="I472" s="152"/>
      <c r="J472" s="152"/>
      <c r="K472" s="152"/>
      <c r="L472" s="152"/>
      <c r="M472" s="152"/>
      <c r="N472" s="152"/>
      <c r="O472" s="152"/>
      <c r="P472" s="152"/>
      <c r="Q472" s="152"/>
      <c r="R472" s="152"/>
    </row>
    <row r="473">
      <c r="A473" s="152"/>
      <c r="B473" s="152"/>
      <c r="C473" s="152"/>
      <c r="D473" s="152"/>
      <c r="E473" s="152"/>
      <c r="F473" s="143"/>
      <c r="G473" s="152"/>
      <c r="H473" s="152"/>
      <c r="I473" s="152"/>
      <c r="J473" s="152"/>
      <c r="K473" s="152"/>
      <c r="L473" s="152"/>
      <c r="M473" s="152"/>
      <c r="N473" s="152"/>
      <c r="O473" s="152"/>
      <c r="P473" s="152"/>
      <c r="Q473" s="152"/>
      <c r="R473" s="152"/>
    </row>
    <row r="474">
      <c r="A474" s="152"/>
      <c r="B474" s="152"/>
      <c r="C474" s="152"/>
      <c r="D474" s="152"/>
      <c r="E474" s="152"/>
      <c r="F474" s="143"/>
      <c r="G474" s="152"/>
      <c r="H474" s="152"/>
      <c r="I474" s="152"/>
      <c r="J474" s="152"/>
      <c r="K474" s="152"/>
      <c r="L474" s="152"/>
      <c r="M474" s="152"/>
      <c r="N474" s="152"/>
      <c r="O474" s="152"/>
      <c r="P474" s="152"/>
      <c r="Q474" s="152"/>
      <c r="R474" s="152"/>
    </row>
    <row r="475">
      <c r="A475" s="152"/>
      <c r="B475" s="152"/>
      <c r="C475" s="152"/>
      <c r="D475" s="152"/>
      <c r="E475" s="152"/>
      <c r="F475" s="143"/>
      <c r="G475" s="152"/>
      <c r="H475" s="152"/>
      <c r="I475" s="152"/>
      <c r="J475" s="152"/>
      <c r="K475" s="152"/>
      <c r="L475" s="152"/>
      <c r="M475" s="152"/>
      <c r="N475" s="152"/>
      <c r="O475" s="152"/>
      <c r="P475" s="152"/>
      <c r="Q475" s="152"/>
      <c r="R475" s="152"/>
    </row>
    <row r="476">
      <c r="A476" s="152"/>
      <c r="B476" s="152"/>
      <c r="C476" s="152"/>
      <c r="D476" s="152"/>
      <c r="E476" s="152"/>
      <c r="F476" s="143"/>
      <c r="G476" s="152"/>
      <c r="H476" s="152"/>
      <c r="I476" s="152"/>
      <c r="J476" s="152"/>
      <c r="K476" s="152"/>
      <c r="L476" s="152"/>
      <c r="M476" s="152"/>
      <c r="N476" s="152"/>
      <c r="O476" s="152"/>
      <c r="P476" s="152"/>
      <c r="Q476" s="152"/>
      <c r="R476" s="152"/>
    </row>
    <row r="477">
      <c r="A477" s="152"/>
      <c r="B477" s="152"/>
      <c r="C477" s="152"/>
      <c r="D477" s="152"/>
      <c r="E477" s="152"/>
      <c r="F477" s="143"/>
      <c r="G477" s="152"/>
      <c r="H477" s="152"/>
      <c r="I477" s="152"/>
      <c r="J477" s="152"/>
      <c r="K477" s="152"/>
      <c r="L477" s="152"/>
      <c r="M477" s="152"/>
      <c r="N477" s="152"/>
      <c r="O477" s="152"/>
      <c r="P477" s="152"/>
      <c r="Q477" s="152"/>
      <c r="R477" s="152"/>
    </row>
    <row r="478">
      <c r="A478" s="152"/>
      <c r="B478" s="152"/>
      <c r="C478" s="152"/>
      <c r="D478" s="152"/>
      <c r="E478" s="152"/>
      <c r="F478" s="143"/>
      <c r="G478" s="152"/>
      <c r="H478" s="152"/>
      <c r="I478" s="152"/>
      <c r="J478" s="152"/>
      <c r="K478" s="152"/>
      <c r="L478" s="152"/>
      <c r="M478" s="152"/>
      <c r="N478" s="152"/>
      <c r="O478" s="152"/>
      <c r="P478" s="152"/>
      <c r="Q478" s="152"/>
      <c r="R478" s="152"/>
    </row>
    <row r="479">
      <c r="A479" s="152"/>
      <c r="B479" s="152"/>
      <c r="C479" s="152"/>
      <c r="D479" s="152"/>
      <c r="E479" s="152"/>
      <c r="F479" s="143"/>
      <c r="G479" s="152"/>
      <c r="H479" s="152"/>
      <c r="I479" s="152"/>
      <c r="J479" s="152"/>
      <c r="K479" s="152"/>
      <c r="L479" s="152"/>
      <c r="M479" s="152"/>
      <c r="N479" s="152"/>
      <c r="O479" s="152"/>
      <c r="P479" s="152"/>
      <c r="Q479" s="152"/>
      <c r="R479" s="152"/>
    </row>
    <row r="480">
      <c r="A480" s="152"/>
      <c r="B480" s="152"/>
      <c r="C480" s="152"/>
      <c r="D480" s="152"/>
      <c r="E480" s="152"/>
      <c r="F480" s="143"/>
      <c r="G480" s="152"/>
      <c r="H480" s="152"/>
      <c r="I480" s="152"/>
      <c r="J480" s="152"/>
      <c r="K480" s="152"/>
      <c r="L480" s="152"/>
      <c r="M480" s="152"/>
      <c r="N480" s="152"/>
      <c r="O480" s="152"/>
      <c r="P480" s="152"/>
      <c r="Q480" s="152"/>
      <c r="R480" s="152"/>
    </row>
    <row r="481">
      <c r="A481" s="152"/>
      <c r="B481" s="152"/>
      <c r="C481" s="152"/>
      <c r="D481" s="152"/>
      <c r="E481" s="152"/>
      <c r="F481" s="143"/>
      <c r="G481" s="152"/>
      <c r="H481" s="152"/>
      <c r="I481" s="152"/>
      <c r="J481" s="152"/>
      <c r="K481" s="152"/>
      <c r="L481" s="152"/>
      <c r="M481" s="152"/>
      <c r="N481" s="152"/>
      <c r="O481" s="152"/>
      <c r="P481" s="152"/>
      <c r="Q481" s="152"/>
      <c r="R481" s="152"/>
    </row>
    <row r="482">
      <c r="A482" s="152"/>
      <c r="B482" s="152"/>
      <c r="C482" s="152"/>
      <c r="D482" s="152"/>
      <c r="E482" s="152"/>
      <c r="F482" s="143"/>
      <c r="G482" s="152"/>
      <c r="H482" s="152"/>
      <c r="I482" s="152"/>
      <c r="J482" s="152"/>
      <c r="K482" s="152"/>
      <c r="L482" s="152"/>
      <c r="M482" s="152"/>
      <c r="N482" s="152"/>
      <c r="O482" s="152"/>
      <c r="P482" s="152"/>
      <c r="Q482" s="152"/>
      <c r="R482" s="152"/>
    </row>
    <row r="483">
      <c r="A483" s="152"/>
      <c r="B483" s="152"/>
      <c r="C483" s="152"/>
      <c r="D483" s="152"/>
      <c r="E483" s="152"/>
      <c r="F483" s="143"/>
      <c r="G483" s="152"/>
      <c r="H483" s="152"/>
      <c r="I483" s="152"/>
      <c r="J483" s="152"/>
      <c r="K483" s="152"/>
      <c r="L483" s="152"/>
      <c r="M483" s="152"/>
      <c r="N483" s="152"/>
      <c r="O483" s="152"/>
      <c r="P483" s="152"/>
      <c r="Q483" s="152"/>
      <c r="R483" s="152"/>
    </row>
    <row r="484">
      <c r="A484" s="152"/>
      <c r="B484" s="152"/>
      <c r="C484" s="152"/>
      <c r="D484" s="152"/>
      <c r="E484" s="152"/>
      <c r="F484" s="143"/>
      <c r="G484" s="152"/>
      <c r="H484" s="152"/>
      <c r="I484" s="152"/>
      <c r="J484" s="152"/>
      <c r="K484" s="152"/>
      <c r="L484" s="152"/>
      <c r="M484" s="152"/>
      <c r="N484" s="152"/>
      <c r="O484" s="152"/>
      <c r="P484" s="152"/>
      <c r="Q484" s="152"/>
      <c r="R484" s="152"/>
    </row>
    <row r="485">
      <c r="A485" s="152"/>
      <c r="B485" s="152"/>
      <c r="C485" s="152"/>
      <c r="D485" s="152"/>
      <c r="E485" s="152"/>
      <c r="F485" s="143"/>
      <c r="G485" s="152"/>
      <c r="H485" s="152"/>
      <c r="I485" s="152"/>
      <c r="J485" s="152"/>
      <c r="K485" s="152"/>
      <c r="L485" s="152"/>
      <c r="M485" s="152"/>
      <c r="N485" s="152"/>
      <c r="O485" s="152"/>
      <c r="P485" s="152"/>
      <c r="Q485" s="152"/>
      <c r="R485" s="152"/>
    </row>
    <row r="486">
      <c r="A486" s="152"/>
      <c r="B486" s="152"/>
      <c r="C486" s="152"/>
      <c r="D486" s="152"/>
      <c r="E486" s="152"/>
      <c r="F486" s="143"/>
      <c r="G486" s="152"/>
      <c r="H486" s="152"/>
      <c r="I486" s="152"/>
      <c r="J486" s="152"/>
      <c r="K486" s="152"/>
      <c r="L486" s="152"/>
      <c r="M486" s="152"/>
      <c r="N486" s="152"/>
      <c r="O486" s="152"/>
      <c r="P486" s="152"/>
      <c r="Q486" s="152"/>
      <c r="R486" s="152"/>
    </row>
    <row r="487">
      <c r="A487" s="152"/>
      <c r="B487" s="152"/>
      <c r="C487" s="152"/>
      <c r="D487" s="152"/>
      <c r="E487" s="152"/>
      <c r="F487" s="143"/>
      <c r="G487" s="152"/>
      <c r="H487" s="152"/>
      <c r="I487" s="152"/>
      <c r="J487" s="152"/>
      <c r="K487" s="152"/>
      <c r="L487" s="152"/>
      <c r="M487" s="152"/>
      <c r="N487" s="152"/>
      <c r="O487" s="152"/>
      <c r="P487" s="152"/>
      <c r="Q487" s="152"/>
      <c r="R487" s="152"/>
    </row>
    <row r="488">
      <c r="A488" s="152"/>
      <c r="B488" s="152"/>
      <c r="C488" s="152"/>
      <c r="D488" s="152"/>
      <c r="E488" s="152"/>
      <c r="F488" s="143"/>
      <c r="G488" s="152"/>
      <c r="H488" s="152"/>
      <c r="I488" s="152"/>
      <c r="J488" s="152"/>
      <c r="K488" s="152"/>
      <c r="L488" s="152"/>
      <c r="M488" s="152"/>
      <c r="N488" s="152"/>
      <c r="O488" s="152"/>
      <c r="P488" s="152"/>
      <c r="Q488" s="152"/>
      <c r="R488" s="152"/>
    </row>
    <row r="489">
      <c r="A489" s="152"/>
      <c r="B489" s="152"/>
      <c r="C489" s="152"/>
      <c r="D489" s="152"/>
      <c r="E489" s="152"/>
      <c r="F489" s="143"/>
      <c r="G489" s="152"/>
      <c r="H489" s="152"/>
      <c r="I489" s="152"/>
      <c r="J489" s="152"/>
      <c r="K489" s="152"/>
      <c r="L489" s="152"/>
      <c r="M489" s="152"/>
      <c r="N489" s="152"/>
      <c r="O489" s="152"/>
      <c r="P489" s="152"/>
      <c r="Q489" s="152"/>
      <c r="R489" s="152"/>
    </row>
    <row r="490">
      <c r="A490" s="152"/>
      <c r="B490" s="152"/>
      <c r="C490" s="152"/>
      <c r="D490" s="152"/>
      <c r="E490" s="152"/>
      <c r="F490" s="143"/>
      <c r="G490" s="152"/>
      <c r="H490" s="152"/>
      <c r="I490" s="152"/>
      <c r="J490" s="152"/>
      <c r="K490" s="152"/>
      <c r="L490" s="152"/>
      <c r="M490" s="152"/>
      <c r="N490" s="152"/>
      <c r="O490" s="152"/>
      <c r="P490" s="152"/>
      <c r="Q490" s="152"/>
      <c r="R490" s="152"/>
    </row>
    <row r="491">
      <c r="A491" s="152"/>
      <c r="B491" s="152"/>
      <c r="C491" s="152"/>
      <c r="D491" s="152"/>
      <c r="E491" s="152"/>
      <c r="F491" s="143"/>
      <c r="G491" s="152"/>
      <c r="H491" s="152"/>
      <c r="I491" s="152"/>
      <c r="J491" s="152"/>
      <c r="K491" s="152"/>
      <c r="L491" s="152"/>
      <c r="M491" s="152"/>
      <c r="N491" s="152"/>
      <c r="O491" s="152"/>
      <c r="P491" s="152"/>
      <c r="Q491" s="152"/>
      <c r="R491" s="152"/>
    </row>
    <row r="492">
      <c r="A492" s="152"/>
      <c r="B492" s="152"/>
      <c r="C492" s="152"/>
      <c r="D492" s="152"/>
      <c r="E492" s="152"/>
      <c r="F492" s="143"/>
      <c r="G492" s="152"/>
      <c r="H492" s="152"/>
      <c r="I492" s="152"/>
      <c r="J492" s="152"/>
      <c r="K492" s="152"/>
      <c r="L492" s="152"/>
      <c r="M492" s="152"/>
      <c r="N492" s="152"/>
      <c r="O492" s="152"/>
      <c r="P492" s="152"/>
      <c r="Q492" s="152"/>
      <c r="R492" s="152"/>
    </row>
    <row r="493">
      <c r="A493" s="152"/>
      <c r="B493" s="152"/>
      <c r="C493" s="152"/>
      <c r="D493" s="152"/>
      <c r="E493" s="152"/>
      <c r="F493" s="143"/>
      <c r="G493" s="152"/>
      <c r="H493" s="152"/>
      <c r="I493" s="152"/>
      <c r="J493" s="152"/>
      <c r="K493" s="152"/>
      <c r="L493" s="152"/>
      <c r="M493" s="152"/>
      <c r="N493" s="152"/>
      <c r="O493" s="152"/>
      <c r="P493" s="152"/>
      <c r="Q493" s="152"/>
      <c r="R493" s="152"/>
    </row>
    <row r="494">
      <c r="A494" s="152"/>
      <c r="B494" s="152"/>
      <c r="C494" s="152"/>
      <c r="D494" s="152"/>
      <c r="E494" s="152"/>
      <c r="F494" s="143"/>
      <c r="G494" s="152"/>
      <c r="H494" s="152"/>
      <c r="I494" s="152"/>
      <c r="J494" s="152"/>
      <c r="K494" s="152"/>
      <c r="L494" s="152"/>
      <c r="M494" s="152"/>
      <c r="N494" s="152"/>
      <c r="O494" s="152"/>
      <c r="P494" s="152"/>
      <c r="Q494" s="152"/>
      <c r="R494" s="152"/>
    </row>
    <row r="495">
      <c r="A495" s="152"/>
      <c r="B495" s="152"/>
      <c r="C495" s="152"/>
      <c r="D495" s="152"/>
      <c r="E495" s="152"/>
      <c r="F495" s="143"/>
      <c r="G495" s="152"/>
      <c r="H495" s="152"/>
      <c r="I495" s="152"/>
      <c r="J495" s="152"/>
      <c r="K495" s="152"/>
      <c r="L495" s="152"/>
      <c r="M495" s="152"/>
      <c r="N495" s="152"/>
      <c r="O495" s="152"/>
      <c r="P495" s="152"/>
      <c r="Q495" s="152"/>
      <c r="R495" s="152"/>
    </row>
    <row r="496">
      <c r="A496" s="152"/>
      <c r="B496" s="152"/>
      <c r="C496" s="152"/>
      <c r="D496" s="152"/>
      <c r="E496" s="152"/>
      <c r="F496" s="143"/>
      <c r="G496" s="152"/>
      <c r="H496" s="152"/>
      <c r="I496" s="152"/>
      <c r="J496" s="152"/>
      <c r="K496" s="152"/>
      <c r="L496" s="152"/>
      <c r="M496" s="152"/>
      <c r="N496" s="152"/>
      <c r="O496" s="152"/>
      <c r="P496" s="152"/>
      <c r="Q496" s="152"/>
      <c r="R496" s="152"/>
    </row>
    <row r="497">
      <c r="A497" s="152"/>
      <c r="B497" s="152"/>
      <c r="C497" s="152"/>
      <c r="D497" s="152"/>
      <c r="E497" s="152"/>
      <c r="F497" s="143"/>
      <c r="G497" s="152"/>
      <c r="H497" s="152"/>
      <c r="I497" s="152"/>
      <c r="J497" s="152"/>
      <c r="K497" s="152"/>
      <c r="L497" s="152"/>
      <c r="M497" s="152"/>
      <c r="N497" s="152"/>
      <c r="O497" s="152"/>
      <c r="P497" s="152"/>
      <c r="Q497" s="152"/>
      <c r="R497" s="152"/>
    </row>
    <row r="498">
      <c r="A498" s="152"/>
      <c r="B498" s="152"/>
      <c r="C498" s="152"/>
      <c r="D498" s="152"/>
      <c r="E498" s="152"/>
      <c r="F498" s="143"/>
      <c r="G498" s="152"/>
      <c r="H498" s="152"/>
      <c r="I498" s="152"/>
      <c r="J498" s="152"/>
      <c r="K498" s="152"/>
      <c r="L498" s="152"/>
      <c r="M498" s="152"/>
      <c r="N498" s="152"/>
      <c r="O498" s="152"/>
      <c r="P498" s="152"/>
      <c r="Q498" s="152"/>
      <c r="R498" s="152"/>
    </row>
    <row r="499">
      <c r="A499" s="152"/>
      <c r="B499" s="152"/>
      <c r="C499" s="152"/>
      <c r="D499" s="152"/>
      <c r="E499" s="152"/>
      <c r="F499" s="143"/>
      <c r="G499" s="152"/>
      <c r="H499" s="152"/>
      <c r="I499" s="152"/>
      <c r="J499" s="152"/>
      <c r="K499" s="152"/>
      <c r="L499" s="152"/>
      <c r="M499" s="152"/>
      <c r="N499" s="152"/>
      <c r="O499" s="152"/>
      <c r="P499" s="152"/>
      <c r="Q499" s="152"/>
      <c r="R499" s="152"/>
    </row>
    <row r="500">
      <c r="A500" s="152"/>
      <c r="B500" s="152"/>
      <c r="C500" s="152"/>
      <c r="D500" s="152"/>
      <c r="E500" s="152"/>
      <c r="F500" s="143"/>
      <c r="G500" s="152"/>
      <c r="H500" s="152"/>
      <c r="I500" s="152"/>
      <c r="J500" s="152"/>
      <c r="K500" s="152"/>
      <c r="L500" s="152"/>
      <c r="M500" s="152"/>
      <c r="N500" s="152"/>
      <c r="O500" s="152"/>
      <c r="P500" s="152"/>
      <c r="Q500" s="152"/>
      <c r="R500" s="152"/>
    </row>
    <row r="501">
      <c r="A501" s="152"/>
      <c r="B501" s="152"/>
      <c r="C501" s="152"/>
      <c r="D501" s="152"/>
      <c r="E501" s="152"/>
      <c r="F501" s="143"/>
      <c r="G501" s="152"/>
      <c r="H501" s="152"/>
      <c r="I501" s="152"/>
      <c r="J501" s="152"/>
      <c r="K501" s="152"/>
      <c r="L501" s="152"/>
      <c r="M501" s="152"/>
      <c r="N501" s="152"/>
      <c r="O501" s="152"/>
      <c r="P501" s="152"/>
      <c r="Q501" s="152"/>
      <c r="R501" s="152"/>
    </row>
    <row r="502">
      <c r="A502" s="152"/>
      <c r="B502" s="152"/>
      <c r="C502" s="152"/>
      <c r="D502" s="152"/>
      <c r="E502" s="152"/>
      <c r="F502" s="143"/>
      <c r="G502" s="152"/>
      <c r="H502" s="152"/>
      <c r="I502" s="152"/>
      <c r="J502" s="152"/>
      <c r="K502" s="152"/>
      <c r="L502" s="152"/>
      <c r="M502" s="152"/>
      <c r="N502" s="152"/>
      <c r="O502" s="152"/>
      <c r="P502" s="152"/>
      <c r="Q502" s="152"/>
      <c r="R502" s="152"/>
    </row>
    <row r="503">
      <c r="A503" s="152"/>
      <c r="B503" s="152"/>
      <c r="C503" s="152"/>
      <c r="D503" s="152"/>
      <c r="E503" s="152"/>
      <c r="F503" s="143"/>
      <c r="G503" s="152"/>
      <c r="H503" s="152"/>
      <c r="I503" s="152"/>
      <c r="J503" s="152"/>
      <c r="K503" s="152"/>
      <c r="L503" s="152"/>
      <c r="M503" s="152"/>
      <c r="N503" s="152"/>
      <c r="O503" s="152"/>
      <c r="P503" s="152"/>
      <c r="Q503" s="152"/>
      <c r="R503" s="152"/>
    </row>
    <row r="504">
      <c r="A504" s="152"/>
      <c r="B504" s="152"/>
      <c r="C504" s="152"/>
      <c r="D504" s="152"/>
      <c r="E504" s="152"/>
      <c r="F504" s="143"/>
      <c r="G504" s="152"/>
      <c r="H504" s="152"/>
      <c r="I504" s="152"/>
      <c r="J504" s="152"/>
      <c r="K504" s="152"/>
      <c r="L504" s="152"/>
      <c r="M504" s="152"/>
      <c r="N504" s="152"/>
      <c r="O504" s="152"/>
      <c r="P504" s="152"/>
      <c r="Q504" s="152"/>
      <c r="R504" s="152"/>
    </row>
    <row r="505">
      <c r="A505" s="152"/>
      <c r="B505" s="152"/>
      <c r="C505" s="152"/>
      <c r="D505" s="152"/>
      <c r="E505" s="152"/>
      <c r="F505" s="143"/>
      <c r="G505" s="152"/>
      <c r="H505" s="152"/>
      <c r="I505" s="152"/>
      <c r="J505" s="152"/>
      <c r="K505" s="152"/>
      <c r="L505" s="152"/>
      <c r="M505" s="152"/>
      <c r="N505" s="152"/>
      <c r="O505" s="152"/>
      <c r="P505" s="152"/>
      <c r="Q505" s="152"/>
      <c r="R505" s="152"/>
    </row>
    <row r="506">
      <c r="A506" s="152"/>
      <c r="B506" s="152"/>
      <c r="C506" s="152"/>
      <c r="D506" s="152"/>
      <c r="E506" s="152"/>
      <c r="F506" s="143"/>
      <c r="G506" s="152"/>
      <c r="H506" s="152"/>
      <c r="I506" s="152"/>
      <c r="J506" s="152"/>
      <c r="K506" s="152"/>
      <c r="L506" s="152"/>
      <c r="M506" s="152"/>
      <c r="N506" s="152"/>
      <c r="O506" s="152"/>
      <c r="P506" s="152"/>
      <c r="Q506" s="152"/>
      <c r="R506" s="152"/>
    </row>
    <row r="507">
      <c r="A507" s="152"/>
      <c r="B507" s="152"/>
      <c r="C507" s="152"/>
      <c r="D507" s="152"/>
      <c r="E507" s="152"/>
      <c r="F507" s="143"/>
      <c r="G507" s="152"/>
      <c r="H507" s="152"/>
      <c r="I507" s="152"/>
      <c r="J507" s="152"/>
      <c r="K507" s="152"/>
      <c r="L507" s="152"/>
      <c r="M507" s="152"/>
      <c r="N507" s="152"/>
      <c r="O507" s="152"/>
      <c r="P507" s="152"/>
      <c r="Q507" s="152"/>
      <c r="R507" s="152"/>
    </row>
    <row r="508">
      <c r="A508" s="152"/>
      <c r="B508" s="152"/>
      <c r="C508" s="152"/>
      <c r="D508" s="152"/>
      <c r="E508" s="152"/>
      <c r="F508" s="143"/>
      <c r="G508" s="152"/>
      <c r="H508" s="152"/>
      <c r="I508" s="152"/>
      <c r="J508" s="152"/>
      <c r="K508" s="152"/>
      <c r="L508" s="152"/>
      <c r="M508" s="152"/>
      <c r="N508" s="152"/>
      <c r="O508" s="152"/>
      <c r="P508" s="152"/>
      <c r="Q508" s="152"/>
      <c r="R508" s="152"/>
    </row>
    <row r="509">
      <c r="A509" s="152"/>
      <c r="B509" s="152"/>
      <c r="C509" s="152"/>
      <c r="D509" s="152"/>
      <c r="E509" s="152"/>
      <c r="F509" s="143"/>
      <c r="G509" s="152"/>
      <c r="H509" s="152"/>
      <c r="I509" s="152"/>
      <c r="J509" s="152"/>
      <c r="K509" s="152"/>
      <c r="L509" s="152"/>
      <c r="M509" s="152"/>
      <c r="N509" s="152"/>
      <c r="O509" s="152"/>
      <c r="P509" s="152"/>
      <c r="Q509" s="152"/>
      <c r="R509" s="152"/>
    </row>
    <row r="510">
      <c r="A510" s="152"/>
      <c r="B510" s="152"/>
      <c r="C510" s="152"/>
      <c r="D510" s="152"/>
      <c r="E510" s="152"/>
      <c r="F510" s="143"/>
      <c r="G510" s="152"/>
      <c r="H510" s="152"/>
      <c r="I510" s="152"/>
      <c r="J510" s="152"/>
      <c r="K510" s="152"/>
      <c r="L510" s="152"/>
      <c r="M510" s="152"/>
      <c r="N510" s="152"/>
      <c r="O510" s="152"/>
      <c r="P510" s="152"/>
      <c r="Q510" s="152"/>
      <c r="R510" s="152"/>
    </row>
    <row r="511">
      <c r="A511" s="152"/>
      <c r="B511" s="152"/>
      <c r="C511" s="152"/>
      <c r="D511" s="152"/>
      <c r="E511" s="152"/>
      <c r="F511" s="143"/>
      <c r="G511" s="152"/>
      <c r="H511" s="152"/>
      <c r="I511" s="152"/>
      <c r="J511" s="152"/>
      <c r="K511" s="152"/>
      <c r="L511" s="152"/>
      <c r="M511" s="152"/>
      <c r="N511" s="152"/>
      <c r="O511" s="152"/>
      <c r="P511" s="152"/>
      <c r="Q511" s="152"/>
      <c r="R511" s="152"/>
    </row>
    <row r="512">
      <c r="A512" s="152"/>
      <c r="B512" s="152"/>
      <c r="C512" s="152"/>
      <c r="D512" s="152"/>
      <c r="E512" s="152"/>
      <c r="F512" s="143"/>
      <c r="G512" s="152"/>
      <c r="H512" s="152"/>
      <c r="I512" s="152"/>
      <c r="J512" s="152"/>
      <c r="K512" s="152"/>
      <c r="L512" s="152"/>
      <c r="M512" s="152"/>
      <c r="N512" s="152"/>
      <c r="O512" s="152"/>
      <c r="P512" s="152"/>
      <c r="Q512" s="152"/>
      <c r="R512" s="152"/>
    </row>
    <row r="513">
      <c r="A513" s="152"/>
      <c r="B513" s="152"/>
      <c r="C513" s="152"/>
      <c r="D513" s="152"/>
      <c r="E513" s="152"/>
      <c r="F513" s="143"/>
      <c r="G513" s="152"/>
      <c r="H513" s="152"/>
      <c r="I513" s="152"/>
      <c r="J513" s="152"/>
      <c r="K513" s="152"/>
      <c r="L513" s="152"/>
      <c r="M513" s="152"/>
      <c r="N513" s="152"/>
      <c r="O513" s="152"/>
      <c r="P513" s="152"/>
      <c r="Q513" s="152"/>
      <c r="R513" s="152"/>
    </row>
    <row r="514">
      <c r="A514" s="152"/>
      <c r="B514" s="152"/>
      <c r="C514" s="152"/>
      <c r="D514" s="152"/>
      <c r="E514" s="152"/>
      <c r="F514" s="143"/>
      <c r="G514" s="152"/>
      <c r="H514" s="152"/>
      <c r="I514" s="152"/>
      <c r="J514" s="152"/>
      <c r="K514" s="152"/>
      <c r="L514" s="152"/>
      <c r="M514" s="152"/>
      <c r="N514" s="152"/>
      <c r="O514" s="152"/>
      <c r="P514" s="152"/>
      <c r="Q514" s="152"/>
      <c r="R514" s="152"/>
    </row>
    <row r="515">
      <c r="A515" s="152"/>
      <c r="B515" s="152"/>
      <c r="C515" s="152"/>
      <c r="D515" s="152"/>
      <c r="E515" s="152"/>
      <c r="F515" s="143"/>
      <c r="G515" s="152"/>
      <c r="H515" s="152"/>
      <c r="I515" s="152"/>
      <c r="J515" s="152"/>
      <c r="K515" s="152"/>
      <c r="L515" s="152"/>
      <c r="M515" s="152"/>
      <c r="N515" s="152"/>
      <c r="O515" s="152"/>
      <c r="P515" s="152"/>
      <c r="Q515" s="152"/>
      <c r="R515" s="152"/>
    </row>
    <row r="516">
      <c r="A516" s="152"/>
      <c r="B516" s="152"/>
      <c r="C516" s="152"/>
      <c r="D516" s="152"/>
      <c r="E516" s="152"/>
      <c r="F516" s="143"/>
      <c r="G516" s="152"/>
      <c r="H516" s="152"/>
      <c r="I516" s="152"/>
      <c r="J516" s="152"/>
      <c r="K516" s="152"/>
      <c r="L516" s="152"/>
      <c r="M516" s="152"/>
      <c r="N516" s="152"/>
      <c r="O516" s="152"/>
      <c r="P516" s="152"/>
      <c r="Q516" s="152"/>
      <c r="R516" s="152"/>
    </row>
    <row r="517">
      <c r="A517" s="152"/>
      <c r="B517" s="152"/>
      <c r="C517" s="152"/>
      <c r="D517" s="152"/>
      <c r="E517" s="152"/>
      <c r="F517" s="143"/>
      <c r="G517" s="152"/>
      <c r="H517" s="152"/>
      <c r="I517" s="152"/>
      <c r="J517" s="152"/>
      <c r="K517" s="152"/>
      <c r="L517" s="152"/>
      <c r="M517" s="152"/>
      <c r="N517" s="152"/>
      <c r="O517" s="152"/>
      <c r="P517" s="152"/>
      <c r="Q517" s="152"/>
      <c r="R517" s="152"/>
    </row>
    <row r="518">
      <c r="A518" s="152"/>
      <c r="B518" s="152"/>
      <c r="C518" s="152"/>
      <c r="D518" s="152"/>
      <c r="E518" s="152"/>
      <c r="F518" s="143"/>
      <c r="G518" s="152"/>
      <c r="H518" s="152"/>
      <c r="I518" s="152"/>
      <c r="J518" s="152"/>
      <c r="K518" s="152"/>
      <c r="L518" s="152"/>
      <c r="M518" s="152"/>
      <c r="N518" s="152"/>
      <c r="O518" s="152"/>
      <c r="P518" s="152"/>
      <c r="Q518" s="152"/>
      <c r="R518" s="152"/>
    </row>
    <row r="519">
      <c r="A519" s="152"/>
      <c r="B519" s="152"/>
      <c r="C519" s="152"/>
      <c r="D519" s="152"/>
      <c r="E519" s="152"/>
      <c r="F519" s="143"/>
      <c r="G519" s="152"/>
      <c r="H519" s="152"/>
      <c r="I519" s="152"/>
      <c r="J519" s="152"/>
      <c r="K519" s="152"/>
      <c r="L519" s="152"/>
      <c r="M519" s="152"/>
      <c r="N519" s="152"/>
      <c r="O519" s="152"/>
      <c r="P519" s="152"/>
      <c r="Q519" s="152"/>
      <c r="R519" s="152"/>
    </row>
    <row r="520">
      <c r="A520" s="152"/>
      <c r="B520" s="152"/>
      <c r="C520" s="152"/>
      <c r="D520" s="152"/>
      <c r="E520" s="152"/>
      <c r="F520" s="143"/>
      <c r="G520" s="152"/>
      <c r="H520" s="152"/>
      <c r="I520" s="152"/>
      <c r="J520" s="152"/>
      <c r="K520" s="152"/>
      <c r="L520" s="152"/>
      <c r="M520" s="152"/>
      <c r="N520" s="152"/>
      <c r="O520" s="152"/>
      <c r="P520" s="152"/>
      <c r="Q520" s="152"/>
      <c r="R520" s="152"/>
    </row>
    <row r="521">
      <c r="A521" s="152"/>
      <c r="B521" s="152"/>
      <c r="C521" s="152"/>
      <c r="D521" s="152"/>
      <c r="E521" s="152"/>
      <c r="F521" s="143"/>
      <c r="G521" s="152"/>
      <c r="H521" s="152"/>
      <c r="I521" s="152"/>
      <c r="J521" s="152"/>
      <c r="K521" s="152"/>
      <c r="L521" s="152"/>
      <c r="M521" s="152"/>
      <c r="N521" s="152"/>
      <c r="O521" s="152"/>
      <c r="P521" s="152"/>
      <c r="Q521" s="152"/>
      <c r="R521" s="152"/>
    </row>
    <row r="522">
      <c r="A522" s="152"/>
      <c r="B522" s="152"/>
      <c r="C522" s="152"/>
      <c r="D522" s="152"/>
      <c r="E522" s="152"/>
      <c r="F522" s="143"/>
      <c r="G522" s="152"/>
      <c r="H522" s="152"/>
      <c r="I522" s="152"/>
      <c r="J522" s="152"/>
      <c r="K522" s="152"/>
      <c r="L522" s="152"/>
      <c r="M522" s="152"/>
      <c r="N522" s="152"/>
      <c r="O522" s="152"/>
      <c r="P522" s="152"/>
      <c r="Q522" s="152"/>
      <c r="R522" s="152"/>
    </row>
    <row r="523">
      <c r="A523" s="152"/>
      <c r="B523" s="152"/>
      <c r="C523" s="152"/>
      <c r="D523" s="152"/>
      <c r="E523" s="152"/>
      <c r="F523" s="143"/>
      <c r="G523" s="152"/>
      <c r="H523" s="152"/>
      <c r="I523" s="152"/>
      <c r="J523" s="152"/>
      <c r="K523" s="152"/>
      <c r="L523" s="152"/>
      <c r="M523" s="152"/>
      <c r="N523" s="152"/>
      <c r="O523" s="152"/>
      <c r="P523" s="152"/>
      <c r="Q523" s="152"/>
      <c r="R523" s="152"/>
    </row>
    <row r="524">
      <c r="A524" s="152"/>
      <c r="B524" s="152"/>
      <c r="C524" s="152"/>
      <c r="D524" s="152"/>
      <c r="E524" s="152"/>
      <c r="F524" s="143"/>
      <c r="G524" s="152"/>
      <c r="H524" s="152"/>
      <c r="I524" s="152"/>
      <c r="J524" s="152"/>
      <c r="K524" s="152"/>
      <c r="L524" s="152"/>
      <c r="M524" s="152"/>
      <c r="N524" s="152"/>
      <c r="O524" s="152"/>
      <c r="P524" s="152"/>
      <c r="Q524" s="152"/>
      <c r="R524" s="152"/>
    </row>
    <row r="525">
      <c r="A525" s="152"/>
      <c r="B525" s="152"/>
      <c r="C525" s="152"/>
      <c r="D525" s="152"/>
      <c r="E525" s="152"/>
      <c r="F525" s="143"/>
      <c r="G525" s="152"/>
      <c r="H525" s="152"/>
      <c r="I525" s="152"/>
      <c r="J525" s="152"/>
      <c r="K525" s="152"/>
      <c r="L525" s="152"/>
      <c r="M525" s="152"/>
      <c r="N525" s="152"/>
      <c r="O525" s="152"/>
      <c r="P525" s="152"/>
      <c r="Q525" s="152"/>
      <c r="R525" s="152"/>
    </row>
    <row r="526">
      <c r="A526" s="152"/>
      <c r="B526" s="152"/>
      <c r="C526" s="152"/>
      <c r="D526" s="152"/>
      <c r="E526" s="152"/>
      <c r="F526" s="143"/>
      <c r="G526" s="152"/>
      <c r="H526" s="152"/>
      <c r="I526" s="152"/>
      <c r="J526" s="152"/>
      <c r="K526" s="152"/>
      <c r="L526" s="152"/>
      <c r="M526" s="152"/>
      <c r="N526" s="152"/>
      <c r="O526" s="152"/>
      <c r="P526" s="152"/>
      <c r="Q526" s="152"/>
      <c r="R526" s="152"/>
    </row>
    <row r="527">
      <c r="A527" s="152"/>
      <c r="B527" s="152"/>
      <c r="C527" s="152"/>
      <c r="D527" s="152"/>
      <c r="E527" s="152"/>
      <c r="F527" s="143"/>
      <c r="G527" s="152"/>
      <c r="H527" s="152"/>
      <c r="I527" s="152"/>
      <c r="J527" s="152"/>
      <c r="K527" s="152"/>
      <c r="L527" s="152"/>
      <c r="M527" s="152"/>
      <c r="N527" s="152"/>
      <c r="O527" s="152"/>
      <c r="P527" s="152"/>
      <c r="Q527" s="152"/>
      <c r="R527" s="152"/>
    </row>
    <row r="528">
      <c r="A528" s="152"/>
      <c r="B528" s="152"/>
      <c r="C528" s="152"/>
      <c r="D528" s="152"/>
      <c r="E528" s="152"/>
      <c r="F528" s="143"/>
      <c r="G528" s="152"/>
      <c r="H528" s="152"/>
      <c r="I528" s="152"/>
      <c r="J528" s="152"/>
      <c r="K528" s="152"/>
      <c r="L528" s="152"/>
      <c r="M528" s="152"/>
      <c r="N528" s="152"/>
      <c r="O528" s="152"/>
      <c r="P528" s="152"/>
      <c r="Q528" s="152"/>
      <c r="R528" s="152"/>
    </row>
    <row r="529">
      <c r="A529" s="152"/>
      <c r="B529" s="152"/>
      <c r="C529" s="152"/>
      <c r="D529" s="152"/>
      <c r="E529" s="152"/>
      <c r="F529" s="143"/>
      <c r="G529" s="152"/>
      <c r="H529" s="152"/>
      <c r="I529" s="152"/>
      <c r="J529" s="152"/>
      <c r="K529" s="152"/>
      <c r="L529" s="152"/>
      <c r="M529" s="152"/>
      <c r="N529" s="152"/>
      <c r="O529" s="152"/>
      <c r="P529" s="152"/>
      <c r="Q529" s="152"/>
      <c r="R529" s="152"/>
    </row>
    <row r="530">
      <c r="A530" s="152"/>
      <c r="B530" s="152"/>
      <c r="C530" s="152"/>
      <c r="D530" s="152"/>
      <c r="E530" s="152"/>
      <c r="F530" s="143"/>
      <c r="G530" s="152"/>
      <c r="H530" s="152"/>
      <c r="I530" s="152"/>
      <c r="J530" s="152"/>
      <c r="K530" s="152"/>
      <c r="L530" s="152"/>
      <c r="M530" s="152"/>
      <c r="N530" s="152"/>
      <c r="O530" s="152"/>
      <c r="P530" s="152"/>
      <c r="Q530" s="152"/>
      <c r="R530" s="152"/>
    </row>
    <row r="531">
      <c r="A531" s="152"/>
      <c r="B531" s="152"/>
      <c r="C531" s="152"/>
      <c r="D531" s="152"/>
      <c r="E531" s="152"/>
      <c r="F531" s="143"/>
      <c r="G531" s="152"/>
      <c r="H531" s="152"/>
      <c r="I531" s="152"/>
      <c r="J531" s="152"/>
      <c r="K531" s="152"/>
      <c r="L531" s="152"/>
      <c r="M531" s="152"/>
      <c r="N531" s="152"/>
      <c r="O531" s="152"/>
      <c r="P531" s="152"/>
      <c r="Q531" s="152"/>
      <c r="R531" s="152"/>
    </row>
    <row r="532">
      <c r="A532" s="152"/>
      <c r="B532" s="152"/>
      <c r="C532" s="152"/>
      <c r="D532" s="152"/>
      <c r="E532" s="152"/>
      <c r="F532" s="143"/>
      <c r="G532" s="152"/>
      <c r="H532" s="152"/>
      <c r="I532" s="152"/>
      <c r="J532" s="152"/>
      <c r="K532" s="152"/>
      <c r="L532" s="152"/>
      <c r="M532" s="152"/>
      <c r="N532" s="152"/>
      <c r="O532" s="152"/>
      <c r="P532" s="152"/>
      <c r="Q532" s="152"/>
      <c r="R532" s="152"/>
    </row>
    <row r="533">
      <c r="A533" s="152"/>
      <c r="B533" s="152"/>
      <c r="C533" s="152"/>
      <c r="D533" s="152"/>
      <c r="E533" s="152"/>
      <c r="F533" s="143"/>
      <c r="G533" s="152"/>
      <c r="H533" s="152"/>
      <c r="I533" s="152"/>
      <c r="J533" s="152"/>
      <c r="K533" s="152"/>
      <c r="L533" s="152"/>
      <c r="M533" s="152"/>
      <c r="N533" s="152"/>
      <c r="O533" s="152"/>
      <c r="P533" s="152"/>
      <c r="Q533" s="152"/>
      <c r="R533" s="152"/>
    </row>
    <row r="534">
      <c r="A534" s="152"/>
      <c r="B534" s="152"/>
      <c r="C534" s="152"/>
      <c r="D534" s="152"/>
      <c r="E534" s="152"/>
      <c r="F534" s="143"/>
      <c r="G534" s="152"/>
      <c r="H534" s="152"/>
      <c r="I534" s="152"/>
      <c r="J534" s="152"/>
      <c r="K534" s="152"/>
      <c r="L534" s="152"/>
      <c r="M534" s="152"/>
      <c r="N534" s="152"/>
      <c r="O534" s="152"/>
      <c r="P534" s="152"/>
      <c r="Q534" s="152"/>
      <c r="R534" s="152"/>
    </row>
    <row r="535">
      <c r="A535" s="152"/>
      <c r="B535" s="152"/>
      <c r="C535" s="152"/>
      <c r="D535" s="152"/>
      <c r="E535" s="152"/>
      <c r="F535" s="143"/>
      <c r="G535" s="152"/>
      <c r="H535" s="152"/>
      <c r="I535" s="152"/>
      <c r="J535" s="152"/>
      <c r="K535" s="152"/>
      <c r="L535" s="152"/>
      <c r="M535" s="152"/>
      <c r="N535" s="152"/>
      <c r="O535" s="152"/>
      <c r="P535" s="152"/>
      <c r="Q535" s="152"/>
      <c r="R535" s="152"/>
    </row>
    <row r="536">
      <c r="A536" s="152"/>
      <c r="B536" s="152"/>
      <c r="C536" s="152"/>
      <c r="D536" s="152"/>
      <c r="E536" s="152"/>
      <c r="F536" s="143"/>
      <c r="G536" s="152"/>
      <c r="H536" s="152"/>
      <c r="I536" s="152"/>
      <c r="J536" s="152"/>
      <c r="K536" s="152"/>
      <c r="L536" s="152"/>
      <c r="M536" s="152"/>
      <c r="N536" s="152"/>
      <c r="O536" s="152"/>
      <c r="P536" s="152"/>
      <c r="Q536" s="152"/>
      <c r="R536" s="152"/>
    </row>
    <row r="537">
      <c r="A537" s="152"/>
      <c r="B537" s="152"/>
      <c r="C537" s="152"/>
      <c r="D537" s="152"/>
      <c r="E537" s="152"/>
      <c r="F537" s="143"/>
      <c r="G537" s="152"/>
      <c r="H537" s="152"/>
      <c r="I537" s="152"/>
      <c r="J537" s="152"/>
      <c r="K537" s="152"/>
      <c r="L537" s="152"/>
      <c r="M537" s="152"/>
      <c r="N537" s="152"/>
      <c r="O537" s="152"/>
      <c r="P537" s="152"/>
      <c r="Q537" s="152"/>
      <c r="R537" s="152"/>
    </row>
    <row r="538">
      <c r="A538" s="152"/>
      <c r="B538" s="152"/>
      <c r="C538" s="152"/>
      <c r="D538" s="152"/>
      <c r="E538" s="152"/>
      <c r="F538" s="143"/>
      <c r="G538" s="152"/>
      <c r="H538" s="152"/>
      <c r="I538" s="152"/>
      <c r="J538" s="152"/>
      <c r="K538" s="152"/>
      <c r="L538" s="152"/>
      <c r="M538" s="152"/>
      <c r="N538" s="152"/>
      <c r="O538" s="152"/>
      <c r="P538" s="152"/>
      <c r="Q538" s="152"/>
      <c r="R538" s="152"/>
    </row>
    <row r="539">
      <c r="A539" s="152"/>
      <c r="B539" s="152"/>
      <c r="C539" s="152"/>
      <c r="D539" s="152"/>
      <c r="E539" s="152"/>
      <c r="F539" s="143"/>
      <c r="G539" s="152"/>
      <c r="H539" s="152"/>
      <c r="I539" s="152"/>
      <c r="J539" s="152"/>
      <c r="K539" s="152"/>
      <c r="L539" s="152"/>
      <c r="M539" s="152"/>
      <c r="N539" s="152"/>
      <c r="O539" s="152"/>
      <c r="P539" s="152"/>
      <c r="Q539" s="152"/>
      <c r="R539" s="152"/>
    </row>
    <row r="540">
      <c r="A540" s="152"/>
      <c r="B540" s="152"/>
      <c r="C540" s="152"/>
      <c r="D540" s="152"/>
      <c r="E540" s="152"/>
      <c r="F540" s="143"/>
      <c r="G540" s="152"/>
      <c r="H540" s="152"/>
      <c r="I540" s="152"/>
      <c r="J540" s="152"/>
      <c r="K540" s="152"/>
      <c r="L540" s="152"/>
      <c r="M540" s="152"/>
      <c r="N540" s="152"/>
      <c r="O540" s="152"/>
      <c r="P540" s="152"/>
      <c r="Q540" s="152"/>
      <c r="R540" s="152"/>
    </row>
    <row r="541">
      <c r="A541" s="152"/>
      <c r="B541" s="152"/>
      <c r="C541" s="152"/>
      <c r="D541" s="152"/>
      <c r="E541" s="152"/>
      <c r="F541" s="143"/>
      <c r="G541" s="152"/>
      <c r="H541" s="152"/>
      <c r="I541" s="152"/>
      <c r="J541" s="152"/>
      <c r="K541" s="152"/>
      <c r="L541" s="152"/>
      <c r="M541" s="152"/>
      <c r="N541" s="152"/>
      <c r="O541" s="152"/>
      <c r="P541" s="152"/>
      <c r="Q541" s="152"/>
      <c r="R541" s="152"/>
    </row>
    <row r="542">
      <c r="A542" s="152"/>
      <c r="B542" s="152"/>
      <c r="C542" s="152"/>
      <c r="D542" s="152"/>
      <c r="E542" s="152"/>
      <c r="F542" s="143"/>
      <c r="G542" s="152"/>
      <c r="H542" s="152"/>
      <c r="I542" s="152"/>
      <c r="J542" s="152"/>
      <c r="K542" s="152"/>
      <c r="L542" s="152"/>
      <c r="M542" s="152"/>
      <c r="N542" s="152"/>
      <c r="O542" s="152"/>
      <c r="P542" s="152"/>
      <c r="Q542" s="152"/>
      <c r="R542" s="152"/>
    </row>
    <row r="543">
      <c r="A543" s="152"/>
      <c r="B543" s="152"/>
      <c r="C543" s="152"/>
      <c r="D543" s="152"/>
      <c r="E543" s="152"/>
      <c r="F543" s="143"/>
      <c r="G543" s="152"/>
      <c r="H543" s="152"/>
      <c r="I543" s="152"/>
      <c r="J543" s="152"/>
      <c r="K543" s="152"/>
      <c r="L543" s="152"/>
      <c r="M543" s="152"/>
      <c r="N543" s="152"/>
      <c r="O543" s="152"/>
      <c r="P543" s="152"/>
      <c r="Q543" s="152"/>
      <c r="R543" s="152"/>
    </row>
    <row r="544">
      <c r="A544" s="152"/>
      <c r="B544" s="152"/>
      <c r="C544" s="152"/>
      <c r="D544" s="152"/>
      <c r="E544" s="152"/>
      <c r="F544" s="143"/>
      <c r="G544" s="152"/>
      <c r="H544" s="152"/>
      <c r="I544" s="152"/>
      <c r="J544" s="152"/>
      <c r="K544" s="152"/>
      <c r="L544" s="152"/>
      <c r="M544" s="152"/>
      <c r="N544" s="152"/>
      <c r="O544" s="152"/>
      <c r="P544" s="152"/>
      <c r="Q544" s="152"/>
      <c r="R544" s="152"/>
    </row>
    <row r="545">
      <c r="A545" s="152"/>
      <c r="B545" s="152"/>
      <c r="C545" s="152"/>
      <c r="D545" s="152"/>
      <c r="E545" s="152"/>
      <c r="F545" s="143"/>
      <c r="G545" s="152"/>
      <c r="H545" s="152"/>
      <c r="I545" s="152"/>
      <c r="J545" s="152"/>
      <c r="K545" s="152"/>
      <c r="L545" s="152"/>
      <c r="M545" s="152"/>
      <c r="N545" s="152"/>
      <c r="O545" s="152"/>
      <c r="P545" s="152"/>
      <c r="Q545" s="152"/>
      <c r="R545" s="152"/>
    </row>
    <row r="546">
      <c r="A546" s="152"/>
      <c r="B546" s="152"/>
      <c r="C546" s="152"/>
      <c r="D546" s="152"/>
      <c r="E546" s="152"/>
      <c r="F546" s="143"/>
      <c r="G546" s="152"/>
      <c r="H546" s="152"/>
      <c r="I546" s="152"/>
      <c r="J546" s="152"/>
      <c r="K546" s="152"/>
      <c r="L546" s="152"/>
      <c r="M546" s="152"/>
      <c r="N546" s="152"/>
      <c r="O546" s="152"/>
      <c r="P546" s="152"/>
      <c r="Q546" s="152"/>
      <c r="R546" s="152"/>
    </row>
    <row r="547">
      <c r="A547" s="152"/>
      <c r="B547" s="152"/>
      <c r="C547" s="152"/>
      <c r="D547" s="152"/>
      <c r="E547" s="152"/>
      <c r="F547" s="143"/>
      <c r="G547" s="152"/>
      <c r="H547" s="152"/>
      <c r="I547" s="152"/>
      <c r="J547" s="152"/>
      <c r="K547" s="152"/>
      <c r="L547" s="152"/>
      <c r="M547" s="152"/>
      <c r="N547" s="152"/>
      <c r="O547" s="152"/>
      <c r="P547" s="152"/>
      <c r="Q547" s="152"/>
      <c r="R547" s="152"/>
    </row>
    <row r="548">
      <c r="A548" s="152"/>
      <c r="B548" s="152"/>
      <c r="C548" s="152"/>
      <c r="D548" s="152"/>
      <c r="E548" s="152"/>
      <c r="F548" s="143"/>
      <c r="G548" s="152"/>
      <c r="H548" s="152"/>
      <c r="I548" s="152"/>
      <c r="J548" s="152"/>
      <c r="K548" s="152"/>
      <c r="L548" s="152"/>
      <c r="M548" s="152"/>
      <c r="N548" s="152"/>
      <c r="O548" s="152"/>
      <c r="P548" s="152"/>
      <c r="Q548" s="152"/>
      <c r="R548" s="152"/>
    </row>
    <row r="549">
      <c r="A549" s="152"/>
      <c r="B549" s="152"/>
      <c r="C549" s="152"/>
      <c r="D549" s="152"/>
      <c r="E549" s="152"/>
      <c r="F549" s="143"/>
      <c r="G549" s="152"/>
      <c r="H549" s="152"/>
      <c r="I549" s="152"/>
      <c r="J549" s="152"/>
      <c r="K549" s="152"/>
      <c r="L549" s="152"/>
      <c r="M549" s="152"/>
      <c r="N549" s="152"/>
      <c r="O549" s="152"/>
      <c r="P549" s="152"/>
      <c r="Q549" s="152"/>
      <c r="R549" s="152"/>
    </row>
    <row r="550">
      <c r="A550" s="152"/>
      <c r="B550" s="152"/>
      <c r="C550" s="152"/>
      <c r="D550" s="152"/>
      <c r="E550" s="152"/>
      <c r="F550" s="143"/>
      <c r="G550" s="152"/>
      <c r="H550" s="152"/>
      <c r="I550" s="152"/>
      <c r="J550" s="152"/>
      <c r="K550" s="152"/>
      <c r="L550" s="152"/>
      <c r="M550" s="152"/>
      <c r="N550" s="152"/>
      <c r="O550" s="152"/>
      <c r="P550" s="152"/>
      <c r="Q550" s="152"/>
      <c r="R550" s="152"/>
    </row>
    <row r="551">
      <c r="A551" s="152"/>
      <c r="B551" s="152"/>
      <c r="C551" s="152"/>
      <c r="D551" s="152"/>
      <c r="E551" s="152"/>
      <c r="F551" s="143"/>
      <c r="G551" s="152"/>
      <c r="H551" s="152"/>
      <c r="I551" s="152"/>
      <c r="J551" s="152"/>
      <c r="K551" s="152"/>
      <c r="L551" s="152"/>
      <c r="M551" s="152"/>
      <c r="N551" s="152"/>
      <c r="O551" s="152"/>
      <c r="P551" s="152"/>
      <c r="Q551" s="152"/>
      <c r="R551" s="152"/>
    </row>
    <row r="552">
      <c r="A552" s="152"/>
      <c r="B552" s="152"/>
      <c r="C552" s="152"/>
      <c r="D552" s="152"/>
      <c r="E552" s="152"/>
      <c r="F552" s="143"/>
      <c r="G552" s="152"/>
      <c r="H552" s="152"/>
      <c r="I552" s="152"/>
      <c r="J552" s="152"/>
      <c r="K552" s="152"/>
      <c r="L552" s="152"/>
      <c r="M552" s="152"/>
      <c r="N552" s="152"/>
      <c r="O552" s="152"/>
      <c r="P552" s="152"/>
      <c r="Q552" s="152"/>
      <c r="R552" s="152"/>
    </row>
    <row r="553">
      <c r="A553" s="152"/>
      <c r="B553" s="152"/>
      <c r="C553" s="152"/>
      <c r="D553" s="152"/>
      <c r="E553" s="152"/>
      <c r="F553" s="143"/>
      <c r="G553" s="152"/>
      <c r="H553" s="152"/>
      <c r="I553" s="152"/>
      <c r="J553" s="152"/>
      <c r="K553" s="152"/>
      <c r="L553" s="152"/>
      <c r="M553" s="152"/>
      <c r="N553" s="152"/>
      <c r="O553" s="152"/>
      <c r="P553" s="152"/>
      <c r="Q553" s="152"/>
      <c r="R553" s="152"/>
    </row>
    <row r="554">
      <c r="A554" s="152"/>
      <c r="B554" s="152"/>
      <c r="C554" s="152"/>
      <c r="D554" s="152"/>
      <c r="E554" s="152"/>
      <c r="F554" s="143"/>
      <c r="G554" s="152"/>
      <c r="H554" s="152"/>
      <c r="I554" s="152"/>
      <c r="J554" s="152"/>
      <c r="K554" s="152"/>
      <c r="L554" s="152"/>
      <c r="M554" s="152"/>
      <c r="N554" s="152"/>
      <c r="O554" s="152"/>
      <c r="P554" s="152"/>
      <c r="Q554" s="152"/>
      <c r="R554" s="152"/>
    </row>
    <row r="555">
      <c r="A555" s="152"/>
      <c r="B555" s="152"/>
      <c r="C555" s="152"/>
      <c r="D555" s="152"/>
      <c r="E555" s="152"/>
      <c r="F555" s="143"/>
      <c r="G555" s="152"/>
      <c r="H555" s="152"/>
      <c r="I555" s="152"/>
      <c r="J555" s="152"/>
      <c r="K555" s="152"/>
      <c r="L555" s="152"/>
      <c r="M555" s="152"/>
      <c r="N555" s="152"/>
      <c r="O555" s="152"/>
      <c r="P555" s="152"/>
      <c r="Q555" s="152"/>
      <c r="R555" s="152"/>
    </row>
    <row r="556">
      <c r="A556" s="152"/>
      <c r="B556" s="152"/>
      <c r="C556" s="152"/>
      <c r="D556" s="152"/>
      <c r="E556" s="152"/>
      <c r="F556" s="143"/>
      <c r="G556" s="152"/>
      <c r="H556" s="152"/>
      <c r="I556" s="152"/>
      <c r="J556" s="152"/>
      <c r="K556" s="152"/>
      <c r="L556" s="152"/>
      <c r="M556" s="152"/>
      <c r="N556" s="152"/>
      <c r="O556" s="152"/>
      <c r="P556" s="152"/>
      <c r="Q556" s="152"/>
      <c r="R556" s="152"/>
    </row>
    <row r="557">
      <c r="A557" s="152"/>
      <c r="B557" s="152"/>
      <c r="C557" s="152"/>
      <c r="D557" s="152"/>
      <c r="E557" s="152"/>
      <c r="F557" s="143"/>
      <c r="G557" s="152"/>
      <c r="H557" s="152"/>
      <c r="I557" s="152"/>
      <c r="J557" s="152"/>
      <c r="K557" s="152"/>
      <c r="L557" s="152"/>
      <c r="M557" s="152"/>
      <c r="N557" s="152"/>
      <c r="O557" s="152"/>
      <c r="P557" s="152"/>
      <c r="Q557" s="152"/>
      <c r="R557" s="152"/>
    </row>
    <row r="558">
      <c r="A558" s="152"/>
      <c r="B558" s="152"/>
      <c r="C558" s="152"/>
      <c r="D558" s="152"/>
      <c r="E558" s="152"/>
      <c r="F558" s="143"/>
      <c r="G558" s="152"/>
      <c r="H558" s="152"/>
      <c r="I558" s="152"/>
      <c r="J558" s="152"/>
      <c r="K558" s="152"/>
      <c r="L558" s="152"/>
      <c r="M558" s="152"/>
      <c r="N558" s="152"/>
      <c r="O558" s="152"/>
      <c r="P558" s="152"/>
      <c r="Q558" s="152"/>
      <c r="R558" s="152"/>
    </row>
    <row r="559">
      <c r="A559" s="152"/>
      <c r="B559" s="152"/>
      <c r="C559" s="152"/>
      <c r="D559" s="152"/>
      <c r="E559" s="152"/>
      <c r="F559" s="143"/>
      <c r="G559" s="152"/>
      <c r="H559" s="152"/>
      <c r="I559" s="152"/>
      <c r="J559" s="152"/>
      <c r="K559" s="152"/>
      <c r="L559" s="152"/>
      <c r="M559" s="152"/>
      <c r="N559" s="152"/>
      <c r="O559" s="152"/>
      <c r="P559" s="152"/>
      <c r="Q559" s="152"/>
      <c r="R559" s="152"/>
    </row>
    <row r="560">
      <c r="A560" s="152"/>
      <c r="B560" s="152"/>
      <c r="C560" s="152"/>
      <c r="D560" s="152"/>
      <c r="E560" s="152"/>
      <c r="F560" s="143"/>
      <c r="G560" s="152"/>
      <c r="H560" s="152"/>
      <c r="I560" s="152"/>
      <c r="J560" s="152"/>
      <c r="K560" s="152"/>
      <c r="L560" s="152"/>
      <c r="M560" s="152"/>
      <c r="N560" s="152"/>
      <c r="O560" s="152"/>
      <c r="P560" s="152"/>
      <c r="Q560" s="152"/>
      <c r="R560" s="152"/>
    </row>
    <row r="561">
      <c r="A561" s="152"/>
      <c r="B561" s="152"/>
      <c r="C561" s="152"/>
      <c r="D561" s="152"/>
      <c r="E561" s="152"/>
      <c r="F561" s="143"/>
      <c r="G561" s="152"/>
      <c r="H561" s="152"/>
      <c r="I561" s="152"/>
      <c r="J561" s="152"/>
      <c r="K561" s="152"/>
      <c r="L561" s="152"/>
      <c r="M561" s="152"/>
      <c r="N561" s="152"/>
      <c r="O561" s="152"/>
      <c r="P561" s="152"/>
      <c r="Q561" s="152"/>
      <c r="R561" s="152"/>
    </row>
    <row r="562">
      <c r="A562" s="152"/>
      <c r="B562" s="152"/>
      <c r="C562" s="152"/>
      <c r="D562" s="152"/>
      <c r="E562" s="152"/>
      <c r="F562" s="143"/>
      <c r="G562" s="152"/>
      <c r="H562" s="152"/>
      <c r="I562" s="152"/>
      <c r="J562" s="152"/>
      <c r="K562" s="152"/>
      <c r="L562" s="152"/>
      <c r="M562" s="152"/>
      <c r="N562" s="152"/>
      <c r="O562" s="152"/>
      <c r="P562" s="152"/>
      <c r="Q562" s="152"/>
      <c r="R562" s="152"/>
    </row>
    <row r="563">
      <c r="A563" s="152"/>
      <c r="B563" s="152"/>
      <c r="C563" s="152"/>
      <c r="D563" s="152"/>
      <c r="E563" s="152"/>
      <c r="F563" s="143"/>
      <c r="G563" s="152"/>
      <c r="H563" s="152"/>
      <c r="I563" s="152"/>
      <c r="J563" s="152"/>
      <c r="K563" s="152"/>
      <c r="L563" s="152"/>
      <c r="M563" s="152"/>
      <c r="N563" s="152"/>
      <c r="O563" s="152"/>
      <c r="P563" s="152"/>
      <c r="Q563" s="152"/>
      <c r="R563" s="152"/>
    </row>
    <row r="564">
      <c r="A564" s="152"/>
      <c r="B564" s="152"/>
      <c r="C564" s="152"/>
      <c r="D564" s="152"/>
      <c r="E564" s="152"/>
      <c r="F564" s="143"/>
      <c r="G564" s="152"/>
      <c r="H564" s="152"/>
      <c r="I564" s="152"/>
      <c r="J564" s="152"/>
      <c r="K564" s="152"/>
      <c r="L564" s="152"/>
      <c r="M564" s="152"/>
      <c r="N564" s="152"/>
      <c r="O564" s="152"/>
      <c r="P564" s="152"/>
      <c r="Q564" s="152"/>
      <c r="R564" s="152"/>
    </row>
    <row r="565">
      <c r="A565" s="152"/>
      <c r="B565" s="152"/>
      <c r="C565" s="152"/>
      <c r="D565" s="152"/>
      <c r="E565" s="152"/>
      <c r="F565" s="143"/>
      <c r="G565" s="152"/>
      <c r="H565" s="152"/>
      <c r="I565" s="152"/>
      <c r="J565" s="152"/>
      <c r="K565" s="152"/>
      <c r="L565" s="152"/>
      <c r="M565" s="152"/>
      <c r="N565" s="152"/>
      <c r="O565" s="152"/>
      <c r="P565" s="152"/>
      <c r="Q565" s="152"/>
      <c r="R565" s="152"/>
    </row>
    <row r="566">
      <c r="A566" s="152"/>
      <c r="B566" s="152"/>
      <c r="C566" s="152"/>
      <c r="D566" s="152"/>
      <c r="E566" s="152"/>
      <c r="F566" s="143"/>
      <c r="G566" s="152"/>
      <c r="H566" s="152"/>
      <c r="I566" s="152"/>
      <c r="J566" s="152"/>
      <c r="K566" s="152"/>
      <c r="L566" s="152"/>
      <c r="M566" s="152"/>
      <c r="N566" s="152"/>
      <c r="O566" s="152"/>
      <c r="P566" s="152"/>
      <c r="Q566" s="152"/>
      <c r="R566" s="152"/>
    </row>
    <row r="567">
      <c r="A567" s="152"/>
      <c r="B567" s="152"/>
      <c r="C567" s="152"/>
      <c r="D567" s="152"/>
      <c r="E567" s="152"/>
      <c r="F567" s="143"/>
      <c r="G567" s="152"/>
      <c r="H567" s="152"/>
      <c r="I567" s="152"/>
      <c r="J567" s="152"/>
      <c r="K567" s="152"/>
      <c r="L567" s="152"/>
      <c r="M567" s="152"/>
      <c r="N567" s="152"/>
      <c r="O567" s="152"/>
      <c r="P567" s="152"/>
      <c r="Q567" s="152"/>
      <c r="R567" s="152"/>
    </row>
    <row r="568">
      <c r="A568" s="152"/>
      <c r="B568" s="152"/>
      <c r="C568" s="152"/>
      <c r="D568" s="152"/>
      <c r="E568" s="152"/>
      <c r="F568" s="143"/>
      <c r="G568" s="152"/>
      <c r="H568" s="152"/>
      <c r="I568" s="152"/>
      <c r="J568" s="152"/>
      <c r="K568" s="152"/>
      <c r="L568" s="152"/>
      <c r="M568" s="152"/>
      <c r="N568" s="152"/>
      <c r="O568" s="152"/>
      <c r="P568" s="152"/>
      <c r="Q568" s="152"/>
      <c r="R568" s="152"/>
    </row>
    <row r="569">
      <c r="A569" s="152"/>
      <c r="B569" s="152"/>
      <c r="C569" s="152"/>
      <c r="D569" s="152"/>
      <c r="E569" s="152"/>
      <c r="F569" s="143"/>
      <c r="G569" s="152"/>
      <c r="H569" s="152"/>
      <c r="I569" s="152"/>
      <c r="J569" s="152"/>
      <c r="K569" s="152"/>
      <c r="L569" s="152"/>
      <c r="M569" s="152"/>
      <c r="N569" s="152"/>
      <c r="O569" s="152"/>
      <c r="P569" s="152"/>
      <c r="Q569" s="152"/>
      <c r="R569" s="152"/>
    </row>
    <row r="570">
      <c r="A570" s="152"/>
      <c r="B570" s="152"/>
      <c r="C570" s="152"/>
      <c r="D570" s="152"/>
      <c r="E570" s="152"/>
      <c r="F570" s="143"/>
      <c r="G570" s="152"/>
      <c r="H570" s="152"/>
      <c r="I570" s="152"/>
      <c r="J570" s="152"/>
      <c r="K570" s="152"/>
      <c r="L570" s="152"/>
      <c r="M570" s="152"/>
      <c r="N570" s="152"/>
      <c r="O570" s="152"/>
      <c r="P570" s="152"/>
      <c r="Q570" s="152"/>
      <c r="R570" s="152"/>
    </row>
    <row r="571">
      <c r="A571" s="152"/>
      <c r="B571" s="152"/>
      <c r="C571" s="152"/>
      <c r="D571" s="152"/>
      <c r="E571" s="152"/>
      <c r="F571" s="143"/>
      <c r="G571" s="152"/>
      <c r="H571" s="152"/>
      <c r="I571" s="152"/>
      <c r="J571" s="152"/>
      <c r="K571" s="152"/>
      <c r="L571" s="152"/>
      <c r="M571" s="152"/>
      <c r="N571" s="152"/>
      <c r="O571" s="152"/>
      <c r="P571" s="152"/>
      <c r="Q571" s="152"/>
      <c r="R571" s="152"/>
    </row>
    <row r="572">
      <c r="A572" s="152"/>
      <c r="B572" s="152"/>
      <c r="C572" s="152"/>
      <c r="D572" s="152"/>
      <c r="E572" s="152"/>
      <c r="F572" s="143"/>
      <c r="G572" s="152"/>
      <c r="H572" s="152"/>
      <c r="I572" s="152"/>
      <c r="J572" s="152"/>
      <c r="K572" s="152"/>
      <c r="L572" s="152"/>
      <c r="M572" s="152"/>
      <c r="N572" s="152"/>
      <c r="O572" s="152"/>
      <c r="P572" s="152"/>
      <c r="Q572" s="152"/>
      <c r="R572" s="152"/>
    </row>
    <row r="573">
      <c r="A573" s="152"/>
      <c r="B573" s="152"/>
      <c r="C573" s="152"/>
      <c r="D573" s="152"/>
      <c r="E573" s="152"/>
      <c r="F573" s="143"/>
      <c r="G573" s="152"/>
      <c r="H573" s="152"/>
      <c r="I573" s="152"/>
      <c r="J573" s="152"/>
      <c r="K573" s="152"/>
      <c r="L573" s="152"/>
      <c r="M573" s="152"/>
      <c r="N573" s="152"/>
      <c r="O573" s="152"/>
      <c r="P573" s="152"/>
      <c r="Q573" s="152"/>
      <c r="R573" s="152"/>
    </row>
    <row r="574">
      <c r="A574" s="152"/>
      <c r="B574" s="152"/>
      <c r="C574" s="152"/>
      <c r="D574" s="152"/>
      <c r="E574" s="152"/>
      <c r="F574" s="143"/>
      <c r="G574" s="152"/>
      <c r="H574" s="152"/>
      <c r="I574" s="152"/>
      <c r="J574" s="152"/>
      <c r="K574" s="152"/>
      <c r="L574" s="152"/>
      <c r="M574" s="152"/>
      <c r="N574" s="152"/>
      <c r="O574" s="152"/>
      <c r="P574" s="152"/>
      <c r="Q574" s="152"/>
      <c r="R574" s="152"/>
    </row>
    <row r="575">
      <c r="A575" s="152"/>
      <c r="B575" s="152"/>
      <c r="C575" s="152"/>
      <c r="D575" s="152"/>
      <c r="E575" s="152"/>
      <c r="F575" s="143"/>
      <c r="G575" s="152"/>
      <c r="H575" s="152"/>
      <c r="I575" s="152"/>
      <c r="J575" s="152"/>
      <c r="K575" s="152"/>
      <c r="L575" s="152"/>
      <c r="M575" s="152"/>
      <c r="N575" s="152"/>
      <c r="O575" s="152"/>
      <c r="P575" s="152"/>
      <c r="Q575" s="152"/>
      <c r="R575" s="152"/>
    </row>
    <row r="576">
      <c r="A576" s="152"/>
      <c r="B576" s="152"/>
      <c r="C576" s="152"/>
      <c r="D576" s="152"/>
      <c r="E576" s="152"/>
      <c r="F576" s="143"/>
      <c r="G576" s="152"/>
      <c r="H576" s="152"/>
      <c r="I576" s="152"/>
      <c r="J576" s="152"/>
      <c r="K576" s="152"/>
      <c r="L576" s="152"/>
      <c r="M576" s="152"/>
      <c r="N576" s="152"/>
      <c r="O576" s="152"/>
      <c r="P576" s="152"/>
      <c r="Q576" s="152"/>
      <c r="R576" s="152"/>
    </row>
    <row r="577">
      <c r="A577" s="152"/>
      <c r="B577" s="152"/>
      <c r="C577" s="152"/>
      <c r="D577" s="152"/>
      <c r="E577" s="152"/>
      <c r="F577" s="143"/>
      <c r="G577" s="152"/>
      <c r="H577" s="152"/>
      <c r="I577" s="152"/>
      <c r="J577" s="152"/>
      <c r="K577" s="152"/>
      <c r="L577" s="152"/>
      <c r="M577" s="152"/>
      <c r="N577" s="152"/>
      <c r="O577" s="152"/>
      <c r="P577" s="152"/>
      <c r="Q577" s="152"/>
      <c r="R577" s="152"/>
    </row>
    <row r="578">
      <c r="A578" s="152"/>
      <c r="B578" s="152"/>
      <c r="C578" s="152"/>
      <c r="D578" s="152"/>
      <c r="E578" s="152"/>
      <c r="F578" s="143"/>
      <c r="G578" s="152"/>
      <c r="H578" s="152"/>
      <c r="I578" s="152"/>
      <c r="J578" s="152"/>
      <c r="K578" s="152"/>
      <c r="L578" s="152"/>
      <c r="M578" s="152"/>
      <c r="N578" s="152"/>
      <c r="O578" s="152"/>
      <c r="P578" s="152"/>
      <c r="Q578" s="152"/>
      <c r="R578" s="152"/>
    </row>
    <row r="579">
      <c r="A579" s="152"/>
      <c r="B579" s="152"/>
      <c r="C579" s="152"/>
      <c r="D579" s="152"/>
      <c r="E579" s="152"/>
      <c r="F579" s="143"/>
      <c r="G579" s="152"/>
      <c r="H579" s="152"/>
      <c r="I579" s="152"/>
      <c r="J579" s="152"/>
      <c r="K579" s="152"/>
      <c r="L579" s="152"/>
      <c r="M579" s="152"/>
      <c r="N579" s="152"/>
      <c r="O579" s="152"/>
      <c r="P579" s="152"/>
      <c r="Q579" s="152"/>
      <c r="R579" s="152"/>
    </row>
    <row r="580">
      <c r="A580" s="152"/>
      <c r="B580" s="152"/>
      <c r="C580" s="152"/>
      <c r="D580" s="152"/>
      <c r="E580" s="152"/>
      <c r="F580" s="143"/>
      <c r="G580" s="152"/>
      <c r="H580" s="152"/>
      <c r="I580" s="152"/>
      <c r="J580" s="152"/>
      <c r="K580" s="152"/>
      <c r="L580" s="152"/>
      <c r="M580" s="152"/>
      <c r="N580" s="152"/>
      <c r="O580" s="152"/>
      <c r="P580" s="152"/>
      <c r="Q580" s="152"/>
      <c r="R580" s="152"/>
    </row>
    <row r="581">
      <c r="A581" s="152"/>
      <c r="B581" s="152"/>
      <c r="C581" s="152"/>
      <c r="D581" s="152"/>
      <c r="E581" s="152"/>
      <c r="F581" s="143"/>
      <c r="G581" s="152"/>
      <c r="H581" s="152"/>
      <c r="I581" s="152"/>
      <c r="J581" s="152"/>
      <c r="K581" s="152"/>
      <c r="L581" s="152"/>
      <c r="M581" s="152"/>
      <c r="N581" s="152"/>
      <c r="O581" s="152"/>
      <c r="P581" s="152"/>
      <c r="Q581" s="152"/>
      <c r="R581" s="152"/>
    </row>
    <row r="582">
      <c r="A582" s="152"/>
      <c r="B582" s="152"/>
      <c r="C582" s="152"/>
      <c r="D582" s="152"/>
      <c r="E582" s="152"/>
      <c r="F582" s="143"/>
      <c r="G582" s="152"/>
      <c r="H582" s="152"/>
      <c r="I582" s="152"/>
      <c r="J582" s="152"/>
      <c r="K582" s="152"/>
      <c r="L582" s="152"/>
      <c r="M582" s="152"/>
      <c r="N582" s="152"/>
      <c r="O582" s="152"/>
      <c r="P582" s="152"/>
      <c r="Q582" s="152"/>
      <c r="R582" s="152"/>
    </row>
    <row r="583">
      <c r="A583" s="152"/>
      <c r="B583" s="152"/>
      <c r="C583" s="152"/>
      <c r="D583" s="152"/>
      <c r="E583" s="152"/>
      <c r="F583" s="143"/>
      <c r="G583" s="152"/>
      <c r="H583" s="152"/>
      <c r="I583" s="152"/>
      <c r="J583" s="152"/>
      <c r="K583" s="152"/>
      <c r="L583" s="152"/>
      <c r="M583" s="152"/>
      <c r="N583" s="152"/>
      <c r="O583" s="152"/>
      <c r="P583" s="152"/>
      <c r="Q583" s="152"/>
      <c r="R583" s="152"/>
    </row>
    <row r="584">
      <c r="A584" s="152"/>
      <c r="B584" s="152"/>
      <c r="C584" s="152"/>
      <c r="D584" s="152"/>
      <c r="E584" s="152"/>
      <c r="F584" s="143"/>
      <c r="G584" s="152"/>
      <c r="H584" s="152"/>
      <c r="I584" s="152"/>
      <c r="J584" s="152"/>
      <c r="K584" s="152"/>
      <c r="L584" s="152"/>
      <c r="M584" s="152"/>
      <c r="N584" s="152"/>
      <c r="O584" s="152"/>
      <c r="P584" s="152"/>
      <c r="Q584" s="152"/>
      <c r="R584" s="152"/>
    </row>
    <row r="585">
      <c r="A585" s="152"/>
      <c r="B585" s="152"/>
      <c r="C585" s="152"/>
      <c r="D585" s="152"/>
      <c r="E585" s="152"/>
      <c r="F585" s="143"/>
      <c r="G585" s="152"/>
      <c r="H585" s="152"/>
      <c r="I585" s="152"/>
      <c r="J585" s="152"/>
      <c r="K585" s="152"/>
      <c r="L585" s="152"/>
      <c r="M585" s="152"/>
      <c r="N585" s="152"/>
      <c r="O585" s="152"/>
      <c r="P585" s="152"/>
      <c r="Q585" s="152"/>
      <c r="R585" s="152"/>
    </row>
    <row r="586">
      <c r="A586" s="152"/>
      <c r="B586" s="152"/>
      <c r="C586" s="152"/>
      <c r="D586" s="152"/>
      <c r="E586" s="152"/>
      <c r="F586" s="143"/>
      <c r="G586" s="152"/>
      <c r="H586" s="152"/>
      <c r="I586" s="152"/>
      <c r="J586" s="152"/>
      <c r="K586" s="152"/>
      <c r="L586" s="152"/>
      <c r="M586" s="152"/>
      <c r="N586" s="152"/>
      <c r="O586" s="152"/>
      <c r="P586" s="152"/>
      <c r="Q586" s="152"/>
      <c r="R586" s="152"/>
    </row>
    <row r="587">
      <c r="A587" s="152"/>
      <c r="B587" s="152"/>
      <c r="C587" s="152"/>
      <c r="D587" s="152"/>
      <c r="E587" s="152"/>
      <c r="F587" s="143"/>
      <c r="G587" s="152"/>
      <c r="H587" s="152"/>
      <c r="I587" s="152"/>
      <c r="J587" s="152"/>
      <c r="K587" s="152"/>
      <c r="L587" s="152"/>
      <c r="M587" s="152"/>
      <c r="N587" s="152"/>
      <c r="O587" s="152"/>
      <c r="P587" s="152"/>
      <c r="Q587" s="152"/>
      <c r="R587" s="152"/>
    </row>
    <row r="588">
      <c r="A588" s="152"/>
      <c r="B588" s="152"/>
      <c r="C588" s="152"/>
      <c r="D588" s="152"/>
      <c r="E588" s="152"/>
      <c r="F588" s="143"/>
      <c r="G588" s="152"/>
      <c r="H588" s="152"/>
      <c r="I588" s="152"/>
      <c r="J588" s="152"/>
      <c r="K588" s="152"/>
      <c r="L588" s="152"/>
      <c r="M588" s="152"/>
      <c r="N588" s="152"/>
      <c r="O588" s="152"/>
      <c r="P588" s="152"/>
      <c r="Q588" s="152"/>
      <c r="R588" s="152"/>
    </row>
    <row r="589">
      <c r="A589" s="152"/>
      <c r="B589" s="152"/>
      <c r="C589" s="152"/>
      <c r="D589" s="152"/>
      <c r="E589" s="152"/>
      <c r="F589" s="143"/>
      <c r="G589" s="152"/>
      <c r="H589" s="152"/>
      <c r="I589" s="152"/>
      <c r="J589" s="152"/>
      <c r="K589" s="152"/>
      <c r="L589" s="152"/>
      <c r="M589" s="152"/>
      <c r="N589" s="152"/>
      <c r="O589" s="152"/>
      <c r="P589" s="152"/>
      <c r="Q589" s="152"/>
      <c r="R589" s="152"/>
    </row>
    <row r="590">
      <c r="A590" s="152"/>
      <c r="B590" s="152"/>
      <c r="C590" s="152"/>
      <c r="D590" s="152"/>
      <c r="E590" s="152"/>
      <c r="F590" s="143"/>
      <c r="G590" s="152"/>
      <c r="H590" s="152"/>
      <c r="I590" s="152"/>
      <c r="J590" s="152"/>
      <c r="K590" s="152"/>
      <c r="L590" s="152"/>
      <c r="M590" s="152"/>
      <c r="N590" s="152"/>
      <c r="O590" s="152"/>
      <c r="P590" s="152"/>
      <c r="Q590" s="152"/>
      <c r="R590" s="152"/>
    </row>
    <row r="591">
      <c r="A591" s="152"/>
      <c r="B591" s="152"/>
      <c r="C591" s="152"/>
      <c r="D591" s="152"/>
      <c r="E591" s="152"/>
      <c r="F591" s="143"/>
      <c r="G591" s="152"/>
      <c r="H591" s="152"/>
      <c r="I591" s="152"/>
      <c r="J591" s="152"/>
      <c r="K591" s="152"/>
      <c r="L591" s="152"/>
      <c r="M591" s="152"/>
      <c r="N591" s="152"/>
      <c r="O591" s="152"/>
      <c r="P591" s="152"/>
      <c r="Q591" s="152"/>
      <c r="R591" s="152"/>
    </row>
    <row r="592">
      <c r="A592" s="152"/>
      <c r="B592" s="152"/>
      <c r="C592" s="152"/>
      <c r="D592" s="152"/>
      <c r="E592" s="152"/>
      <c r="F592" s="143"/>
      <c r="G592" s="152"/>
      <c r="H592" s="152"/>
      <c r="I592" s="152"/>
      <c r="J592" s="152"/>
      <c r="K592" s="152"/>
      <c r="L592" s="152"/>
      <c r="M592" s="152"/>
      <c r="N592" s="152"/>
      <c r="O592" s="152"/>
      <c r="P592" s="152"/>
      <c r="Q592" s="152"/>
      <c r="R592" s="152"/>
    </row>
    <row r="593">
      <c r="A593" s="152"/>
      <c r="B593" s="152"/>
      <c r="C593" s="152"/>
      <c r="D593" s="152"/>
      <c r="E593" s="152"/>
      <c r="F593" s="143"/>
      <c r="G593" s="152"/>
      <c r="H593" s="152"/>
      <c r="I593" s="152"/>
      <c r="J593" s="152"/>
      <c r="K593" s="152"/>
      <c r="L593" s="152"/>
      <c r="M593" s="152"/>
      <c r="N593" s="152"/>
      <c r="O593" s="152"/>
      <c r="P593" s="152"/>
      <c r="Q593" s="152"/>
      <c r="R593" s="152"/>
    </row>
    <row r="594">
      <c r="A594" s="152"/>
      <c r="B594" s="152"/>
      <c r="C594" s="152"/>
      <c r="D594" s="152"/>
      <c r="E594" s="152"/>
      <c r="F594" s="143"/>
      <c r="G594" s="152"/>
      <c r="H594" s="152"/>
      <c r="I594" s="152"/>
      <c r="J594" s="152"/>
      <c r="K594" s="152"/>
      <c r="L594" s="152"/>
      <c r="M594" s="152"/>
      <c r="N594" s="152"/>
      <c r="O594" s="152"/>
      <c r="P594" s="152"/>
      <c r="Q594" s="152"/>
      <c r="R594" s="152"/>
    </row>
    <row r="595">
      <c r="A595" s="152"/>
      <c r="B595" s="152"/>
      <c r="C595" s="152"/>
      <c r="D595" s="152"/>
      <c r="E595" s="152"/>
      <c r="F595" s="143"/>
      <c r="G595" s="152"/>
      <c r="H595" s="152"/>
      <c r="I595" s="152"/>
      <c r="J595" s="152"/>
      <c r="K595" s="152"/>
      <c r="L595" s="152"/>
      <c r="M595" s="152"/>
      <c r="N595" s="152"/>
      <c r="O595" s="152"/>
      <c r="P595" s="152"/>
      <c r="Q595" s="152"/>
      <c r="R595" s="152"/>
    </row>
    <row r="596">
      <c r="A596" s="152"/>
      <c r="B596" s="152"/>
      <c r="C596" s="152"/>
      <c r="D596" s="152"/>
      <c r="E596" s="152"/>
      <c r="F596" s="143"/>
      <c r="G596" s="152"/>
      <c r="H596" s="152"/>
      <c r="I596" s="152"/>
      <c r="J596" s="152"/>
      <c r="K596" s="152"/>
      <c r="L596" s="152"/>
      <c r="M596" s="152"/>
      <c r="N596" s="152"/>
      <c r="O596" s="152"/>
      <c r="P596" s="152"/>
      <c r="Q596" s="152"/>
      <c r="R596" s="152"/>
    </row>
    <row r="597">
      <c r="A597" s="152"/>
      <c r="B597" s="152"/>
      <c r="C597" s="152"/>
      <c r="D597" s="152"/>
      <c r="E597" s="152"/>
      <c r="F597" s="143"/>
      <c r="G597" s="152"/>
      <c r="H597" s="152"/>
      <c r="I597" s="152"/>
      <c r="J597" s="152"/>
      <c r="K597" s="152"/>
      <c r="L597" s="152"/>
      <c r="M597" s="152"/>
      <c r="N597" s="152"/>
      <c r="O597" s="152"/>
      <c r="P597" s="152"/>
      <c r="Q597" s="152"/>
      <c r="R597" s="152"/>
    </row>
    <row r="598">
      <c r="A598" s="152"/>
      <c r="B598" s="152"/>
      <c r="C598" s="152"/>
      <c r="D598" s="152"/>
      <c r="E598" s="152"/>
      <c r="F598" s="143"/>
      <c r="G598" s="152"/>
      <c r="H598" s="152"/>
      <c r="I598" s="152"/>
      <c r="J598" s="152"/>
      <c r="K598" s="152"/>
      <c r="L598" s="152"/>
      <c r="M598" s="152"/>
      <c r="N598" s="152"/>
      <c r="O598" s="152"/>
      <c r="P598" s="152"/>
      <c r="Q598" s="152"/>
      <c r="R598" s="152"/>
    </row>
    <row r="599">
      <c r="A599" s="152"/>
      <c r="B599" s="152"/>
      <c r="C599" s="152"/>
      <c r="D599" s="152"/>
      <c r="E599" s="152"/>
      <c r="F599" s="143"/>
      <c r="G599" s="152"/>
      <c r="H599" s="152"/>
      <c r="I599" s="152"/>
      <c r="J599" s="152"/>
      <c r="K599" s="152"/>
      <c r="L599" s="152"/>
      <c r="M599" s="152"/>
      <c r="N599" s="152"/>
      <c r="O599" s="152"/>
      <c r="P599" s="152"/>
      <c r="Q599" s="152"/>
      <c r="R599" s="152"/>
    </row>
    <row r="600">
      <c r="A600" s="152"/>
      <c r="B600" s="152"/>
      <c r="C600" s="152"/>
      <c r="D600" s="152"/>
      <c r="E600" s="152"/>
      <c r="F600" s="143"/>
      <c r="G600" s="152"/>
      <c r="H600" s="152"/>
      <c r="I600" s="152"/>
      <c r="J600" s="152"/>
      <c r="K600" s="152"/>
      <c r="L600" s="152"/>
      <c r="M600" s="152"/>
      <c r="N600" s="152"/>
      <c r="O600" s="152"/>
      <c r="P600" s="152"/>
      <c r="Q600" s="152"/>
      <c r="R600" s="152"/>
    </row>
    <row r="601">
      <c r="A601" s="152"/>
      <c r="B601" s="152"/>
      <c r="C601" s="152"/>
      <c r="D601" s="152"/>
      <c r="E601" s="152"/>
      <c r="F601" s="143"/>
      <c r="G601" s="152"/>
      <c r="H601" s="152"/>
      <c r="I601" s="152"/>
      <c r="J601" s="152"/>
      <c r="K601" s="152"/>
      <c r="L601" s="152"/>
      <c r="M601" s="152"/>
      <c r="N601" s="152"/>
      <c r="O601" s="152"/>
      <c r="P601" s="152"/>
      <c r="Q601" s="152"/>
      <c r="R601" s="152"/>
    </row>
    <row r="602">
      <c r="A602" s="152"/>
      <c r="B602" s="152"/>
      <c r="C602" s="152"/>
      <c r="D602" s="152"/>
      <c r="E602" s="152"/>
      <c r="F602" s="143"/>
      <c r="G602" s="152"/>
      <c r="H602" s="152"/>
      <c r="I602" s="152"/>
      <c r="J602" s="152"/>
      <c r="K602" s="152"/>
      <c r="L602" s="152"/>
      <c r="M602" s="152"/>
      <c r="N602" s="152"/>
      <c r="O602" s="152"/>
      <c r="P602" s="152"/>
      <c r="Q602" s="152"/>
      <c r="R602" s="152"/>
    </row>
    <row r="603">
      <c r="A603" s="152"/>
      <c r="B603" s="152"/>
      <c r="C603" s="152"/>
      <c r="D603" s="152"/>
      <c r="E603" s="152"/>
      <c r="F603" s="143"/>
      <c r="G603" s="152"/>
      <c r="H603" s="152"/>
      <c r="I603" s="152"/>
      <c r="J603" s="152"/>
      <c r="K603" s="152"/>
      <c r="L603" s="152"/>
      <c r="M603" s="152"/>
      <c r="N603" s="152"/>
      <c r="O603" s="152"/>
      <c r="P603" s="152"/>
      <c r="Q603" s="152"/>
      <c r="R603" s="152"/>
    </row>
    <row r="604">
      <c r="A604" s="152"/>
      <c r="B604" s="152"/>
      <c r="C604" s="152"/>
      <c r="D604" s="152"/>
      <c r="E604" s="152"/>
      <c r="F604" s="143"/>
      <c r="G604" s="152"/>
      <c r="H604" s="152"/>
      <c r="I604" s="152"/>
      <c r="J604" s="152"/>
      <c r="K604" s="152"/>
      <c r="L604" s="152"/>
      <c r="M604" s="152"/>
      <c r="N604" s="152"/>
      <c r="O604" s="152"/>
      <c r="P604" s="152"/>
      <c r="Q604" s="152"/>
      <c r="R604" s="152"/>
    </row>
    <row r="605">
      <c r="A605" s="152"/>
      <c r="B605" s="152"/>
      <c r="C605" s="152"/>
      <c r="D605" s="152"/>
      <c r="E605" s="152"/>
      <c r="F605" s="143"/>
      <c r="G605" s="152"/>
      <c r="H605" s="152"/>
      <c r="I605" s="152"/>
      <c r="J605" s="152"/>
      <c r="K605" s="152"/>
      <c r="L605" s="152"/>
      <c r="M605" s="152"/>
      <c r="N605" s="152"/>
      <c r="O605" s="152"/>
      <c r="P605" s="152"/>
      <c r="Q605" s="152"/>
      <c r="R605" s="152"/>
    </row>
    <row r="606">
      <c r="A606" s="152"/>
      <c r="B606" s="152"/>
      <c r="C606" s="152"/>
      <c r="D606" s="152"/>
      <c r="E606" s="152"/>
      <c r="F606" s="143"/>
      <c r="G606" s="152"/>
      <c r="H606" s="152"/>
      <c r="I606" s="152"/>
      <c r="J606" s="152"/>
      <c r="K606" s="152"/>
      <c r="L606" s="152"/>
      <c r="M606" s="152"/>
      <c r="N606" s="152"/>
      <c r="O606" s="152"/>
      <c r="P606" s="152"/>
      <c r="Q606" s="152"/>
      <c r="R606" s="152"/>
    </row>
    <row r="607">
      <c r="A607" s="152"/>
      <c r="B607" s="152"/>
      <c r="C607" s="152"/>
      <c r="D607" s="152"/>
      <c r="E607" s="152"/>
      <c r="F607" s="143"/>
      <c r="G607" s="152"/>
      <c r="H607" s="152"/>
      <c r="I607" s="152"/>
      <c r="J607" s="152"/>
      <c r="K607" s="152"/>
      <c r="L607" s="152"/>
      <c r="M607" s="152"/>
      <c r="N607" s="152"/>
      <c r="O607" s="152"/>
      <c r="P607" s="152"/>
      <c r="Q607" s="152"/>
      <c r="R607" s="152"/>
    </row>
    <row r="608">
      <c r="A608" s="152"/>
      <c r="B608" s="152"/>
      <c r="C608" s="152"/>
      <c r="D608" s="152"/>
      <c r="E608" s="152"/>
      <c r="F608" s="143"/>
      <c r="G608" s="152"/>
      <c r="H608" s="152"/>
      <c r="I608" s="152"/>
      <c r="J608" s="152"/>
      <c r="K608" s="152"/>
      <c r="L608" s="152"/>
      <c r="M608" s="152"/>
      <c r="N608" s="152"/>
      <c r="O608" s="152"/>
      <c r="P608" s="152"/>
      <c r="Q608" s="152"/>
      <c r="R608" s="152"/>
    </row>
    <row r="609">
      <c r="A609" s="152"/>
      <c r="B609" s="152"/>
      <c r="C609" s="152"/>
      <c r="D609" s="152"/>
      <c r="E609" s="152"/>
      <c r="F609" s="143"/>
      <c r="G609" s="152"/>
      <c r="H609" s="152"/>
      <c r="I609" s="152"/>
      <c r="J609" s="152"/>
      <c r="K609" s="152"/>
      <c r="L609" s="152"/>
      <c r="M609" s="152"/>
      <c r="N609" s="152"/>
      <c r="O609" s="152"/>
      <c r="P609" s="152"/>
      <c r="Q609" s="152"/>
      <c r="R609" s="152"/>
    </row>
    <row r="610">
      <c r="A610" s="152"/>
      <c r="B610" s="152"/>
      <c r="C610" s="152"/>
      <c r="D610" s="152"/>
      <c r="E610" s="152"/>
      <c r="F610" s="143"/>
      <c r="G610" s="152"/>
      <c r="H610" s="152"/>
      <c r="I610" s="152"/>
      <c r="J610" s="152"/>
      <c r="K610" s="152"/>
      <c r="L610" s="152"/>
      <c r="M610" s="152"/>
      <c r="N610" s="152"/>
      <c r="O610" s="152"/>
      <c r="P610" s="152"/>
      <c r="Q610" s="152"/>
      <c r="R610" s="152"/>
    </row>
    <row r="611">
      <c r="A611" s="152"/>
      <c r="B611" s="152"/>
      <c r="C611" s="152"/>
      <c r="D611" s="152"/>
      <c r="E611" s="152"/>
      <c r="F611" s="143"/>
      <c r="G611" s="152"/>
      <c r="H611" s="152"/>
      <c r="I611" s="152"/>
      <c r="J611" s="152"/>
      <c r="K611" s="152"/>
      <c r="L611" s="152"/>
      <c r="M611" s="152"/>
      <c r="N611" s="152"/>
      <c r="O611" s="152"/>
      <c r="P611" s="152"/>
      <c r="Q611" s="152"/>
      <c r="R611" s="152"/>
    </row>
    <row r="612">
      <c r="A612" s="152"/>
      <c r="B612" s="152"/>
      <c r="C612" s="152"/>
      <c r="D612" s="152"/>
      <c r="E612" s="152"/>
      <c r="F612" s="143"/>
      <c r="G612" s="152"/>
      <c r="H612" s="152"/>
      <c r="I612" s="152"/>
      <c r="J612" s="152"/>
      <c r="K612" s="152"/>
      <c r="L612" s="152"/>
      <c r="M612" s="152"/>
      <c r="N612" s="152"/>
      <c r="O612" s="152"/>
      <c r="P612" s="152"/>
      <c r="Q612" s="152"/>
      <c r="R612" s="152"/>
    </row>
    <row r="613">
      <c r="A613" s="152"/>
      <c r="B613" s="152"/>
      <c r="C613" s="152"/>
      <c r="D613" s="152"/>
      <c r="E613" s="152"/>
      <c r="F613" s="143"/>
      <c r="G613" s="152"/>
      <c r="H613" s="152"/>
      <c r="I613" s="152"/>
      <c r="J613" s="152"/>
      <c r="K613" s="152"/>
      <c r="L613" s="152"/>
      <c r="M613" s="152"/>
      <c r="N613" s="152"/>
      <c r="O613" s="152"/>
      <c r="P613" s="152"/>
      <c r="Q613" s="152"/>
      <c r="R613" s="152"/>
    </row>
    <row r="614">
      <c r="A614" s="152"/>
      <c r="B614" s="152"/>
      <c r="C614" s="152"/>
      <c r="D614" s="152"/>
      <c r="E614" s="152"/>
      <c r="F614" s="143"/>
      <c r="G614" s="152"/>
      <c r="H614" s="152"/>
      <c r="I614" s="152"/>
      <c r="J614" s="152"/>
      <c r="K614" s="152"/>
      <c r="L614" s="152"/>
      <c r="M614" s="152"/>
      <c r="N614" s="152"/>
      <c r="O614" s="152"/>
      <c r="P614" s="152"/>
      <c r="Q614" s="152"/>
      <c r="R614" s="152"/>
    </row>
    <row r="615">
      <c r="A615" s="152"/>
      <c r="B615" s="152"/>
      <c r="C615" s="152"/>
      <c r="D615" s="152"/>
      <c r="E615" s="152"/>
      <c r="F615" s="143"/>
      <c r="G615" s="152"/>
      <c r="H615" s="152"/>
      <c r="I615" s="152"/>
      <c r="J615" s="152"/>
      <c r="K615" s="152"/>
      <c r="L615" s="152"/>
      <c r="M615" s="152"/>
      <c r="N615" s="152"/>
      <c r="O615" s="152"/>
      <c r="P615" s="152"/>
      <c r="Q615" s="152"/>
      <c r="R615" s="152"/>
    </row>
    <row r="616">
      <c r="A616" s="152"/>
      <c r="B616" s="152"/>
      <c r="C616" s="152"/>
      <c r="D616" s="152"/>
      <c r="E616" s="152"/>
      <c r="F616" s="143"/>
      <c r="G616" s="152"/>
      <c r="H616" s="152"/>
      <c r="I616" s="152"/>
      <c r="J616" s="152"/>
      <c r="K616" s="152"/>
      <c r="L616" s="152"/>
      <c r="M616" s="152"/>
      <c r="N616" s="152"/>
      <c r="O616" s="152"/>
      <c r="P616" s="152"/>
      <c r="Q616" s="152"/>
      <c r="R616" s="152"/>
    </row>
    <row r="617">
      <c r="A617" s="152"/>
      <c r="B617" s="152"/>
      <c r="C617" s="152"/>
      <c r="D617" s="152"/>
      <c r="E617" s="152"/>
      <c r="F617" s="143"/>
      <c r="G617" s="152"/>
      <c r="H617" s="152"/>
      <c r="I617" s="152"/>
      <c r="J617" s="152"/>
      <c r="K617" s="152"/>
      <c r="L617" s="152"/>
      <c r="M617" s="152"/>
      <c r="N617" s="152"/>
      <c r="O617" s="152"/>
      <c r="P617" s="152"/>
      <c r="Q617" s="152"/>
      <c r="R617" s="152"/>
    </row>
    <row r="618">
      <c r="A618" s="152"/>
      <c r="B618" s="152"/>
      <c r="C618" s="152"/>
      <c r="D618" s="152"/>
      <c r="E618" s="152"/>
      <c r="F618" s="143"/>
      <c r="G618" s="152"/>
      <c r="H618" s="152"/>
      <c r="I618" s="152"/>
      <c r="J618" s="152"/>
      <c r="K618" s="152"/>
      <c r="L618" s="152"/>
      <c r="M618" s="152"/>
      <c r="N618" s="152"/>
      <c r="O618" s="152"/>
      <c r="P618" s="152"/>
      <c r="Q618" s="152"/>
      <c r="R618" s="152"/>
    </row>
    <row r="619">
      <c r="A619" s="152"/>
      <c r="B619" s="152"/>
      <c r="C619" s="152"/>
      <c r="D619" s="152"/>
      <c r="E619" s="152"/>
      <c r="F619" s="143"/>
      <c r="G619" s="152"/>
      <c r="H619" s="152"/>
      <c r="I619" s="152"/>
      <c r="J619" s="152"/>
      <c r="K619" s="152"/>
      <c r="L619" s="152"/>
      <c r="M619" s="152"/>
      <c r="N619" s="152"/>
      <c r="O619" s="152"/>
      <c r="P619" s="152"/>
      <c r="Q619" s="152"/>
      <c r="R619" s="152"/>
    </row>
    <row r="620">
      <c r="A620" s="152"/>
      <c r="B620" s="152"/>
      <c r="C620" s="152"/>
      <c r="D620" s="152"/>
      <c r="E620" s="152"/>
      <c r="F620" s="143"/>
      <c r="G620" s="152"/>
      <c r="H620" s="152"/>
      <c r="I620" s="152"/>
      <c r="J620" s="152"/>
      <c r="K620" s="152"/>
      <c r="L620" s="152"/>
      <c r="M620" s="152"/>
      <c r="N620" s="152"/>
      <c r="O620" s="152"/>
      <c r="P620" s="152"/>
      <c r="Q620" s="152"/>
      <c r="R620" s="152"/>
    </row>
    <row r="621">
      <c r="A621" s="152"/>
      <c r="B621" s="152"/>
      <c r="C621" s="152"/>
      <c r="D621" s="152"/>
      <c r="E621" s="152"/>
      <c r="F621" s="143"/>
      <c r="G621" s="152"/>
      <c r="H621" s="152"/>
      <c r="I621" s="152"/>
      <c r="J621" s="152"/>
      <c r="K621" s="152"/>
      <c r="L621" s="152"/>
      <c r="M621" s="152"/>
      <c r="N621" s="152"/>
      <c r="O621" s="152"/>
      <c r="P621" s="152"/>
      <c r="Q621" s="152"/>
      <c r="R621" s="152"/>
    </row>
    <row r="622">
      <c r="A622" s="152"/>
      <c r="B622" s="152"/>
      <c r="C622" s="152"/>
      <c r="D622" s="152"/>
      <c r="E622" s="152"/>
      <c r="F622" s="143"/>
      <c r="G622" s="152"/>
      <c r="H622" s="152"/>
      <c r="I622" s="152"/>
      <c r="J622" s="152"/>
      <c r="K622" s="152"/>
      <c r="L622" s="152"/>
      <c r="M622" s="152"/>
      <c r="N622" s="152"/>
      <c r="O622" s="152"/>
      <c r="P622" s="152"/>
      <c r="Q622" s="152"/>
      <c r="R622" s="152"/>
    </row>
    <row r="623">
      <c r="A623" s="152"/>
      <c r="B623" s="152"/>
      <c r="C623" s="152"/>
      <c r="D623" s="152"/>
      <c r="E623" s="152"/>
      <c r="F623" s="143"/>
      <c r="G623" s="152"/>
      <c r="H623" s="152"/>
      <c r="I623" s="152"/>
      <c r="J623" s="152"/>
      <c r="K623" s="152"/>
      <c r="L623" s="152"/>
      <c r="M623" s="152"/>
      <c r="N623" s="152"/>
      <c r="O623" s="152"/>
      <c r="P623" s="152"/>
      <c r="Q623" s="152"/>
      <c r="R623" s="152"/>
    </row>
    <row r="624">
      <c r="A624" s="152"/>
      <c r="B624" s="152"/>
      <c r="C624" s="152"/>
      <c r="D624" s="152"/>
      <c r="E624" s="152"/>
      <c r="F624" s="143"/>
      <c r="G624" s="152"/>
      <c r="H624" s="152"/>
      <c r="I624" s="152"/>
      <c r="J624" s="152"/>
      <c r="K624" s="152"/>
      <c r="L624" s="152"/>
      <c r="M624" s="152"/>
      <c r="N624" s="152"/>
      <c r="O624" s="152"/>
      <c r="P624" s="152"/>
      <c r="Q624" s="152"/>
      <c r="R624" s="152"/>
    </row>
    <row r="625">
      <c r="A625" s="152"/>
      <c r="B625" s="152"/>
      <c r="C625" s="152"/>
      <c r="D625" s="152"/>
      <c r="E625" s="152"/>
      <c r="F625" s="143"/>
      <c r="G625" s="152"/>
      <c r="H625" s="152"/>
      <c r="I625" s="152"/>
      <c r="J625" s="152"/>
      <c r="K625" s="152"/>
      <c r="L625" s="152"/>
      <c r="M625" s="152"/>
      <c r="N625" s="152"/>
      <c r="O625" s="152"/>
      <c r="P625" s="152"/>
      <c r="Q625" s="152"/>
      <c r="R625" s="152"/>
    </row>
    <row r="626">
      <c r="A626" s="152"/>
      <c r="B626" s="152"/>
      <c r="C626" s="152"/>
      <c r="D626" s="152"/>
      <c r="E626" s="152"/>
      <c r="F626" s="143"/>
      <c r="G626" s="152"/>
      <c r="H626" s="152"/>
      <c r="I626" s="152"/>
      <c r="J626" s="152"/>
      <c r="K626" s="152"/>
      <c r="L626" s="152"/>
      <c r="M626" s="152"/>
      <c r="N626" s="152"/>
      <c r="O626" s="152"/>
      <c r="P626" s="152"/>
      <c r="Q626" s="152"/>
      <c r="R626" s="152"/>
    </row>
    <row r="627">
      <c r="A627" s="152"/>
      <c r="B627" s="152"/>
      <c r="C627" s="152"/>
      <c r="D627" s="152"/>
      <c r="E627" s="152"/>
      <c r="F627" s="143"/>
      <c r="G627" s="152"/>
      <c r="H627" s="152"/>
      <c r="I627" s="152"/>
      <c r="J627" s="152"/>
      <c r="K627" s="152"/>
      <c r="L627" s="152"/>
      <c r="M627" s="152"/>
      <c r="N627" s="152"/>
      <c r="O627" s="152"/>
      <c r="P627" s="152"/>
      <c r="Q627" s="152"/>
      <c r="R627" s="152"/>
    </row>
    <row r="628">
      <c r="A628" s="152"/>
      <c r="B628" s="152"/>
      <c r="C628" s="152"/>
      <c r="D628" s="152"/>
      <c r="E628" s="152"/>
      <c r="F628" s="143"/>
      <c r="G628" s="152"/>
      <c r="H628" s="152"/>
      <c r="I628" s="152"/>
      <c r="J628" s="152"/>
      <c r="K628" s="152"/>
      <c r="L628" s="152"/>
      <c r="M628" s="152"/>
      <c r="N628" s="152"/>
      <c r="O628" s="152"/>
      <c r="P628" s="152"/>
      <c r="Q628" s="152"/>
      <c r="R628" s="152"/>
    </row>
    <row r="629">
      <c r="A629" s="152"/>
      <c r="B629" s="152"/>
      <c r="C629" s="152"/>
      <c r="D629" s="152"/>
      <c r="E629" s="152"/>
      <c r="F629" s="143"/>
      <c r="G629" s="152"/>
      <c r="H629" s="152"/>
      <c r="I629" s="152"/>
      <c r="J629" s="152"/>
      <c r="K629" s="152"/>
      <c r="L629" s="152"/>
      <c r="M629" s="152"/>
      <c r="N629" s="152"/>
      <c r="O629" s="152"/>
      <c r="P629" s="152"/>
      <c r="Q629" s="152"/>
      <c r="R629" s="152"/>
    </row>
    <row r="630">
      <c r="A630" s="152"/>
      <c r="B630" s="152"/>
      <c r="C630" s="152"/>
      <c r="D630" s="152"/>
      <c r="E630" s="152"/>
      <c r="F630" s="143"/>
      <c r="G630" s="152"/>
      <c r="H630" s="152"/>
      <c r="I630" s="152"/>
      <c r="J630" s="152"/>
      <c r="K630" s="152"/>
      <c r="L630" s="152"/>
      <c r="M630" s="152"/>
      <c r="N630" s="152"/>
      <c r="O630" s="152"/>
      <c r="P630" s="152"/>
      <c r="Q630" s="152"/>
      <c r="R630" s="152"/>
    </row>
    <row r="631">
      <c r="A631" s="152"/>
      <c r="B631" s="152"/>
      <c r="C631" s="152"/>
      <c r="D631" s="152"/>
      <c r="E631" s="152"/>
      <c r="F631" s="143"/>
      <c r="G631" s="152"/>
      <c r="H631" s="152"/>
      <c r="I631" s="152"/>
      <c r="J631" s="152"/>
      <c r="K631" s="152"/>
      <c r="L631" s="152"/>
      <c r="M631" s="152"/>
      <c r="N631" s="152"/>
      <c r="O631" s="152"/>
      <c r="P631" s="152"/>
      <c r="Q631" s="152"/>
      <c r="R631" s="152"/>
    </row>
    <row r="632">
      <c r="A632" s="152"/>
      <c r="B632" s="152"/>
      <c r="C632" s="152"/>
      <c r="D632" s="152"/>
      <c r="E632" s="152"/>
      <c r="F632" s="143"/>
      <c r="G632" s="152"/>
      <c r="H632" s="152"/>
      <c r="I632" s="152"/>
      <c r="J632" s="152"/>
      <c r="K632" s="152"/>
      <c r="L632" s="152"/>
      <c r="M632" s="152"/>
      <c r="N632" s="152"/>
      <c r="O632" s="152"/>
      <c r="P632" s="152"/>
      <c r="Q632" s="152"/>
      <c r="R632" s="152"/>
    </row>
    <row r="633">
      <c r="A633" s="152"/>
      <c r="B633" s="152"/>
      <c r="C633" s="152"/>
      <c r="D633" s="152"/>
      <c r="E633" s="152"/>
      <c r="F633" s="143"/>
      <c r="G633" s="152"/>
      <c r="H633" s="152"/>
      <c r="I633" s="152"/>
      <c r="J633" s="152"/>
      <c r="K633" s="152"/>
      <c r="L633" s="152"/>
      <c r="M633" s="152"/>
      <c r="N633" s="152"/>
      <c r="O633" s="152"/>
      <c r="P633" s="152"/>
      <c r="Q633" s="152"/>
      <c r="R633" s="152"/>
    </row>
    <row r="634">
      <c r="A634" s="152"/>
      <c r="B634" s="152"/>
      <c r="C634" s="152"/>
      <c r="D634" s="152"/>
      <c r="E634" s="152"/>
      <c r="F634" s="143"/>
      <c r="G634" s="152"/>
      <c r="H634" s="152"/>
      <c r="I634" s="152"/>
      <c r="J634" s="152"/>
      <c r="K634" s="152"/>
      <c r="L634" s="152"/>
      <c r="M634" s="152"/>
      <c r="N634" s="152"/>
      <c r="O634" s="152"/>
      <c r="P634" s="152"/>
      <c r="Q634" s="152"/>
      <c r="R634" s="152"/>
    </row>
    <row r="635">
      <c r="A635" s="152"/>
      <c r="B635" s="152"/>
      <c r="C635" s="152"/>
      <c r="D635" s="152"/>
      <c r="E635" s="152"/>
      <c r="F635" s="143"/>
      <c r="G635" s="152"/>
      <c r="H635" s="152"/>
      <c r="I635" s="152"/>
      <c r="J635" s="152"/>
      <c r="K635" s="152"/>
      <c r="L635" s="152"/>
      <c r="M635" s="152"/>
      <c r="N635" s="152"/>
      <c r="O635" s="152"/>
      <c r="P635" s="152"/>
      <c r="Q635" s="152"/>
      <c r="R635" s="152"/>
    </row>
    <row r="636">
      <c r="A636" s="152"/>
      <c r="B636" s="152"/>
      <c r="C636" s="152"/>
      <c r="D636" s="152"/>
      <c r="E636" s="152"/>
      <c r="F636" s="143"/>
      <c r="G636" s="152"/>
      <c r="H636" s="152"/>
      <c r="I636" s="152"/>
      <c r="J636" s="152"/>
      <c r="K636" s="152"/>
      <c r="L636" s="152"/>
      <c r="M636" s="152"/>
      <c r="N636" s="152"/>
      <c r="O636" s="152"/>
      <c r="P636" s="152"/>
      <c r="Q636" s="152"/>
      <c r="R636" s="152"/>
    </row>
    <row r="637">
      <c r="A637" s="152"/>
      <c r="B637" s="152"/>
      <c r="C637" s="152"/>
      <c r="D637" s="152"/>
      <c r="E637" s="152"/>
      <c r="F637" s="143"/>
      <c r="G637" s="152"/>
      <c r="H637" s="152"/>
      <c r="I637" s="152"/>
      <c r="J637" s="152"/>
      <c r="K637" s="152"/>
      <c r="L637" s="152"/>
      <c r="M637" s="152"/>
      <c r="N637" s="152"/>
      <c r="O637" s="152"/>
      <c r="P637" s="152"/>
      <c r="Q637" s="152"/>
      <c r="R637" s="152"/>
    </row>
    <row r="638">
      <c r="A638" s="152"/>
      <c r="B638" s="152"/>
      <c r="C638" s="152"/>
      <c r="D638" s="152"/>
      <c r="E638" s="152"/>
      <c r="F638" s="143"/>
      <c r="G638" s="152"/>
      <c r="H638" s="152"/>
      <c r="I638" s="152"/>
      <c r="J638" s="152"/>
      <c r="K638" s="152"/>
      <c r="L638" s="152"/>
      <c r="M638" s="152"/>
      <c r="N638" s="152"/>
      <c r="O638" s="152"/>
      <c r="P638" s="152"/>
      <c r="Q638" s="152"/>
      <c r="R638" s="152"/>
    </row>
    <row r="639">
      <c r="A639" s="152"/>
      <c r="B639" s="152"/>
      <c r="C639" s="152"/>
      <c r="D639" s="152"/>
      <c r="E639" s="152"/>
      <c r="F639" s="143"/>
      <c r="G639" s="152"/>
      <c r="H639" s="152"/>
      <c r="I639" s="152"/>
      <c r="J639" s="152"/>
      <c r="K639" s="152"/>
      <c r="L639" s="152"/>
      <c r="M639" s="152"/>
      <c r="N639" s="152"/>
      <c r="O639" s="152"/>
      <c r="P639" s="152"/>
      <c r="Q639" s="152"/>
      <c r="R639" s="152"/>
    </row>
    <row r="640">
      <c r="A640" s="152"/>
      <c r="B640" s="152"/>
      <c r="C640" s="152"/>
      <c r="D640" s="152"/>
      <c r="E640" s="152"/>
      <c r="F640" s="143"/>
      <c r="G640" s="152"/>
      <c r="H640" s="152"/>
      <c r="I640" s="152"/>
      <c r="J640" s="152"/>
      <c r="K640" s="152"/>
      <c r="L640" s="152"/>
      <c r="M640" s="152"/>
      <c r="N640" s="152"/>
      <c r="O640" s="152"/>
      <c r="P640" s="152"/>
      <c r="Q640" s="152"/>
      <c r="R640" s="152"/>
    </row>
    <row r="641">
      <c r="A641" s="152"/>
      <c r="B641" s="152"/>
      <c r="C641" s="152"/>
      <c r="D641" s="152"/>
      <c r="E641" s="152"/>
      <c r="F641" s="143"/>
      <c r="G641" s="152"/>
      <c r="H641" s="152"/>
      <c r="I641" s="152"/>
      <c r="J641" s="152"/>
      <c r="K641" s="152"/>
      <c r="L641" s="152"/>
      <c r="M641" s="152"/>
      <c r="N641" s="152"/>
      <c r="O641" s="152"/>
      <c r="P641" s="152"/>
      <c r="Q641" s="152"/>
      <c r="R641" s="152"/>
    </row>
    <row r="642">
      <c r="A642" s="152"/>
      <c r="B642" s="152"/>
      <c r="C642" s="152"/>
      <c r="D642" s="152"/>
      <c r="E642" s="152"/>
      <c r="F642" s="143"/>
      <c r="G642" s="152"/>
      <c r="H642" s="152"/>
      <c r="I642" s="152"/>
      <c r="J642" s="152"/>
      <c r="K642" s="152"/>
      <c r="L642" s="152"/>
      <c r="M642" s="152"/>
      <c r="N642" s="152"/>
      <c r="O642" s="152"/>
      <c r="P642" s="152"/>
      <c r="Q642" s="152"/>
      <c r="R642" s="152"/>
    </row>
    <row r="643">
      <c r="A643" s="152"/>
      <c r="B643" s="152"/>
      <c r="C643" s="152"/>
      <c r="D643" s="152"/>
      <c r="E643" s="152"/>
      <c r="F643" s="143"/>
      <c r="G643" s="152"/>
      <c r="H643" s="152"/>
      <c r="I643" s="152"/>
      <c r="J643" s="152"/>
      <c r="K643" s="152"/>
      <c r="L643" s="152"/>
      <c r="M643" s="152"/>
      <c r="N643" s="152"/>
      <c r="O643" s="152"/>
      <c r="P643" s="152"/>
      <c r="Q643" s="152"/>
      <c r="R643" s="152"/>
    </row>
    <row r="644">
      <c r="A644" s="152"/>
      <c r="B644" s="152"/>
      <c r="C644" s="152"/>
      <c r="D644" s="152"/>
      <c r="E644" s="152"/>
      <c r="F644" s="143"/>
      <c r="G644" s="152"/>
      <c r="H644" s="152"/>
      <c r="I644" s="152"/>
      <c r="J644" s="152"/>
      <c r="K644" s="152"/>
      <c r="L644" s="152"/>
      <c r="M644" s="152"/>
      <c r="N644" s="152"/>
      <c r="O644" s="152"/>
      <c r="P644" s="152"/>
      <c r="Q644" s="152"/>
      <c r="R644" s="152"/>
    </row>
    <row r="645">
      <c r="A645" s="152"/>
      <c r="B645" s="152"/>
      <c r="C645" s="152"/>
      <c r="D645" s="152"/>
      <c r="E645" s="152"/>
      <c r="F645" s="143"/>
      <c r="G645" s="152"/>
      <c r="H645" s="152"/>
      <c r="I645" s="152"/>
      <c r="J645" s="152"/>
      <c r="K645" s="152"/>
      <c r="L645" s="152"/>
      <c r="M645" s="152"/>
      <c r="N645" s="152"/>
      <c r="O645" s="152"/>
      <c r="P645" s="152"/>
      <c r="Q645" s="152"/>
      <c r="R645" s="152"/>
    </row>
    <row r="646">
      <c r="A646" s="152"/>
      <c r="B646" s="152"/>
      <c r="C646" s="152"/>
      <c r="D646" s="152"/>
      <c r="E646" s="152"/>
      <c r="F646" s="143"/>
      <c r="G646" s="152"/>
      <c r="H646" s="152"/>
      <c r="I646" s="152"/>
      <c r="J646" s="152"/>
      <c r="K646" s="152"/>
      <c r="L646" s="152"/>
      <c r="M646" s="152"/>
      <c r="N646" s="152"/>
      <c r="O646" s="152"/>
      <c r="P646" s="152"/>
      <c r="Q646" s="152"/>
      <c r="R646" s="152"/>
    </row>
    <row r="647">
      <c r="A647" s="152"/>
      <c r="B647" s="152"/>
      <c r="C647" s="152"/>
      <c r="D647" s="152"/>
      <c r="E647" s="152"/>
      <c r="F647" s="143"/>
      <c r="G647" s="152"/>
      <c r="H647" s="152"/>
      <c r="I647" s="152"/>
      <c r="J647" s="152"/>
      <c r="K647" s="152"/>
      <c r="L647" s="152"/>
      <c r="M647" s="152"/>
      <c r="N647" s="152"/>
      <c r="O647" s="152"/>
      <c r="P647" s="152"/>
      <c r="Q647" s="152"/>
      <c r="R647" s="152"/>
    </row>
    <row r="648">
      <c r="A648" s="152"/>
      <c r="B648" s="152"/>
      <c r="C648" s="152"/>
      <c r="D648" s="152"/>
      <c r="E648" s="152"/>
      <c r="F648" s="143"/>
      <c r="G648" s="152"/>
      <c r="H648" s="152"/>
      <c r="I648" s="152"/>
      <c r="J648" s="152"/>
      <c r="K648" s="152"/>
      <c r="L648" s="152"/>
      <c r="M648" s="152"/>
      <c r="N648" s="152"/>
      <c r="O648" s="152"/>
      <c r="P648" s="152"/>
      <c r="Q648" s="152"/>
      <c r="R648" s="152"/>
    </row>
    <row r="649">
      <c r="A649" s="152"/>
      <c r="B649" s="152"/>
      <c r="C649" s="152"/>
      <c r="D649" s="152"/>
      <c r="E649" s="152"/>
      <c r="F649" s="143"/>
      <c r="G649" s="152"/>
      <c r="H649" s="152"/>
      <c r="I649" s="152"/>
      <c r="J649" s="152"/>
      <c r="K649" s="152"/>
      <c r="L649" s="152"/>
      <c r="M649" s="152"/>
      <c r="N649" s="152"/>
      <c r="O649" s="152"/>
      <c r="P649" s="152"/>
      <c r="Q649" s="152"/>
      <c r="R649" s="152"/>
    </row>
    <row r="650">
      <c r="A650" s="152"/>
      <c r="B650" s="152"/>
      <c r="C650" s="152"/>
      <c r="D650" s="152"/>
      <c r="E650" s="152"/>
      <c r="F650" s="143"/>
      <c r="G650" s="152"/>
      <c r="H650" s="152"/>
      <c r="I650" s="152"/>
      <c r="J650" s="152"/>
      <c r="K650" s="152"/>
      <c r="L650" s="152"/>
      <c r="M650" s="152"/>
      <c r="N650" s="152"/>
      <c r="O650" s="152"/>
      <c r="P650" s="152"/>
      <c r="Q650" s="152"/>
      <c r="R650" s="152"/>
    </row>
    <row r="651">
      <c r="A651" s="152"/>
      <c r="B651" s="152"/>
      <c r="C651" s="152"/>
      <c r="D651" s="152"/>
      <c r="E651" s="152"/>
      <c r="F651" s="143"/>
      <c r="G651" s="152"/>
      <c r="H651" s="152"/>
      <c r="I651" s="152"/>
      <c r="J651" s="152"/>
      <c r="K651" s="152"/>
      <c r="L651" s="152"/>
      <c r="M651" s="152"/>
      <c r="N651" s="152"/>
      <c r="O651" s="152"/>
      <c r="P651" s="152"/>
      <c r="Q651" s="152"/>
      <c r="R651" s="152"/>
    </row>
    <row r="652">
      <c r="A652" s="152"/>
      <c r="B652" s="152"/>
      <c r="C652" s="152"/>
      <c r="D652" s="152"/>
      <c r="E652" s="152"/>
      <c r="F652" s="143"/>
      <c r="G652" s="152"/>
      <c r="H652" s="152"/>
      <c r="I652" s="152"/>
      <c r="J652" s="152"/>
      <c r="K652" s="152"/>
      <c r="L652" s="152"/>
      <c r="M652" s="152"/>
      <c r="N652" s="152"/>
      <c r="O652" s="152"/>
      <c r="P652" s="152"/>
      <c r="Q652" s="152"/>
      <c r="R652" s="152"/>
    </row>
    <row r="653">
      <c r="A653" s="152"/>
      <c r="B653" s="152"/>
      <c r="C653" s="152"/>
      <c r="D653" s="152"/>
      <c r="E653" s="152"/>
      <c r="F653" s="143"/>
      <c r="G653" s="152"/>
      <c r="H653" s="152"/>
      <c r="I653" s="152"/>
      <c r="J653" s="152"/>
      <c r="K653" s="152"/>
      <c r="L653" s="152"/>
      <c r="M653" s="152"/>
      <c r="N653" s="152"/>
      <c r="O653" s="152"/>
      <c r="P653" s="152"/>
      <c r="Q653" s="152"/>
      <c r="R653" s="152"/>
    </row>
    <row r="654">
      <c r="A654" s="152"/>
      <c r="B654" s="152"/>
      <c r="C654" s="152"/>
      <c r="D654" s="152"/>
      <c r="E654" s="152"/>
      <c r="F654" s="143"/>
      <c r="G654" s="152"/>
      <c r="H654" s="152"/>
      <c r="I654" s="152"/>
      <c r="J654" s="152"/>
      <c r="K654" s="152"/>
      <c r="L654" s="152"/>
      <c r="M654" s="152"/>
      <c r="N654" s="152"/>
      <c r="O654" s="152"/>
      <c r="P654" s="152"/>
      <c r="Q654" s="152"/>
      <c r="R654" s="152"/>
    </row>
    <row r="655">
      <c r="A655" s="152"/>
      <c r="B655" s="152"/>
      <c r="C655" s="152"/>
      <c r="D655" s="152"/>
      <c r="E655" s="152"/>
      <c r="F655" s="143"/>
      <c r="G655" s="152"/>
      <c r="H655" s="152"/>
      <c r="I655" s="152"/>
      <c r="J655" s="152"/>
      <c r="K655" s="152"/>
      <c r="L655" s="152"/>
      <c r="M655" s="152"/>
      <c r="N655" s="152"/>
      <c r="O655" s="152"/>
      <c r="P655" s="152"/>
      <c r="Q655" s="152"/>
      <c r="R655" s="152"/>
    </row>
    <row r="656">
      <c r="A656" s="152"/>
      <c r="B656" s="152"/>
      <c r="C656" s="152"/>
      <c r="D656" s="152"/>
      <c r="E656" s="152"/>
      <c r="F656" s="143"/>
      <c r="G656" s="152"/>
      <c r="H656" s="152"/>
      <c r="I656" s="152"/>
      <c r="J656" s="152"/>
      <c r="K656" s="152"/>
      <c r="L656" s="152"/>
      <c r="M656" s="152"/>
      <c r="N656" s="152"/>
      <c r="O656" s="152"/>
      <c r="P656" s="152"/>
      <c r="Q656" s="152"/>
      <c r="R656" s="152"/>
    </row>
    <row r="657">
      <c r="A657" s="152"/>
      <c r="B657" s="152"/>
      <c r="C657" s="152"/>
      <c r="D657" s="152"/>
      <c r="E657" s="152"/>
      <c r="F657" s="143"/>
      <c r="G657" s="152"/>
      <c r="H657" s="152"/>
      <c r="I657" s="152"/>
      <c r="J657" s="152"/>
      <c r="K657" s="152"/>
      <c r="L657" s="152"/>
      <c r="M657" s="152"/>
      <c r="N657" s="152"/>
      <c r="O657" s="152"/>
      <c r="P657" s="152"/>
      <c r="Q657" s="152"/>
      <c r="R657" s="152"/>
    </row>
    <row r="658">
      <c r="A658" s="152"/>
      <c r="B658" s="152"/>
      <c r="C658" s="152"/>
      <c r="D658" s="152"/>
      <c r="E658" s="152"/>
      <c r="F658" s="143"/>
      <c r="G658" s="152"/>
      <c r="H658" s="152"/>
      <c r="I658" s="152"/>
      <c r="J658" s="152"/>
      <c r="K658" s="152"/>
      <c r="L658" s="152"/>
      <c r="M658" s="152"/>
      <c r="N658" s="152"/>
      <c r="O658" s="152"/>
      <c r="P658" s="152"/>
      <c r="Q658" s="152"/>
      <c r="R658" s="152"/>
    </row>
    <row r="659">
      <c r="A659" s="152"/>
      <c r="B659" s="152"/>
      <c r="C659" s="152"/>
      <c r="D659" s="152"/>
      <c r="E659" s="152"/>
      <c r="F659" s="143"/>
      <c r="G659" s="152"/>
      <c r="H659" s="152"/>
      <c r="I659" s="152"/>
      <c r="J659" s="152"/>
      <c r="K659" s="152"/>
      <c r="L659" s="152"/>
      <c r="M659" s="152"/>
      <c r="N659" s="152"/>
      <c r="O659" s="152"/>
      <c r="P659" s="152"/>
      <c r="Q659" s="152"/>
      <c r="R659" s="152"/>
    </row>
    <row r="660">
      <c r="A660" s="152"/>
      <c r="B660" s="152"/>
      <c r="C660" s="152"/>
      <c r="D660" s="152"/>
      <c r="E660" s="152"/>
      <c r="F660" s="143"/>
      <c r="G660" s="152"/>
      <c r="H660" s="152"/>
      <c r="I660" s="152"/>
      <c r="J660" s="152"/>
      <c r="K660" s="152"/>
      <c r="L660" s="152"/>
      <c r="M660" s="152"/>
      <c r="N660" s="152"/>
      <c r="O660" s="152"/>
      <c r="P660" s="152"/>
      <c r="Q660" s="152"/>
      <c r="R660" s="152"/>
    </row>
    <row r="661">
      <c r="A661" s="152"/>
      <c r="B661" s="152"/>
      <c r="C661" s="152"/>
      <c r="D661" s="152"/>
      <c r="E661" s="152"/>
      <c r="F661" s="143"/>
      <c r="G661" s="152"/>
      <c r="H661" s="152"/>
      <c r="I661" s="152"/>
      <c r="J661" s="152"/>
      <c r="K661" s="152"/>
      <c r="L661" s="152"/>
      <c r="M661" s="152"/>
      <c r="N661" s="152"/>
      <c r="O661" s="152"/>
      <c r="P661" s="152"/>
      <c r="Q661" s="152"/>
      <c r="R661" s="152"/>
    </row>
    <row r="662">
      <c r="A662" s="152"/>
      <c r="B662" s="152"/>
      <c r="C662" s="152"/>
      <c r="D662" s="152"/>
      <c r="E662" s="152"/>
      <c r="F662" s="143"/>
      <c r="G662" s="152"/>
      <c r="H662" s="152"/>
      <c r="I662" s="152"/>
      <c r="J662" s="152"/>
      <c r="K662" s="152"/>
      <c r="L662" s="152"/>
      <c r="M662" s="152"/>
      <c r="N662" s="152"/>
      <c r="O662" s="152"/>
      <c r="P662" s="152"/>
      <c r="Q662" s="152"/>
      <c r="R662" s="152"/>
    </row>
    <row r="663">
      <c r="A663" s="152"/>
      <c r="B663" s="152"/>
      <c r="C663" s="152"/>
      <c r="D663" s="152"/>
      <c r="E663" s="152"/>
      <c r="F663" s="143"/>
      <c r="G663" s="152"/>
      <c r="H663" s="152"/>
      <c r="I663" s="152"/>
      <c r="J663" s="152"/>
      <c r="K663" s="152"/>
      <c r="L663" s="152"/>
      <c r="M663" s="152"/>
      <c r="N663" s="152"/>
      <c r="O663" s="152"/>
      <c r="P663" s="152"/>
      <c r="Q663" s="152"/>
      <c r="R663" s="152"/>
    </row>
    <row r="664">
      <c r="A664" s="152"/>
      <c r="B664" s="152"/>
      <c r="C664" s="152"/>
      <c r="D664" s="152"/>
      <c r="E664" s="152"/>
      <c r="F664" s="143"/>
      <c r="G664" s="152"/>
      <c r="H664" s="152"/>
      <c r="I664" s="152"/>
      <c r="J664" s="152"/>
      <c r="K664" s="152"/>
      <c r="L664" s="152"/>
      <c r="M664" s="152"/>
      <c r="N664" s="152"/>
      <c r="O664" s="152"/>
      <c r="P664" s="152"/>
      <c r="Q664" s="152"/>
      <c r="R664" s="152"/>
    </row>
    <row r="665">
      <c r="A665" s="152"/>
      <c r="B665" s="152"/>
      <c r="C665" s="152"/>
      <c r="D665" s="152"/>
      <c r="E665" s="152"/>
      <c r="F665" s="143"/>
      <c r="G665" s="152"/>
      <c r="H665" s="152"/>
      <c r="I665" s="152"/>
      <c r="J665" s="152"/>
      <c r="K665" s="152"/>
      <c r="L665" s="152"/>
      <c r="M665" s="152"/>
      <c r="N665" s="152"/>
      <c r="O665" s="152"/>
      <c r="P665" s="152"/>
      <c r="Q665" s="152"/>
      <c r="R665" s="152"/>
    </row>
    <row r="666">
      <c r="A666" s="152"/>
      <c r="B666" s="152"/>
      <c r="C666" s="152"/>
      <c r="D666" s="152"/>
      <c r="E666" s="152"/>
      <c r="F666" s="143"/>
      <c r="G666" s="152"/>
      <c r="H666" s="152"/>
      <c r="I666" s="152"/>
      <c r="J666" s="152"/>
      <c r="K666" s="152"/>
      <c r="L666" s="152"/>
      <c r="M666" s="152"/>
      <c r="N666" s="152"/>
      <c r="O666" s="152"/>
      <c r="P666" s="152"/>
      <c r="Q666" s="152"/>
      <c r="R666" s="152"/>
    </row>
    <row r="667">
      <c r="A667" s="152"/>
      <c r="B667" s="152"/>
      <c r="C667" s="152"/>
      <c r="D667" s="152"/>
      <c r="E667" s="152"/>
      <c r="F667" s="143"/>
      <c r="G667" s="152"/>
      <c r="H667" s="152"/>
      <c r="I667" s="152"/>
      <c r="J667" s="152"/>
      <c r="K667" s="152"/>
      <c r="L667" s="152"/>
      <c r="M667" s="152"/>
      <c r="N667" s="152"/>
      <c r="O667" s="152"/>
      <c r="P667" s="152"/>
      <c r="Q667" s="152"/>
      <c r="R667" s="152"/>
    </row>
    <row r="668">
      <c r="A668" s="152"/>
      <c r="B668" s="152"/>
      <c r="C668" s="152"/>
      <c r="D668" s="152"/>
      <c r="E668" s="152"/>
      <c r="F668" s="143"/>
      <c r="G668" s="152"/>
      <c r="H668" s="152"/>
      <c r="I668" s="152"/>
      <c r="J668" s="152"/>
      <c r="K668" s="152"/>
      <c r="L668" s="152"/>
      <c r="M668" s="152"/>
      <c r="N668" s="152"/>
      <c r="O668" s="152"/>
      <c r="P668" s="152"/>
      <c r="Q668" s="152"/>
      <c r="R668" s="152"/>
    </row>
    <row r="669">
      <c r="A669" s="152"/>
      <c r="B669" s="152"/>
      <c r="C669" s="152"/>
      <c r="D669" s="152"/>
      <c r="E669" s="152"/>
      <c r="F669" s="143"/>
      <c r="G669" s="152"/>
      <c r="H669" s="152"/>
      <c r="I669" s="152"/>
      <c r="J669" s="152"/>
      <c r="K669" s="152"/>
      <c r="L669" s="152"/>
      <c r="M669" s="152"/>
      <c r="N669" s="152"/>
      <c r="O669" s="152"/>
      <c r="P669" s="152"/>
      <c r="Q669" s="152"/>
      <c r="R669" s="152"/>
    </row>
    <row r="670">
      <c r="A670" s="152"/>
      <c r="B670" s="152"/>
      <c r="C670" s="152"/>
      <c r="D670" s="152"/>
      <c r="E670" s="152"/>
      <c r="F670" s="143"/>
      <c r="G670" s="152"/>
      <c r="H670" s="152"/>
      <c r="I670" s="152"/>
      <c r="J670" s="152"/>
      <c r="K670" s="152"/>
      <c r="L670" s="152"/>
      <c r="M670" s="152"/>
      <c r="N670" s="152"/>
      <c r="O670" s="152"/>
      <c r="P670" s="152"/>
      <c r="Q670" s="152"/>
      <c r="R670" s="152"/>
    </row>
    <row r="671">
      <c r="A671" s="152"/>
      <c r="B671" s="152"/>
      <c r="C671" s="152"/>
      <c r="D671" s="152"/>
      <c r="E671" s="152"/>
      <c r="F671" s="143"/>
      <c r="G671" s="152"/>
      <c r="H671" s="152"/>
      <c r="I671" s="152"/>
      <c r="J671" s="152"/>
      <c r="K671" s="152"/>
      <c r="L671" s="152"/>
      <c r="M671" s="152"/>
      <c r="N671" s="152"/>
      <c r="O671" s="152"/>
      <c r="P671" s="152"/>
      <c r="Q671" s="152"/>
      <c r="R671" s="152"/>
    </row>
    <row r="672">
      <c r="A672" s="152"/>
      <c r="B672" s="152"/>
      <c r="C672" s="152"/>
      <c r="D672" s="152"/>
      <c r="E672" s="152"/>
      <c r="F672" s="143"/>
      <c r="G672" s="152"/>
      <c r="H672" s="152"/>
      <c r="I672" s="152"/>
      <c r="J672" s="152"/>
      <c r="K672" s="152"/>
      <c r="L672" s="152"/>
      <c r="M672" s="152"/>
      <c r="N672" s="152"/>
      <c r="O672" s="152"/>
      <c r="P672" s="152"/>
      <c r="Q672" s="152"/>
      <c r="R672" s="152"/>
    </row>
    <row r="673">
      <c r="A673" s="152"/>
      <c r="B673" s="152"/>
      <c r="C673" s="152"/>
      <c r="D673" s="152"/>
      <c r="E673" s="152"/>
      <c r="F673" s="143"/>
      <c r="G673" s="152"/>
      <c r="H673" s="152"/>
      <c r="I673" s="152"/>
      <c r="J673" s="152"/>
      <c r="K673" s="152"/>
      <c r="L673" s="152"/>
      <c r="M673" s="152"/>
      <c r="N673" s="152"/>
      <c r="O673" s="152"/>
      <c r="P673" s="152"/>
      <c r="Q673" s="152"/>
      <c r="R673" s="152"/>
    </row>
    <row r="674">
      <c r="A674" s="152"/>
      <c r="B674" s="152"/>
      <c r="C674" s="152"/>
      <c r="D674" s="152"/>
      <c r="E674" s="152"/>
      <c r="F674" s="143"/>
      <c r="G674" s="152"/>
      <c r="H674" s="152"/>
      <c r="I674" s="152"/>
      <c r="J674" s="152"/>
      <c r="K674" s="152"/>
      <c r="L674" s="152"/>
      <c r="M674" s="152"/>
      <c r="N674" s="152"/>
      <c r="O674" s="152"/>
      <c r="P674" s="152"/>
      <c r="Q674" s="152"/>
      <c r="R674" s="152"/>
    </row>
    <row r="675">
      <c r="A675" s="152"/>
      <c r="B675" s="152"/>
      <c r="C675" s="152"/>
      <c r="D675" s="152"/>
      <c r="E675" s="152"/>
      <c r="F675" s="143"/>
      <c r="G675" s="152"/>
      <c r="H675" s="152"/>
      <c r="I675" s="152"/>
      <c r="J675" s="152"/>
      <c r="K675" s="152"/>
      <c r="L675" s="152"/>
      <c r="M675" s="152"/>
      <c r="N675" s="152"/>
      <c r="O675" s="152"/>
      <c r="P675" s="152"/>
      <c r="Q675" s="152"/>
      <c r="R675" s="152"/>
    </row>
    <row r="676">
      <c r="A676" s="152"/>
      <c r="B676" s="152"/>
      <c r="C676" s="152"/>
      <c r="D676" s="152"/>
      <c r="E676" s="152"/>
      <c r="F676" s="143"/>
      <c r="G676" s="152"/>
      <c r="H676" s="152"/>
      <c r="I676" s="152"/>
      <c r="J676" s="152"/>
      <c r="K676" s="152"/>
      <c r="L676" s="152"/>
      <c r="M676" s="152"/>
      <c r="N676" s="152"/>
      <c r="O676" s="152"/>
      <c r="P676" s="152"/>
      <c r="Q676" s="152"/>
      <c r="R676" s="152"/>
    </row>
    <row r="677">
      <c r="A677" s="152"/>
      <c r="B677" s="152"/>
      <c r="C677" s="152"/>
      <c r="D677" s="152"/>
      <c r="E677" s="152"/>
      <c r="F677" s="143"/>
      <c r="G677" s="152"/>
      <c r="H677" s="152"/>
      <c r="I677" s="152"/>
      <c r="J677" s="152"/>
      <c r="K677" s="152"/>
      <c r="L677" s="152"/>
      <c r="M677" s="152"/>
      <c r="N677" s="152"/>
      <c r="O677" s="152"/>
      <c r="P677" s="152"/>
      <c r="Q677" s="152"/>
      <c r="R677" s="152"/>
    </row>
    <row r="678">
      <c r="A678" s="152"/>
      <c r="B678" s="152"/>
      <c r="C678" s="152"/>
      <c r="D678" s="152"/>
      <c r="E678" s="152"/>
      <c r="F678" s="143"/>
      <c r="G678" s="152"/>
      <c r="H678" s="152"/>
      <c r="I678" s="152"/>
      <c r="J678" s="152"/>
      <c r="K678" s="152"/>
      <c r="L678" s="152"/>
      <c r="M678" s="152"/>
      <c r="N678" s="152"/>
      <c r="O678" s="152"/>
      <c r="P678" s="152"/>
      <c r="Q678" s="152"/>
      <c r="R678" s="152"/>
    </row>
    <row r="679">
      <c r="A679" s="152"/>
      <c r="B679" s="152"/>
      <c r="C679" s="152"/>
      <c r="D679" s="152"/>
      <c r="E679" s="152"/>
      <c r="F679" s="143"/>
      <c r="G679" s="152"/>
      <c r="H679" s="152"/>
      <c r="I679" s="152"/>
      <c r="J679" s="152"/>
      <c r="K679" s="152"/>
      <c r="L679" s="152"/>
      <c r="M679" s="152"/>
      <c r="N679" s="152"/>
      <c r="O679" s="152"/>
      <c r="P679" s="152"/>
      <c r="Q679" s="152"/>
      <c r="R679" s="152"/>
    </row>
    <row r="680">
      <c r="A680" s="152"/>
      <c r="B680" s="152"/>
      <c r="C680" s="152"/>
      <c r="D680" s="152"/>
      <c r="E680" s="152"/>
      <c r="F680" s="143"/>
      <c r="G680" s="152"/>
      <c r="H680" s="152"/>
      <c r="I680" s="152"/>
      <c r="J680" s="152"/>
      <c r="K680" s="152"/>
      <c r="L680" s="152"/>
      <c r="M680" s="152"/>
      <c r="N680" s="152"/>
      <c r="O680" s="152"/>
      <c r="P680" s="152"/>
      <c r="Q680" s="152"/>
      <c r="R680" s="152"/>
    </row>
    <row r="681">
      <c r="A681" s="152"/>
      <c r="B681" s="152"/>
      <c r="C681" s="152"/>
      <c r="D681" s="152"/>
      <c r="E681" s="152"/>
      <c r="F681" s="143"/>
      <c r="G681" s="152"/>
      <c r="H681" s="152"/>
      <c r="I681" s="152"/>
      <c r="J681" s="152"/>
      <c r="K681" s="152"/>
      <c r="L681" s="152"/>
      <c r="M681" s="152"/>
      <c r="N681" s="152"/>
      <c r="O681" s="152"/>
      <c r="P681" s="152"/>
      <c r="Q681" s="152"/>
      <c r="R681" s="152"/>
    </row>
    <row r="682">
      <c r="A682" s="152"/>
      <c r="B682" s="152"/>
      <c r="C682" s="152"/>
      <c r="D682" s="152"/>
      <c r="E682" s="152"/>
      <c r="F682" s="143"/>
      <c r="G682" s="152"/>
      <c r="H682" s="152"/>
      <c r="I682" s="152"/>
      <c r="J682" s="152"/>
      <c r="K682" s="152"/>
      <c r="L682" s="152"/>
      <c r="M682" s="152"/>
      <c r="N682" s="152"/>
      <c r="O682" s="152"/>
      <c r="P682" s="152"/>
      <c r="Q682" s="152"/>
      <c r="R682" s="152"/>
    </row>
    <row r="683">
      <c r="A683" s="152"/>
      <c r="B683" s="152"/>
      <c r="C683" s="152"/>
      <c r="D683" s="152"/>
      <c r="E683" s="152"/>
      <c r="F683" s="143"/>
      <c r="G683" s="152"/>
      <c r="H683" s="152"/>
      <c r="I683" s="152"/>
      <c r="J683" s="152"/>
      <c r="K683" s="152"/>
      <c r="L683" s="152"/>
      <c r="M683" s="152"/>
      <c r="N683" s="152"/>
      <c r="O683" s="152"/>
      <c r="P683" s="152"/>
      <c r="Q683" s="152"/>
      <c r="R683" s="152"/>
    </row>
    <row r="684">
      <c r="A684" s="152"/>
      <c r="B684" s="152"/>
      <c r="C684" s="152"/>
      <c r="D684" s="152"/>
      <c r="E684" s="152"/>
      <c r="F684" s="143"/>
      <c r="G684" s="152"/>
      <c r="H684" s="152"/>
      <c r="I684" s="152"/>
      <c r="J684" s="152"/>
      <c r="K684" s="152"/>
      <c r="L684" s="152"/>
      <c r="M684" s="152"/>
      <c r="N684" s="152"/>
      <c r="O684" s="152"/>
      <c r="P684" s="152"/>
      <c r="Q684" s="152"/>
      <c r="R684" s="152"/>
    </row>
    <row r="685">
      <c r="A685" s="152"/>
      <c r="B685" s="152"/>
      <c r="C685" s="152"/>
      <c r="D685" s="152"/>
      <c r="E685" s="152"/>
      <c r="F685" s="143"/>
      <c r="G685" s="152"/>
      <c r="H685" s="152"/>
      <c r="I685" s="152"/>
      <c r="J685" s="152"/>
      <c r="K685" s="152"/>
      <c r="L685" s="152"/>
      <c r="M685" s="152"/>
      <c r="N685" s="152"/>
      <c r="O685" s="152"/>
      <c r="P685" s="152"/>
      <c r="Q685" s="152"/>
      <c r="R685" s="152"/>
    </row>
    <row r="686">
      <c r="A686" s="152"/>
      <c r="B686" s="152"/>
      <c r="C686" s="152"/>
      <c r="D686" s="152"/>
      <c r="E686" s="152"/>
      <c r="F686" s="143"/>
      <c r="G686" s="152"/>
      <c r="H686" s="152"/>
      <c r="I686" s="152"/>
      <c r="J686" s="152"/>
      <c r="K686" s="152"/>
      <c r="L686" s="152"/>
      <c r="M686" s="152"/>
      <c r="N686" s="152"/>
      <c r="O686" s="152"/>
      <c r="P686" s="152"/>
      <c r="Q686" s="152"/>
      <c r="R686" s="152"/>
    </row>
    <row r="687">
      <c r="A687" s="152"/>
      <c r="B687" s="152"/>
      <c r="C687" s="152"/>
      <c r="D687" s="152"/>
      <c r="E687" s="152"/>
      <c r="F687" s="143"/>
      <c r="G687" s="152"/>
      <c r="H687" s="152"/>
      <c r="I687" s="152"/>
      <c r="J687" s="152"/>
      <c r="K687" s="152"/>
      <c r="L687" s="152"/>
      <c r="M687" s="152"/>
      <c r="N687" s="152"/>
      <c r="O687" s="152"/>
      <c r="P687" s="152"/>
      <c r="Q687" s="152"/>
      <c r="R687" s="152"/>
    </row>
    <row r="688">
      <c r="A688" s="152"/>
      <c r="B688" s="152"/>
      <c r="C688" s="152"/>
      <c r="D688" s="152"/>
      <c r="E688" s="152"/>
      <c r="F688" s="143"/>
      <c r="G688" s="152"/>
      <c r="H688" s="152"/>
      <c r="I688" s="152"/>
      <c r="J688" s="152"/>
      <c r="K688" s="152"/>
      <c r="L688" s="152"/>
      <c r="M688" s="152"/>
      <c r="N688" s="152"/>
      <c r="O688" s="152"/>
      <c r="P688" s="152"/>
      <c r="Q688" s="152"/>
      <c r="R688" s="152"/>
    </row>
    <row r="689">
      <c r="A689" s="152"/>
      <c r="B689" s="152"/>
      <c r="C689" s="152"/>
      <c r="D689" s="152"/>
      <c r="E689" s="152"/>
      <c r="F689" s="143"/>
      <c r="G689" s="152"/>
      <c r="H689" s="152"/>
      <c r="I689" s="152"/>
      <c r="J689" s="152"/>
      <c r="K689" s="152"/>
      <c r="L689" s="152"/>
      <c r="M689" s="152"/>
      <c r="N689" s="152"/>
      <c r="O689" s="152"/>
      <c r="P689" s="152"/>
      <c r="Q689" s="152"/>
      <c r="R689" s="152"/>
    </row>
    <row r="690">
      <c r="A690" s="152"/>
      <c r="B690" s="152"/>
      <c r="C690" s="152"/>
      <c r="D690" s="152"/>
      <c r="E690" s="152"/>
      <c r="F690" s="143"/>
      <c r="G690" s="152"/>
      <c r="H690" s="152"/>
      <c r="I690" s="152"/>
      <c r="J690" s="152"/>
      <c r="K690" s="152"/>
      <c r="L690" s="152"/>
      <c r="M690" s="152"/>
      <c r="N690" s="152"/>
      <c r="O690" s="152"/>
      <c r="P690" s="152"/>
      <c r="Q690" s="152"/>
      <c r="R690" s="152"/>
    </row>
    <row r="691">
      <c r="A691" s="152"/>
      <c r="B691" s="152"/>
      <c r="C691" s="152"/>
      <c r="D691" s="152"/>
      <c r="E691" s="152"/>
      <c r="F691" s="143"/>
      <c r="G691" s="152"/>
      <c r="H691" s="152"/>
      <c r="I691" s="152"/>
      <c r="J691" s="152"/>
      <c r="K691" s="152"/>
      <c r="L691" s="152"/>
      <c r="M691" s="152"/>
      <c r="N691" s="152"/>
      <c r="O691" s="152"/>
      <c r="P691" s="152"/>
      <c r="Q691" s="152"/>
      <c r="R691" s="152"/>
    </row>
    <row r="692">
      <c r="A692" s="152"/>
      <c r="B692" s="152"/>
      <c r="C692" s="152"/>
      <c r="D692" s="152"/>
      <c r="E692" s="152"/>
      <c r="F692" s="143"/>
      <c r="G692" s="152"/>
      <c r="H692" s="152"/>
      <c r="I692" s="152"/>
      <c r="J692" s="152"/>
      <c r="K692" s="152"/>
      <c r="L692" s="152"/>
      <c r="M692" s="152"/>
      <c r="N692" s="152"/>
      <c r="O692" s="152"/>
      <c r="P692" s="152"/>
      <c r="Q692" s="152"/>
      <c r="R692" s="152"/>
    </row>
    <row r="693">
      <c r="A693" s="152"/>
      <c r="B693" s="152"/>
      <c r="C693" s="152"/>
      <c r="D693" s="152"/>
      <c r="E693" s="152"/>
      <c r="F693" s="143"/>
      <c r="G693" s="152"/>
      <c r="H693" s="152"/>
      <c r="I693" s="152"/>
      <c r="J693" s="152"/>
      <c r="K693" s="152"/>
      <c r="L693" s="152"/>
      <c r="M693" s="152"/>
      <c r="N693" s="152"/>
      <c r="O693" s="152"/>
      <c r="P693" s="152"/>
      <c r="Q693" s="152"/>
      <c r="R693" s="152"/>
    </row>
    <row r="694">
      <c r="A694" s="152"/>
      <c r="B694" s="152"/>
      <c r="C694" s="152"/>
      <c r="D694" s="152"/>
      <c r="E694" s="152"/>
      <c r="F694" s="143"/>
      <c r="G694" s="152"/>
      <c r="H694" s="152"/>
      <c r="I694" s="152"/>
      <c r="J694" s="152"/>
      <c r="K694" s="152"/>
      <c r="L694" s="152"/>
      <c r="M694" s="152"/>
      <c r="N694" s="152"/>
      <c r="O694" s="152"/>
      <c r="P694" s="152"/>
      <c r="Q694" s="152"/>
      <c r="R694" s="152"/>
    </row>
    <row r="695">
      <c r="A695" s="152"/>
      <c r="B695" s="152"/>
      <c r="C695" s="152"/>
      <c r="D695" s="152"/>
      <c r="E695" s="152"/>
      <c r="F695" s="143"/>
      <c r="G695" s="152"/>
      <c r="H695" s="152"/>
      <c r="I695" s="152"/>
      <c r="J695" s="152"/>
      <c r="K695" s="152"/>
      <c r="L695" s="152"/>
      <c r="M695" s="152"/>
      <c r="N695" s="152"/>
      <c r="O695" s="152"/>
      <c r="P695" s="152"/>
      <c r="Q695" s="152"/>
      <c r="R695" s="152"/>
    </row>
    <row r="696">
      <c r="A696" s="152"/>
      <c r="B696" s="152"/>
      <c r="C696" s="152"/>
      <c r="D696" s="152"/>
      <c r="E696" s="152"/>
      <c r="F696" s="143"/>
      <c r="G696" s="152"/>
      <c r="H696" s="152"/>
      <c r="I696" s="152"/>
      <c r="J696" s="152"/>
      <c r="K696" s="152"/>
      <c r="L696" s="152"/>
      <c r="M696" s="152"/>
      <c r="N696" s="152"/>
      <c r="O696" s="152"/>
      <c r="P696" s="152"/>
      <c r="Q696" s="152"/>
      <c r="R696" s="152"/>
    </row>
    <row r="697">
      <c r="A697" s="152"/>
      <c r="B697" s="152"/>
      <c r="C697" s="152"/>
      <c r="D697" s="152"/>
      <c r="E697" s="152"/>
      <c r="F697" s="143"/>
      <c r="G697" s="152"/>
      <c r="H697" s="152"/>
      <c r="I697" s="152"/>
      <c r="J697" s="152"/>
      <c r="K697" s="152"/>
      <c r="L697" s="152"/>
      <c r="M697" s="152"/>
      <c r="N697" s="152"/>
      <c r="O697" s="152"/>
      <c r="P697" s="152"/>
      <c r="Q697" s="152"/>
      <c r="R697" s="152"/>
    </row>
    <row r="698">
      <c r="A698" s="152"/>
      <c r="B698" s="152"/>
      <c r="C698" s="152"/>
      <c r="D698" s="152"/>
      <c r="E698" s="152"/>
      <c r="F698" s="143"/>
      <c r="G698" s="152"/>
      <c r="H698" s="152"/>
      <c r="I698" s="152"/>
      <c r="J698" s="152"/>
      <c r="K698" s="152"/>
      <c r="L698" s="152"/>
      <c r="M698" s="152"/>
      <c r="N698" s="152"/>
      <c r="O698" s="152"/>
      <c r="P698" s="152"/>
      <c r="Q698" s="152"/>
      <c r="R698" s="152"/>
    </row>
    <row r="699">
      <c r="A699" s="152"/>
      <c r="B699" s="152"/>
      <c r="C699" s="152"/>
      <c r="D699" s="152"/>
      <c r="E699" s="152"/>
      <c r="F699" s="143"/>
      <c r="G699" s="152"/>
      <c r="H699" s="152"/>
      <c r="I699" s="152"/>
      <c r="J699" s="152"/>
      <c r="K699" s="152"/>
      <c r="L699" s="152"/>
      <c r="M699" s="152"/>
      <c r="N699" s="152"/>
      <c r="O699" s="152"/>
      <c r="P699" s="152"/>
      <c r="Q699" s="152"/>
      <c r="R699" s="152"/>
    </row>
    <row r="700">
      <c r="A700" s="152"/>
      <c r="B700" s="152"/>
      <c r="C700" s="152"/>
      <c r="D700" s="152"/>
      <c r="E700" s="152"/>
      <c r="F700" s="143"/>
      <c r="G700" s="152"/>
      <c r="H700" s="152"/>
      <c r="I700" s="152"/>
      <c r="J700" s="152"/>
      <c r="K700" s="152"/>
      <c r="L700" s="152"/>
      <c r="M700" s="152"/>
      <c r="N700" s="152"/>
      <c r="O700" s="152"/>
      <c r="P700" s="152"/>
      <c r="Q700" s="152"/>
      <c r="R700" s="152"/>
    </row>
    <row r="701">
      <c r="A701" s="152"/>
      <c r="B701" s="152"/>
      <c r="C701" s="152"/>
      <c r="D701" s="152"/>
      <c r="E701" s="152"/>
      <c r="F701" s="143"/>
      <c r="G701" s="152"/>
      <c r="H701" s="152"/>
      <c r="I701" s="152"/>
      <c r="J701" s="152"/>
      <c r="K701" s="152"/>
      <c r="L701" s="152"/>
      <c r="M701" s="152"/>
      <c r="N701" s="152"/>
      <c r="O701" s="152"/>
      <c r="P701" s="152"/>
      <c r="Q701" s="152"/>
      <c r="R701" s="152"/>
    </row>
    <row r="702">
      <c r="A702" s="152"/>
      <c r="B702" s="152"/>
      <c r="C702" s="152"/>
      <c r="D702" s="152"/>
      <c r="E702" s="152"/>
      <c r="F702" s="143"/>
      <c r="G702" s="152"/>
      <c r="H702" s="152"/>
      <c r="I702" s="152"/>
      <c r="J702" s="152"/>
      <c r="K702" s="152"/>
      <c r="L702" s="152"/>
      <c r="M702" s="152"/>
      <c r="N702" s="152"/>
      <c r="O702" s="152"/>
      <c r="P702" s="152"/>
      <c r="Q702" s="152"/>
      <c r="R702" s="152"/>
    </row>
    <row r="703">
      <c r="A703" s="152"/>
      <c r="B703" s="152"/>
      <c r="C703" s="152"/>
      <c r="D703" s="152"/>
      <c r="E703" s="152"/>
      <c r="F703" s="143"/>
      <c r="G703" s="152"/>
      <c r="H703" s="152"/>
      <c r="I703" s="152"/>
      <c r="J703" s="152"/>
      <c r="K703" s="152"/>
      <c r="L703" s="152"/>
      <c r="M703" s="152"/>
      <c r="N703" s="152"/>
      <c r="O703" s="152"/>
      <c r="P703" s="152"/>
      <c r="Q703" s="152"/>
      <c r="R703" s="152"/>
    </row>
    <row r="704">
      <c r="A704" s="152"/>
      <c r="B704" s="152"/>
      <c r="C704" s="152"/>
      <c r="D704" s="152"/>
      <c r="E704" s="152"/>
      <c r="F704" s="143"/>
      <c r="G704" s="152"/>
      <c r="H704" s="152"/>
      <c r="I704" s="152"/>
      <c r="J704" s="152"/>
      <c r="K704" s="152"/>
      <c r="L704" s="152"/>
      <c r="M704" s="152"/>
      <c r="N704" s="152"/>
      <c r="O704" s="152"/>
      <c r="P704" s="152"/>
      <c r="Q704" s="152"/>
      <c r="R704" s="152"/>
    </row>
    <row r="705">
      <c r="A705" s="152"/>
      <c r="B705" s="152"/>
      <c r="C705" s="152"/>
      <c r="D705" s="152"/>
      <c r="E705" s="152"/>
      <c r="F705" s="143"/>
      <c r="G705" s="152"/>
      <c r="H705" s="152"/>
      <c r="I705" s="152"/>
      <c r="J705" s="152"/>
      <c r="K705" s="152"/>
      <c r="L705" s="152"/>
      <c r="M705" s="152"/>
      <c r="N705" s="152"/>
      <c r="O705" s="152"/>
      <c r="P705" s="152"/>
      <c r="Q705" s="152"/>
      <c r="R705" s="152"/>
    </row>
    <row r="706">
      <c r="A706" s="152"/>
      <c r="B706" s="152"/>
      <c r="C706" s="152"/>
      <c r="D706" s="152"/>
      <c r="E706" s="152"/>
      <c r="F706" s="143"/>
      <c r="G706" s="152"/>
      <c r="H706" s="152"/>
      <c r="I706" s="152"/>
      <c r="J706" s="152"/>
      <c r="K706" s="152"/>
      <c r="L706" s="152"/>
      <c r="M706" s="152"/>
      <c r="N706" s="152"/>
      <c r="O706" s="152"/>
      <c r="P706" s="152"/>
      <c r="Q706" s="152"/>
      <c r="R706" s="152"/>
    </row>
    <row r="707">
      <c r="A707" s="152"/>
      <c r="B707" s="152"/>
      <c r="C707" s="152"/>
      <c r="D707" s="152"/>
      <c r="E707" s="152"/>
      <c r="F707" s="143"/>
      <c r="G707" s="152"/>
      <c r="H707" s="152"/>
      <c r="I707" s="152"/>
      <c r="J707" s="152"/>
      <c r="K707" s="152"/>
      <c r="L707" s="152"/>
      <c r="M707" s="152"/>
      <c r="N707" s="152"/>
      <c r="O707" s="152"/>
      <c r="P707" s="152"/>
      <c r="Q707" s="152"/>
      <c r="R707" s="152"/>
    </row>
    <row r="708">
      <c r="A708" s="152"/>
      <c r="B708" s="152"/>
      <c r="C708" s="152"/>
      <c r="D708" s="152"/>
      <c r="E708" s="152"/>
      <c r="F708" s="143"/>
      <c r="G708" s="152"/>
      <c r="H708" s="152"/>
      <c r="I708" s="152"/>
      <c r="J708" s="152"/>
      <c r="K708" s="152"/>
      <c r="L708" s="152"/>
      <c r="M708" s="152"/>
      <c r="N708" s="152"/>
      <c r="O708" s="152"/>
      <c r="P708" s="152"/>
      <c r="Q708" s="152"/>
      <c r="R708" s="152"/>
    </row>
    <row r="709">
      <c r="A709" s="152"/>
      <c r="B709" s="152"/>
      <c r="C709" s="152"/>
      <c r="D709" s="152"/>
      <c r="E709" s="152"/>
      <c r="F709" s="143"/>
      <c r="G709" s="152"/>
      <c r="H709" s="152"/>
      <c r="I709" s="152"/>
      <c r="J709" s="152"/>
      <c r="K709" s="152"/>
      <c r="L709" s="152"/>
      <c r="M709" s="152"/>
      <c r="N709" s="152"/>
      <c r="O709" s="152"/>
      <c r="P709" s="152"/>
      <c r="Q709" s="152"/>
      <c r="R709" s="152"/>
    </row>
    <row r="710">
      <c r="A710" s="152"/>
      <c r="B710" s="152"/>
      <c r="C710" s="152"/>
      <c r="D710" s="152"/>
      <c r="E710" s="152"/>
      <c r="F710" s="143"/>
      <c r="G710" s="152"/>
      <c r="H710" s="152"/>
      <c r="I710" s="152"/>
      <c r="J710" s="152"/>
      <c r="K710" s="152"/>
      <c r="L710" s="152"/>
      <c r="M710" s="152"/>
      <c r="N710" s="152"/>
      <c r="O710" s="152"/>
      <c r="P710" s="152"/>
      <c r="Q710" s="152"/>
      <c r="R710" s="152"/>
    </row>
    <row r="711">
      <c r="A711" s="152"/>
      <c r="B711" s="152"/>
      <c r="C711" s="152"/>
      <c r="D711" s="152"/>
      <c r="E711" s="152"/>
      <c r="F711" s="143"/>
      <c r="G711" s="152"/>
      <c r="H711" s="152"/>
      <c r="I711" s="152"/>
      <c r="J711" s="152"/>
      <c r="K711" s="152"/>
      <c r="L711" s="152"/>
      <c r="M711" s="152"/>
      <c r="N711" s="152"/>
      <c r="O711" s="152"/>
      <c r="P711" s="152"/>
      <c r="Q711" s="152"/>
      <c r="R711" s="152"/>
    </row>
    <row r="712">
      <c r="A712" s="152"/>
      <c r="B712" s="152"/>
      <c r="C712" s="152"/>
      <c r="D712" s="152"/>
      <c r="E712" s="152"/>
      <c r="F712" s="143"/>
      <c r="G712" s="152"/>
      <c r="H712" s="152"/>
      <c r="I712" s="152"/>
      <c r="J712" s="152"/>
      <c r="K712" s="152"/>
      <c r="L712" s="152"/>
      <c r="M712" s="152"/>
      <c r="N712" s="152"/>
      <c r="O712" s="152"/>
      <c r="P712" s="152"/>
      <c r="Q712" s="152"/>
      <c r="R712" s="152"/>
    </row>
    <row r="713">
      <c r="A713" s="152"/>
      <c r="B713" s="152"/>
      <c r="C713" s="152"/>
      <c r="D713" s="152"/>
      <c r="E713" s="152"/>
      <c r="F713" s="143"/>
      <c r="G713" s="152"/>
      <c r="H713" s="152"/>
      <c r="I713" s="152"/>
      <c r="J713" s="152"/>
      <c r="K713" s="152"/>
      <c r="L713" s="152"/>
      <c r="M713" s="152"/>
      <c r="N713" s="152"/>
      <c r="O713" s="152"/>
      <c r="P713" s="152"/>
      <c r="Q713" s="152"/>
      <c r="R713" s="152"/>
    </row>
    <row r="714">
      <c r="A714" s="152"/>
      <c r="B714" s="152"/>
      <c r="C714" s="152"/>
      <c r="D714" s="152"/>
      <c r="E714" s="152"/>
      <c r="F714" s="143"/>
      <c r="G714" s="152"/>
      <c r="H714" s="152"/>
      <c r="I714" s="152"/>
      <c r="J714" s="152"/>
      <c r="K714" s="152"/>
      <c r="L714" s="152"/>
      <c r="M714" s="152"/>
      <c r="N714" s="152"/>
      <c r="O714" s="152"/>
      <c r="P714" s="152"/>
      <c r="Q714" s="152"/>
      <c r="R714" s="152"/>
    </row>
    <row r="715">
      <c r="A715" s="152"/>
      <c r="B715" s="152"/>
      <c r="C715" s="152"/>
      <c r="D715" s="152"/>
      <c r="E715" s="152"/>
      <c r="F715" s="143"/>
      <c r="G715" s="152"/>
      <c r="H715" s="152"/>
      <c r="I715" s="152"/>
      <c r="J715" s="152"/>
      <c r="K715" s="152"/>
      <c r="L715" s="152"/>
      <c r="M715" s="152"/>
      <c r="N715" s="152"/>
      <c r="O715" s="152"/>
      <c r="P715" s="152"/>
      <c r="Q715" s="152"/>
      <c r="R715" s="152"/>
    </row>
    <row r="716">
      <c r="A716" s="152"/>
      <c r="B716" s="152"/>
      <c r="C716" s="152"/>
      <c r="D716" s="152"/>
      <c r="E716" s="152"/>
      <c r="F716" s="143"/>
      <c r="G716" s="152"/>
      <c r="H716" s="152"/>
      <c r="I716" s="152"/>
      <c r="J716" s="152"/>
      <c r="K716" s="152"/>
      <c r="L716" s="152"/>
      <c r="M716" s="152"/>
      <c r="N716" s="152"/>
      <c r="O716" s="152"/>
      <c r="P716" s="152"/>
      <c r="Q716" s="152"/>
      <c r="R716" s="152"/>
    </row>
    <row r="717">
      <c r="A717" s="152"/>
      <c r="B717" s="152"/>
      <c r="C717" s="152"/>
      <c r="D717" s="152"/>
      <c r="E717" s="152"/>
      <c r="F717" s="143"/>
      <c r="G717" s="152"/>
      <c r="H717" s="152"/>
      <c r="I717" s="152"/>
      <c r="J717" s="152"/>
      <c r="K717" s="152"/>
      <c r="L717" s="152"/>
      <c r="M717" s="152"/>
      <c r="N717" s="152"/>
      <c r="O717" s="152"/>
      <c r="P717" s="152"/>
      <c r="Q717" s="152"/>
      <c r="R717" s="152"/>
    </row>
    <row r="718">
      <c r="A718" s="152"/>
      <c r="B718" s="152"/>
      <c r="C718" s="152"/>
      <c r="D718" s="152"/>
      <c r="E718" s="152"/>
      <c r="F718" s="143"/>
      <c r="G718" s="152"/>
      <c r="H718" s="152"/>
      <c r="I718" s="152"/>
      <c r="J718" s="152"/>
      <c r="K718" s="152"/>
      <c r="L718" s="152"/>
      <c r="M718" s="152"/>
      <c r="N718" s="152"/>
      <c r="O718" s="152"/>
      <c r="P718" s="152"/>
      <c r="Q718" s="152"/>
      <c r="R718" s="152"/>
    </row>
    <row r="719">
      <c r="A719" s="152"/>
      <c r="B719" s="152"/>
      <c r="C719" s="152"/>
      <c r="D719" s="152"/>
      <c r="E719" s="152"/>
      <c r="F719" s="143"/>
      <c r="G719" s="152"/>
      <c r="H719" s="152"/>
      <c r="I719" s="152"/>
      <c r="J719" s="152"/>
      <c r="K719" s="152"/>
      <c r="L719" s="152"/>
      <c r="M719" s="152"/>
      <c r="N719" s="152"/>
      <c r="O719" s="152"/>
      <c r="P719" s="152"/>
      <c r="Q719" s="152"/>
      <c r="R719" s="152"/>
    </row>
    <row r="720">
      <c r="A720" s="152"/>
      <c r="B720" s="152"/>
      <c r="C720" s="152"/>
      <c r="D720" s="152"/>
      <c r="E720" s="152"/>
      <c r="F720" s="143"/>
      <c r="G720" s="152"/>
      <c r="H720" s="152"/>
      <c r="I720" s="152"/>
      <c r="J720" s="152"/>
      <c r="K720" s="152"/>
      <c r="L720" s="152"/>
      <c r="M720" s="152"/>
      <c r="N720" s="152"/>
      <c r="O720" s="152"/>
      <c r="P720" s="152"/>
      <c r="Q720" s="152"/>
      <c r="R720" s="152"/>
    </row>
    <row r="721">
      <c r="A721" s="152"/>
      <c r="B721" s="152"/>
      <c r="C721" s="152"/>
      <c r="D721" s="152"/>
      <c r="E721" s="152"/>
      <c r="F721" s="143"/>
      <c r="G721" s="152"/>
      <c r="H721" s="152"/>
      <c r="I721" s="152"/>
      <c r="J721" s="152"/>
      <c r="K721" s="152"/>
      <c r="L721" s="152"/>
      <c r="M721" s="152"/>
      <c r="N721" s="152"/>
      <c r="O721" s="152"/>
      <c r="P721" s="152"/>
      <c r="Q721" s="152"/>
      <c r="R721" s="152"/>
    </row>
    <row r="722">
      <c r="A722" s="152"/>
      <c r="B722" s="152"/>
      <c r="C722" s="152"/>
      <c r="D722" s="152"/>
      <c r="E722" s="152"/>
      <c r="F722" s="143"/>
      <c r="G722" s="152"/>
      <c r="H722" s="152"/>
      <c r="I722" s="152"/>
      <c r="J722" s="152"/>
      <c r="K722" s="152"/>
      <c r="L722" s="152"/>
      <c r="M722" s="152"/>
      <c r="N722" s="152"/>
      <c r="O722" s="152"/>
      <c r="P722" s="152"/>
      <c r="Q722" s="152"/>
      <c r="R722" s="152"/>
    </row>
    <row r="723">
      <c r="A723" s="152"/>
      <c r="B723" s="152"/>
      <c r="C723" s="152"/>
      <c r="D723" s="152"/>
      <c r="E723" s="152"/>
      <c r="F723" s="143"/>
      <c r="G723" s="152"/>
      <c r="H723" s="152"/>
      <c r="I723" s="152"/>
      <c r="J723" s="152"/>
      <c r="K723" s="152"/>
      <c r="L723" s="152"/>
      <c r="M723" s="152"/>
      <c r="N723" s="152"/>
      <c r="O723" s="152"/>
      <c r="P723" s="152"/>
      <c r="Q723" s="152"/>
      <c r="R723" s="152"/>
    </row>
    <row r="724">
      <c r="A724" s="152"/>
      <c r="B724" s="152"/>
      <c r="C724" s="152"/>
      <c r="D724" s="152"/>
      <c r="E724" s="152"/>
      <c r="F724" s="143"/>
      <c r="G724" s="152"/>
      <c r="H724" s="152"/>
      <c r="I724" s="152"/>
      <c r="J724" s="152"/>
      <c r="K724" s="152"/>
      <c r="L724" s="152"/>
      <c r="M724" s="152"/>
      <c r="N724" s="152"/>
      <c r="O724" s="152"/>
      <c r="P724" s="152"/>
      <c r="Q724" s="152"/>
      <c r="R724" s="152"/>
    </row>
    <row r="725">
      <c r="A725" s="152"/>
      <c r="B725" s="152"/>
      <c r="C725" s="152"/>
      <c r="D725" s="152"/>
      <c r="E725" s="152"/>
      <c r="F725" s="143"/>
      <c r="G725" s="152"/>
      <c r="H725" s="152"/>
      <c r="I725" s="152"/>
      <c r="J725" s="152"/>
      <c r="K725" s="152"/>
      <c r="L725" s="152"/>
      <c r="M725" s="152"/>
      <c r="N725" s="152"/>
      <c r="O725" s="152"/>
      <c r="P725" s="152"/>
      <c r="Q725" s="152"/>
      <c r="R725" s="152"/>
    </row>
    <row r="726">
      <c r="A726" s="152"/>
      <c r="B726" s="152"/>
      <c r="C726" s="152"/>
      <c r="D726" s="152"/>
      <c r="E726" s="152"/>
      <c r="F726" s="143"/>
      <c r="G726" s="152"/>
      <c r="H726" s="152"/>
      <c r="I726" s="152"/>
      <c r="J726" s="152"/>
      <c r="K726" s="152"/>
      <c r="L726" s="152"/>
      <c r="M726" s="152"/>
      <c r="N726" s="152"/>
      <c r="O726" s="152"/>
      <c r="P726" s="152"/>
      <c r="Q726" s="152"/>
      <c r="R726" s="152"/>
    </row>
    <row r="727">
      <c r="A727" s="152"/>
      <c r="B727" s="152"/>
      <c r="C727" s="152"/>
      <c r="D727" s="152"/>
      <c r="E727" s="152"/>
      <c r="F727" s="143"/>
      <c r="G727" s="152"/>
      <c r="H727" s="152"/>
      <c r="I727" s="152"/>
      <c r="J727" s="152"/>
      <c r="K727" s="152"/>
      <c r="L727" s="152"/>
      <c r="M727" s="152"/>
      <c r="N727" s="152"/>
      <c r="O727" s="152"/>
      <c r="P727" s="152"/>
      <c r="Q727" s="152"/>
      <c r="R727" s="152"/>
    </row>
    <row r="728">
      <c r="A728" s="152"/>
      <c r="B728" s="152"/>
      <c r="C728" s="152"/>
      <c r="D728" s="152"/>
      <c r="E728" s="152"/>
      <c r="F728" s="143"/>
      <c r="G728" s="152"/>
      <c r="H728" s="152"/>
      <c r="I728" s="152"/>
      <c r="J728" s="152"/>
      <c r="K728" s="152"/>
      <c r="L728" s="152"/>
      <c r="M728" s="152"/>
      <c r="N728" s="152"/>
      <c r="O728" s="152"/>
      <c r="P728" s="152"/>
      <c r="Q728" s="152"/>
      <c r="R728" s="152"/>
    </row>
    <row r="729">
      <c r="A729" s="152"/>
      <c r="B729" s="152"/>
      <c r="C729" s="152"/>
      <c r="D729" s="152"/>
      <c r="E729" s="152"/>
      <c r="F729" s="143"/>
      <c r="G729" s="152"/>
      <c r="H729" s="152"/>
      <c r="I729" s="152"/>
      <c r="J729" s="152"/>
      <c r="K729" s="152"/>
      <c r="L729" s="152"/>
      <c r="M729" s="152"/>
      <c r="N729" s="152"/>
      <c r="O729" s="152"/>
      <c r="P729" s="152"/>
      <c r="Q729" s="152"/>
      <c r="R729" s="152"/>
    </row>
    <row r="730">
      <c r="A730" s="152"/>
      <c r="B730" s="152"/>
      <c r="C730" s="152"/>
      <c r="D730" s="152"/>
      <c r="E730" s="152"/>
      <c r="F730" s="143"/>
      <c r="G730" s="152"/>
      <c r="H730" s="152"/>
      <c r="I730" s="152"/>
      <c r="J730" s="152"/>
      <c r="K730" s="152"/>
      <c r="L730" s="152"/>
      <c r="M730" s="152"/>
      <c r="N730" s="152"/>
      <c r="O730" s="152"/>
      <c r="P730" s="152"/>
      <c r="Q730" s="152"/>
      <c r="R730" s="152"/>
    </row>
    <row r="731">
      <c r="A731" s="152"/>
      <c r="B731" s="152"/>
      <c r="C731" s="152"/>
      <c r="D731" s="152"/>
      <c r="E731" s="152"/>
      <c r="F731" s="143"/>
      <c r="G731" s="152"/>
      <c r="H731" s="152"/>
      <c r="I731" s="152"/>
      <c r="J731" s="152"/>
      <c r="K731" s="152"/>
      <c r="L731" s="152"/>
      <c r="M731" s="152"/>
      <c r="N731" s="152"/>
      <c r="O731" s="152"/>
      <c r="P731" s="152"/>
      <c r="Q731" s="152"/>
      <c r="R731" s="152"/>
    </row>
    <row r="732">
      <c r="A732" s="152"/>
      <c r="B732" s="152"/>
      <c r="C732" s="152"/>
      <c r="D732" s="152"/>
      <c r="E732" s="152"/>
      <c r="F732" s="143"/>
      <c r="G732" s="152"/>
      <c r="H732" s="152"/>
      <c r="I732" s="152"/>
      <c r="J732" s="152"/>
      <c r="K732" s="152"/>
      <c r="L732" s="152"/>
      <c r="M732" s="152"/>
      <c r="N732" s="152"/>
      <c r="O732" s="152"/>
      <c r="P732" s="152"/>
      <c r="Q732" s="152"/>
      <c r="R732" s="152"/>
    </row>
    <row r="733">
      <c r="A733" s="152"/>
      <c r="B733" s="152"/>
      <c r="C733" s="152"/>
      <c r="D733" s="152"/>
      <c r="E733" s="152"/>
      <c r="F733" s="143"/>
      <c r="G733" s="152"/>
      <c r="H733" s="152"/>
      <c r="I733" s="152"/>
      <c r="J733" s="152"/>
      <c r="K733" s="152"/>
      <c r="L733" s="152"/>
      <c r="M733" s="152"/>
      <c r="N733" s="152"/>
      <c r="O733" s="152"/>
      <c r="P733" s="152"/>
      <c r="Q733" s="152"/>
      <c r="R733" s="152"/>
    </row>
    <row r="734">
      <c r="A734" s="152"/>
      <c r="B734" s="152"/>
      <c r="C734" s="152"/>
      <c r="D734" s="152"/>
      <c r="E734" s="152"/>
      <c r="F734" s="143"/>
      <c r="G734" s="152"/>
      <c r="H734" s="152"/>
      <c r="I734" s="152"/>
      <c r="J734" s="152"/>
      <c r="K734" s="152"/>
      <c r="L734" s="152"/>
      <c r="M734" s="152"/>
      <c r="N734" s="152"/>
      <c r="O734" s="152"/>
      <c r="P734" s="152"/>
      <c r="Q734" s="152"/>
      <c r="R734" s="152"/>
    </row>
    <row r="735">
      <c r="A735" s="152"/>
      <c r="B735" s="152"/>
      <c r="C735" s="152"/>
      <c r="D735" s="152"/>
      <c r="E735" s="152"/>
      <c r="F735" s="143"/>
      <c r="G735" s="152"/>
      <c r="H735" s="152"/>
      <c r="I735" s="152"/>
      <c r="J735" s="152"/>
      <c r="K735" s="152"/>
      <c r="L735" s="152"/>
      <c r="M735" s="152"/>
      <c r="N735" s="152"/>
      <c r="O735" s="152"/>
      <c r="P735" s="152"/>
      <c r="Q735" s="152"/>
      <c r="R735" s="152"/>
    </row>
    <row r="736">
      <c r="A736" s="152"/>
      <c r="B736" s="152"/>
      <c r="C736" s="152"/>
      <c r="D736" s="152"/>
      <c r="E736" s="152"/>
      <c r="F736" s="143"/>
      <c r="G736" s="152"/>
      <c r="H736" s="152"/>
      <c r="I736" s="152"/>
      <c r="J736" s="152"/>
      <c r="K736" s="152"/>
      <c r="L736" s="152"/>
      <c r="M736" s="152"/>
      <c r="N736" s="152"/>
      <c r="O736" s="152"/>
      <c r="P736" s="152"/>
      <c r="Q736" s="152"/>
      <c r="R736" s="152"/>
    </row>
    <row r="737">
      <c r="A737" s="152"/>
      <c r="B737" s="152"/>
      <c r="C737" s="152"/>
      <c r="D737" s="152"/>
      <c r="E737" s="152"/>
      <c r="F737" s="143"/>
      <c r="G737" s="152"/>
      <c r="H737" s="152"/>
      <c r="I737" s="152"/>
      <c r="J737" s="152"/>
      <c r="K737" s="152"/>
      <c r="L737" s="152"/>
      <c r="M737" s="152"/>
      <c r="N737" s="152"/>
      <c r="O737" s="152"/>
      <c r="P737" s="152"/>
      <c r="Q737" s="152"/>
      <c r="R737" s="152"/>
    </row>
    <row r="738">
      <c r="A738" s="152"/>
      <c r="B738" s="152"/>
      <c r="C738" s="152"/>
      <c r="D738" s="152"/>
      <c r="E738" s="152"/>
      <c r="F738" s="143"/>
      <c r="G738" s="152"/>
      <c r="H738" s="152"/>
      <c r="I738" s="152"/>
      <c r="J738" s="152"/>
      <c r="K738" s="152"/>
      <c r="L738" s="152"/>
      <c r="M738" s="152"/>
      <c r="N738" s="152"/>
      <c r="O738" s="152"/>
      <c r="P738" s="152"/>
      <c r="Q738" s="152"/>
      <c r="R738" s="152"/>
    </row>
    <row r="739">
      <c r="A739" s="152"/>
      <c r="B739" s="152"/>
      <c r="C739" s="152"/>
      <c r="D739" s="152"/>
      <c r="E739" s="152"/>
      <c r="F739" s="143"/>
      <c r="G739" s="152"/>
      <c r="H739" s="152"/>
      <c r="I739" s="152"/>
      <c r="J739" s="152"/>
      <c r="K739" s="152"/>
      <c r="L739" s="152"/>
      <c r="M739" s="152"/>
      <c r="N739" s="152"/>
      <c r="O739" s="152"/>
      <c r="P739" s="152"/>
      <c r="Q739" s="152"/>
      <c r="R739" s="152"/>
    </row>
    <row r="740">
      <c r="A740" s="152"/>
      <c r="B740" s="152"/>
      <c r="C740" s="152"/>
      <c r="D740" s="152"/>
      <c r="E740" s="152"/>
      <c r="F740" s="143"/>
      <c r="G740" s="152"/>
      <c r="H740" s="152"/>
      <c r="I740" s="152"/>
      <c r="J740" s="152"/>
      <c r="K740" s="152"/>
      <c r="L740" s="152"/>
      <c r="M740" s="152"/>
      <c r="N740" s="152"/>
      <c r="O740" s="152"/>
      <c r="P740" s="152"/>
      <c r="Q740" s="152"/>
      <c r="R740" s="152"/>
    </row>
    <row r="741">
      <c r="A741" s="152"/>
      <c r="B741" s="152"/>
      <c r="C741" s="152"/>
      <c r="D741" s="152"/>
      <c r="E741" s="152"/>
      <c r="F741" s="143"/>
      <c r="G741" s="152"/>
      <c r="H741" s="152"/>
      <c r="I741" s="152"/>
      <c r="J741" s="152"/>
      <c r="K741" s="152"/>
      <c r="L741" s="152"/>
      <c r="M741" s="152"/>
      <c r="N741" s="152"/>
      <c r="O741" s="152"/>
      <c r="P741" s="152"/>
      <c r="Q741" s="152"/>
      <c r="R741" s="152"/>
    </row>
    <row r="742">
      <c r="A742" s="152"/>
      <c r="B742" s="152"/>
      <c r="C742" s="152"/>
      <c r="D742" s="152"/>
      <c r="E742" s="152"/>
      <c r="F742" s="143"/>
      <c r="G742" s="152"/>
      <c r="H742" s="152"/>
      <c r="I742" s="152"/>
      <c r="J742" s="152"/>
      <c r="K742" s="152"/>
      <c r="L742" s="152"/>
      <c r="M742" s="152"/>
      <c r="N742" s="152"/>
      <c r="O742" s="152"/>
      <c r="P742" s="152"/>
      <c r="Q742" s="152"/>
      <c r="R742" s="152"/>
    </row>
    <row r="743">
      <c r="A743" s="152"/>
      <c r="B743" s="152"/>
      <c r="C743" s="152"/>
      <c r="D743" s="152"/>
      <c r="E743" s="152"/>
      <c r="F743" s="143"/>
      <c r="G743" s="152"/>
      <c r="H743" s="152"/>
      <c r="I743" s="152"/>
      <c r="J743" s="152"/>
      <c r="K743" s="152"/>
      <c r="L743" s="152"/>
      <c r="M743" s="152"/>
      <c r="N743" s="152"/>
      <c r="O743" s="152"/>
      <c r="P743" s="152"/>
      <c r="Q743" s="152"/>
      <c r="R743" s="152"/>
    </row>
    <row r="744">
      <c r="A744" s="152"/>
      <c r="B744" s="152"/>
      <c r="C744" s="152"/>
      <c r="D744" s="152"/>
      <c r="E744" s="152"/>
      <c r="F744" s="143"/>
      <c r="G744" s="152"/>
      <c r="H744" s="152"/>
      <c r="I744" s="152"/>
      <c r="J744" s="152"/>
      <c r="K744" s="152"/>
      <c r="L744" s="152"/>
      <c r="M744" s="152"/>
      <c r="N744" s="152"/>
      <c r="O744" s="152"/>
      <c r="P744" s="152"/>
      <c r="Q744" s="152"/>
      <c r="R744" s="152"/>
    </row>
    <row r="745">
      <c r="A745" s="152"/>
      <c r="B745" s="152"/>
      <c r="C745" s="152"/>
      <c r="D745" s="152"/>
      <c r="E745" s="152"/>
      <c r="F745" s="143"/>
      <c r="G745" s="152"/>
      <c r="H745" s="152"/>
      <c r="I745" s="152"/>
      <c r="J745" s="152"/>
      <c r="K745" s="152"/>
      <c r="L745" s="152"/>
      <c r="M745" s="152"/>
      <c r="N745" s="152"/>
      <c r="O745" s="152"/>
      <c r="P745" s="152"/>
      <c r="Q745" s="152"/>
      <c r="R745" s="152"/>
    </row>
    <row r="746">
      <c r="A746" s="152"/>
      <c r="B746" s="152"/>
      <c r="C746" s="152"/>
      <c r="D746" s="152"/>
      <c r="E746" s="152"/>
      <c r="F746" s="143"/>
      <c r="G746" s="152"/>
      <c r="H746" s="152"/>
      <c r="I746" s="152"/>
      <c r="J746" s="152"/>
      <c r="K746" s="152"/>
      <c r="L746" s="152"/>
      <c r="M746" s="152"/>
      <c r="N746" s="152"/>
      <c r="O746" s="152"/>
      <c r="P746" s="152"/>
      <c r="Q746" s="152"/>
      <c r="R746" s="152"/>
    </row>
    <row r="747">
      <c r="A747" s="152"/>
      <c r="B747" s="152"/>
      <c r="C747" s="152"/>
      <c r="D747" s="152"/>
      <c r="E747" s="152"/>
      <c r="F747" s="143"/>
      <c r="G747" s="152"/>
      <c r="H747" s="152"/>
      <c r="I747" s="152"/>
      <c r="J747" s="152"/>
      <c r="K747" s="152"/>
      <c r="L747" s="152"/>
      <c r="M747" s="152"/>
      <c r="N747" s="152"/>
      <c r="O747" s="152"/>
      <c r="P747" s="152"/>
      <c r="Q747" s="152"/>
      <c r="R747" s="152"/>
    </row>
    <row r="748">
      <c r="A748" s="152"/>
      <c r="B748" s="152"/>
      <c r="C748" s="152"/>
      <c r="D748" s="152"/>
      <c r="E748" s="152"/>
      <c r="F748" s="143"/>
      <c r="G748" s="152"/>
      <c r="H748" s="152"/>
      <c r="I748" s="152"/>
      <c r="J748" s="152"/>
      <c r="K748" s="152"/>
      <c r="L748" s="152"/>
      <c r="M748" s="152"/>
      <c r="N748" s="152"/>
      <c r="O748" s="152"/>
      <c r="P748" s="152"/>
      <c r="Q748" s="152"/>
      <c r="R748" s="152"/>
    </row>
    <row r="749">
      <c r="A749" s="152"/>
      <c r="B749" s="152"/>
      <c r="C749" s="152"/>
      <c r="D749" s="152"/>
      <c r="E749" s="152"/>
      <c r="F749" s="143"/>
      <c r="G749" s="152"/>
      <c r="H749" s="152"/>
      <c r="I749" s="152"/>
      <c r="J749" s="152"/>
      <c r="K749" s="152"/>
      <c r="L749" s="152"/>
      <c r="M749" s="152"/>
      <c r="N749" s="152"/>
      <c r="O749" s="152"/>
      <c r="P749" s="152"/>
      <c r="Q749" s="152"/>
      <c r="R749" s="152"/>
    </row>
    <row r="750">
      <c r="A750" s="152"/>
      <c r="B750" s="152"/>
      <c r="C750" s="152"/>
      <c r="D750" s="152"/>
      <c r="E750" s="152"/>
      <c r="F750" s="143"/>
      <c r="G750" s="152"/>
      <c r="H750" s="152"/>
      <c r="I750" s="152"/>
      <c r="J750" s="152"/>
      <c r="K750" s="152"/>
      <c r="L750" s="152"/>
      <c r="M750" s="152"/>
      <c r="N750" s="152"/>
      <c r="O750" s="152"/>
      <c r="P750" s="152"/>
      <c r="Q750" s="152"/>
      <c r="R750" s="152"/>
    </row>
    <row r="751">
      <c r="A751" s="152"/>
      <c r="B751" s="152"/>
      <c r="C751" s="152"/>
      <c r="D751" s="152"/>
      <c r="E751" s="152"/>
      <c r="F751" s="143"/>
      <c r="G751" s="152"/>
      <c r="H751" s="152"/>
      <c r="I751" s="152"/>
      <c r="J751" s="152"/>
      <c r="K751" s="152"/>
      <c r="L751" s="152"/>
      <c r="M751" s="152"/>
      <c r="N751" s="152"/>
      <c r="O751" s="152"/>
      <c r="P751" s="152"/>
      <c r="Q751" s="152"/>
      <c r="R751" s="152"/>
    </row>
    <row r="752">
      <c r="A752" s="152"/>
      <c r="B752" s="152"/>
      <c r="C752" s="152"/>
      <c r="D752" s="152"/>
      <c r="E752" s="152"/>
      <c r="F752" s="143"/>
      <c r="G752" s="152"/>
      <c r="H752" s="152"/>
      <c r="I752" s="152"/>
      <c r="J752" s="152"/>
      <c r="K752" s="152"/>
      <c r="L752" s="152"/>
      <c r="M752" s="152"/>
      <c r="N752" s="152"/>
      <c r="O752" s="152"/>
      <c r="P752" s="152"/>
      <c r="Q752" s="152"/>
      <c r="R752" s="152"/>
    </row>
    <row r="753">
      <c r="A753" s="152"/>
      <c r="B753" s="152"/>
      <c r="C753" s="152"/>
      <c r="D753" s="152"/>
      <c r="E753" s="152"/>
      <c r="F753" s="143"/>
      <c r="G753" s="152"/>
      <c r="H753" s="152"/>
      <c r="I753" s="152"/>
      <c r="J753" s="152"/>
      <c r="K753" s="152"/>
      <c r="L753" s="152"/>
      <c r="M753" s="152"/>
      <c r="N753" s="152"/>
      <c r="O753" s="152"/>
      <c r="P753" s="152"/>
      <c r="Q753" s="152"/>
      <c r="R753" s="152"/>
    </row>
    <row r="754">
      <c r="A754" s="152"/>
      <c r="B754" s="152"/>
      <c r="C754" s="152"/>
      <c r="D754" s="152"/>
      <c r="E754" s="152"/>
      <c r="F754" s="143"/>
      <c r="G754" s="152"/>
      <c r="H754" s="152"/>
      <c r="I754" s="152"/>
      <c r="J754" s="152"/>
      <c r="K754" s="152"/>
      <c r="L754" s="152"/>
      <c r="M754" s="152"/>
      <c r="N754" s="152"/>
      <c r="O754" s="152"/>
      <c r="P754" s="152"/>
      <c r="Q754" s="152"/>
      <c r="R754" s="152"/>
    </row>
    <row r="755">
      <c r="A755" s="152"/>
      <c r="B755" s="152"/>
      <c r="C755" s="152"/>
      <c r="D755" s="152"/>
      <c r="E755" s="152"/>
      <c r="F755" s="143"/>
      <c r="G755" s="152"/>
      <c r="H755" s="152"/>
      <c r="I755" s="152"/>
      <c r="J755" s="152"/>
      <c r="K755" s="152"/>
      <c r="L755" s="152"/>
      <c r="M755" s="152"/>
      <c r="N755" s="152"/>
      <c r="O755" s="152"/>
      <c r="P755" s="152"/>
      <c r="Q755" s="152"/>
      <c r="R755" s="152"/>
    </row>
    <row r="756">
      <c r="A756" s="152"/>
      <c r="B756" s="152"/>
      <c r="C756" s="152"/>
      <c r="D756" s="152"/>
      <c r="E756" s="152"/>
      <c r="F756" s="143"/>
      <c r="G756" s="152"/>
      <c r="H756" s="152"/>
      <c r="I756" s="152"/>
      <c r="J756" s="152"/>
      <c r="K756" s="152"/>
      <c r="L756" s="152"/>
      <c r="M756" s="152"/>
      <c r="N756" s="152"/>
      <c r="O756" s="152"/>
      <c r="P756" s="152"/>
      <c r="Q756" s="152"/>
      <c r="R756" s="152"/>
    </row>
    <row r="757">
      <c r="A757" s="152"/>
      <c r="B757" s="152"/>
      <c r="C757" s="152"/>
      <c r="D757" s="152"/>
      <c r="E757" s="152"/>
      <c r="F757" s="143"/>
      <c r="G757" s="152"/>
      <c r="H757" s="152"/>
      <c r="I757" s="152"/>
      <c r="J757" s="152"/>
      <c r="K757" s="152"/>
      <c r="L757" s="152"/>
      <c r="M757" s="152"/>
      <c r="N757" s="152"/>
      <c r="O757" s="152"/>
      <c r="P757" s="152"/>
      <c r="Q757" s="152"/>
      <c r="R757" s="152"/>
    </row>
    <row r="758">
      <c r="A758" s="152"/>
      <c r="B758" s="152"/>
      <c r="C758" s="152"/>
      <c r="D758" s="152"/>
      <c r="E758" s="152"/>
      <c r="F758" s="143"/>
      <c r="G758" s="152"/>
      <c r="H758" s="152"/>
      <c r="I758" s="152"/>
      <c r="J758" s="152"/>
      <c r="K758" s="152"/>
      <c r="L758" s="152"/>
      <c r="M758" s="152"/>
      <c r="N758" s="152"/>
      <c r="O758" s="152"/>
      <c r="P758" s="152"/>
      <c r="Q758" s="152"/>
      <c r="R758" s="152"/>
    </row>
    <row r="759">
      <c r="A759" s="152"/>
      <c r="B759" s="152"/>
      <c r="C759" s="152"/>
      <c r="D759" s="152"/>
      <c r="E759" s="152"/>
      <c r="F759" s="143"/>
      <c r="G759" s="152"/>
      <c r="H759" s="152"/>
      <c r="I759" s="152"/>
      <c r="J759" s="152"/>
      <c r="K759" s="152"/>
      <c r="L759" s="152"/>
      <c r="M759" s="152"/>
      <c r="N759" s="152"/>
      <c r="O759" s="152"/>
      <c r="P759" s="152"/>
      <c r="Q759" s="152"/>
      <c r="R759" s="152"/>
    </row>
    <row r="760">
      <c r="A760" s="152"/>
      <c r="B760" s="152"/>
      <c r="C760" s="152"/>
      <c r="D760" s="152"/>
      <c r="E760" s="152"/>
      <c r="F760" s="143"/>
      <c r="G760" s="152"/>
      <c r="H760" s="152"/>
      <c r="I760" s="152"/>
      <c r="J760" s="152"/>
      <c r="K760" s="152"/>
      <c r="L760" s="152"/>
      <c r="M760" s="152"/>
      <c r="N760" s="152"/>
      <c r="O760" s="152"/>
      <c r="P760" s="152"/>
      <c r="Q760" s="152"/>
      <c r="R760" s="152"/>
    </row>
    <row r="761">
      <c r="A761" s="152"/>
      <c r="B761" s="152"/>
      <c r="C761" s="152"/>
      <c r="D761" s="152"/>
      <c r="E761" s="152"/>
      <c r="F761" s="143"/>
      <c r="G761" s="152"/>
      <c r="H761" s="152"/>
      <c r="I761" s="152"/>
      <c r="J761" s="152"/>
      <c r="K761" s="152"/>
      <c r="L761" s="152"/>
      <c r="M761" s="152"/>
      <c r="N761" s="152"/>
      <c r="O761" s="152"/>
      <c r="P761" s="152"/>
      <c r="Q761" s="152"/>
      <c r="R761" s="152"/>
    </row>
    <row r="762">
      <c r="A762" s="152"/>
      <c r="B762" s="152"/>
      <c r="C762" s="152"/>
      <c r="D762" s="152"/>
      <c r="E762" s="152"/>
      <c r="F762" s="143"/>
      <c r="G762" s="152"/>
      <c r="H762" s="152"/>
      <c r="I762" s="152"/>
      <c r="J762" s="152"/>
      <c r="K762" s="152"/>
      <c r="L762" s="152"/>
      <c r="M762" s="152"/>
      <c r="N762" s="152"/>
      <c r="O762" s="152"/>
      <c r="P762" s="152"/>
      <c r="Q762" s="152"/>
      <c r="R762" s="152"/>
    </row>
    <row r="763">
      <c r="A763" s="152"/>
      <c r="B763" s="152"/>
      <c r="C763" s="152"/>
      <c r="D763" s="152"/>
      <c r="E763" s="152"/>
      <c r="F763" s="143"/>
      <c r="G763" s="152"/>
      <c r="H763" s="152"/>
      <c r="I763" s="152"/>
      <c r="J763" s="152"/>
      <c r="K763" s="152"/>
      <c r="L763" s="152"/>
      <c r="M763" s="152"/>
      <c r="N763" s="152"/>
      <c r="O763" s="152"/>
      <c r="P763" s="152"/>
      <c r="Q763" s="152"/>
      <c r="R763" s="152"/>
    </row>
    <row r="764">
      <c r="A764" s="152"/>
      <c r="B764" s="152"/>
      <c r="C764" s="152"/>
      <c r="D764" s="152"/>
      <c r="E764" s="152"/>
      <c r="F764" s="143"/>
      <c r="G764" s="152"/>
      <c r="H764" s="152"/>
      <c r="I764" s="152"/>
      <c r="J764" s="152"/>
      <c r="K764" s="152"/>
      <c r="L764" s="152"/>
      <c r="M764" s="152"/>
      <c r="N764" s="152"/>
      <c r="O764" s="152"/>
      <c r="P764" s="152"/>
      <c r="Q764" s="152"/>
      <c r="R764" s="152"/>
    </row>
    <row r="765">
      <c r="A765" s="152"/>
      <c r="B765" s="152"/>
      <c r="C765" s="152"/>
      <c r="D765" s="152"/>
      <c r="E765" s="152"/>
      <c r="F765" s="143"/>
      <c r="G765" s="152"/>
      <c r="H765" s="152"/>
      <c r="I765" s="152"/>
      <c r="J765" s="152"/>
      <c r="K765" s="152"/>
      <c r="L765" s="152"/>
      <c r="M765" s="152"/>
      <c r="N765" s="152"/>
      <c r="O765" s="152"/>
      <c r="P765" s="152"/>
      <c r="Q765" s="152"/>
      <c r="R765" s="152"/>
    </row>
    <row r="766">
      <c r="A766" s="152"/>
      <c r="B766" s="152"/>
      <c r="C766" s="152"/>
      <c r="D766" s="152"/>
      <c r="E766" s="152"/>
      <c r="F766" s="143"/>
      <c r="G766" s="152"/>
      <c r="H766" s="152"/>
      <c r="I766" s="152"/>
      <c r="J766" s="152"/>
      <c r="K766" s="152"/>
      <c r="L766" s="152"/>
      <c r="M766" s="152"/>
      <c r="N766" s="152"/>
      <c r="O766" s="152"/>
      <c r="P766" s="152"/>
      <c r="Q766" s="152"/>
      <c r="R766" s="152"/>
    </row>
    <row r="767">
      <c r="A767" s="152"/>
      <c r="B767" s="152"/>
      <c r="C767" s="152"/>
      <c r="D767" s="152"/>
      <c r="E767" s="152"/>
      <c r="F767" s="143"/>
      <c r="G767" s="152"/>
      <c r="H767" s="152"/>
      <c r="I767" s="152"/>
      <c r="J767" s="152"/>
      <c r="K767" s="152"/>
      <c r="L767" s="152"/>
      <c r="M767" s="152"/>
      <c r="N767" s="152"/>
      <c r="O767" s="152"/>
      <c r="P767" s="152"/>
      <c r="Q767" s="152"/>
      <c r="R767" s="152"/>
    </row>
    <row r="768">
      <c r="A768" s="152"/>
      <c r="B768" s="152"/>
      <c r="C768" s="152"/>
      <c r="D768" s="152"/>
      <c r="E768" s="152"/>
      <c r="F768" s="143"/>
      <c r="G768" s="152"/>
      <c r="H768" s="152"/>
      <c r="I768" s="152"/>
      <c r="J768" s="152"/>
      <c r="K768" s="152"/>
      <c r="L768" s="152"/>
      <c r="M768" s="152"/>
      <c r="N768" s="152"/>
      <c r="O768" s="152"/>
      <c r="P768" s="152"/>
      <c r="Q768" s="152"/>
      <c r="R768" s="152"/>
    </row>
    <row r="769">
      <c r="A769" s="152"/>
      <c r="B769" s="152"/>
      <c r="C769" s="152"/>
      <c r="D769" s="152"/>
      <c r="E769" s="152"/>
      <c r="F769" s="143"/>
      <c r="G769" s="152"/>
      <c r="H769" s="152"/>
      <c r="I769" s="152"/>
      <c r="J769" s="152"/>
      <c r="K769" s="152"/>
      <c r="L769" s="152"/>
      <c r="M769" s="152"/>
      <c r="N769" s="152"/>
      <c r="O769" s="152"/>
      <c r="P769" s="152"/>
      <c r="Q769" s="152"/>
      <c r="R769" s="152"/>
    </row>
    <row r="770">
      <c r="A770" s="152"/>
      <c r="B770" s="152"/>
      <c r="C770" s="152"/>
      <c r="D770" s="152"/>
      <c r="E770" s="152"/>
      <c r="F770" s="143"/>
      <c r="G770" s="152"/>
      <c r="H770" s="152"/>
      <c r="I770" s="152"/>
      <c r="J770" s="152"/>
      <c r="K770" s="152"/>
      <c r="L770" s="152"/>
      <c r="M770" s="152"/>
      <c r="N770" s="152"/>
      <c r="O770" s="152"/>
      <c r="P770" s="152"/>
      <c r="Q770" s="152"/>
      <c r="R770" s="152"/>
    </row>
    <row r="771">
      <c r="A771" s="152"/>
      <c r="B771" s="152"/>
      <c r="C771" s="152"/>
      <c r="D771" s="152"/>
      <c r="E771" s="152"/>
      <c r="F771" s="143"/>
      <c r="G771" s="152"/>
      <c r="H771" s="152"/>
      <c r="I771" s="152"/>
      <c r="J771" s="152"/>
      <c r="K771" s="152"/>
      <c r="L771" s="152"/>
      <c r="M771" s="152"/>
      <c r="N771" s="152"/>
      <c r="O771" s="152"/>
      <c r="P771" s="152"/>
      <c r="Q771" s="152"/>
      <c r="R771" s="152"/>
    </row>
    <row r="772">
      <c r="A772" s="152"/>
      <c r="B772" s="152"/>
      <c r="C772" s="152"/>
      <c r="D772" s="152"/>
      <c r="E772" s="152"/>
      <c r="F772" s="143"/>
      <c r="G772" s="152"/>
      <c r="H772" s="152"/>
      <c r="I772" s="152"/>
      <c r="J772" s="152"/>
      <c r="K772" s="152"/>
      <c r="L772" s="152"/>
      <c r="M772" s="152"/>
      <c r="N772" s="152"/>
      <c r="O772" s="152"/>
      <c r="P772" s="152"/>
      <c r="Q772" s="152"/>
      <c r="R772" s="152"/>
    </row>
    <row r="773">
      <c r="A773" s="152"/>
      <c r="B773" s="152"/>
      <c r="C773" s="152"/>
      <c r="D773" s="152"/>
      <c r="E773" s="152"/>
      <c r="F773" s="143"/>
      <c r="G773" s="152"/>
      <c r="H773" s="152"/>
      <c r="I773" s="152"/>
      <c r="J773" s="152"/>
      <c r="K773" s="152"/>
      <c r="L773" s="152"/>
      <c r="M773" s="152"/>
      <c r="N773" s="152"/>
      <c r="O773" s="152"/>
      <c r="P773" s="152"/>
      <c r="Q773" s="152"/>
      <c r="R773" s="152"/>
    </row>
    <row r="774">
      <c r="A774" s="152"/>
      <c r="B774" s="152"/>
      <c r="C774" s="152"/>
      <c r="D774" s="152"/>
      <c r="E774" s="152"/>
      <c r="F774" s="143"/>
      <c r="G774" s="152"/>
      <c r="H774" s="152"/>
      <c r="I774" s="152"/>
      <c r="J774" s="152"/>
      <c r="K774" s="152"/>
      <c r="L774" s="152"/>
      <c r="M774" s="152"/>
      <c r="N774" s="152"/>
      <c r="O774" s="152"/>
      <c r="P774" s="152"/>
      <c r="Q774" s="152"/>
      <c r="R774" s="152"/>
    </row>
    <row r="775">
      <c r="A775" s="152"/>
      <c r="B775" s="152"/>
      <c r="C775" s="152"/>
      <c r="D775" s="152"/>
      <c r="E775" s="152"/>
      <c r="F775" s="143"/>
      <c r="G775" s="152"/>
      <c r="H775" s="152"/>
      <c r="I775" s="152"/>
      <c r="J775" s="152"/>
      <c r="K775" s="152"/>
      <c r="L775" s="152"/>
      <c r="M775" s="152"/>
      <c r="N775" s="152"/>
      <c r="O775" s="152"/>
      <c r="P775" s="152"/>
      <c r="Q775" s="152"/>
      <c r="R775" s="152"/>
    </row>
    <row r="776">
      <c r="A776" s="152"/>
      <c r="B776" s="152"/>
      <c r="C776" s="152"/>
      <c r="D776" s="152"/>
      <c r="E776" s="152"/>
      <c r="F776" s="143"/>
      <c r="G776" s="152"/>
      <c r="H776" s="152"/>
      <c r="I776" s="152"/>
      <c r="J776" s="152"/>
      <c r="K776" s="152"/>
      <c r="L776" s="152"/>
      <c r="M776" s="152"/>
      <c r="N776" s="152"/>
      <c r="O776" s="152"/>
      <c r="P776" s="152"/>
      <c r="Q776" s="152"/>
      <c r="R776" s="152"/>
    </row>
    <row r="777">
      <c r="A777" s="152"/>
      <c r="B777" s="152"/>
      <c r="C777" s="152"/>
      <c r="D777" s="152"/>
      <c r="E777" s="152"/>
      <c r="F777" s="143"/>
      <c r="G777" s="152"/>
      <c r="H777" s="152"/>
      <c r="I777" s="152"/>
      <c r="J777" s="152"/>
      <c r="K777" s="152"/>
      <c r="L777" s="152"/>
      <c r="M777" s="152"/>
      <c r="N777" s="152"/>
      <c r="O777" s="152"/>
      <c r="P777" s="152"/>
      <c r="Q777" s="152"/>
      <c r="R777" s="152"/>
    </row>
    <row r="778">
      <c r="A778" s="152"/>
      <c r="B778" s="152"/>
      <c r="C778" s="152"/>
      <c r="D778" s="152"/>
      <c r="E778" s="152"/>
      <c r="F778" s="143"/>
      <c r="G778" s="152"/>
      <c r="H778" s="152"/>
      <c r="I778" s="152"/>
      <c r="J778" s="152"/>
      <c r="K778" s="152"/>
      <c r="L778" s="152"/>
      <c r="M778" s="152"/>
      <c r="N778" s="152"/>
      <c r="O778" s="152"/>
      <c r="P778" s="152"/>
      <c r="Q778" s="152"/>
      <c r="R778" s="152"/>
    </row>
    <row r="779">
      <c r="A779" s="152"/>
      <c r="B779" s="152"/>
      <c r="C779" s="152"/>
      <c r="D779" s="152"/>
      <c r="E779" s="152"/>
      <c r="F779" s="143"/>
      <c r="G779" s="152"/>
      <c r="H779" s="152"/>
      <c r="I779" s="152"/>
      <c r="J779" s="152"/>
      <c r="K779" s="152"/>
      <c r="L779" s="152"/>
      <c r="M779" s="152"/>
      <c r="N779" s="152"/>
      <c r="O779" s="152"/>
      <c r="P779" s="152"/>
      <c r="Q779" s="152"/>
      <c r="R779" s="152"/>
    </row>
    <row r="780">
      <c r="A780" s="152"/>
      <c r="B780" s="152"/>
      <c r="C780" s="152"/>
      <c r="D780" s="152"/>
      <c r="E780" s="152"/>
      <c r="F780" s="143"/>
      <c r="G780" s="152"/>
      <c r="H780" s="152"/>
      <c r="I780" s="152"/>
      <c r="J780" s="152"/>
      <c r="K780" s="152"/>
      <c r="L780" s="152"/>
      <c r="M780" s="152"/>
      <c r="N780" s="152"/>
      <c r="O780" s="152"/>
      <c r="P780" s="152"/>
      <c r="Q780" s="152"/>
      <c r="R780" s="152"/>
    </row>
    <row r="781">
      <c r="A781" s="152"/>
      <c r="B781" s="152"/>
      <c r="C781" s="152"/>
      <c r="D781" s="152"/>
      <c r="E781" s="152"/>
      <c r="F781" s="143"/>
      <c r="G781" s="152"/>
      <c r="H781" s="152"/>
      <c r="I781" s="152"/>
      <c r="J781" s="152"/>
      <c r="K781" s="152"/>
      <c r="L781" s="152"/>
      <c r="M781" s="152"/>
      <c r="N781" s="152"/>
      <c r="O781" s="152"/>
      <c r="P781" s="152"/>
      <c r="Q781" s="152"/>
      <c r="R781" s="152"/>
    </row>
    <row r="782">
      <c r="A782" s="152"/>
      <c r="B782" s="152"/>
      <c r="C782" s="152"/>
      <c r="D782" s="152"/>
      <c r="E782" s="152"/>
      <c r="F782" s="143"/>
      <c r="G782" s="152"/>
      <c r="H782" s="152"/>
      <c r="I782" s="152"/>
      <c r="J782" s="152"/>
      <c r="K782" s="152"/>
      <c r="L782" s="152"/>
      <c r="M782" s="152"/>
      <c r="N782" s="152"/>
      <c r="O782" s="152"/>
      <c r="P782" s="152"/>
      <c r="Q782" s="152"/>
      <c r="R782" s="152"/>
    </row>
    <row r="783">
      <c r="A783" s="152"/>
      <c r="B783" s="152"/>
      <c r="C783" s="152"/>
      <c r="D783" s="152"/>
      <c r="E783" s="152"/>
      <c r="F783" s="143"/>
      <c r="G783" s="152"/>
      <c r="H783" s="152"/>
      <c r="I783" s="152"/>
      <c r="J783" s="152"/>
      <c r="K783" s="152"/>
      <c r="L783" s="152"/>
      <c r="M783" s="152"/>
      <c r="N783" s="152"/>
      <c r="O783" s="152"/>
      <c r="P783" s="152"/>
      <c r="Q783" s="152"/>
      <c r="R783" s="152"/>
    </row>
    <row r="784">
      <c r="A784" s="152"/>
      <c r="B784" s="152"/>
      <c r="C784" s="152"/>
      <c r="D784" s="152"/>
      <c r="E784" s="152"/>
      <c r="F784" s="143"/>
      <c r="G784" s="152"/>
      <c r="H784" s="152"/>
      <c r="I784" s="152"/>
      <c r="J784" s="152"/>
      <c r="K784" s="152"/>
      <c r="L784" s="152"/>
      <c r="M784" s="152"/>
      <c r="N784" s="152"/>
      <c r="O784" s="152"/>
      <c r="P784" s="152"/>
      <c r="Q784" s="152"/>
      <c r="R784" s="152"/>
    </row>
    <row r="785">
      <c r="A785" s="152"/>
      <c r="B785" s="152"/>
      <c r="C785" s="152"/>
      <c r="D785" s="152"/>
      <c r="E785" s="152"/>
      <c r="F785" s="143"/>
      <c r="G785" s="152"/>
      <c r="H785" s="152"/>
      <c r="I785" s="152"/>
      <c r="J785" s="152"/>
      <c r="K785" s="152"/>
      <c r="L785" s="152"/>
      <c r="M785" s="152"/>
      <c r="N785" s="152"/>
      <c r="O785" s="152"/>
      <c r="P785" s="152"/>
      <c r="Q785" s="152"/>
      <c r="R785" s="152"/>
    </row>
    <row r="786">
      <c r="A786" s="152"/>
      <c r="B786" s="152"/>
      <c r="C786" s="152"/>
      <c r="D786" s="152"/>
      <c r="E786" s="152"/>
      <c r="F786" s="143"/>
      <c r="G786" s="152"/>
      <c r="H786" s="152"/>
      <c r="I786" s="152"/>
      <c r="J786" s="152"/>
      <c r="K786" s="152"/>
      <c r="L786" s="152"/>
      <c r="M786" s="152"/>
      <c r="N786" s="152"/>
      <c r="O786" s="152"/>
      <c r="P786" s="152"/>
      <c r="Q786" s="152"/>
      <c r="R786" s="152"/>
    </row>
    <row r="787">
      <c r="A787" s="152"/>
      <c r="B787" s="152"/>
      <c r="C787" s="152"/>
      <c r="D787" s="152"/>
      <c r="E787" s="152"/>
      <c r="F787" s="143"/>
      <c r="G787" s="152"/>
      <c r="H787" s="152"/>
      <c r="I787" s="152"/>
      <c r="J787" s="152"/>
      <c r="K787" s="152"/>
      <c r="L787" s="152"/>
      <c r="M787" s="152"/>
      <c r="N787" s="152"/>
      <c r="O787" s="152"/>
      <c r="P787" s="152"/>
      <c r="Q787" s="152"/>
      <c r="R787" s="152"/>
    </row>
    <row r="788">
      <c r="A788" s="152"/>
      <c r="B788" s="152"/>
      <c r="C788" s="152"/>
      <c r="D788" s="152"/>
      <c r="E788" s="152"/>
      <c r="F788" s="143"/>
      <c r="G788" s="152"/>
      <c r="H788" s="152"/>
      <c r="I788" s="152"/>
      <c r="J788" s="152"/>
      <c r="K788" s="152"/>
      <c r="L788" s="152"/>
      <c r="M788" s="152"/>
      <c r="N788" s="152"/>
      <c r="O788" s="152"/>
      <c r="P788" s="152"/>
      <c r="Q788" s="152"/>
      <c r="R788" s="152"/>
    </row>
    <row r="789">
      <c r="A789" s="152"/>
      <c r="B789" s="152"/>
      <c r="C789" s="152"/>
      <c r="D789" s="152"/>
      <c r="E789" s="152"/>
      <c r="F789" s="143"/>
      <c r="G789" s="152"/>
      <c r="H789" s="152"/>
      <c r="I789" s="152"/>
      <c r="J789" s="152"/>
      <c r="K789" s="152"/>
      <c r="L789" s="152"/>
      <c r="M789" s="152"/>
      <c r="N789" s="152"/>
      <c r="O789" s="152"/>
      <c r="P789" s="152"/>
      <c r="Q789" s="152"/>
      <c r="R789" s="152"/>
    </row>
    <row r="790">
      <c r="A790" s="152"/>
      <c r="B790" s="152"/>
      <c r="C790" s="152"/>
      <c r="D790" s="152"/>
      <c r="E790" s="152"/>
      <c r="F790" s="143"/>
      <c r="G790" s="152"/>
      <c r="H790" s="152"/>
      <c r="I790" s="152"/>
      <c r="J790" s="152"/>
      <c r="K790" s="152"/>
      <c r="L790" s="152"/>
      <c r="M790" s="152"/>
      <c r="N790" s="152"/>
      <c r="O790" s="152"/>
      <c r="P790" s="152"/>
      <c r="Q790" s="152"/>
      <c r="R790" s="152"/>
    </row>
    <row r="791">
      <c r="A791" s="152"/>
      <c r="B791" s="152"/>
      <c r="C791" s="152"/>
      <c r="D791" s="152"/>
      <c r="E791" s="152"/>
      <c r="F791" s="143"/>
      <c r="G791" s="152"/>
      <c r="H791" s="152"/>
      <c r="I791" s="152"/>
      <c r="J791" s="152"/>
      <c r="K791" s="152"/>
      <c r="L791" s="152"/>
      <c r="M791" s="152"/>
      <c r="N791" s="152"/>
      <c r="O791" s="152"/>
      <c r="P791" s="152"/>
      <c r="Q791" s="152"/>
      <c r="R791" s="152"/>
    </row>
    <row r="792">
      <c r="A792" s="152"/>
      <c r="B792" s="152"/>
      <c r="C792" s="152"/>
      <c r="D792" s="152"/>
      <c r="E792" s="152"/>
      <c r="F792" s="143"/>
      <c r="G792" s="152"/>
      <c r="H792" s="152"/>
      <c r="I792" s="152"/>
      <c r="J792" s="152"/>
      <c r="K792" s="152"/>
      <c r="L792" s="152"/>
      <c r="M792" s="152"/>
      <c r="N792" s="152"/>
      <c r="O792" s="152"/>
      <c r="P792" s="152"/>
      <c r="Q792" s="152"/>
      <c r="R792" s="152"/>
    </row>
    <row r="793">
      <c r="A793" s="152"/>
      <c r="B793" s="152"/>
      <c r="C793" s="152"/>
      <c r="D793" s="152"/>
      <c r="E793" s="152"/>
      <c r="F793" s="143"/>
      <c r="G793" s="152"/>
      <c r="H793" s="152"/>
      <c r="I793" s="152"/>
      <c r="J793" s="152"/>
      <c r="K793" s="152"/>
      <c r="L793" s="152"/>
      <c r="M793" s="152"/>
      <c r="N793" s="152"/>
      <c r="O793" s="152"/>
      <c r="P793" s="152"/>
      <c r="Q793" s="152"/>
      <c r="R793" s="152"/>
    </row>
    <row r="794">
      <c r="A794" s="152"/>
      <c r="B794" s="152"/>
      <c r="C794" s="152"/>
      <c r="D794" s="152"/>
      <c r="E794" s="152"/>
      <c r="F794" s="143"/>
      <c r="G794" s="152"/>
      <c r="H794" s="152"/>
      <c r="I794" s="152"/>
      <c r="J794" s="152"/>
      <c r="K794" s="152"/>
      <c r="L794" s="152"/>
      <c r="M794" s="152"/>
      <c r="N794" s="152"/>
      <c r="O794" s="152"/>
      <c r="P794" s="152"/>
      <c r="Q794" s="152"/>
      <c r="R794" s="152"/>
    </row>
    <row r="795">
      <c r="A795" s="152"/>
      <c r="B795" s="152"/>
      <c r="C795" s="152"/>
      <c r="D795" s="152"/>
      <c r="E795" s="152"/>
      <c r="F795" s="143"/>
      <c r="G795" s="152"/>
      <c r="H795" s="152"/>
      <c r="I795" s="152"/>
      <c r="J795" s="152"/>
      <c r="K795" s="152"/>
      <c r="L795" s="152"/>
      <c r="M795" s="152"/>
      <c r="N795" s="152"/>
      <c r="O795" s="152"/>
      <c r="P795" s="152"/>
      <c r="Q795" s="152"/>
      <c r="R795" s="152"/>
    </row>
    <row r="796">
      <c r="A796" s="152"/>
      <c r="B796" s="152"/>
      <c r="C796" s="152"/>
      <c r="D796" s="152"/>
      <c r="E796" s="152"/>
      <c r="F796" s="143"/>
      <c r="G796" s="152"/>
      <c r="H796" s="152"/>
      <c r="I796" s="152"/>
      <c r="J796" s="152"/>
      <c r="K796" s="152"/>
      <c r="L796" s="152"/>
      <c r="M796" s="152"/>
      <c r="N796" s="152"/>
      <c r="O796" s="152"/>
      <c r="P796" s="152"/>
      <c r="Q796" s="152"/>
      <c r="R796" s="152"/>
    </row>
    <row r="797">
      <c r="A797" s="152"/>
      <c r="B797" s="152"/>
      <c r="C797" s="152"/>
      <c r="D797" s="152"/>
      <c r="E797" s="152"/>
      <c r="F797" s="143"/>
      <c r="G797" s="152"/>
      <c r="H797" s="152"/>
      <c r="I797" s="152"/>
      <c r="J797" s="152"/>
      <c r="K797" s="152"/>
      <c r="L797" s="152"/>
      <c r="M797" s="152"/>
      <c r="N797" s="152"/>
      <c r="O797" s="152"/>
      <c r="P797" s="152"/>
      <c r="Q797" s="152"/>
      <c r="R797" s="152"/>
    </row>
    <row r="798">
      <c r="A798" s="152"/>
      <c r="B798" s="152"/>
      <c r="C798" s="152"/>
      <c r="D798" s="152"/>
      <c r="E798" s="152"/>
      <c r="F798" s="143"/>
      <c r="G798" s="152"/>
      <c r="H798" s="152"/>
      <c r="I798" s="152"/>
      <c r="J798" s="152"/>
      <c r="K798" s="152"/>
      <c r="L798" s="152"/>
      <c r="M798" s="152"/>
      <c r="N798" s="152"/>
      <c r="O798" s="152"/>
      <c r="P798" s="152"/>
      <c r="Q798" s="152"/>
      <c r="R798" s="152"/>
    </row>
    <row r="799">
      <c r="A799" s="152"/>
      <c r="B799" s="152"/>
      <c r="C799" s="152"/>
      <c r="D799" s="152"/>
      <c r="E799" s="152"/>
      <c r="F799" s="143"/>
      <c r="G799" s="152"/>
      <c r="H799" s="152"/>
      <c r="I799" s="152"/>
      <c r="J799" s="152"/>
      <c r="K799" s="152"/>
      <c r="L799" s="152"/>
      <c r="M799" s="152"/>
      <c r="N799" s="152"/>
      <c r="O799" s="152"/>
      <c r="P799" s="152"/>
      <c r="Q799" s="152"/>
      <c r="R799" s="152"/>
    </row>
    <row r="800">
      <c r="A800" s="152"/>
      <c r="B800" s="152"/>
      <c r="C800" s="152"/>
      <c r="D800" s="152"/>
      <c r="E800" s="152"/>
      <c r="F800" s="143"/>
      <c r="G800" s="152"/>
      <c r="H800" s="152"/>
      <c r="I800" s="152"/>
      <c r="J800" s="152"/>
      <c r="K800" s="152"/>
      <c r="L800" s="152"/>
      <c r="M800" s="152"/>
      <c r="N800" s="152"/>
      <c r="O800" s="152"/>
      <c r="P800" s="152"/>
      <c r="Q800" s="152"/>
      <c r="R800" s="152"/>
    </row>
    <row r="801">
      <c r="A801" s="152"/>
      <c r="B801" s="152"/>
      <c r="C801" s="152"/>
      <c r="D801" s="152"/>
      <c r="E801" s="152"/>
      <c r="F801" s="143"/>
      <c r="G801" s="152"/>
      <c r="H801" s="152"/>
      <c r="I801" s="152"/>
      <c r="J801" s="152"/>
      <c r="K801" s="152"/>
      <c r="L801" s="152"/>
      <c r="M801" s="152"/>
      <c r="N801" s="152"/>
      <c r="O801" s="152"/>
      <c r="P801" s="152"/>
      <c r="Q801" s="152"/>
      <c r="R801" s="152"/>
    </row>
    <row r="802">
      <c r="A802" s="152"/>
      <c r="B802" s="152"/>
      <c r="C802" s="152"/>
      <c r="D802" s="152"/>
      <c r="E802" s="152"/>
      <c r="F802" s="143"/>
      <c r="G802" s="152"/>
      <c r="H802" s="152"/>
      <c r="I802" s="152"/>
      <c r="J802" s="152"/>
      <c r="K802" s="152"/>
      <c r="L802" s="152"/>
      <c r="M802" s="152"/>
      <c r="N802" s="152"/>
      <c r="O802" s="152"/>
      <c r="P802" s="152"/>
      <c r="Q802" s="152"/>
      <c r="R802" s="152"/>
    </row>
    <row r="803">
      <c r="A803" s="152"/>
      <c r="B803" s="152"/>
      <c r="C803" s="152"/>
      <c r="D803" s="152"/>
      <c r="E803" s="152"/>
      <c r="F803" s="143"/>
      <c r="G803" s="152"/>
      <c r="H803" s="152"/>
      <c r="I803" s="152"/>
      <c r="J803" s="152"/>
      <c r="K803" s="152"/>
      <c r="L803" s="152"/>
      <c r="M803" s="152"/>
      <c r="N803" s="152"/>
      <c r="O803" s="152"/>
      <c r="P803" s="152"/>
      <c r="Q803" s="152"/>
      <c r="R803" s="152"/>
    </row>
    <row r="804">
      <c r="A804" s="152"/>
      <c r="B804" s="152"/>
      <c r="C804" s="152"/>
      <c r="D804" s="152"/>
      <c r="E804" s="152"/>
      <c r="F804" s="143"/>
      <c r="G804" s="152"/>
      <c r="H804" s="152"/>
      <c r="I804" s="152"/>
      <c r="J804" s="152"/>
      <c r="K804" s="152"/>
      <c r="L804" s="152"/>
      <c r="M804" s="152"/>
      <c r="N804" s="152"/>
      <c r="O804" s="152"/>
      <c r="P804" s="152"/>
      <c r="Q804" s="152"/>
      <c r="R804" s="152"/>
    </row>
    <row r="805">
      <c r="A805" s="152"/>
      <c r="B805" s="152"/>
      <c r="C805" s="152"/>
      <c r="D805" s="152"/>
      <c r="E805" s="152"/>
      <c r="F805" s="143"/>
      <c r="G805" s="152"/>
      <c r="H805" s="152"/>
      <c r="I805" s="152"/>
      <c r="J805" s="152"/>
      <c r="K805" s="152"/>
      <c r="L805" s="152"/>
      <c r="M805" s="152"/>
      <c r="N805" s="152"/>
      <c r="O805" s="152"/>
      <c r="P805" s="152"/>
      <c r="Q805" s="152"/>
      <c r="R805" s="152"/>
    </row>
    <row r="806">
      <c r="A806" s="152"/>
      <c r="B806" s="152"/>
      <c r="C806" s="152"/>
      <c r="D806" s="152"/>
      <c r="E806" s="152"/>
      <c r="F806" s="143"/>
      <c r="G806" s="152"/>
      <c r="H806" s="152"/>
      <c r="I806" s="152"/>
      <c r="J806" s="152"/>
      <c r="K806" s="152"/>
      <c r="L806" s="152"/>
      <c r="M806" s="152"/>
      <c r="N806" s="152"/>
      <c r="O806" s="152"/>
      <c r="P806" s="152"/>
      <c r="Q806" s="152"/>
      <c r="R806" s="152"/>
    </row>
    <row r="807">
      <c r="A807" s="152"/>
      <c r="B807" s="152"/>
      <c r="C807" s="152"/>
      <c r="D807" s="152"/>
      <c r="E807" s="152"/>
      <c r="F807" s="143"/>
      <c r="G807" s="152"/>
      <c r="H807" s="152"/>
      <c r="I807" s="152"/>
      <c r="J807" s="152"/>
      <c r="K807" s="152"/>
      <c r="L807" s="152"/>
      <c r="M807" s="152"/>
      <c r="N807" s="152"/>
      <c r="O807" s="152"/>
      <c r="P807" s="152"/>
      <c r="Q807" s="152"/>
      <c r="R807" s="152"/>
    </row>
    <row r="808">
      <c r="A808" s="152"/>
      <c r="B808" s="152"/>
      <c r="C808" s="152"/>
      <c r="D808" s="152"/>
      <c r="E808" s="152"/>
      <c r="F808" s="143"/>
      <c r="G808" s="152"/>
      <c r="H808" s="152"/>
      <c r="I808" s="152"/>
      <c r="J808" s="152"/>
      <c r="K808" s="152"/>
      <c r="L808" s="152"/>
      <c r="M808" s="152"/>
      <c r="N808" s="152"/>
      <c r="O808" s="152"/>
      <c r="P808" s="152"/>
      <c r="Q808" s="152"/>
      <c r="R808" s="152"/>
    </row>
    <row r="809">
      <c r="A809" s="152"/>
      <c r="B809" s="152"/>
      <c r="C809" s="152"/>
      <c r="D809" s="152"/>
      <c r="E809" s="152"/>
      <c r="F809" s="143"/>
      <c r="G809" s="152"/>
      <c r="H809" s="152"/>
      <c r="I809" s="152"/>
      <c r="J809" s="152"/>
      <c r="K809" s="152"/>
      <c r="L809" s="152"/>
      <c r="M809" s="152"/>
      <c r="N809" s="152"/>
      <c r="O809" s="152"/>
      <c r="P809" s="152"/>
      <c r="Q809" s="152"/>
      <c r="R809" s="152"/>
    </row>
    <row r="810">
      <c r="A810" s="152"/>
      <c r="B810" s="152"/>
      <c r="C810" s="152"/>
      <c r="D810" s="152"/>
      <c r="E810" s="152"/>
      <c r="F810" s="143"/>
      <c r="G810" s="152"/>
      <c r="H810" s="152"/>
      <c r="I810" s="152"/>
      <c r="J810" s="152"/>
      <c r="K810" s="152"/>
      <c r="L810" s="152"/>
      <c r="M810" s="152"/>
      <c r="N810" s="152"/>
      <c r="O810" s="152"/>
      <c r="P810" s="152"/>
      <c r="Q810" s="152"/>
      <c r="R810" s="152"/>
    </row>
    <row r="811">
      <c r="A811" s="152"/>
      <c r="B811" s="152"/>
      <c r="C811" s="152"/>
      <c r="D811" s="152"/>
      <c r="E811" s="152"/>
      <c r="F811" s="143"/>
      <c r="G811" s="152"/>
      <c r="H811" s="152"/>
      <c r="I811" s="152"/>
      <c r="J811" s="152"/>
      <c r="K811" s="152"/>
      <c r="L811" s="152"/>
      <c r="M811" s="152"/>
      <c r="N811" s="152"/>
      <c r="O811" s="152"/>
      <c r="P811" s="152"/>
      <c r="Q811" s="152"/>
      <c r="R811" s="152"/>
    </row>
    <row r="812">
      <c r="A812" s="152"/>
      <c r="B812" s="152"/>
      <c r="C812" s="152"/>
      <c r="D812" s="152"/>
      <c r="E812" s="152"/>
      <c r="F812" s="143"/>
      <c r="G812" s="152"/>
      <c r="H812" s="152"/>
      <c r="I812" s="152"/>
      <c r="J812" s="152"/>
      <c r="K812" s="152"/>
      <c r="L812" s="152"/>
      <c r="M812" s="152"/>
      <c r="N812" s="152"/>
      <c r="O812" s="152"/>
      <c r="P812" s="152"/>
      <c r="Q812" s="152"/>
      <c r="R812" s="152"/>
    </row>
    <row r="813">
      <c r="A813" s="152"/>
      <c r="B813" s="152"/>
      <c r="C813" s="152"/>
      <c r="D813" s="152"/>
      <c r="E813" s="152"/>
      <c r="F813" s="143"/>
      <c r="G813" s="152"/>
      <c r="H813" s="152"/>
      <c r="I813" s="152"/>
      <c r="J813" s="152"/>
      <c r="K813" s="152"/>
      <c r="L813" s="152"/>
      <c r="M813" s="152"/>
      <c r="N813" s="152"/>
      <c r="O813" s="152"/>
      <c r="P813" s="152"/>
      <c r="Q813" s="152"/>
      <c r="R813" s="152"/>
    </row>
    <row r="814">
      <c r="A814" s="152"/>
      <c r="B814" s="152"/>
      <c r="C814" s="152"/>
      <c r="D814" s="152"/>
      <c r="E814" s="152"/>
      <c r="F814" s="143"/>
      <c r="G814" s="152"/>
      <c r="H814" s="152"/>
      <c r="I814" s="152"/>
      <c r="J814" s="152"/>
      <c r="K814" s="152"/>
      <c r="L814" s="152"/>
      <c r="M814" s="152"/>
      <c r="N814" s="152"/>
      <c r="O814" s="152"/>
      <c r="P814" s="152"/>
      <c r="Q814" s="152"/>
      <c r="R814" s="152"/>
    </row>
    <row r="815">
      <c r="A815" s="152"/>
      <c r="B815" s="152"/>
      <c r="C815" s="152"/>
      <c r="D815" s="152"/>
      <c r="E815" s="152"/>
      <c r="F815" s="143"/>
      <c r="G815" s="152"/>
      <c r="H815" s="152"/>
      <c r="I815" s="152"/>
      <c r="J815" s="152"/>
      <c r="K815" s="152"/>
      <c r="L815" s="152"/>
      <c r="M815" s="152"/>
      <c r="N815" s="152"/>
      <c r="O815" s="152"/>
      <c r="P815" s="152"/>
      <c r="Q815" s="152"/>
      <c r="R815" s="152"/>
    </row>
    <row r="816">
      <c r="A816" s="152"/>
      <c r="B816" s="152"/>
      <c r="C816" s="152"/>
      <c r="D816" s="152"/>
      <c r="E816" s="152"/>
      <c r="F816" s="143"/>
      <c r="G816" s="152"/>
      <c r="H816" s="152"/>
      <c r="I816" s="152"/>
      <c r="J816" s="152"/>
      <c r="K816" s="152"/>
      <c r="L816" s="152"/>
      <c r="M816" s="152"/>
      <c r="N816" s="152"/>
      <c r="O816" s="152"/>
      <c r="P816" s="152"/>
      <c r="Q816" s="152"/>
      <c r="R816" s="152"/>
    </row>
    <row r="817">
      <c r="A817" s="152"/>
      <c r="B817" s="152"/>
      <c r="C817" s="152"/>
      <c r="D817" s="152"/>
      <c r="E817" s="152"/>
      <c r="F817" s="143"/>
      <c r="G817" s="152"/>
      <c r="H817" s="152"/>
      <c r="I817" s="152"/>
      <c r="J817" s="152"/>
      <c r="K817" s="152"/>
      <c r="L817" s="152"/>
      <c r="M817" s="152"/>
      <c r="N817" s="152"/>
      <c r="O817" s="152"/>
      <c r="P817" s="152"/>
      <c r="Q817" s="152"/>
      <c r="R817" s="152"/>
    </row>
    <row r="818">
      <c r="A818" s="152"/>
      <c r="B818" s="152"/>
      <c r="C818" s="152"/>
      <c r="D818" s="152"/>
      <c r="E818" s="152"/>
      <c r="F818" s="143"/>
      <c r="G818" s="152"/>
      <c r="H818" s="152"/>
      <c r="I818" s="152"/>
      <c r="J818" s="152"/>
      <c r="K818" s="152"/>
      <c r="L818" s="152"/>
      <c r="M818" s="152"/>
      <c r="N818" s="152"/>
      <c r="O818" s="152"/>
      <c r="P818" s="152"/>
      <c r="Q818" s="152"/>
      <c r="R818" s="152"/>
    </row>
    <row r="819">
      <c r="A819" s="152"/>
      <c r="B819" s="152"/>
      <c r="C819" s="152"/>
      <c r="D819" s="152"/>
      <c r="E819" s="152"/>
      <c r="F819" s="143"/>
      <c r="G819" s="152"/>
      <c r="H819" s="152"/>
      <c r="I819" s="152"/>
      <c r="J819" s="152"/>
      <c r="K819" s="152"/>
      <c r="L819" s="152"/>
      <c r="M819" s="152"/>
      <c r="N819" s="152"/>
      <c r="O819" s="152"/>
      <c r="P819" s="152"/>
      <c r="Q819" s="152"/>
      <c r="R819" s="152"/>
    </row>
    <row r="820">
      <c r="A820" s="152"/>
      <c r="B820" s="152"/>
      <c r="C820" s="152"/>
      <c r="D820" s="152"/>
      <c r="E820" s="152"/>
      <c r="F820" s="143"/>
      <c r="G820" s="152"/>
      <c r="H820" s="152"/>
      <c r="I820" s="152"/>
      <c r="J820" s="152"/>
      <c r="K820" s="152"/>
      <c r="L820" s="152"/>
      <c r="M820" s="152"/>
      <c r="N820" s="152"/>
      <c r="O820" s="152"/>
      <c r="P820" s="152"/>
      <c r="Q820" s="152"/>
      <c r="R820" s="152"/>
    </row>
    <row r="821">
      <c r="A821" s="152"/>
      <c r="B821" s="152"/>
      <c r="C821" s="152"/>
      <c r="D821" s="152"/>
      <c r="E821" s="152"/>
      <c r="F821" s="143"/>
      <c r="G821" s="152"/>
      <c r="H821" s="152"/>
      <c r="I821" s="152"/>
      <c r="J821" s="152"/>
      <c r="K821" s="152"/>
      <c r="L821" s="152"/>
      <c r="M821" s="152"/>
      <c r="N821" s="152"/>
      <c r="O821" s="152"/>
      <c r="P821" s="152"/>
      <c r="Q821" s="152"/>
      <c r="R821" s="152"/>
    </row>
    <row r="822">
      <c r="A822" s="152"/>
      <c r="B822" s="152"/>
      <c r="C822" s="152"/>
      <c r="D822" s="152"/>
      <c r="E822" s="152"/>
      <c r="F822" s="143"/>
      <c r="G822" s="152"/>
      <c r="H822" s="152"/>
      <c r="I822" s="152"/>
      <c r="J822" s="152"/>
      <c r="K822" s="152"/>
      <c r="L822" s="152"/>
      <c r="M822" s="152"/>
      <c r="N822" s="152"/>
      <c r="O822" s="152"/>
      <c r="P822" s="152"/>
      <c r="Q822" s="152"/>
      <c r="R822" s="152"/>
    </row>
    <row r="823">
      <c r="A823" s="152"/>
      <c r="B823" s="152"/>
      <c r="C823" s="152"/>
      <c r="D823" s="152"/>
      <c r="E823" s="152"/>
      <c r="F823" s="143"/>
      <c r="G823" s="152"/>
      <c r="H823" s="152"/>
      <c r="I823" s="152"/>
      <c r="J823" s="152"/>
      <c r="K823" s="152"/>
      <c r="L823" s="152"/>
      <c r="M823" s="152"/>
      <c r="N823" s="152"/>
      <c r="O823" s="152"/>
      <c r="P823" s="152"/>
      <c r="Q823" s="152"/>
      <c r="R823" s="152"/>
    </row>
    <row r="824">
      <c r="A824" s="152"/>
      <c r="B824" s="152"/>
      <c r="C824" s="152"/>
      <c r="D824" s="152"/>
      <c r="E824" s="152"/>
      <c r="F824" s="143"/>
      <c r="G824" s="152"/>
      <c r="H824" s="152"/>
      <c r="I824" s="152"/>
      <c r="J824" s="152"/>
      <c r="K824" s="152"/>
      <c r="L824" s="152"/>
      <c r="M824" s="152"/>
      <c r="N824" s="152"/>
      <c r="O824" s="152"/>
      <c r="P824" s="152"/>
      <c r="Q824" s="152"/>
      <c r="R824" s="152"/>
    </row>
    <row r="825">
      <c r="A825" s="152"/>
      <c r="B825" s="152"/>
      <c r="C825" s="152"/>
      <c r="D825" s="152"/>
      <c r="E825" s="152"/>
      <c r="F825" s="143"/>
      <c r="G825" s="152"/>
      <c r="H825" s="152"/>
      <c r="I825" s="152"/>
      <c r="J825" s="152"/>
      <c r="K825" s="152"/>
      <c r="L825" s="152"/>
      <c r="M825" s="152"/>
      <c r="N825" s="152"/>
      <c r="O825" s="152"/>
      <c r="P825" s="152"/>
      <c r="Q825" s="152"/>
      <c r="R825" s="152"/>
    </row>
    <row r="826">
      <c r="A826" s="152"/>
      <c r="B826" s="152"/>
      <c r="C826" s="152"/>
      <c r="D826" s="152"/>
      <c r="E826" s="152"/>
      <c r="F826" s="143"/>
      <c r="G826" s="152"/>
      <c r="H826" s="152"/>
      <c r="I826" s="152"/>
      <c r="J826" s="152"/>
      <c r="K826" s="152"/>
      <c r="L826" s="152"/>
      <c r="M826" s="152"/>
      <c r="N826" s="152"/>
      <c r="O826" s="152"/>
      <c r="P826" s="152"/>
      <c r="Q826" s="152"/>
      <c r="R826" s="152"/>
    </row>
    <row r="827">
      <c r="A827" s="152"/>
      <c r="B827" s="152"/>
      <c r="C827" s="152"/>
      <c r="D827" s="152"/>
      <c r="E827" s="152"/>
      <c r="F827" s="143"/>
      <c r="G827" s="152"/>
      <c r="H827" s="152"/>
      <c r="I827" s="152"/>
      <c r="J827" s="152"/>
      <c r="K827" s="152"/>
      <c r="L827" s="152"/>
      <c r="M827" s="152"/>
      <c r="N827" s="152"/>
      <c r="O827" s="152"/>
      <c r="P827" s="152"/>
      <c r="Q827" s="152"/>
      <c r="R827" s="152"/>
    </row>
    <row r="828">
      <c r="A828" s="152"/>
      <c r="B828" s="152"/>
      <c r="C828" s="152"/>
      <c r="D828" s="152"/>
      <c r="E828" s="152"/>
      <c r="F828" s="143"/>
      <c r="G828" s="152"/>
      <c r="H828" s="152"/>
      <c r="I828" s="152"/>
      <c r="J828" s="152"/>
      <c r="K828" s="152"/>
      <c r="L828" s="152"/>
      <c r="M828" s="152"/>
      <c r="N828" s="152"/>
      <c r="O828" s="152"/>
      <c r="P828" s="152"/>
      <c r="Q828" s="152"/>
      <c r="R828" s="152"/>
    </row>
    <row r="829">
      <c r="A829" s="152"/>
      <c r="B829" s="152"/>
      <c r="C829" s="152"/>
      <c r="D829" s="152"/>
      <c r="E829" s="152"/>
      <c r="F829" s="143"/>
      <c r="G829" s="152"/>
      <c r="H829" s="152"/>
      <c r="I829" s="152"/>
      <c r="J829" s="152"/>
      <c r="K829" s="152"/>
      <c r="L829" s="152"/>
      <c r="M829" s="152"/>
      <c r="N829" s="152"/>
      <c r="O829" s="152"/>
      <c r="P829" s="152"/>
      <c r="Q829" s="152"/>
      <c r="R829" s="152"/>
    </row>
    <row r="830">
      <c r="A830" s="152"/>
      <c r="B830" s="152"/>
      <c r="C830" s="152"/>
      <c r="D830" s="152"/>
      <c r="E830" s="152"/>
      <c r="F830" s="143"/>
      <c r="G830" s="152"/>
      <c r="H830" s="152"/>
      <c r="I830" s="152"/>
      <c r="J830" s="152"/>
      <c r="K830" s="152"/>
      <c r="L830" s="152"/>
      <c r="M830" s="152"/>
      <c r="N830" s="152"/>
      <c r="O830" s="152"/>
      <c r="P830" s="152"/>
      <c r="Q830" s="152"/>
      <c r="R830" s="152"/>
    </row>
    <row r="831">
      <c r="A831" s="152"/>
      <c r="B831" s="152"/>
      <c r="C831" s="152"/>
      <c r="D831" s="152"/>
      <c r="E831" s="152"/>
      <c r="F831" s="143"/>
      <c r="G831" s="152"/>
      <c r="H831" s="152"/>
      <c r="I831" s="152"/>
      <c r="J831" s="152"/>
      <c r="K831" s="152"/>
      <c r="L831" s="152"/>
      <c r="M831" s="152"/>
      <c r="N831" s="152"/>
      <c r="O831" s="152"/>
      <c r="P831" s="152"/>
      <c r="Q831" s="152"/>
      <c r="R831" s="152"/>
    </row>
    <row r="832">
      <c r="A832" s="152"/>
      <c r="B832" s="152"/>
      <c r="C832" s="152"/>
      <c r="D832" s="152"/>
      <c r="E832" s="152"/>
      <c r="F832" s="143"/>
      <c r="G832" s="152"/>
      <c r="H832" s="152"/>
      <c r="I832" s="152"/>
      <c r="J832" s="152"/>
      <c r="K832" s="152"/>
      <c r="L832" s="152"/>
      <c r="M832" s="152"/>
      <c r="N832" s="152"/>
      <c r="O832" s="152"/>
      <c r="P832" s="152"/>
      <c r="Q832" s="152"/>
      <c r="R832" s="152"/>
    </row>
    <row r="833">
      <c r="A833" s="152"/>
      <c r="B833" s="152"/>
      <c r="C833" s="152"/>
      <c r="D833" s="152"/>
      <c r="E833" s="152"/>
      <c r="F833" s="143"/>
      <c r="G833" s="152"/>
      <c r="H833" s="152"/>
      <c r="I833" s="152"/>
      <c r="J833" s="152"/>
      <c r="K833" s="152"/>
      <c r="L833" s="152"/>
      <c r="M833" s="152"/>
      <c r="N833" s="152"/>
      <c r="O833" s="152"/>
      <c r="P833" s="152"/>
      <c r="Q833" s="152"/>
      <c r="R833" s="152"/>
    </row>
    <row r="834">
      <c r="A834" s="152"/>
      <c r="B834" s="152"/>
      <c r="C834" s="152"/>
      <c r="D834" s="152"/>
      <c r="E834" s="152"/>
      <c r="F834" s="143"/>
      <c r="G834" s="152"/>
      <c r="H834" s="152"/>
      <c r="I834" s="152"/>
      <c r="J834" s="152"/>
      <c r="K834" s="152"/>
      <c r="L834" s="152"/>
      <c r="M834" s="152"/>
      <c r="N834" s="152"/>
      <c r="O834" s="152"/>
      <c r="P834" s="152"/>
      <c r="Q834" s="152"/>
      <c r="R834" s="152"/>
    </row>
    <row r="835">
      <c r="A835" s="152"/>
      <c r="B835" s="152"/>
      <c r="C835" s="152"/>
      <c r="D835" s="152"/>
      <c r="E835" s="152"/>
      <c r="F835" s="143"/>
      <c r="G835" s="152"/>
      <c r="H835" s="152"/>
      <c r="I835" s="152"/>
      <c r="J835" s="152"/>
      <c r="K835" s="152"/>
      <c r="L835" s="152"/>
      <c r="M835" s="152"/>
      <c r="N835" s="152"/>
      <c r="O835" s="152"/>
      <c r="P835" s="152"/>
      <c r="Q835" s="152"/>
      <c r="R835" s="152"/>
    </row>
    <row r="836">
      <c r="A836" s="152"/>
      <c r="B836" s="152"/>
      <c r="C836" s="152"/>
      <c r="D836" s="152"/>
      <c r="E836" s="152"/>
      <c r="F836" s="143"/>
      <c r="G836" s="152"/>
      <c r="H836" s="152"/>
      <c r="I836" s="152"/>
      <c r="J836" s="152"/>
      <c r="K836" s="152"/>
      <c r="L836" s="152"/>
      <c r="M836" s="152"/>
      <c r="N836" s="152"/>
      <c r="O836" s="152"/>
      <c r="P836" s="152"/>
      <c r="Q836" s="152"/>
      <c r="R836" s="152"/>
    </row>
    <row r="837">
      <c r="A837" s="152"/>
      <c r="B837" s="152"/>
      <c r="C837" s="152"/>
      <c r="D837" s="152"/>
      <c r="E837" s="152"/>
      <c r="F837" s="143"/>
      <c r="G837" s="152"/>
      <c r="H837" s="152"/>
      <c r="I837" s="152"/>
      <c r="J837" s="152"/>
      <c r="K837" s="152"/>
      <c r="L837" s="152"/>
      <c r="M837" s="152"/>
      <c r="N837" s="152"/>
      <c r="O837" s="152"/>
      <c r="P837" s="152"/>
      <c r="Q837" s="152"/>
      <c r="R837" s="152"/>
    </row>
    <row r="838">
      <c r="A838" s="152"/>
      <c r="B838" s="152"/>
      <c r="C838" s="152"/>
      <c r="D838" s="152"/>
      <c r="E838" s="152"/>
      <c r="F838" s="143"/>
      <c r="G838" s="152"/>
      <c r="H838" s="152"/>
      <c r="I838" s="152"/>
      <c r="J838" s="152"/>
      <c r="K838" s="152"/>
      <c r="L838" s="152"/>
      <c r="M838" s="152"/>
      <c r="N838" s="152"/>
      <c r="O838" s="152"/>
      <c r="P838" s="152"/>
      <c r="Q838" s="152"/>
      <c r="R838" s="152"/>
    </row>
    <row r="839">
      <c r="A839" s="152"/>
      <c r="B839" s="152"/>
      <c r="C839" s="152"/>
      <c r="D839" s="152"/>
      <c r="E839" s="152"/>
      <c r="F839" s="143"/>
      <c r="G839" s="152"/>
      <c r="H839" s="152"/>
      <c r="I839" s="152"/>
      <c r="J839" s="152"/>
      <c r="K839" s="152"/>
      <c r="L839" s="152"/>
      <c r="M839" s="152"/>
      <c r="N839" s="152"/>
      <c r="O839" s="152"/>
      <c r="P839" s="152"/>
      <c r="Q839" s="152"/>
      <c r="R839" s="152"/>
    </row>
    <row r="840">
      <c r="A840" s="152"/>
      <c r="B840" s="152"/>
      <c r="C840" s="152"/>
      <c r="D840" s="152"/>
      <c r="E840" s="152"/>
      <c r="F840" s="143"/>
      <c r="G840" s="152"/>
      <c r="H840" s="152"/>
      <c r="I840" s="152"/>
      <c r="J840" s="152"/>
      <c r="K840" s="152"/>
      <c r="L840" s="152"/>
      <c r="M840" s="152"/>
      <c r="N840" s="152"/>
      <c r="O840" s="152"/>
      <c r="P840" s="152"/>
      <c r="Q840" s="152"/>
      <c r="R840" s="152"/>
    </row>
    <row r="841">
      <c r="A841" s="152"/>
      <c r="B841" s="152"/>
      <c r="C841" s="152"/>
      <c r="D841" s="152"/>
      <c r="E841" s="152"/>
      <c r="F841" s="143"/>
      <c r="G841" s="152"/>
      <c r="H841" s="152"/>
      <c r="I841" s="152"/>
      <c r="J841" s="152"/>
      <c r="K841" s="152"/>
      <c r="L841" s="152"/>
      <c r="M841" s="152"/>
      <c r="N841" s="152"/>
      <c r="O841" s="152"/>
      <c r="P841" s="152"/>
      <c r="Q841" s="152"/>
      <c r="R841" s="152"/>
    </row>
    <row r="842">
      <c r="A842" s="152"/>
      <c r="B842" s="152"/>
      <c r="C842" s="152"/>
      <c r="D842" s="152"/>
      <c r="E842" s="152"/>
      <c r="F842" s="143"/>
      <c r="G842" s="152"/>
      <c r="H842" s="152"/>
      <c r="I842" s="152"/>
      <c r="J842" s="152"/>
      <c r="K842" s="152"/>
      <c r="L842" s="152"/>
      <c r="M842" s="152"/>
      <c r="N842" s="152"/>
      <c r="O842" s="152"/>
      <c r="P842" s="152"/>
      <c r="Q842" s="152"/>
      <c r="R842" s="152"/>
    </row>
    <row r="843">
      <c r="A843" s="152"/>
      <c r="B843" s="152"/>
      <c r="C843" s="152"/>
      <c r="D843" s="152"/>
      <c r="E843" s="152"/>
      <c r="F843" s="143"/>
      <c r="G843" s="152"/>
      <c r="H843" s="152"/>
      <c r="I843" s="152"/>
      <c r="J843" s="152"/>
      <c r="K843" s="152"/>
      <c r="L843" s="152"/>
      <c r="M843" s="152"/>
      <c r="N843" s="152"/>
      <c r="O843" s="152"/>
      <c r="P843" s="152"/>
      <c r="Q843" s="152"/>
      <c r="R843" s="152"/>
    </row>
    <row r="844">
      <c r="A844" s="152"/>
      <c r="B844" s="152"/>
      <c r="C844" s="152"/>
      <c r="D844" s="152"/>
      <c r="E844" s="152"/>
      <c r="F844" s="143"/>
      <c r="G844" s="152"/>
      <c r="H844" s="152"/>
      <c r="I844" s="152"/>
      <c r="J844" s="152"/>
      <c r="K844" s="152"/>
      <c r="L844" s="152"/>
      <c r="M844" s="152"/>
      <c r="N844" s="152"/>
      <c r="O844" s="152"/>
      <c r="P844" s="152"/>
      <c r="Q844" s="152"/>
      <c r="R844" s="152"/>
    </row>
    <row r="845">
      <c r="A845" s="152"/>
      <c r="B845" s="152"/>
      <c r="C845" s="152"/>
      <c r="D845" s="152"/>
      <c r="E845" s="152"/>
      <c r="F845" s="143"/>
      <c r="G845" s="152"/>
      <c r="H845" s="152"/>
      <c r="I845" s="152"/>
      <c r="J845" s="152"/>
      <c r="K845" s="152"/>
      <c r="L845" s="152"/>
      <c r="M845" s="152"/>
      <c r="N845" s="152"/>
      <c r="O845" s="152"/>
      <c r="P845" s="152"/>
      <c r="Q845" s="152"/>
      <c r="R845" s="152"/>
    </row>
    <row r="846">
      <c r="A846" s="152"/>
      <c r="B846" s="152"/>
      <c r="C846" s="152"/>
      <c r="D846" s="152"/>
      <c r="E846" s="152"/>
      <c r="F846" s="143"/>
      <c r="G846" s="152"/>
      <c r="H846" s="152"/>
      <c r="I846" s="152"/>
      <c r="J846" s="152"/>
      <c r="K846" s="152"/>
      <c r="L846" s="152"/>
      <c r="M846" s="152"/>
      <c r="N846" s="152"/>
      <c r="O846" s="152"/>
      <c r="P846" s="152"/>
      <c r="Q846" s="152"/>
      <c r="R846" s="152"/>
    </row>
    <row r="847">
      <c r="A847" s="152"/>
      <c r="B847" s="152"/>
      <c r="C847" s="152"/>
      <c r="D847" s="152"/>
      <c r="E847" s="152"/>
      <c r="F847" s="143"/>
      <c r="G847" s="152"/>
      <c r="H847" s="152"/>
      <c r="I847" s="152"/>
      <c r="J847" s="152"/>
      <c r="K847" s="152"/>
      <c r="L847" s="152"/>
      <c r="M847" s="152"/>
      <c r="N847" s="152"/>
      <c r="O847" s="152"/>
      <c r="P847" s="152"/>
      <c r="Q847" s="152"/>
      <c r="R847" s="152"/>
    </row>
    <row r="848">
      <c r="A848" s="152"/>
      <c r="B848" s="152"/>
      <c r="C848" s="152"/>
      <c r="D848" s="152"/>
      <c r="E848" s="152"/>
      <c r="F848" s="143"/>
      <c r="G848" s="152"/>
      <c r="H848" s="152"/>
      <c r="I848" s="152"/>
      <c r="J848" s="152"/>
      <c r="K848" s="152"/>
      <c r="L848" s="152"/>
      <c r="M848" s="152"/>
      <c r="N848" s="152"/>
      <c r="O848" s="152"/>
      <c r="P848" s="152"/>
      <c r="Q848" s="152"/>
      <c r="R848" s="152"/>
    </row>
    <row r="849">
      <c r="A849" s="152"/>
      <c r="B849" s="152"/>
      <c r="C849" s="152"/>
      <c r="D849" s="152"/>
      <c r="E849" s="152"/>
      <c r="F849" s="143"/>
      <c r="G849" s="152"/>
      <c r="H849" s="152"/>
      <c r="I849" s="152"/>
      <c r="J849" s="152"/>
      <c r="K849" s="152"/>
      <c r="L849" s="152"/>
      <c r="M849" s="152"/>
      <c r="N849" s="152"/>
      <c r="O849" s="152"/>
      <c r="P849" s="152"/>
      <c r="Q849" s="152"/>
      <c r="R849" s="152"/>
    </row>
    <row r="850">
      <c r="A850" s="152"/>
      <c r="B850" s="152"/>
      <c r="C850" s="152"/>
      <c r="D850" s="152"/>
      <c r="E850" s="152"/>
      <c r="F850" s="143"/>
      <c r="G850" s="152"/>
      <c r="H850" s="152"/>
      <c r="I850" s="152"/>
      <c r="J850" s="152"/>
      <c r="K850" s="152"/>
      <c r="L850" s="152"/>
      <c r="M850" s="152"/>
      <c r="N850" s="152"/>
      <c r="O850" s="152"/>
      <c r="P850" s="152"/>
      <c r="Q850" s="152"/>
      <c r="R850" s="152"/>
    </row>
    <row r="851">
      <c r="A851" s="152"/>
      <c r="B851" s="152"/>
      <c r="C851" s="152"/>
      <c r="D851" s="152"/>
      <c r="E851" s="152"/>
      <c r="F851" s="143"/>
      <c r="G851" s="152"/>
      <c r="H851" s="152"/>
      <c r="I851" s="152"/>
      <c r="J851" s="152"/>
      <c r="K851" s="152"/>
      <c r="L851" s="152"/>
      <c r="M851" s="152"/>
      <c r="N851" s="152"/>
      <c r="O851" s="152"/>
      <c r="P851" s="152"/>
      <c r="Q851" s="152"/>
      <c r="R851" s="152"/>
    </row>
    <row r="852">
      <c r="A852" s="152"/>
      <c r="B852" s="152"/>
      <c r="C852" s="152"/>
      <c r="D852" s="152"/>
      <c r="E852" s="152"/>
      <c r="F852" s="143"/>
      <c r="G852" s="152"/>
      <c r="H852" s="152"/>
      <c r="I852" s="152"/>
      <c r="J852" s="152"/>
      <c r="K852" s="152"/>
      <c r="L852" s="152"/>
      <c r="M852" s="152"/>
      <c r="N852" s="152"/>
      <c r="O852" s="152"/>
      <c r="P852" s="152"/>
      <c r="Q852" s="152"/>
      <c r="R852" s="152"/>
    </row>
    <row r="853">
      <c r="A853" s="152"/>
      <c r="B853" s="152"/>
      <c r="C853" s="152"/>
      <c r="D853" s="152"/>
      <c r="E853" s="152"/>
      <c r="F853" s="143"/>
      <c r="G853" s="152"/>
      <c r="H853" s="152"/>
      <c r="I853" s="152"/>
      <c r="J853" s="152"/>
      <c r="K853" s="152"/>
      <c r="L853" s="152"/>
      <c r="M853" s="152"/>
      <c r="N853" s="152"/>
      <c r="O853" s="152"/>
      <c r="P853" s="152"/>
      <c r="Q853" s="152"/>
      <c r="R853" s="152"/>
    </row>
    <row r="854">
      <c r="A854" s="152"/>
      <c r="B854" s="152"/>
      <c r="C854" s="152"/>
      <c r="D854" s="152"/>
      <c r="E854" s="152"/>
      <c r="F854" s="143"/>
      <c r="G854" s="152"/>
      <c r="H854" s="152"/>
      <c r="I854" s="152"/>
      <c r="J854" s="152"/>
      <c r="K854" s="152"/>
      <c r="L854" s="152"/>
      <c r="M854" s="152"/>
      <c r="N854" s="152"/>
      <c r="O854" s="152"/>
      <c r="P854" s="152"/>
      <c r="Q854" s="152"/>
      <c r="R854" s="152"/>
    </row>
    <row r="855">
      <c r="A855" s="152"/>
      <c r="B855" s="152"/>
      <c r="C855" s="152"/>
      <c r="D855" s="152"/>
      <c r="E855" s="152"/>
      <c r="F855" s="143"/>
      <c r="G855" s="152"/>
      <c r="H855" s="152"/>
      <c r="I855" s="152"/>
      <c r="J855" s="152"/>
      <c r="K855" s="152"/>
      <c r="L855" s="152"/>
      <c r="M855" s="152"/>
      <c r="N855" s="152"/>
      <c r="O855" s="152"/>
      <c r="P855" s="152"/>
      <c r="Q855" s="152"/>
      <c r="R855" s="152"/>
    </row>
    <row r="856">
      <c r="A856" s="152"/>
      <c r="B856" s="152"/>
      <c r="C856" s="152"/>
      <c r="D856" s="152"/>
      <c r="E856" s="152"/>
      <c r="F856" s="143"/>
      <c r="G856" s="152"/>
      <c r="H856" s="152"/>
      <c r="I856" s="152"/>
      <c r="J856" s="152"/>
      <c r="K856" s="152"/>
      <c r="L856" s="152"/>
      <c r="M856" s="152"/>
      <c r="N856" s="152"/>
      <c r="O856" s="152"/>
      <c r="P856" s="152"/>
      <c r="Q856" s="152"/>
      <c r="R856" s="152"/>
    </row>
    <row r="857">
      <c r="A857" s="152"/>
      <c r="B857" s="152"/>
      <c r="C857" s="152"/>
      <c r="D857" s="152"/>
      <c r="E857" s="152"/>
      <c r="F857" s="143"/>
      <c r="G857" s="152"/>
      <c r="H857" s="152"/>
      <c r="I857" s="152"/>
      <c r="J857" s="152"/>
      <c r="K857" s="152"/>
      <c r="L857" s="152"/>
      <c r="M857" s="152"/>
      <c r="N857" s="152"/>
      <c r="O857" s="152"/>
      <c r="P857" s="152"/>
      <c r="Q857" s="152"/>
      <c r="R857" s="152"/>
    </row>
    <row r="858">
      <c r="A858" s="152"/>
      <c r="B858" s="152"/>
      <c r="C858" s="152"/>
      <c r="D858" s="152"/>
      <c r="E858" s="152"/>
      <c r="F858" s="143"/>
      <c r="G858" s="152"/>
      <c r="H858" s="152"/>
      <c r="I858" s="152"/>
      <c r="J858" s="152"/>
      <c r="K858" s="152"/>
      <c r="L858" s="152"/>
      <c r="M858" s="152"/>
      <c r="N858" s="152"/>
      <c r="O858" s="152"/>
      <c r="P858" s="152"/>
      <c r="Q858" s="152"/>
      <c r="R858" s="152"/>
    </row>
    <row r="859">
      <c r="A859" s="152"/>
      <c r="B859" s="152"/>
      <c r="C859" s="152"/>
      <c r="D859" s="152"/>
      <c r="E859" s="152"/>
      <c r="F859" s="143"/>
      <c r="G859" s="152"/>
      <c r="H859" s="152"/>
      <c r="I859" s="152"/>
      <c r="J859" s="152"/>
      <c r="K859" s="152"/>
      <c r="L859" s="152"/>
      <c r="M859" s="152"/>
      <c r="N859" s="152"/>
      <c r="O859" s="152"/>
      <c r="P859" s="152"/>
      <c r="Q859" s="152"/>
      <c r="R859" s="152"/>
    </row>
    <row r="860">
      <c r="A860" s="152"/>
      <c r="B860" s="152"/>
      <c r="C860" s="152"/>
      <c r="D860" s="152"/>
      <c r="E860" s="152"/>
      <c r="F860" s="143"/>
      <c r="G860" s="152"/>
      <c r="H860" s="152"/>
      <c r="I860" s="152"/>
      <c r="J860" s="152"/>
      <c r="K860" s="152"/>
      <c r="L860" s="152"/>
      <c r="M860" s="152"/>
      <c r="N860" s="152"/>
      <c r="O860" s="152"/>
      <c r="P860" s="152"/>
      <c r="Q860" s="152"/>
      <c r="R860" s="152"/>
    </row>
    <row r="861">
      <c r="A861" s="152"/>
      <c r="B861" s="152"/>
      <c r="C861" s="152"/>
      <c r="D861" s="152"/>
      <c r="E861" s="152"/>
      <c r="F861" s="143"/>
      <c r="G861" s="152"/>
      <c r="H861" s="152"/>
      <c r="I861" s="152"/>
      <c r="J861" s="152"/>
      <c r="K861" s="152"/>
      <c r="L861" s="152"/>
      <c r="M861" s="152"/>
      <c r="N861" s="152"/>
      <c r="O861" s="152"/>
      <c r="P861" s="152"/>
      <c r="Q861" s="152"/>
      <c r="R861" s="152"/>
    </row>
    <row r="862">
      <c r="A862" s="152"/>
      <c r="B862" s="152"/>
      <c r="C862" s="152"/>
      <c r="D862" s="152"/>
      <c r="E862" s="152"/>
      <c r="F862" s="143"/>
      <c r="G862" s="152"/>
      <c r="H862" s="152"/>
      <c r="I862" s="152"/>
      <c r="J862" s="152"/>
      <c r="K862" s="152"/>
      <c r="L862" s="152"/>
      <c r="M862" s="152"/>
      <c r="N862" s="152"/>
      <c r="O862" s="152"/>
      <c r="P862" s="152"/>
      <c r="Q862" s="152"/>
      <c r="R862" s="152"/>
    </row>
    <row r="863">
      <c r="A863" s="152"/>
      <c r="B863" s="152"/>
      <c r="C863" s="152"/>
      <c r="D863" s="152"/>
      <c r="E863" s="152"/>
      <c r="F863" s="143"/>
      <c r="G863" s="152"/>
      <c r="H863" s="152"/>
      <c r="I863" s="152"/>
      <c r="J863" s="152"/>
      <c r="K863" s="152"/>
      <c r="L863" s="152"/>
      <c r="M863" s="152"/>
      <c r="N863" s="152"/>
      <c r="O863" s="152"/>
      <c r="P863" s="152"/>
      <c r="Q863" s="152"/>
      <c r="R863" s="152"/>
    </row>
    <row r="864">
      <c r="A864" s="152"/>
      <c r="B864" s="152"/>
      <c r="C864" s="152"/>
      <c r="D864" s="152"/>
      <c r="E864" s="152"/>
      <c r="F864" s="143"/>
      <c r="G864" s="152"/>
      <c r="H864" s="152"/>
      <c r="I864" s="152"/>
      <c r="J864" s="152"/>
      <c r="K864" s="152"/>
      <c r="L864" s="152"/>
      <c r="M864" s="152"/>
      <c r="N864" s="152"/>
      <c r="O864" s="152"/>
      <c r="P864" s="152"/>
      <c r="Q864" s="152"/>
      <c r="R864" s="152"/>
    </row>
    <row r="865">
      <c r="A865" s="152"/>
      <c r="B865" s="152"/>
      <c r="C865" s="152"/>
      <c r="D865" s="152"/>
      <c r="E865" s="152"/>
      <c r="F865" s="143"/>
      <c r="G865" s="152"/>
      <c r="H865" s="152"/>
      <c r="I865" s="152"/>
      <c r="J865" s="152"/>
      <c r="K865" s="152"/>
      <c r="L865" s="152"/>
      <c r="M865" s="152"/>
      <c r="N865" s="152"/>
      <c r="O865" s="152"/>
      <c r="P865" s="152"/>
      <c r="Q865" s="152"/>
      <c r="R865" s="152"/>
    </row>
    <row r="866">
      <c r="A866" s="152"/>
      <c r="B866" s="152"/>
      <c r="C866" s="152"/>
      <c r="D866" s="152"/>
      <c r="E866" s="152"/>
      <c r="F866" s="143"/>
      <c r="G866" s="152"/>
      <c r="H866" s="152"/>
      <c r="I866" s="152"/>
      <c r="J866" s="152"/>
      <c r="K866" s="152"/>
      <c r="L866" s="152"/>
      <c r="M866" s="152"/>
      <c r="N866" s="152"/>
      <c r="O866" s="152"/>
      <c r="P866" s="152"/>
      <c r="Q866" s="152"/>
      <c r="R866" s="152"/>
    </row>
    <row r="867">
      <c r="A867" s="152"/>
      <c r="B867" s="152"/>
      <c r="C867" s="152"/>
      <c r="D867" s="152"/>
      <c r="E867" s="152"/>
      <c r="F867" s="143"/>
      <c r="G867" s="152"/>
      <c r="H867" s="152"/>
      <c r="I867" s="152"/>
      <c r="J867" s="152"/>
      <c r="K867" s="152"/>
      <c r="L867" s="152"/>
      <c r="M867" s="152"/>
      <c r="N867" s="152"/>
      <c r="O867" s="152"/>
      <c r="P867" s="152"/>
      <c r="Q867" s="152"/>
      <c r="R867" s="152"/>
    </row>
    <row r="868">
      <c r="A868" s="152"/>
      <c r="B868" s="152"/>
      <c r="C868" s="152"/>
      <c r="D868" s="152"/>
      <c r="E868" s="152"/>
      <c r="F868" s="143"/>
      <c r="G868" s="152"/>
      <c r="H868" s="152"/>
      <c r="I868" s="152"/>
      <c r="J868" s="152"/>
      <c r="K868" s="152"/>
      <c r="L868" s="152"/>
      <c r="M868" s="152"/>
      <c r="N868" s="152"/>
      <c r="O868" s="152"/>
      <c r="P868" s="152"/>
      <c r="Q868" s="152"/>
      <c r="R868" s="152"/>
    </row>
    <row r="869">
      <c r="A869" s="152"/>
      <c r="B869" s="152"/>
      <c r="C869" s="152"/>
      <c r="D869" s="152"/>
      <c r="E869" s="152"/>
      <c r="F869" s="143"/>
      <c r="G869" s="152"/>
      <c r="H869" s="152"/>
      <c r="I869" s="152"/>
      <c r="J869" s="152"/>
      <c r="K869" s="152"/>
      <c r="L869" s="152"/>
      <c r="M869" s="152"/>
      <c r="N869" s="152"/>
      <c r="O869" s="152"/>
      <c r="P869" s="152"/>
      <c r="Q869" s="152"/>
      <c r="R869" s="152"/>
    </row>
    <row r="870">
      <c r="A870" s="152"/>
      <c r="B870" s="152"/>
      <c r="C870" s="152"/>
      <c r="D870" s="152"/>
      <c r="E870" s="152"/>
      <c r="F870" s="143"/>
      <c r="G870" s="152"/>
      <c r="H870" s="152"/>
      <c r="I870" s="152"/>
      <c r="J870" s="152"/>
      <c r="K870" s="152"/>
      <c r="L870" s="152"/>
      <c r="M870" s="152"/>
      <c r="N870" s="152"/>
      <c r="O870" s="152"/>
      <c r="P870" s="152"/>
      <c r="Q870" s="152"/>
      <c r="R870" s="152"/>
    </row>
    <row r="871">
      <c r="A871" s="152"/>
      <c r="B871" s="152"/>
      <c r="C871" s="152"/>
      <c r="D871" s="152"/>
      <c r="E871" s="152"/>
      <c r="F871" s="143"/>
      <c r="G871" s="152"/>
      <c r="H871" s="152"/>
      <c r="I871" s="152"/>
      <c r="J871" s="152"/>
      <c r="K871" s="152"/>
      <c r="L871" s="152"/>
      <c r="M871" s="152"/>
      <c r="N871" s="152"/>
      <c r="O871" s="152"/>
      <c r="P871" s="152"/>
      <c r="Q871" s="152"/>
      <c r="R871" s="152"/>
    </row>
    <row r="872">
      <c r="A872" s="152"/>
      <c r="B872" s="152"/>
      <c r="C872" s="152"/>
      <c r="D872" s="152"/>
      <c r="E872" s="152"/>
      <c r="F872" s="143"/>
      <c r="G872" s="152"/>
      <c r="H872" s="152"/>
      <c r="I872" s="152"/>
      <c r="J872" s="152"/>
      <c r="K872" s="152"/>
      <c r="L872" s="152"/>
      <c r="M872" s="152"/>
      <c r="N872" s="152"/>
      <c r="O872" s="152"/>
      <c r="P872" s="152"/>
      <c r="Q872" s="152"/>
      <c r="R872" s="152"/>
    </row>
    <row r="873">
      <c r="A873" s="152"/>
      <c r="B873" s="152"/>
      <c r="C873" s="152"/>
      <c r="D873" s="152"/>
      <c r="E873" s="152"/>
      <c r="F873" s="143"/>
      <c r="G873" s="152"/>
      <c r="H873" s="152"/>
      <c r="I873" s="152"/>
      <c r="J873" s="152"/>
      <c r="K873" s="152"/>
      <c r="L873" s="152"/>
      <c r="M873" s="152"/>
      <c r="N873" s="152"/>
      <c r="O873" s="152"/>
      <c r="P873" s="152"/>
      <c r="Q873" s="152"/>
      <c r="R873" s="152"/>
    </row>
    <row r="874">
      <c r="A874" s="152"/>
      <c r="B874" s="152"/>
      <c r="C874" s="152"/>
      <c r="D874" s="152"/>
      <c r="E874" s="152"/>
      <c r="F874" s="143"/>
      <c r="G874" s="152"/>
      <c r="H874" s="152"/>
      <c r="I874" s="152"/>
      <c r="J874" s="152"/>
      <c r="K874" s="152"/>
      <c r="L874" s="152"/>
      <c r="M874" s="152"/>
      <c r="N874" s="152"/>
      <c r="O874" s="152"/>
      <c r="P874" s="152"/>
      <c r="Q874" s="152"/>
      <c r="R874" s="152"/>
    </row>
    <row r="875">
      <c r="A875" s="152"/>
      <c r="B875" s="152"/>
      <c r="C875" s="152"/>
      <c r="D875" s="152"/>
      <c r="E875" s="152"/>
      <c r="F875" s="143"/>
      <c r="G875" s="152"/>
      <c r="H875" s="152"/>
      <c r="I875" s="152"/>
      <c r="J875" s="152"/>
      <c r="K875" s="152"/>
      <c r="L875" s="152"/>
      <c r="M875" s="152"/>
      <c r="N875" s="152"/>
      <c r="O875" s="152"/>
      <c r="P875" s="152"/>
      <c r="Q875" s="152"/>
      <c r="R875" s="152"/>
    </row>
    <row r="876">
      <c r="A876" s="152"/>
      <c r="B876" s="152"/>
      <c r="C876" s="152"/>
      <c r="D876" s="152"/>
      <c r="E876" s="152"/>
      <c r="F876" s="143"/>
      <c r="G876" s="152"/>
      <c r="H876" s="152"/>
      <c r="I876" s="152"/>
      <c r="J876" s="152"/>
      <c r="K876" s="152"/>
      <c r="L876" s="152"/>
      <c r="M876" s="152"/>
      <c r="N876" s="152"/>
      <c r="O876" s="152"/>
      <c r="P876" s="152"/>
      <c r="Q876" s="152"/>
      <c r="R876" s="152"/>
    </row>
    <row r="877">
      <c r="A877" s="152"/>
      <c r="B877" s="152"/>
      <c r="C877" s="152"/>
      <c r="D877" s="152"/>
      <c r="E877" s="152"/>
      <c r="F877" s="143"/>
      <c r="G877" s="152"/>
      <c r="H877" s="152"/>
      <c r="I877" s="152"/>
      <c r="J877" s="152"/>
      <c r="K877" s="152"/>
      <c r="L877" s="152"/>
      <c r="M877" s="152"/>
      <c r="N877" s="152"/>
      <c r="O877" s="152"/>
      <c r="P877" s="152"/>
      <c r="Q877" s="152"/>
      <c r="R877" s="152"/>
    </row>
    <row r="878">
      <c r="A878" s="152"/>
      <c r="B878" s="152"/>
      <c r="C878" s="152"/>
      <c r="D878" s="152"/>
      <c r="E878" s="152"/>
      <c r="F878" s="143"/>
      <c r="G878" s="152"/>
      <c r="H878" s="152"/>
      <c r="I878" s="152"/>
      <c r="J878" s="152"/>
      <c r="K878" s="152"/>
      <c r="L878" s="152"/>
      <c r="M878" s="152"/>
      <c r="N878" s="152"/>
      <c r="O878" s="152"/>
      <c r="P878" s="152"/>
      <c r="Q878" s="152"/>
      <c r="R878" s="152"/>
    </row>
    <row r="879">
      <c r="A879" s="152"/>
      <c r="B879" s="152"/>
      <c r="C879" s="152"/>
      <c r="D879" s="152"/>
      <c r="E879" s="152"/>
      <c r="F879" s="143"/>
      <c r="G879" s="152"/>
      <c r="H879" s="152"/>
      <c r="I879" s="152"/>
      <c r="J879" s="152"/>
      <c r="K879" s="152"/>
      <c r="L879" s="152"/>
      <c r="M879" s="152"/>
      <c r="N879" s="152"/>
      <c r="O879" s="152"/>
      <c r="P879" s="152"/>
      <c r="Q879" s="152"/>
      <c r="R879" s="152"/>
    </row>
    <row r="880">
      <c r="A880" s="152"/>
      <c r="B880" s="152"/>
      <c r="C880" s="152"/>
      <c r="D880" s="152"/>
      <c r="E880" s="152"/>
      <c r="F880" s="143"/>
      <c r="G880" s="152"/>
      <c r="H880" s="152"/>
      <c r="I880" s="152"/>
      <c r="J880" s="152"/>
      <c r="K880" s="152"/>
      <c r="L880" s="152"/>
      <c r="M880" s="152"/>
      <c r="N880" s="152"/>
      <c r="O880" s="152"/>
      <c r="P880" s="152"/>
      <c r="Q880" s="152"/>
      <c r="R880" s="152"/>
    </row>
    <row r="881">
      <c r="A881" s="152"/>
      <c r="B881" s="152"/>
      <c r="C881" s="152"/>
      <c r="D881" s="152"/>
      <c r="E881" s="152"/>
      <c r="F881" s="143"/>
      <c r="G881" s="152"/>
      <c r="H881" s="152"/>
      <c r="I881" s="152"/>
      <c r="J881" s="152"/>
      <c r="K881" s="152"/>
      <c r="L881" s="152"/>
      <c r="M881" s="152"/>
      <c r="N881" s="152"/>
      <c r="O881" s="152"/>
      <c r="P881" s="152"/>
      <c r="Q881" s="152"/>
      <c r="R881" s="152"/>
    </row>
    <row r="882">
      <c r="A882" s="152"/>
      <c r="B882" s="152"/>
      <c r="C882" s="152"/>
      <c r="D882" s="152"/>
      <c r="E882" s="152"/>
      <c r="F882" s="143"/>
      <c r="G882" s="152"/>
      <c r="H882" s="152"/>
      <c r="I882" s="152"/>
      <c r="J882" s="152"/>
      <c r="K882" s="152"/>
      <c r="L882" s="152"/>
      <c r="M882" s="152"/>
      <c r="N882" s="152"/>
      <c r="O882" s="152"/>
      <c r="P882" s="152"/>
      <c r="Q882" s="152"/>
      <c r="R882" s="152"/>
    </row>
    <row r="883">
      <c r="A883" s="152"/>
      <c r="B883" s="152"/>
      <c r="C883" s="152"/>
      <c r="D883" s="152"/>
      <c r="E883" s="152"/>
      <c r="F883" s="143"/>
      <c r="G883" s="152"/>
      <c r="H883" s="152"/>
      <c r="I883" s="152"/>
      <c r="J883" s="152"/>
      <c r="K883" s="152"/>
      <c r="L883" s="152"/>
      <c r="M883" s="152"/>
      <c r="N883" s="152"/>
      <c r="O883" s="152"/>
      <c r="P883" s="152"/>
      <c r="Q883" s="152"/>
      <c r="R883" s="152"/>
    </row>
    <row r="884">
      <c r="A884" s="152"/>
      <c r="B884" s="152"/>
      <c r="C884" s="152"/>
      <c r="D884" s="152"/>
      <c r="E884" s="152"/>
      <c r="F884" s="143"/>
      <c r="G884" s="152"/>
      <c r="H884" s="152"/>
      <c r="I884" s="152"/>
      <c r="J884" s="152"/>
      <c r="K884" s="152"/>
      <c r="L884" s="152"/>
      <c r="M884" s="152"/>
      <c r="N884" s="152"/>
      <c r="O884" s="152"/>
      <c r="P884" s="152"/>
      <c r="Q884" s="152"/>
      <c r="R884" s="152"/>
    </row>
    <row r="885">
      <c r="A885" s="152"/>
      <c r="B885" s="152"/>
      <c r="C885" s="152"/>
      <c r="D885" s="152"/>
      <c r="E885" s="152"/>
      <c r="F885" s="143"/>
      <c r="G885" s="152"/>
      <c r="H885" s="152"/>
      <c r="I885" s="152"/>
      <c r="J885" s="152"/>
      <c r="K885" s="152"/>
      <c r="L885" s="152"/>
      <c r="M885" s="152"/>
      <c r="N885" s="152"/>
      <c r="O885" s="152"/>
      <c r="P885" s="152"/>
      <c r="Q885" s="152"/>
      <c r="R885" s="152"/>
    </row>
    <row r="886">
      <c r="A886" s="152"/>
      <c r="B886" s="152"/>
      <c r="C886" s="152"/>
      <c r="D886" s="152"/>
      <c r="E886" s="152"/>
      <c r="F886" s="143"/>
      <c r="G886" s="152"/>
      <c r="H886" s="152"/>
      <c r="I886" s="152"/>
      <c r="J886" s="152"/>
      <c r="K886" s="152"/>
      <c r="L886" s="152"/>
      <c r="M886" s="152"/>
      <c r="N886" s="152"/>
      <c r="O886" s="152"/>
      <c r="P886" s="152"/>
      <c r="Q886" s="152"/>
      <c r="R886" s="152"/>
    </row>
    <row r="887">
      <c r="A887" s="152"/>
      <c r="B887" s="152"/>
      <c r="C887" s="152"/>
      <c r="D887" s="152"/>
      <c r="E887" s="152"/>
      <c r="F887" s="143"/>
      <c r="G887" s="152"/>
      <c r="H887" s="152"/>
      <c r="I887" s="152"/>
      <c r="J887" s="152"/>
      <c r="K887" s="152"/>
      <c r="L887" s="152"/>
      <c r="M887" s="152"/>
      <c r="N887" s="152"/>
      <c r="O887" s="152"/>
      <c r="P887" s="152"/>
      <c r="Q887" s="152"/>
      <c r="R887" s="152"/>
    </row>
    <row r="888">
      <c r="A888" s="152"/>
      <c r="B888" s="152"/>
      <c r="C888" s="152"/>
      <c r="D888" s="152"/>
      <c r="E888" s="152"/>
      <c r="F888" s="143"/>
      <c r="G888" s="152"/>
      <c r="H888" s="152"/>
      <c r="I888" s="152"/>
      <c r="J888" s="152"/>
      <c r="K888" s="152"/>
      <c r="L888" s="152"/>
      <c r="M888" s="152"/>
      <c r="N888" s="152"/>
      <c r="O888" s="152"/>
      <c r="P888" s="152"/>
      <c r="Q888" s="152"/>
      <c r="R888" s="152"/>
    </row>
    <row r="889">
      <c r="A889" s="152"/>
      <c r="B889" s="152"/>
      <c r="C889" s="152"/>
      <c r="D889" s="152"/>
      <c r="E889" s="152"/>
      <c r="F889" s="143"/>
      <c r="G889" s="152"/>
      <c r="H889" s="152"/>
      <c r="I889" s="152"/>
      <c r="J889" s="152"/>
      <c r="K889" s="152"/>
      <c r="L889" s="152"/>
      <c r="M889" s="152"/>
      <c r="N889" s="152"/>
      <c r="O889" s="152"/>
      <c r="P889" s="152"/>
      <c r="Q889" s="152"/>
      <c r="R889" s="152"/>
    </row>
    <row r="890">
      <c r="A890" s="152"/>
      <c r="B890" s="152"/>
      <c r="C890" s="152"/>
      <c r="D890" s="152"/>
      <c r="E890" s="152"/>
      <c r="F890" s="143"/>
      <c r="G890" s="152"/>
      <c r="H890" s="152"/>
      <c r="I890" s="152"/>
      <c r="J890" s="152"/>
      <c r="K890" s="152"/>
      <c r="L890" s="152"/>
      <c r="M890" s="152"/>
      <c r="N890" s="152"/>
      <c r="O890" s="152"/>
      <c r="P890" s="152"/>
      <c r="Q890" s="152"/>
      <c r="R890" s="152"/>
    </row>
    <row r="891">
      <c r="A891" s="152"/>
      <c r="B891" s="152"/>
      <c r="C891" s="152"/>
      <c r="D891" s="152"/>
      <c r="E891" s="152"/>
      <c r="F891" s="143"/>
      <c r="G891" s="152"/>
      <c r="H891" s="152"/>
      <c r="I891" s="152"/>
      <c r="J891" s="152"/>
      <c r="K891" s="152"/>
      <c r="L891" s="152"/>
      <c r="M891" s="152"/>
      <c r="N891" s="152"/>
      <c r="O891" s="152"/>
      <c r="P891" s="152"/>
      <c r="Q891" s="152"/>
      <c r="R891" s="152"/>
    </row>
    <row r="892">
      <c r="A892" s="152"/>
      <c r="B892" s="152"/>
      <c r="C892" s="152"/>
      <c r="D892" s="152"/>
      <c r="E892" s="152"/>
      <c r="F892" s="143"/>
      <c r="G892" s="152"/>
      <c r="H892" s="152"/>
      <c r="I892" s="152"/>
      <c r="J892" s="152"/>
      <c r="K892" s="152"/>
      <c r="L892" s="152"/>
      <c r="M892" s="152"/>
      <c r="N892" s="152"/>
      <c r="O892" s="152"/>
      <c r="P892" s="152"/>
      <c r="Q892" s="152"/>
      <c r="R892" s="152"/>
    </row>
    <row r="893">
      <c r="A893" s="152"/>
      <c r="B893" s="152"/>
      <c r="C893" s="152"/>
      <c r="D893" s="152"/>
      <c r="E893" s="152"/>
      <c r="F893" s="143"/>
      <c r="G893" s="152"/>
      <c r="H893" s="152"/>
      <c r="I893" s="152"/>
      <c r="J893" s="152"/>
      <c r="K893" s="152"/>
      <c r="L893" s="152"/>
      <c r="M893" s="152"/>
      <c r="N893" s="152"/>
      <c r="O893" s="152"/>
      <c r="P893" s="152"/>
      <c r="Q893" s="152"/>
      <c r="R893" s="152"/>
    </row>
    <row r="894">
      <c r="A894" s="152"/>
      <c r="B894" s="152"/>
      <c r="C894" s="152"/>
      <c r="D894" s="152"/>
      <c r="E894" s="152"/>
      <c r="F894" s="143"/>
      <c r="G894" s="152"/>
      <c r="H894" s="152"/>
      <c r="I894" s="152"/>
      <c r="J894" s="152"/>
      <c r="K894" s="152"/>
      <c r="L894" s="152"/>
      <c r="M894" s="152"/>
      <c r="N894" s="152"/>
      <c r="O894" s="152"/>
      <c r="P894" s="152"/>
      <c r="Q894" s="152"/>
      <c r="R894" s="152"/>
    </row>
    <row r="895">
      <c r="A895" s="152"/>
      <c r="B895" s="152"/>
      <c r="C895" s="152"/>
      <c r="D895" s="152"/>
      <c r="E895" s="152"/>
      <c r="F895" s="143"/>
      <c r="G895" s="152"/>
      <c r="H895" s="152"/>
      <c r="I895" s="152"/>
      <c r="J895" s="152"/>
      <c r="K895" s="152"/>
      <c r="L895" s="152"/>
      <c r="M895" s="152"/>
      <c r="N895" s="152"/>
      <c r="O895" s="152"/>
      <c r="P895" s="152"/>
      <c r="Q895" s="152"/>
      <c r="R895" s="152"/>
    </row>
    <row r="896">
      <c r="A896" s="152"/>
      <c r="B896" s="152"/>
      <c r="C896" s="152"/>
      <c r="D896" s="152"/>
      <c r="E896" s="152"/>
      <c r="F896" s="143"/>
      <c r="G896" s="152"/>
      <c r="H896" s="152"/>
      <c r="I896" s="152"/>
      <c r="J896" s="152"/>
      <c r="K896" s="152"/>
      <c r="L896" s="152"/>
      <c r="M896" s="152"/>
      <c r="N896" s="152"/>
      <c r="O896" s="152"/>
      <c r="P896" s="152"/>
      <c r="Q896" s="152"/>
      <c r="R896" s="152"/>
    </row>
    <row r="897">
      <c r="A897" s="152"/>
      <c r="B897" s="152"/>
      <c r="C897" s="152"/>
      <c r="D897" s="152"/>
      <c r="E897" s="152"/>
      <c r="F897" s="143"/>
      <c r="G897" s="152"/>
      <c r="H897" s="152"/>
      <c r="I897" s="152"/>
      <c r="J897" s="152"/>
      <c r="K897" s="152"/>
      <c r="L897" s="152"/>
      <c r="M897" s="152"/>
      <c r="N897" s="152"/>
      <c r="O897" s="152"/>
      <c r="P897" s="152"/>
      <c r="Q897" s="152"/>
      <c r="R897" s="152"/>
    </row>
    <row r="898">
      <c r="A898" s="152"/>
      <c r="B898" s="152"/>
      <c r="C898" s="152"/>
      <c r="D898" s="152"/>
      <c r="E898" s="152"/>
      <c r="F898" s="143"/>
      <c r="G898" s="152"/>
      <c r="H898" s="152"/>
      <c r="I898" s="152"/>
      <c r="J898" s="152"/>
      <c r="K898" s="152"/>
      <c r="L898" s="152"/>
      <c r="M898" s="152"/>
      <c r="N898" s="152"/>
      <c r="O898" s="152"/>
      <c r="P898" s="152"/>
      <c r="Q898" s="152"/>
      <c r="R898" s="152"/>
    </row>
    <row r="899">
      <c r="A899" s="152"/>
      <c r="B899" s="152"/>
      <c r="C899" s="152"/>
      <c r="D899" s="152"/>
      <c r="E899" s="152"/>
      <c r="F899" s="143"/>
      <c r="G899" s="152"/>
      <c r="H899" s="152"/>
      <c r="I899" s="152"/>
      <c r="J899" s="152"/>
      <c r="K899" s="152"/>
      <c r="L899" s="152"/>
      <c r="M899" s="152"/>
      <c r="N899" s="152"/>
      <c r="O899" s="152"/>
      <c r="P899" s="152"/>
      <c r="Q899" s="152"/>
      <c r="R899" s="152"/>
    </row>
    <row r="900">
      <c r="A900" s="152"/>
      <c r="B900" s="152"/>
      <c r="C900" s="152"/>
      <c r="D900" s="152"/>
      <c r="E900" s="152"/>
      <c r="F900" s="143"/>
      <c r="G900" s="152"/>
      <c r="H900" s="152"/>
      <c r="I900" s="152"/>
      <c r="J900" s="152"/>
      <c r="K900" s="152"/>
      <c r="L900" s="152"/>
      <c r="M900" s="152"/>
      <c r="N900" s="152"/>
      <c r="O900" s="152"/>
      <c r="P900" s="152"/>
      <c r="Q900" s="152"/>
      <c r="R900" s="152"/>
    </row>
    <row r="901">
      <c r="A901" s="152"/>
      <c r="B901" s="152"/>
      <c r="C901" s="152"/>
      <c r="D901" s="152"/>
      <c r="E901" s="152"/>
      <c r="F901" s="143"/>
      <c r="G901" s="152"/>
      <c r="H901" s="152"/>
      <c r="I901" s="152"/>
      <c r="J901" s="152"/>
      <c r="K901" s="152"/>
      <c r="L901" s="152"/>
      <c r="M901" s="152"/>
      <c r="N901" s="152"/>
      <c r="O901" s="152"/>
      <c r="P901" s="152"/>
      <c r="Q901" s="152"/>
      <c r="R901" s="152"/>
    </row>
    <row r="902">
      <c r="A902" s="152"/>
      <c r="B902" s="152"/>
      <c r="C902" s="152"/>
      <c r="D902" s="152"/>
      <c r="E902" s="152"/>
      <c r="F902" s="143"/>
      <c r="G902" s="152"/>
      <c r="H902" s="152"/>
      <c r="I902" s="152"/>
      <c r="J902" s="152"/>
      <c r="K902" s="152"/>
      <c r="L902" s="152"/>
      <c r="M902" s="152"/>
      <c r="N902" s="152"/>
      <c r="O902" s="152"/>
      <c r="P902" s="152"/>
      <c r="Q902" s="152"/>
      <c r="R902" s="152"/>
    </row>
    <row r="903">
      <c r="A903" s="152"/>
      <c r="B903" s="152"/>
      <c r="C903" s="152"/>
      <c r="D903" s="152"/>
      <c r="E903" s="152"/>
      <c r="F903" s="143"/>
      <c r="G903" s="152"/>
      <c r="H903" s="152"/>
      <c r="I903" s="152"/>
      <c r="J903" s="152"/>
      <c r="K903" s="152"/>
      <c r="L903" s="152"/>
      <c r="M903" s="152"/>
      <c r="N903" s="152"/>
      <c r="O903" s="152"/>
      <c r="P903" s="152"/>
      <c r="Q903" s="152"/>
      <c r="R903" s="152"/>
    </row>
    <row r="904">
      <c r="A904" s="152"/>
      <c r="B904" s="152"/>
      <c r="C904" s="152"/>
      <c r="D904" s="152"/>
      <c r="E904" s="152"/>
      <c r="F904" s="143"/>
      <c r="G904" s="152"/>
      <c r="H904" s="152"/>
      <c r="I904" s="152"/>
      <c r="J904" s="152"/>
      <c r="K904" s="152"/>
      <c r="L904" s="152"/>
      <c r="M904" s="152"/>
      <c r="N904" s="152"/>
      <c r="O904" s="152"/>
      <c r="P904" s="152"/>
      <c r="Q904" s="152"/>
      <c r="R904" s="152"/>
    </row>
    <row r="905">
      <c r="A905" s="152"/>
      <c r="B905" s="152"/>
      <c r="C905" s="152"/>
      <c r="D905" s="152"/>
      <c r="E905" s="152"/>
      <c r="F905" s="143"/>
      <c r="G905" s="152"/>
      <c r="H905" s="152"/>
      <c r="I905" s="152"/>
      <c r="J905" s="152"/>
      <c r="K905" s="152"/>
      <c r="L905" s="152"/>
      <c r="M905" s="152"/>
      <c r="N905" s="152"/>
      <c r="O905" s="152"/>
      <c r="P905" s="152"/>
      <c r="Q905" s="152"/>
      <c r="R905" s="152"/>
    </row>
    <row r="906">
      <c r="A906" s="152"/>
      <c r="B906" s="152"/>
      <c r="C906" s="152"/>
      <c r="D906" s="152"/>
      <c r="E906" s="152"/>
      <c r="F906" s="143"/>
      <c r="G906" s="152"/>
      <c r="H906" s="152"/>
      <c r="I906" s="152"/>
      <c r="J906" s="152"/>
      <c r="K906" s="152"/>
      <c r="L906" s="152"/>
      <c r="M906" s="152"/>
      <c r="N906" s="152"/>
      <c r="O906" s="152"/>
      <c r="P906" s="152"/>
      <c r="Q906" s="152"/>
      <c r="R906" s="152"/>
    </row>
    <row r="907">
      <c r="A907" s="152"/>
      <c r="B907" s="152"/>
      <c r="C907" s="152"/>
      <c r="D907" s="152"/>
      <c r="E907" s="152"/>
      <c r="F907" s="143"/>
      <c r="G907" s="152"/>
      <c r="H907" s="152"/>
      <c r="I907" s="152"/>
      <c r="J907" s="152"/>
      <c r="K907" s="152"/>
      <c r="L907" s="152"/>
      <c r="M907" s="152"/>
      <c r="N907" s="152"/>
      <c r="O907" s="152"/>
      <c r="P907" s="152"/>
      <c r="Q907" s="152"/>
      <c r="R907" s="152"/>
    </row>
    <row r="908">
      <c r="A908" s="152"/>
      <c r="B908" s="152"/>
      <c r="C908" s="152"/>
      <c r="D908" s="152"/>
      <c r="E908" s="152"/>
      <c r="F908" s="143"/>
      <c r="G908" s="152"/>
      <c r="H908" s="152"/>
      <c r="I908" s="152"/>
      <c r="J908" s="152"/>
      <c r="K908" s="152"/>
      <c r="L908" s="152"/>
      <c r="M908" s="152"/>
      <c r="N908" s="152"/>
      <c r="O908" s="152"/>
      <c r="P908" s="152"/>
      <c r="Q908" s="152"/>
      <c r="R908" s="152"/>
    </row>
    <row r="909">
      <c r="A909" s="152"/>
      <c r="B909" s="152"/>
      <c r="C909" s="152"/>
      <c r="D909" s="152"/>
      <c r="E909" s="152"/>
      <c r="F909" s="143"/>
      <c r="G909" s="152"/>
      <c r="H909" s="152"/>
      <c r="I909" s="152"/>
      <c r="J909" s="152"/>
      <c r="K909" s="152"/>
      <c r="L909" s="152"/>
      <c r="M909" s="152"/>
      <c r="N909" s="152"/>
      <c r="O909" s="152"/>
      <c r="P909" s="152"/>
      <c r="Q909" s="152"/>
      <c r="R909" s="152"/>
    </row>
    <row r="910">
      <c r="A910" s="152"/>
      <c r="B910" s="152"/>
      <c r="C910" s="152"/>
      <c r="D910" s="152"/>
      <c r="E910" s="152"/>
      <c r="F910" s="143"/>
      <c r="G910" s="152"/>
      <c r="H910" s="152"/>
      <c r="I910" s="152"/>
      <c r="J910" s="152"/>
      <c r="K910" s="152"/>
      <c r="L910" s="152"/>
      <c r="M910" s="152"/>
      <c r="N910" s="152"/>
      <c r="O910" s="152"/>
      <c r="P910" s="152"/>
      <c r="Q910" s="152"/>
      <c r="R910" s="152"/>
    </row>
    <row r="911">
      <c r="A911" s="152"/>
      <c r="B911" s="152"/>
      <c r="C911" s="152"/>
      <c r="D911" s="152"/>
      <c r="E911" s="152"/>
      <c r="F911" s="143"/>
      <c r="G911" s="152"/>
      <c r="H911" s="152"/>
      <c r="I911" s="152"/>
      <c r="J911" s="152"/>
      <c r="K911" s="152"/>
      <c r="L911" s="152"/>
      <c r="M911" s="152"/>
      <c r="N911" s="152"/>
      <c r="O911" s="152"/>
      <c r="P911" s="152"/>
      <c r="Q911" s="152"/>
      <c r="R911" s="152"/>
    </row>
    <row r="912">
      <c r="A912" s="152"/>
      <c r="B912" s="152"/>
      <c r="C912" s="152"/>
      <c r="D912" s="152"/>
      <c r="E912" s="152"/>
      <c r="F912" s="143"/>
      <c r="G912" s="152"/>
      <c r="H912" s="152"/>
      <c r="I912" s="152"/>
      <c r="J912" s="152"/>
      <c r="K912" s="152"/>
      <c r="L912" s="152"/>
      <c r="M912" s="152"/>
      <c r="N912" s="152"/>
      <c r="O912" s="152"/>
      <c r="P912" s="152"/>
      <c r="Q912" s="152"/>
      <c r="R912" s="152"/>
    </row>
    <row r="913">
      <c r="A913" s="152"/>
      <c r="B913" s="152"/>
      <c r="C913" s="152"/>
      <c r="D913" s="152"/>
      <c r="E913" s="152"/>
      <c r="F913" s="143"/>
      <c r="G913" s="152"/>
      <c r="H913" s="152"/>
      <c r="I913" s="152"/>
      <c r="J913" s="152"/>
      <c r="K913" s="152"/>
      <c r="L913" s="152"/>
      <c r="M913" s="152"/>
      <c r="N913" s="152"/>
      <c r="O913" s="152"/>
      <c r="P913" s="152"/>
      <c r="Q913" s="152"/>
      <c r="R913" s="152"/>
    </row>
    <row r="914">
      <c r="A914" s="152"/>
      <c r="B914" s="152"/>
      <c r="C914" s="152"/>
      <c r="D914" s="152"/>
      <c r="E914" s="152"/>
      <c r="F914" s="143"/>
      <c r="G914" s="152"/>
      <c r="H914" s="152"/>
      <c r="I914" s="152"/>
      <c r="J914" s="152"/>
      <c r="K914" s="152"/>
      <c r="L914" s="152"/>
      <c r="M914" s="152"/>
      <c r="N914" s="152"/>
      <c r="O914" s="152"/>
      <c r="P914" s="152"/>
      <c r="Q914" s="152"/>
      <c r="R914" s="152"/>
    </row>
    <row r="915">
      <c r="A915" s="152"/>
      <c r="B915" s="152"/>
      <c r="C915" s="152"/>
      <c r="D915" s="152"/>
      <c r="E915" s="152"/>
      <c r="F915" s="143"/>
      <c r="G915" s="152"/>
      <c r="H915" s="152"/>
      <c r="I915" s="152"/>
      <c r="J915" s="152"/>
      <c r="K915" s="152"/>
      <c r="L915" s="152"/>
      <c r="M915" s="152"/>
      <c r="N915" s="152"/>
      <c r="O915" s="152"/>
      <c r="P915" s="152"/>
      <c r="Q915" s="152"/>
      <c r="R915" s="152"/>
    </row>
    <row r="916">
      <c r="A916" s="152"/>
      <c r="B916" s="152"/>
      <c r="C916" s="152"/>
      <c r="D916" s="152"/>
      <c r="E916" s="152"/>
      <c r="F916" s="143"/>
      <c r="G916" s="152"/>
      <c r="H916" s="152"/>
      <c r="I916" s="152"/>
      <c r="J916" s="152"/>
      <c r="K916" s="152"/>
      <c r="L916" s="152"/>
      <c r="M916" s="152"/>
      <c r="N916" s="152"/>
      <c r="O916" s="152"/>
      <c r="P916" s="152"/>
      <c r="Q916" s="152"/>
      <c r="R916" s="152"/>
    </row>
    <row r="917">
      <c r="A917" s="152"/>
      <c r="B917" s="152"/>
      <c r="C917" s="152"/>
      <c r="D917" s="152"/>
      <c r="E917" s="152"/>
      <c r="F917" s="143"/>
      <c r="G917" s="152"/>
      <c r="H917" s="152"/>
      <c r="I917" s="152"/>
      <c r="J917" s="152"/>
      <c r="K917" s="152"/>
      <c r="L917" s="152"/>
      <c r="M917" s="152"/>
      <c r="N917" s="152"/>
      <c r="O917" s="152"/>
      <c r="P917" s="152"/>
      <c r="Q917" s="152"/>
      <c r="R917" s="152"/>
    </row>
    <row r="918">
      <c r="A918" s="152"/>
      <c r="B918" s="152"/>
      <c r="C918" s="152"/>
      <c r="D918" s="152"/>
      <c r="E918" s="152"/>
      <c r="F918" s="143"/>
      <c r="G918" s="152"/>
      <c r="H918" s="152"/>
      <c r="I918" s="152"/>
      <c r="J918" s="152"/>
      <c r="K918" s="152"/>
      <c r="L918" s="152"/>
      <c r="M918" s="152"/>
      <c r="N918" s="152"/>
      <c r="O918" s="152"/>
      <c r="P918" s="152"/>
      <c r="Q918" s="152"/>
      <c r="R918" s="152"/>
    </row>
    <row r="919">
      <c r="A919" s="152"/>
      <c r="B919" s="152"/>
      <c r="C919" s="152"/>
      <c r="D919" s="152"/>
      <c r="E919" s="152"/>
      <c r="F919" s="143"/>
      <c r="G919" s="152"/>
      <c r="H919" s="152"/>
      <c r="I919" s="152"/>
      <c r="J919" s="152"/>
      <c r="K919" s="152"/>
      <c r="L919" s="152"/>
      <c r="M919" s="152"/>
      <c r="N919" s="152"/>
      <c r="O919" s="152"/>
      <c r="P919" s="152"/>
      <c r="Q919" s="152"/>
      <c r="R919" s="152"/>
    </row>
    <row r="920">
      <c r="A920" s="152"/>
      <c r="B920" s="152"/>
      <c r="C920" s="152"/>
      <c r="D920" s="152"/>
      <c r="E920" s="152"/>
      <c r="F920" s="143"/>
      <c r="G920" s="152"/>
      <c r="H920" s="152"/>
      <c r="I920" s="152"/>
      <c r="J920" s="152"/>
      <c r="K920" s="152"/>
      <c r="L920" s="152"/>
      <c r="M920" s="152"/>
      <c r="N920" s="152"/>
      <c r="O920" s="152"/>
      <c r="P920" s="152"/>
      <c r="Q920" s="152"/>
      <c r="R920" s="152"/>
    </row>
    <row r="921">
      <c r="A921" s="152"/>
      <c r="B921" s="152"/>
      <c r="C921" s="152"/>
      <c r="D921" s="152"/>
      <c r="E921" s="152"/>
      <c r="F921" s="143"/>
      <c r="G921" s="152"/>
      <c r="H921" s="152"/>
      <c r="I921" s="152"/>
      <c r="J921" s="152"/>
      <c r="K921" s="152"/>
      <c r="L921" s="152"/>
      <c r="M921" s="152"/>
      <c r="N921" s="152"/>
      <c r="O921" s="152"/>
      <c r="P921" s="152"/>
      <c r="Q921" s="152"/>
      <c r="R921" s="152"/>
    </row>
    <row r="922">
      <c r="A922" s="152"/>
      <c r="B922" s="152"/>
      <c r="C922" s="152"/>
      <c r="D922" s="152"/>
      <c r="E922" s="152"/>
      <c r="F922" s="143"/>
      <c r="G922" s="152"/>
      <c r="H922" s="152"/>
      <c r="I922" s="152"/>
      <c r="J922" s="152"/>
      <c r="K922" s="152"/>
      <c r="L922" s="152"/>
      <c r="M922" s="152"/>
      <c r="N922" s="152"/>
      <c r="O922" s="152"/>
      <c r="P922" s="152"/>
      <c r="Q922" s="152"/>
      <c r="R922" s="152"/>
    </row>
    <row r="923">
      <c r="A923" s="152"/>
      <c r="B923" s="152"/>
      <c r="C923" s="152"/>
      <c r="D923" s="152"/>
      <c r="E923" s="152"/>
      <c r="F923" s="143"/>
      <c r="G923" s="152"/>
      <c r="H923" s="152"/>
      <c r="I923" s="152"/>
      <c r="J923" s="152"/>
      <c r="K923" s="152"/>
      <c r="L923" s="152"/>
      <c r="M923" s="152"/>
      <c r="N923" s="152"/>
      <c r="O923" s="152"/>
      <c r="P923" s="152"/>
      <c r="Q923" s="152"/>
      <c r="R923" s="152"/>
    </row>
    <row r="924">
      <c r="A924" s="152"/>
      <c r="B924" s="152"/>
      <c r="C924" s="152"/>
      <c r="D924" s="152"/>
      <c r="E924" s="152"/>
      <c r="F924" s="143"/>
      <c r="G924" s="152"/>
      <c r="H924" s="152"/>
      <c r="I924" s="152"/>
      <c r="J924" s="152"/>
      <c r="K924" s="152"/>
      <c r="L924" s="152"/>
      <c r="M924" s="152"/>
      <c r="N924" s="152"/>
      <c r="O924" s="152"/>
      <c r="P924" s="152"/>
      <c r="Q924" s="152"/>
      <c r="R924" s="152"/>
    </row>
    <row r="925">
      <c r="A925" s="152"/>
      <c r="B925" s="152"/>
      <c r="C925" s="152"/>
      <c r="D925" s="152"/>
      <c r="E925" s="152"/>
      <c r="F925" s="143"/>
      <c r="G925" s="152"/>
      <c r="H925" s="152"/>
      <c r="I925" s="152"/>
      <c r="J925" s="152"/>
      <c r="K925" s="152"/>
      <c r="L925" s="152"/>
      <c r="M925" s="152"/>
      <c r="N925" s="152"/>
      <c r="O925" s="152"/>
      <c r="P925" s="152"/>
      <c r="Q925" s="152"/>
      <c r="R925" s="152"/>
    </row>
    <row r="926">
      <c r="A926" s="152"/>
      <c r="B926" s="152"/>
      <c r="C926" s="152"/>
      <c r="D926" s="152"/>
      <c r="E926" s="152"/>
      <c r="F926" s="143"/>
      <c r="G926" s="152"/>
      <c r="H926" s="152"/>
      <c r="I926" s="152"/>
      <c r="J926" s="152"/>
      <c r="K926" s="152"/>
      <c r="L926" s="152"/>
      <c r="M926" s="152"/>
      <c r="N926" s="152"/>
      <c r="O926" s="152"/>
      <c r="P926" s="152"/>
      <c r="Q926" s="152"/>
      <c r="R926" s="152"/>
    </row>
    <row r="927">
      <c r="A927" s="152"/>
      <c r="B927" s="152"/>
      <c r="C927" s="152"/>
      <c r="D927" s="152"/>
      <c r="E927" s="152"/>
      <c r="F927" s="143"/>
      <c r="G927" s="152"/>
      <c r="H927" s="152"/>
      <c r="I927" s="152"/>
      <c r="J927" s="152"/>
      <c r="K927" s="152"/>
      <c r="L927" s="152"/>
      <c r="M927" s="152"/>
      <c r="N927" s="152"/>
      <c r="O927" s="152"/>
      <c r="P927" s="152"/>
      <c r="Q927" s="152"/>
      <c r="R927" s="152"/>
    </row>
    <row r="928">
      <c r="A928" s="152"/>
      <c r="B928" s="152"/>
      <c r="C928" s="152"/>
      <c r="D928" s="152"/>
      <c r="E928" s="152"/>
      <c r="F928" s="143"/>
      <c r="G928" s="152"/>
      <c r="H928" s="152"/>
      <c r="I928" s="152"/>
      <c r="J928" s="152"/>
      <c r="K928" s="152"/>
      <c r="L928" s="152"/>
      <c r="M928" s="152"/>
      <c r="N928" s="152"/>
      <c r="O928" s="152"/>
      <c r="P928" s="152"/>
      <c r="Q928" s="152"/>
      <c r="R928" s="152"/>
    </row>
    <row r="929">
      <c r="A929" s="152"/>
      <c r="B929" s="152"/>
      <c r="C929" s="152"/>
      <c r="D929" s="152"/>
      <c r="E929" s="152"/>
      <c r="F929" s="143"/>
      <c r="G929" s="152"/>
      <c r="H929" s="152"/>
      <c r="I929" s="152"/>
      <c r="J929" s="152"/>
      <c r="K929" s="152"/>
      <c r="L929" s="152"/>
      <c r="M929" s="152"/>
      <c r="N929" s="152"/>
      <c r="O929" s="152"/>
      <c r="P929" s="152"/>
      <c r="Q929" s="152"/>
      <c r="R929" s="152"/>
    </row>
    <row r="930">
      <c r="A930" s="152"/>
      <c r="B930" s="152"/>
      <c r="C930" s="152"/>
      <c r="D930" s="152"/>
      <c r="E930" s="152"/>
      <c r="F930" s="143"/>
      <c r="G930" s="152"/>
      <c r="H930" s="152"/>
      <c r="I930" s="152"/>
      <c r="J930" s="152"/>
      <c r="K930" s="152"/>
      <c r="L930" s="152"/>
      <c r="M930" s="152"/>
      <c r="N930" s="152"/>
      <c r="O930" s="152"/>
      <c r="P930" s="152"/>
      <c r="Q930" s="152"/>
      <c r="R930" s="152"/>
    </row>
    <row r="931">
      <c r="A931" s="152"/>
      <c r="B931" s="152"/>
      <c r="C931" s="152"/>
      <c r="D931" s="152"/>
      <c r="E931" s="152"/>
      <c r="F931" s="143"/>
      <c r="G931" s="152"/>
      <c r="H931" s="152"/>
      <c r="I931" s="152"/>
      <c r="J931" s="152"/>
      <c r="K931" s="152"/>
      <c r="L931" s="152"/>
      <c r="M931" s="152"/>
      <c r="N931" s="152"/>
      <c r="O931" s="152"/>
      <c r="P931" s="152"/>
      <c r="Q931" s="152"/>
      <c r="R931" s="152"/>
    </row>
    <row r="932">
      <c r="A932" s="152"/>
      <c r="B932" s="152"/>
      <c r="C932" s="152"/>
      <c r="D932" s="152"/>
      <c r="E932" s="152"/>
      <c r="F932" s="143"/>
      <c r="G932" s="152"/>
      <c r="H932" s="152"/>
      <c r="I932" s="152"/>
      <c r="J932" s="152"/>
      <c r="K932" s="152"/>
      <c r="L932" s="152"/>
      <c r="M932" s="152"/>
      <c r="N932" s="152"/>
      <c r="O932" s="152"/>
      <c r="P932" s="152"/>
      <c r="Q932" s="152"/>
      <c r="R932" s="152"/>
    </row>
    <row r="933">
      <c r="A933" s="152"/>
      <c r="B933" s="152"/>
      <c r="C933" s="152"/>
      <c r="D933" s="152"/>
      <c r="E933" s="152"/>
      <c r="F933" s="143"/>
      <c r="G933" s="152"/>
      <c r="H933" s="152"/>
      <c r="I933" s="152"/>
      <c r="J933" s="152"/>
      <c r="K933" s="152"/>
      <c r="L933" s="152"/>
      <c r="M933" s="152"/>
      <c r="N933" s="152"/>
      <c r="O933" s="152"/>
      <c r="P933" s="152"/>
      <c r="Q933" s="152"/>
      <c r="R933" s="152"/>
    </row>
    <row r="934">
      <c r="A934" s="152"/>
      <c r="B934" s="152"/>
      <c r="C934" s="152"/>
      <c r="D934" s="152"/>
      <c r="E934" s="152"/>
      <c r="F934" s="143"/>
      <c r="G934" s="152"/>
      <c r="H934" s="152"/>
      <c r="I934" s="152"/>
      <c r="J934" s="152"/>
      <c r="K934" s="152"/>
      <c r="L934" s="152"/>
      <c r="M934" s="152"/>
      <c r="N934" s="152"/>
      <c r="O934" s="152"/>
      <c r="P934" s="152"/>
      <c r="Q934" s="152"/>
      <c r="R934" s="152"/>
    </row>
    <row r="935">
      <c r="A935" s="152"/>
      <c r="B935" s="152"/>
      <c r="C935" s="152"/>
      <c r="D935" s="152"/>
      <c r="E935" s="152"/>
      <c r="F935" s="143"/>
      <c r="G935" s="152"/>
      <c r="H935" s="152"/>
      <c r="I935" s="152"/>
      <c r="J935" s="152"/>
      <c r="K935" s="152"/>
      <c r="L935" s="152"/>
      <c r="M935" s="152"/>
      <c r="N935" s="152"/>
      <c r="O935" s="152"/>
      <c r="P935" s="152"/>
      <c r="Q935" s="152"/>
      <c r="R935" s="152"/>
    </row>
    <row r="936">
      <c r="A936" s="152"/>
      <c r="B936" s="152"/>
      <c r="C936" s="152"/>
      <c r="D936" s="152"/>
      <c r="E936" s="152"/>
      <c r="F936" s="143"/>
      <c r="G936" s="152"/>
      <c r="H936" s="152"/>
      <c r="I936" s="152"/>
      <c r="J936" s="152"/>
      <c r="K936" s="152"/>
      <c r="L936" s="152"/>
      <c r="M936" s="152"/>
      <c r="N936" s="152"/>
      <c r="O936" s="152"/>
      <c r="P936" s="152"/>
      <c r="Q936" s="152"/>
      <c r="R936" s="152"/>
    </row>
    <row r="937">
      <c r="A937" s="152"/>
      <c r="B937" s="152"/>
      <c r="C937" s="152"/>
      <c r="D937" s="152"/>
      <c r="E937" s="152"/>
      <c r="F937" s="143"/>
      <c r="G937" s="152"/>
      <c r="H937" s="152"/>
      <c r="I937" s="152"/>
      <c r="J937" s="152"/>
      <c r="K937" s="152"/>
      <c r="L937" s="152"/>
      <c r="M937" s="152"/>
      <c r="N937" s="152"/>
      <c r="O937" s="152"/>
      <c r="P937" s="152"/>
      <c r="Q937" s="152"/>
      <c r="R937" s="152"/>
    </row>
    <row r="938">
      <c r="A938" s="152"/>
      <c r="B938" s="152"/>
      <c r="C938" s="152"/>
      <c r="D938" s="152"/>
      <c r="E938" s="152"/>
      <c r="F938" s="143"/>
      <c r="G938" s="152"/>
      <c r="H938" s="152"/>
      <c r="I938" s="152"/>
      <c r="J938" s="152"/>
      <c r="K938" s="152"/>
      <c r="L938" s="152"/>
      <c r="M938" s="152"/>
      <c r="N938" s="152"/>
      <c r="O938" s="152"/>
      <c r="P938" s="152"/>
      <c r="Q938" s="152"/>
      <c r="R938" s="152"/>
    </row>
    <row r="939">
      <c r="A939" s="152"/>
      <c r="B939" s="152"/>
      <c r="C939" s="152"/>
      <c r="D939" s="152"/>
      <c r="E939" s="152"/>
      <c r="F939" s="143"/>
      <c r="G939" s="152"/>
      <c r="H939" s="152"/>
      <c r="I939" s="152"/>
      <c r="J939" s="152"/>
      <c r="K939" s="152"/>
      <c r="L939" s="152"/>
      <c r="M939" s="152"/>
      <c r="N939" s="152"/>
      <c r="O939" s="152"/>
      <c r="P939" s="152"/>
      <c r="Q939" s="152"/>
      <c r="R939" s="152"/>
    </row>
    <row r="940">
      <c r="A940" s="152"/>
      <c r="B940" s="152"/>
      <c r="C940" s="152"/>
      <c r="D940" s="152"/>
      <c r="E940" s="152"/>
      <c r="F940" s="143"/>
      <c r="G940" s="152"/>
      <c r="H940" s="152"/>
      <c r="I940" s="152"/>
      <c r="J940" s="152"/>
      <c r="K940" s="152"/>
      <c r="L940" s="152"/>
      <c r="M940" s="152"/>
      <c r="N940" s="152"/>
      <c r="O940" s="152"/>
      <c r="P940" s="152"/>
      <c r="Q940" s="152"/>
      <c r="R940" s="152"/>
    </row>
    <row r="941">
      <c r="A941" s="152"/>
      <c r="B941" s="152"/>
      <c r="C941" s="152"/>
      <c r="D941" s="152"/>
      <c r="E941" s="152"/>
      <c r="F941" s="143"/>
      <c r="G941" s="152"/>
      <c r="H941" s="152"/>
      <c r="I941" s="152"/>
      <c r="J941" s="152"/>
      <c r="K941" s="152"/>
      <c r="L941" s="152"/>
      <c r="M941" s="152"/>
      <c r="N941" s="152"/>
      <c r="O941" s="152"/>
      <c r="P941" s="152"/>
      <c r="Q941" s="152"/>
      <c r="R941" s="152"/>
    </row>
    <row r="942">
      <c r="A942" s="152"/>
      <c r="B942" s="152"/>
      <c r="C942" s="152"/>
      <c r="D942" s="152"/>
      <c r="E942" s="152"/>
      <c r="F942" s="143"/>
      <c r="G942" s="152"/>
      <c r="H942" s="152"/>
      <c r="I942" s="152"/>
      <c r="J942" s="152"/>
      <c r="K942" s="152"/>
      <c r="L942" s="152"/>
      <c r="M942" s="152"/>
      <c r="N942" s="152"/>
      <c r="O942" s="152"/>
      <c r="P942" s="152"/>
      <c r="Q942" s="152"/>
      <c r="R942" s="152"/>
    </row>
    <row r="943">
      <c r="A943" s="152"/>
      <c r="B943" s="152"/>
      <c r="C943" s="152"/>
      <c r="D943" s="152"/>
      <c r="E943" s="152"/>
      <c r="F943" s="143"/>
      <c r="G943" s="152"/>
      <c r="H943" s="152"/>
      <c r="I943" s="152"/>
      <c r="J943" s="152"/>
      <c r="K943" s="152"/>
      <c r="L943" s="152"/>
      <c r="M943" s="152"/>
      <c r="N943" s="152"/>
      <c r="O943" s="152"/>
      <c r="P943" s="152"/>
      <c r="Q943" s="152"/>
      <c r="R943" s="152"/>
    </row>
    <row r="944">
      <c r="A944" s="152"/>
      <c r="B944" s="152"/>
      <c r="C944" s="152"/>
      <c r="D944" s="152"/>
      <c r="E944" s="152"/>
      <c r="F944" s="143"/>
      <c r="G944" s="152"/>
      <c r="H944" s="152"/>
      <c r="I944" s="152"/>
      <c r="J944" s="152"/>
      <c r="K944" s="152"/>
      <c r="L944" s="152"/>
      <c r="M944" s="152"/>
      <c r="N944" s="152"/>
      <c r="O944" s="152"/>
      <c r="P944" s="152"/>
      <c r="Q944" s="152"/>
      <c r="R944" s="152"/>
    </row>
    <row r="945">
      <c r="A945" s="152"/>
      <c r="B945" s="152"/>
      <c r="C945" s="152"/>
      <c r="D945" s="152"/>
      <c r="E945" s="152"/>
      <c r="F945" s="143"/>
      <c r="G945" s="152"/>
      <c r="H945" s="152"/>
      <c r="I945" s="152"/>
      <c r="J945" s="152"/>
      <c r="K945" s="152"/>
      <c r="L945" s="152"/>
      <c r="M945" s="152"/>
      <c r="N945" s="152"/>
      <c r="O945" s="152"/>
      <c r="P945" s="152"/>
      <c r="Q945" s="152"/>
      <c r="R945" s="152"/>
    </row>
    <row r="946">
      <c r="A946" s="152"/>
      <c r="B946" s="152"/>
      <c r="C946" s="152"/>
      <c r="D946" s="152"/>
      <c r="E946" s="152"/>
      <c r="F946" s="143"/>
      <c r="G946" s="152"/>
      <c r="H946" s="152"/>
      <c r="I946" s="152"/>
      <c r="J946" s="152"/>
      <c r="K946" s="152"/>
      <c r="L946" s="152"/>
      <c r="M946" s="152"/>
      <c r="N946" s="152"/>
      <c r="O946" s="152"/>
      <c r="P946" s="152"/>
      <c r="Q946" s="152"/>
      <c r="R946" s="152"/>
    </row>
    <row r="947">
      <c r="A947" s="152"/>
      <c r="B947" s="152"/>
      <c r="C947" s="152"/>
      <c r="D947" s="152"/>
      <c r="E947" s="152"/>
      <c r="F947" s="143"/>
      <c r="G947" s="152"/>
      <c r="H947" s="152"/>
      <c r="I947" s="152"/>
      <c r="J947" s="152"/>
      <c r="K947" s="152"/>
      <c r="L947" s="152"/>
      <c r="M947" s="152"/>
      <c r="N947" s="152"/>
      <c r="O947" s="152"/>
      <c r="P947" s="152"/>
      <c r="Q947" s="152"/>
      <c r="R947" s="152"/>
    </row>
    <row r="948">
      <c r="A948" s="152"/>
      <c r="B948" s="152"/>
      <c r="C948" s="152"/>
      <c r="D948" s="152"/>
      <c r="E948" s="152"/>
      <c r="F948" s="143"/>
      <c r="G948" s="152"/>
      <c r="H948" s="152"/>
      <c r="I948" s="152"/>
      <c r="J948" s="152"/>
      <c r="K948" s="152"/>
      <c r="L948" s="152"/>
      <c r="M948" s="152"/>
      <c r="N948" s="152"/>
      <c r="O948" s="152"/>
      <c r="P948" s="152"/>
      <c r="Q948" s="152"/>
      <c r="R948" s="152"/>
    </row>
    <row r="949">
      <c r="A949" s="152"/>
      <c r="B949" s="152"/>
      <c r="C949" s="152"/>
      <c r="D949" s="152"/>
      <c r="E949" s="152"/>
      <c r="F949" s="143"/>
      <c r="G949" s="152"/>
      <c r="H949" s="152"/>
      <c r="I949" s="152"/>
      <c r="J949" s="152"/>
      <c r="K949" s="152"/>
      <c r="L949" s="152"/>
      <c r="M949" s="152"/>
      <c r="N949" s="152"/>
      <c r="O949" s="152"/>
      <c r="P949" s="152"/>
      <c r="Q949" s="152"/>
      <c r="R949" s="152"/>
    </row>
    <row r="950">
      <c r="A950" s="152"/>
      <c r="B950" s="152"/>
      <c r="C950" s="152"/>
      <c r="D950" s="152"/>
      <c r="E950" s="152"/>
      <c r="F950" s="143"/>
      <c r="G950" s="152"/>
      <c r="H950" s="152"/>
      <c r="I950" s="152"/>
      <c r="J950" s="152"/>
      <c r="K950" s="152"/>
      <c r="L950" s="152"/>
      <c r="M950" s="152"/>
      <c r="N950" s="152"/>
      <c r="O950" s="152"/>
      <c r="P950" s="152"/>
      <c r="Q950" s="152"/>
      <c r="R950" s="152"/>
    </row>
    <row r="951">
      <c r="A951" s="152"/>
      <c r="B951" s="152"/>
      <c r="C951" s="152"/>
      <c r="D951" s="152"/>
      <c r="E951" s="152"/>
      <c r="F951" s="143"/>
      <c r="G951" s="152"/>
      <c r="H951" s="152"/>
      <c r="I951" s="152"/>
      <c r="J951" s="152"/>
      <c r="K951" s="152"/>
      <c r="L951" s="152"/>
      <c r="M951" s="152"/>
      <c r="N951" s="152"/>
      <c r="O951" s="152"/>
      <c r="P951" s="152"/>
      <c r="Q951" s="152"/>
      <c r="R951" s="152"/>
    </row>
    <row r="952">
      <c r="A952" s="152"/>
      <c r="B952" s="152"/>
      <c r="C952" s="152"/>
      <c r="D952" s="152"/>
      <c r="E952" s="152"/>
      <c r="F952" s="143"/>
      <c r="G952" s="152"/>
      <c r="H952" s="152"/>
      <c r="I952" s="152"/>
      <c r="J952" s="152"/>
      <c r="K952" s="152"/>
      <c r="L952" s="152"/>
      <c r="M952" s="152"/>
      <c r="N952" s="152"/>
      <c r="O952" s="152"/>
      <c r="P952" s="152"/>
      <c r="Q952" s="152"/>
      <c r="R952" s="152"/>
    </row>
    <row r="953">
      <c r="A953" s="152"/>
      <c r="B953" s="152"/>
      <c r="C953" s="152"/>
      <c r="D953" s="152"/>
      <c r="E953" s="152"/>
      <c r="F953" s="143"/>
      <c r="G953" s="152"/>
      <c r="H953" s="152"/>
      <c r="I953" s="152"/>
      <c r="J953" s="152"/>
      <c r="K953" s="152"/>
      <c r="L953" s="152"/>
      <c r="M953" s="152"/>
      <c r="N953" s="152"/>
      <c r="O953" s="152"/>
      <c r="P953" s="152"/>
      <c r="Q953" s="152"/>
      <c r="R953" s="152"/>
    </row>
    <row r="954">
      <c r="A954" s="152"/>
      <c r="B954" s="152"/>
      <c r="C954" s="152"/>
      <c r="D954" s="152"/>
      <c r="E954" s="152"/>
      <c r="F954" s="143"/>
      <c r="G954" s="152"/>
      <c r="H954" s="152"/>
      <c r="I954" s="152"/>
      <c r="J954" s="152"/>
      <c r="K954" s="152"/>
      <c r="L954" s="152"/>
      <c r="M954" s="152"/>
      <c r="N954" s="152"/>
      <c r="O954" s="152"/>
      <c r="P954" s="152"/>
      <c r="Q954" s="152"/>
      <c r="R954" s="152"/>
    </row>
    <row r="955">
      <c r="A955" s="152"/>
      <c r="B955" s="152"/>
      <c r="C955" s="152"/>
      <c r="D955" s="152"/>
      <c r="E955" s="152"/>
      <c r="F955" s="143"/>
      <c r="G955" s="152"/>
      <c r="H955" s="152"/>
      <c r="I955" s="152"/>
      <c r="J955" s="152"/>
      <c r="K955" s="152"/>
      <c r="L955" s="152"/>
      <c r="M955" s="152"/>
      <c r="N955" s="152"/>
      <c r="O955" s="152"/>
      <c r="P955" s="152"/>
      <c r="Q955" s="152"/>
      <c r="R955" s="152"/>
    </row>
    <row r="956">
      <c r="A956" s="152"/>
      <c r="B956" s="152"/>
      <c r="C956" s="152"/>
      <c r="D956" s="152"/>
      <c r="E956" s="152"/>
      <c r="F956" s="143"/>
      <c r="G956" s="152"/>
      <c r="H956" s="152"/>
      <c r="I956" s="152"/>
      <c r="J956" s="152"/>
      <c r="K956" s="152"/>
      <c r="L956" s="152"/>
      <c r="M956" s="152"/>
      <c r="N956" s="152"/>
      <c r="O956" s="152"/>
      <c r="P956" s="152"/>
      <c r="Q956" s="152"/>
      <c r="R956" s="152"/>
    </row>
    <row r="957">
      <c r="A957" s="152"/>
      <c r="B957" s="152"/>
      <c r="C957" s="152"/>
      <c r="D957" s="152"/>
      <c r="E957" s="152"/>
      <c r="F957" s="143"/>
      <c r="G957" s="152"/>
      <c r="H957" s="152"/>
      <c r="I957" s="152"/>
      <c r="J957" s="152"/>
      <c r="K957" s="152"/>
      <c r="L957" s="152"/>
      <c r="M957" s="152"/>
      <c r="N957" s="152"/>
      <c r="O957" s="152"/>
      <c r="P957" s="152"/>
      <c r="Q957" s="152"/>
      <c r="R957" s="152"/>
    </row>
    <row r="958">
      <c r="A958" s="152"/>
      <c r="B958" s="152"/>
      <c r="C958" s="152"/>
      <c r="D958" s="152"/>
      <c r="E958" s="152"/>
      <c r="F958" s="143"/>
      <c r="G958" s="152"/>
      <c r="H958" s="152"/>
      <c r="I958" s="152"/>
      <c r="J958" s="152"/>
      <c r="K958" s="152"/>
      <c r="L958" s="152"/>
      <c r="M958" s="152"/>
      <c r="N958" s="152"/>
      <c r="O958" s="152"/>
      <c r="P958" s="152"/>
      <c r="Q958" s="152"/>
      <c r="R958" s="152"/>
    </row>
    <row r="959">
      <c r="A959" s="152"/>
      <c r="B959" s="152"/>
      <c r="C959" s="152"/>
      <c r="D959" s="152"/>
      <c r="E959" s="152"/>
      <c r="F959" s="143"/>
      <c r="G959" s="152"/>
      <c r="H959" s="152"/>
      <c r="I959" s="152"/>
      <c r="J959" s="152"/>
      <c r="K959" s="152"/>
      <c r="L959" s="152"/>
      <c r="M959" s="152"/>
      <c r="N959" s="152"/>
      <c r="O959" s="152"/>
      <c r="P959" s="152"/>
      <c r="Q959" s="152"/>
      <c r="R959" s="152"/>
    </row>
    <row r="960">
      <c r="A960" s="152"/>
      <c r="B960" s="152"/>
      <c r="C960" s="152"/>
      <c r="D960" s="152"/>
      <c r="E960" s="152"/>
      <c r="F960" s="143"/>
      <c r="G960" s="152"/>
      <c r="H960" s="152"/>
      <c r="I960" s="152"/>
      <c r="J960" s="152"/>
      <c r="K960" s="152"/>
      <c r="L960" s="152"/>
      <c r="M960" s="152"/>
      <c r="N960" s="152"/>
      <c r="O960" s="152"/>
      <c r="P960" s="152"/>
      <c r="Q960" s="152"/>
      <c r="R960" s="152"/>
    </row>
    <row r="961">
      <c r="A961" s="152"/>
      <c r="B961" s="152"/>
      <c r="C961" s="152"/>
      <c r="D961" s="152"/>
      <c r="E961" s="152"/>
      <c r="F961" s="143"/>
      <c r="G961" s="152"/>
      <c r="H961" s="152"/>
      <c r="I961" s="152"/>
      <c r="J961" s="152"/>
      <c r="K961" s="152"/>
      <c r="L961" s="152"/>
      <c r="M961" s="152"/>
      <c r="N961" s="152"/>
      <c r="O961" s="152"/>
      <c r="P961" s="152"/>
      <c r="Q961" s="152"/>
      <c r="R961" s="152"/>
    </row>
    <row r="962">
      <c r="A962" s="152"/>
      <c r="B962" s="152"/>
      <c r="C962" s="152"/>
      <c r="D962" s="152"/>
      <c r="E962" s="152"/>
      <c r="F962" s="143"/>
      <c r="G962" s="152"/>
      <c r="H962" s="152"/>
      <c r="I962" s="152"/>
      <c r="J962" s="152"/>
      <c r="K962" s="152"/>
      <c r="L962" s="152"/>
      <c r="M962" s="152"/>
      <c r="N962" s="152"/>
      <c r="O962" s="152"/>
      <c r="P962" s="152"/>
      <c r="Q962" s="152"/>
      <c r="R962" s="152"/>
    </row>
    <row r="963">
      <c r="A963" s="152"/>
      <c r="B963" s="152"/>
      <c r="C963" s="152"/>
      <c r="D963" s="152"/>
      <c r="E963" s="152"/>
      <c r="F963" s="143"/>
      <c r="G963" s="152"/>
      <c r="H963" s="152"/>
      <c r="I963" s="152"/>
      <c r="J963" s="152"/>
      <c r="K963" s="152"/>
      <c r="L963" s="152"/>
      <c r="M963" s="152"/>
      <c r="N963" s="152"/>
      <c r="O963" s="152"/>
      <c r="P963" s="152"/>
      <c r="Q963" s="152"/>
      <c r="R963" s="152"/>
    </row>
    <row r="964">
      <c r="A964" s="152"/>
      <c r="B964" s="152"/>
      <c r="C964" s="152"/>
      <c r="D964" s="152"/>
      <c r="E964" s="152"/>
      <c r="F964" s="143"/>
      <c r="G964" s="152"/>
      <c r="H964" s="152"/>
      <c r="I964" s="152"/>
      <c r="J964" s="152"/>
      <c r="K964" s="152"/>
      <c r="L964" s="152"/>
      <c r="M964" s="152"/>
      <c r="N964" s="152"/>
      <c r="O964" s="152"/>
      <c r="P964" s="152"/>
      <c r="Q964" s="152"/>
      <c r="R964" s="152"/>
    </row>
    <row r="965">
      <c r="A965" s="152"/>
      <c r="B965" s="152"/>
      <c r="C965" s="152"/>
      <c r="D965" s="152"/>
      <c r="E965" s="152"/>
      <c r="F965" s="143"/>
      <c r="G965" s="152"/>
      <c r="H965" s="152"/>
      <c r="I965" s="152"/>
      <c r="J965" s="152"/>
      <c r="K965" s="152"/>
      <c r="L965" s="152"/>
      <c r="M965" s="152"/>
      <c r="N965" s="152"/>
      <c r="O965" s="152"/>
      <c r="P965" s="152"/>
      <c r="Q965" s="152"/>
      <c r="R965" s="152"/>
    </row>
    <row r="966">
      <c r="A966" s="152"/>
      <c r="B966" s="152"/>
      <c r="C966" s="152"/>
      <c r="D966" s="152"/>
      <c r="E966" s="152"/>
      <c r="F966" s="143"/>
      <c r="G966" s="152"/>
      <c r="H966" s="152"/>
      <c r="I966" s="152"/>
      <c r="J966" s="152"/>
      <c r="K966" s="152"/>
      <c r="L966" s="152"/>
      <c r="M966" s="152"/>
      <c r="N966" s="152"/>
      <c r="O966" s="152"/>
      <c r="P966" s="152"/>
      <c r="Q966" s="152"/>
      <c r="R966" s="152"/>
    </row>
    <row r="967">
      <c r="A967" s="152"/>
      <c r="B967" s="152"/>
      <c r="C967" s="152"/>
      <c r="D967" s="152"/>
      <c r="E967" s="152"/>
      <c r="F967" s="143"/>
      <c r="G967" s="152"/>
      <c r="H967" s="152"/>
      <c r="I967" s="152"/>
      <c r="J967" s="152"/>
      <c r="K967" s="152"/>
      <c r="L967" s="152"/>
      <c r="M967" s="152"/>
      <c r="N967" s="152"/>
      <c r="O967" s="152"/>
      <c r="P967" s="152"/>
      <c r="Q967" s="152"/>
      <c r="R967" s="152"/>
    </row>
    <row r="968">
      <c r="A968" s="152"/>
      <c r="B968" s="152"/>
      <c r="C968" s="152"/>
      <c r="D968" s="152"/>
      <c r="E968" s="152"/>
      <c r="F968" s="143"/>
      <c r="G968" s="152"/>
      <c r="H968" s="152"/>
      <c r="I968" s="152"/>
      <c r="J968" s="152"/>
      <c r="K968" s="152"/>
      <c r="L968" s="152"/>
      <c r="M968" s="152"/>
      <c r="N968" s="152"/>
      <c r="O968" s="152"/>
      <c r="P968" s="152"/>
      <c r="Q968" s="152"/>
      <c r="R968" s="152"/>
    </row>
    <row r="969">
      <c r="A969" s="152"/>
      <c r="B969" s="152"/>
      <c r="C969" s="152"/>
      <c r="D969" s="152"/>
      <c r="E969" s="152"/>
      <c r="F969" s="143"/>
      <c r="G969" s="152"/>
      <c r="H969" s="152"/>
      <c r="I969" s="152"/>
      <c r="J969" s="152"/>
      <c r="K969" s="152"/>
      <c r="L969" s="152"/>
      <c r="M969" s="152"/>
      <c r="N969" s="152"/>
      <c r="O969" s="152"/>
      <c r="P969" s="152"/>
      <c r="Q969" s="152"/>
      <c r="R969" s="152"/>
    </row>
    <row r="970">
      <c r="A970" s="152"/>
      <c r="B970" s="152"/>
      <c r="C970" s="152"/>
      <c r="D970" s="152"/>
      <c r="E970" s="152"/>
      <c r="F970" s="143"/>
      <c r="G970" s="152"/>
      <c r="H970" s="152"/>
      <c r="I970" s="152"/>
      <c r="J970" s="152"/>
      <c r="K970" s="152"/>
      <c r="L970" s="152"/>
      <c r="M970" s="152"/>
      <c r="N970" s="152"/>
      <c r="O970" s="152"/>
      <c r="P970" s="152"/>
      <c r="Q970" s="152"/>
      <c r="R970" s="152"/>
    </row>
    <row r="971">
      <c r="A971" s="152"/>
      <c r="B971" s="152"/>
      <c r="C971" s="152"/>
      <c r="D971" s="152"/>
      <c r="E971" s="152"/>
      <c r="F971" s="143"/>
      <c r="G971" s="152"/>
      <c r="H971" s="152"/>
      <c r="I971" s="152"/>
      <c r="J971" s="152"/>
      <c r="K971" s="152"/>
      <c r="L971" s="152"/>
      <c r="M971" s="152"/>
      <c r="N971" s="152"/>
      <c r="O971" s="152"/>
      <c r="P971" s="152"/>
      <c r="Q971" s="152"/>
      <c r="R971" s="152"/>
    </row>
    <row r="972">
      <c r="A972" s="152"/>
      <c r="B972" s="152"/>
      <c r="C972" s="152"/>
      <c r="D972" s="152"/>
      <c r="E972" s="152"/>
      <c r="F972" s="143"/>
      <c r="G972" s="152"/>
      <c r="H972" s="152"/>
      <c r="I972" s="152"/>
      <c r="J972" s="152"/>
      <c r="K972" s="152"/>
      <c r="L972" s="152"/>
      <c r="M972" s="152"/>
      <c r="N972" s="152"/>
      <c r="O972" s="152"/>
      <c r="P972" s="152"/>
      <c r="Q972" s="152"/>
      <c r="R972" s="152"/>
    </row>
    <row r="973">
      <c r="A973" s="152"/>
      <c r="B973" s="152"/>
      <c r="C973" s="152"/>
      <c r="D973" s="152"/>
      <c r="E973" s="152"/>
      <c r="F973" s="143"/>
      <c r="G973" s="152"/>
      <c r="H973" s="152"/>
      <c r="I973" s="152"/>
      <c r="J973" s="152"/>
      <c r="K973" s="152"/>
      <c r="L973" s="152"/>
      <c r="M973" s="152"/>
      <c r="N973" s="152"/>
      <c r="O973" s="152"/>
      <c r="P973" s="152"/>
      <c r="Q973" s="152"/>
      <c r="R973" s="152"/>
    </row>
    <row r="974">
      <c r="A974" s="152"/>
      <c r="B974" s="152"/>
      <c r="C974" s="152"/>
      <c r="D974" s="152"/>
      <c r="E974" s="152"/>
      <c r="F974" s="143"/>
      <c r="G974" s="152"/>
      <c r="H974" s="152"/>
      <c r="I974" s="152"/>
      <c r="J974" s="152"/>
      <c r="K974" s="152"/>
      <c r="L974" s="152"/>
      <c r="M974" s="152"/>
      <c r="N974" s="152"/>
      <c r="O974" s="152"/>
      <c r="P974" s="152"/>
      <c r="Q974" s="152"/>
      <c r="R974" s="152"/>
    </row>
    <row r="975">
      <c r="A975" s="152"/>
      <c r="B975" s="152"/>
      <c r="C975" s="152"/>
      <c r="D975" s="152"/>
      <c r="E975" s="152"/>
      <c r="F975" s="143"/>
      <c r="G975" s="152"/>
      <c r="H975" s="152"/>
      <c r="I975" s="152"/>
      <c r="J975" s="152"/>
      <c r="K975" s="152"/>
      <c r="L975" s="152"/>
      <c r="M975" s="152"/>
      <c r="N975" s="152"/>
      <c r="O975" s="152"/>
      <c r="P975" s="152"/>
      <c r="Q975" s="152"/>
      <c r="R975" s="152"/>
    </row>
    <row r="976">
      <c r="A976" s="152"/>
      <c r="B976" s="152"/>
      <c r="C976" s="152"/>
      <c r="D976" s="152"/>
      <c r="E976" s="152"/>
      <c r="F976" s="143"/>
      <c r="G976" s="152"/>
      <c r="H976" s="152"/>
      <c r="I976" s="152"/>
      <c r="J976" s="152"/>
      <c r="K976" s="152"/>
      <c r="L976" s="152"/>
      <c r="M976" s="152"/>
      <c r="N976" s="152"/>
      <c r="O976" s="152"/>
      <c r="P976" s="152"/>
      <c r="Q976" s="152"/>
      <c r="R976" s="152"/>
    </row>
    <row r="977">
      <c r="A977" s="152"/>
      <c r="B977" s="152"/>
      <c r="C977" s="152"/>
      <c r="D977" s="152"/>
      <c r="E977" s="152"/>
      <c r="F977" s="143"/>
      <c r="G977" s="152"/>
      <c r="H977" s="152"/>
      <c r="I977" s="152"/>
      <c r="J977" s="152"/>
      <c r="K977" s="152"/>
      <c r="L977" s="152"/>
      <c r="M977" s="152"/>
      <c r="N977" s="152"/>
      <c r="O977" s="152"/>
      <c r="P977" s="152"/>
      <c r="Q977" s="152"/>
      <c r="R977" s="152"/>
    </row>
    <row r="978">
      <c r="A978" s="152"/>
      <c r="B978" s="152"/>
      <c r="C978" s="152"/>
      <c r="D978" s="152"/>
      <c r="E978" s="152"/>
      <c r="F978" s="143"/>
      <c r="G978" s="152"/>
      <c r="H978" s="152"/>
      <c r="I978" s="152"/>
      <c r="J978" s="152"/>
      <c r="K978" s="152"/>
      <c r="L978" s="152"/>
      <c r="M978" s="152"/>
      <c r="N978" s="152"/>
      <c r="O978" s="152"/>
      <c r="P978" s="152"/>
      <c r="Q978" s="152"/>
      <c r="R978" s="152"/>
    </row>
    <row r="979">
      <c r="A979" s="152"/>
      <c r="B979" s="152"/>
      <c r="C979" s="152"/>
      <c r="D979" s="152"/>
      <c r="E979" s="152"/>
      <c r="F979" s="143"/>
      <c r="G979" s="152"/>
      <c r="H979" s="152"/>
      <c r="I979" s="152"/>
      <c r="J979" s="152"/>
      <c r="K979" s="152"/>
      <c r="L979" s="152"/>
      <c r="M979" s="152"/>
      <c r="N979" s="152"/>
      <c r="O979" s="152"/>
      <c r="P979" s="152"/>
      <c r="Q979" s="152"/>
      <c r="R979" s="152"/>
    </row>
    <row r="980">
      <c r="A980" s="152"/>
      <c r="B980" s="152"/>
      <c r="C980" s="152"/>
      <c r="D980" s="152"/>
      <c r="E980" s="152"/>
      <c r="F980" s="143"/>
      <c r="G980" s="152"/>
      <c r="H980" s="152"/>
      <c r="I980" s="152"/>
      <c r="J980" s="152"/>
      <c r="K980" s="152"/>
      <c r="L980" s="152"/>
      <c r="M980" s="152"/>
      <c r="N980" s="152"/>
      <c r="O980" s="152"/>
      <c r="P980" s="152"/>
      <c r="Q980" s="152"/>
      <c r="R980" s="152"/>
    </row>
    <row r="981">
      <c r="A981" s="152"/>
      <c r="B981" s="152"/>
      <c r="C981" s="152"/>
      <c r="D981" s="152"/>
      <c r="E981" s="152"/>
      <c r="F981" s="143"/>
      <c r="G981" s="152"/>
      <c r="H981" s="152"/>
      <c r="I981" s="152"/>
      <c r="J981" s="152"/>
      <c r="K981" s="152"/>
      <c r="L981" s="152"/>
      <c r="M981" s="152"/>
      <c r="N981" s="152"/>
      <c r="O981" s="152"/>
      <c r="P981" s="152"/>
      <c r="Q981" s="152"/>
      <c r="R981" s="152"/>
    </row>
    <row r="982">
      <c r="A982" s="152"/>
      <c r="B982" s="152"/>
      <c r="C982" s="152"/>
      <c r="D982" s="152"/>
      <c r="E982" s="152"/>
      <c r="F982" s="143"/>
      <c r="G982" s="152"/>
      <c r="H982" s="152"/>
      <c r="I982" s="152"/>
      <c r="J982" s="152"/>
      <c r="K982" s="152"/>
      <c r="L982" s="152"/>
      <c r="M982" s="152"/>
      <c r="N982" s="152"/>
      <c r="O982" s="152"/>
      <c r="P982" s="152"/>
      <c r="Q982" s="152"/>
      <c r="R982" s="152"/>
    </row>
    <row r="983">
      <c r="A983" s="152"/>
      <c r="B983" s="152"/>
      <c r="C983" s="152"/>
      <c r="D983" s="152"/>
      <c r="E983" s="152"/>
      <c r="F983" s="143"/>
      <c r="G983" s="152"/>
      <c r="H983" s="152"/>
      <c r="I983" s="152"/>
      <c r="J983" s="152"/>
      <c r="K983" s="152"/>
      <c r="L983" s="152"/>
      <c r="M983" s="152"/>
      <c r="N983" s="152"/>
      <c r="O983" s="152"/>
      <c r="P983" s="152"/>
      <c r="Q983" s="152"/>
      <c r="R983" s="152"/>
    </row>
    <row r="984">
      <c r="A984" s="152"/>
      <c r="B984" s="152"/>
      <c r="C984" s="152"/>
      <c r="D984" s="152"/>
      <c r="E984" s="152"/>
      <c r="F984" s="143"/>
      <c r="G984" s="152"/>
      <c r="H984" s="152"/>
      <c r="I984" s="152"/>
      <c r="J984" s="152"/>
      <c r="K984" s="152"/>
      <c r="L984" s="152"/>
      <c r="M984" s="152"/>
      <c r="N984" s="152"/>
      <c r="O984" s="152"/>
      <c r="P984" s="152"/>
      <c r="Q984" s="152"/>
      <c r="R984" s="152"/>
    </row>
    <row r="985">
      <c r="A985" s="152"/>
      <c r="B985" s="152"/>
      <c r="C985" s="152"/>
      <c r="D985" s="152"/>
      <c r="E985" s="152"/>
      <c r="F985" s="143"/>
      <c r="G985" s="152"/>
      <c r="H985" s="152"/>
      <c r="I985" s="152"/>
      <c r="J985" s="152"/>
      <c r="K985" s="152"/>
      <c r="L985" s="152"/>
      <c r="M985" s="152"/>
      <c r="N985" s="152"/>
      <c r="O985" s="152"/>
      <c r="P985" s="152"/>
      <c r="Q985" s="152"/>
      <c r="R985" s="152"/>
    </row>
    <row r="986">
      <c r="A986" s="152"/>
      <c r="B986" s="152"/>
      <c r="C986" s="152"/>
      <c r="D986" s="152"/>
      <c r="E986" s="152"/>
      <c r="F986" s="143"/>
      <c r="G986" s="152"/>
      <c r="H986" s="152"/>
      <c r="I986" s="152"/>
      <c r="J986" s="152"/>
      <c r="K986" s="152"/>
      <c r="L986" s="152"/>
      <c r="M986" s="152"/>
      <c r="N986" s="152"/>
      <c r="O986" s="152"/>
      <c r="P986" s="152"/>
      <c r="Q986" s="152"/>
      <c r="R986" s="152"/>
    </row>
    <row r="987">
      <c r="A987" s="152"/>
      <c r="B987" s="152"/>
      <c r="C987" s="152"/>
      <c r="D987" s="152"/>
      <c r="E987" s="152"/>
      <c r="F987" s="143"/>
      <c r="G987" s="152"/>
      <c r="H987" s="152"/>
      <c r="I987" s="152"/>
      <c r="J987" s="152"/>
      <c r="K987" s="152"/>
      <c r="L987" s="152"/>
      <c r="M987" s="152"/>
      <c r="N987" s="152"/>
      <c r="O987" s="152"/>
      <c r="P987" s="152"/>
      <c r="Q987" s="152"/>
      <c r="R987" s="152"/>
    </row>
    <row r="988">
      <c r="A988" s="152"/>
      <c r="B988" s="152"/>
      <c r="C988" s="152"/>
      <c r="D988" s="152"/>
      <c r="E988" s="152"/>
      <c r="F988" s="143"/>
      <c r="G988" s="152"/>
      <c r="H988" s="152"/>
      <c r="I988" s="152"/>
      <c r="J988" s="152"/>
      <c r="K988" s="152"/>
      <c r="L988" s="152"/>
      <c r="M988" s="152"/>
      <c r="N988" s="152"/>
      <c r="O988" s="152"/>
      <c r="P988" s="152"/>
      <c r="Q988" s="152"/>
      <c r="R988" s="152"/>
    </row>
    <row r="989">
      <c r="A989" s="152"/>
      <c r="B989" s="152"/>
      <c r="C989" s="152"/>
      <c r="D989" s="152"/>
      <c r="E989" s="152"/>
      <c r="F989" s="143"/>
      <c r="G989" s="152"/>
      <c r="H989" s="152"/>
      <c r="I989" s="152"/>
      <c r="J989" s="152"/>
      <c r="K989" s="152"/>
      <c r="L989" s="152"/>
      <c r="M989" s="152"/>
      <c r="N989" s="152"/>
      <c r="O989" s="152"/>
      <c r="P989" s="152"/>
      <c r="Q989" s="152"/>
      <c r="R989" s="152"/>
    </row>
    <row r="990">
      <c r="A990" s="152"/>
      <c r="B990" s="152"/>
      <c r="C990" s="152"/>
      <c r="D990" s="152"/>
      <c r="E990" s="152"/>
      <c r="F990" s="143"/>
      <c r="G990" s="152"/>
      <c r="H990" s="152"/>
      <c r="I990" s="152"/>
      <c r="J990" s="152"/>
      <c r="K990" s="152"/>
      <c r="L990" s="152"/>
      <c r="M990" s="152"/>
      <c r="N990" s="152"/>
      <c r="O990" s="152"/>
      <c r="P990" s="152"/>
      <c r="Q990" s="152"/>
      <c r="R990" s="152"/>
    </row>
    <row r="991">
      <c r="A991" s="152"/>
      <c r="B991" s="152"/>
      <c r="C991" s="152"/>
      <c r="D991" s="152"/>
      <c r="E991" s="152"/>
      <c r="F991" s="143"/>
      <c r="G991" s="152"/>
      <c r="H991" s="152"/>
      <c r="I991" s="152"/>
      <c r="J991" s="152"/>
      <c r="K991" s="152"/>
      <c r="L991" s="152"/>
      <c r="M991" s="152"/>
      <c r="N991" s="152"/>
      <c r="O991" s="152"/>
      <c r="P991" s="152"/>
      <c r="Q991" s="152"/>
      <c r="R991" s="152"/>
    </row>
    <row r="992">
      <c r="A992" s="152"/>
      <c r="B992" s="152"/>
      <c r="C992" s="152"/>
      <c r="D992" s="152"/>
      <c r="E992" s="152"/>
      <c r="F992" s="143"/>
      <c r="G992" s="152"/>
      <c r="H992" s="152"/>
      <c r="I992" s="152"/>
      <c r="J992" s="152"/>
      <c r="K992" s="152"/>
      <c r="L992" s="152"/>
      <c r="M992" s="152"/>
      <c r="N992" s="152"/>
      <c r="O992" s="152"/>
      <c r="P992" s="152"/>
      <c r="Q992" s="152"/>
      <c r="R992" s="152"/>
    </row>
    <row r="993">
      <c r="A993" s="152"/>
      <c r="B993" s="152"/>
      <c r="C993" s="152"/>
      <c r="D993" s="152"/>
      <c r="E993" s="152"/>
      <c r="F993" s="143"/>
      <c r="G993" s="152"/>
      <c r="H993" s="152"/>
      <c r="I993" s="152"/>
      <c r="J993" s="152"/>
      <c r="K993" s="152"/>
      <c r="L993" s="152"/>
      <c r="M993" s="152"/>
      <c r="N993" s="152"/>
      <c r="O993" s="152"/>
      <c r="P993" s="152"/>
      <c r="Q993" s="152"/>
      <c r="R993" s="152"/>
    </row>
    <row r="994">
      <c r="A994" s="152"/>
      <c r="B994" s="152"/>
      <c r="C994" s="152"/>
      <c r="D994" s="152"/>
      <c r="E994" s="152"/>
      <c r="F994" s="143"/>
      <c r="G994" s="152"/>
      <c r="H994" s="152"/>
      <c r="I994" s="152"/>
      <c r="J994" s="152"/>
      <c r="K994" s="152"/>
      <c r="L994" s="152"/>
      <c r="M994" s="152"/>
      <c r="N994" s="152"/>
      <c r="O994" s="152"/>
      <c r="P994" s="152"/>
      <c r="Q994" s="152"/>
      <c r="R994" s="152"/>
    </row>
    <row r="995">
      <c r="A995" s="152"/>
      <c r="B995" s="152"/>
      <c r="C995" s="152"/>
      <c r="D995" s="152"/>
      <c r="E995" s="152"/>
      <c r="F995" s="143"/>
      <c r="G995" s="152"/>
      <c r="H995" s="152"/>
      <c r="I995" s="152"/>
      <c r="J995" s="152"/>
      <c r="K995" s="152"/>
      <c r="L995" s="152"/>
      <c r="M995" s="152"/>
      <c r="N995" s="152"/>
      <c r="O995" s="152"/>
      <c r="P995" s="152"/>
      <c r="Q995" s="152"/>
      <c r="R995" s="152"/>
    </row>
    <row r="996">
      <c r="A996" s="152"/>
      <c r="B996" s="152"/>
      <c r="C996" s="152"/>
      <c r="D996" s="152"/>
      <c r="E996" s="152"/>
      <c r="F996" s="143"/>
      <c r="G996" s="152"/>
      <c r="H996" s="152"/>
      <c r="I996" s="152"/>
      <c r="J996" s="152"/>
      <c r="K996" s="152"/>
      <c r="L996" s="152"/>
      <c r="M996" s="152"/>
      <c r="N996" s="152"/>
      <c r="O996" s="152"/>
      <c r="P996" s="152"/>
      <c r="Q996" s="152"/>
      <c r="R996" s="152"/>
    </row>
    <row r="997">
      <c r="A997" s="152"/>
      <c r="B997" s="152"/>
      <c r="C997" s="152"/>
      <c r="D997" s="152"/>
      <c r="E997" s="152"/>
      <c r="F997" s="143"/>
      <c r="G997" s="152"/>
      <c r="H997" s="152"/>
      <c r="I997" s="152"/>
      <c r="J997" s="152"/>
      <c r="K997" s="152"/>
      <c r="L997" s="152"/>
      <c r="M997" s="152"/>
      <c r="N997" s="152"/>
      <c r="O997" s="152"/>
      <c r="P997" s="152"/>
      <c r="Q997" s="152"/>
      <c r="R997" s="152"/>
    </row>
    <row r="998">
      <c r="A998" s="152"/>
      <c r="B998" s="152"/>
      <c r="C998" s="152"/>
      <c r="D998" s="152"/>
      <c r="E998" s="152"/>
      <c r="F998" s="143"/>
      <c r="G998" s="152"/>
      <c r="H998" s="152"/>
      <c r="I998" s="152"/>
      <c r="J998" s="152"/>
      <c r="K998" s="152"/>
      <c r="L998" s="152"/>
      <c r="M998" s="152"/>
      <c r="N998" s="152"/>
      <c r="O998" s="152"/>
      <c r="P998" s="152"/>
      <c r="Q998" s="152"/>
      <c r="R998" s="152"/>
    </row>
    <row r="999">
      <c r="A999" s="152"/>
      <c r="B999" s="152"/>
      <c r="C999" s="152"/>
      <c r="D999" s="152"/>
      <c r="E999" s="152"/>
      <c r="F999" s="143"/>
      <c r="G999" s="152"/>
      <c r="H999" s="152"/>
      <c r="I999" s="152"/>
      <c r="J999" s="152"/>
      <c r="K999" s="152"/>
      <c r="L999" s="152"/>
      <c r="M999" s="152"/>
      <c r="N999" s="152"/>
      <c r="O999" s="152"/>
      <c r="P999" s="152"/>
      <c r="Q999" s="152"/>
      <c r="R999" s="152"/>
    </row>
    <row r="1000">
      <c r="A1000" s="152"/>
      <c r="B1000" s="152"/>
      <c r="C1000" s="152"/>
      <c r="D1000" s="152"/>
      <c r="E1000" s="152"/>
      <c r="F1000" s="143"/>
      <c r="G1000" s="152"/>
      <c r="H1000" s="152"/>
      <c r="I1000" s="152"/>
      <c r="J1000" s="152"/>
      <c r="K1000" s="152"/>
      <c r="L1000" s="152"/>
      <c r="M1000" s="152"/>
      <c r="N1000" s="152"/>
      <c r="O1000" s="152"/>
      <c r="P1000" s="152"/>
      <c r="Q1000" s="152"/>
      <c r="R1000" s="152"/>
    </row>
    <row r="1001">
      <c r="A1001" s="152"/>
      <c r="B1001" s="152"/>
      <c r="C1001" s="152"/>
      <c r="D1001" s="152"/>
      <c r="E1001" s="152"/>
      <c r="F1001" s="152"/>
      <c r="G1001" s="152"/>
      <c r="H1001" s="152"/>
      <c r="I1001" s="152"/>
      <c r="J1001" s="152"/>
      <c r="K1001" s="152"/>
      <c r="L1001" s="152"/>
      <c r="M1001" s="152"/>
      <c r="N1001" s="152"/>
      <c r="O1001" s="152"/>
      <c r="P1001" s="152"/>
      <c r="Q1001" s="152"/>
      <c r="R1001" s="152"/>
    </row>
    <row r="1002">
      <c r="A1002" s="152"/>
      <c r="B1002" s="152"/>
      <c r="C1002" s="152"/>
      <c r="D1002" s="152"/>
      <c r="E1002" s="152"/>
      <c r="F1002" s="152"/>
      <c r="G1002" s="152"/>
      <c r="H1002" s="152"/>
      <c r="I1002" s="152"/>
      <c r="J1002" s="152"/>
      <c r="K1002" s="152"/>
      <c r="L1002" s="152"/>
      <c r="M1002" s="152"/>
      <c r="N1002" s="152"/>
      <c r="O1002" s="152"/>
      <c r="P1002" s="152"/>
      <c r="Q1002" s="152"/>
      <c r="R1002" s="152"/>
    </row>
    <row r="1003">
      <c r="A1003" s="152"/>
      <c r="B1003" s="152"/>
      <c r="C1003" s="152"/>
      <c r="D1003" s="152"/>
      <c r="E1003" s="152"/>
      <c r="F1003" s="152"/>
      <c r="G1003" s="152"/>
      <c r="H1003" s="152"/>
      <c r="I1003" s="152"/>
      <c r="J1003" s="152"/>
      <c r="K1003" s="152"/>
      <c r="L1003" s="152"/>
      <c r="M1003" s="152"/>
      <c r="N1003" s="152"/>
      <c r="O1003" s="152"/>
      <c r="P1003" s="152"/>
      <c r="Q1003" s="152"/>
      <c r="R1003" s="152"/>
    </row>
    <row r="1004">
      <c r="A1004" s="152"/>
      <c r="B1004" s="152"/>
      <c r="C1004" s="152"/>
      <c r="D1004" s="152"/>
      <c r="E1004" s="152"/>
      <c r="F1004" s="152"/>
      <c r="G1004" s="152"/>
      <c r="H1004" s="152"/>
      <c r="I1004" s="152"/>
      <c r="J1004" s="152"/>
      <c r="K1004" s="152"/>
      <c r="L1004" s="152"/>
      <c r="M1004" s="152"/>
      <c r="N1004" s="152"/>
      <c r="O1004" s="152"/>
      <c r="P1004" s="152"/>
      <c r="Q1004" s="152"/>
      <c r="R1004" s="152"/>
    </row>
    <row r="1005">
      <c r="A1005" s="152"/>
      <c r="B1005" s="152"/>
      <c r="C1005" s="152"/>
      <c r="D1005" s="152"/>
      <c r="E1005" s="152"/>
      <c r="F1005" s="152"/>
      <c r="G1005" s="152"/>
      <c r="H1005" s="152"/>
      <c r="I1005" s="152"/>
      <c r="J1005" s="152"/>
      <c r="K1005" s="152"/>
      <c r="L1005" s="152"/>
      <c r="M1005" s="152"/>
      <c r="N1005" s="152"/>
      <c r="O1005" s="152"/>
      <c r="P1005" s="152"/>
      <c r="Q1005" s="152"/>
      <c r="R1005" s="152"/>
    </row>
    <row r="1006">
      <c r="A1006" s="152"/>
      <c r="B1006" s="152"/>
      <c r="C1006" s="152"/>
      <c r="D1006" s="152"/>
      <c r="E1006" s="152"/>
      <c r="F1006" s="152"/>
      <c r="G1006" s="152"/>
      <c r="H1006" s="152"/>
      <c r="I1006" s="152"/>
      <c r="J1006" s="152"/>
      <c r="K1006" s="152"/>
      <c r="L1006" s="152"/>
      <c r="M1006" s="152"/>
      <c r="N1006" s="152"/>
      <c r="O1006" s="152"/>
      <c r="P1006" s="152"/>
      <c r="Q1006" s="152"/>
      <c r="R1006" s="152"/>
    </row>
    <row r="1007">
      <c r="A1007" s="152"/>
      <c r="B1007" s="152"/>
      <c r="C1007" s="152"/>
      <c r="D1007" s="152"/>
      <c r="E1007" s="152"/>
      <c r="F1007" s="152"/>
      <c r="G1007" s="152"/>
      <c r="H1007" s="152"/>
      <c r="I1007" s="152"/>
      <c r="J1007" s="152"/>
      <c r="K1007" s="152"/>
      <c r="L1007" s="152"/>
      <c r="M1007" s="152"/>
      <c r="N1007" s="152"/>
      <c r="O1007" s="152"/>
      <c r="P1007" s="152"/>
      <c r="Q1007" s="152"/>
      <c r="R1007" s="152"/>
    </row>
    <row r="1008">
      <c r="A1008" s="152"/>
      <c r="B1008" s="152"/>
      <c r="C1008" s="152"/>
      <c r="D1008" s="152"/>
      <c r="E1008" s="152"/>
      <c r="F1008" s="152"/>
      <c r="G1008" s="152"/>
      <c r="H1008" s="152"/>
      <c r="I1008" s="152"/>
      <c r="J1008" s="152"/>
      <c r="K1008" s="152"/>
      <c r="L1008" s="152"/>
      <c r="M1008" s="152"/>
      <c r="N1008" s="152"/>
      <c r="O1008" s="152"/>
      <c r="P1008" s="152"/>
      <c r="Q1008" s="152"/>
      <c r="R1008" s="152"/>
    </row>
    <row r="1009">
      <c r="A1009" s="152"/>
      <c r="B1009" s="152"/>
      <c r="C1009" s="152"/>
      <c r="D1009" s="152"/>
      <c r="E1009" s="152"/>
      <c r="F1009" s="152"/>
      <c r="G1009" s="152"/>
      <c r="H1009" s="152"/>
      <c r="I1009" s="152"/>
      <c r="J1009" s="152"/>
      <c r="K1009" s="152"/>
      <c r="L1009" s="152"/>
      <c r="M1009" s="152"/>
      <c r="N1009" s="152"/>
      <c r="O1009" s="152"/>
      <c r="P1009" s="152"/>
      <c r="Q1009" s="152"/>
      <c r="R1009" s="152"/>
    </row>
    <row r="1010">
      <c r="A1010" s="152"/>
      <c r="B1010" s="152"/>
      <c r="C1010" s="152"/>
      <c r="D1010" s="152"/>
      <c r="E1010" s="152"/>
      <c r="F1010" s="152"/>
      <c r="G1010" s="152"/>
      <c r="H1010" s="152"/>
      <c r="I1010" s="152"/>
      <c r="J1010" s="152"/>
      <c r="K1010" s="152"/>
      <c r="L1010" s="152"/>
      <c r="M1010" s="152"/>
      <c r="N1010" s="152"/>
      <c r="O1010" s="152"/>
      <c r="P1010" s="152"/>
      <c r="Q1010" s="152"/>
      <c r="R1010" s="152"/>
    </row>
    <row r="1011">
      <c r="A1011" s="152"/>
      <c r="B1011" s="152"/>
      <c r="C1011" s="152"/>
      <c r="D1011" s="152"/>
      <c r="E1011" s="152"/>
      <c r="F1011" s="152"/>
      <c r="G1011" s="152"/>
      <c r="H1011" s="152"/>
      <c r="I1011" s="152"/>
      <c r="J1011" s="152"/>
      <c r="K1011" s="152"/>
      <c r="L1011" s="152"/>
      <c r="M1011" s="152"/>
      <c r="N1011" s="152"/>
      <c r="O1011" s="152"/>
      <c r="P1011" s="152"/>
      <c r="Q1011" s="152"/>
      <c r="R1011" s="152"/>
    </row>
    <row r="1012">
      <c r="A1012" s="152"/>
      <c r="B1012" s="152"/>
      <c r="C1012" s="152"/>
      <c r="D1012" s="152"/>
      <c r="E1012" s="152"/>
      <c r="F1012" s="152"/>
      <c r="G1012" s="152"/>
      <c r="H1012" s="152"/>
      <c r="I1012" s="152"/>
      <c r="J1012" s="152"/>
      <c r="K1012" s="152"/>
      <c r="L1012" s="152"/>
      <c r="M1012" s="152"/>
      <c r="N1012" s="152"/>
      <c r="O1012" s="152"/>
      <c r="P1012" s="152"/>
      <c r="Q1012" s="152"/>
      <c r="R1012" s="152"/>
    </row>
    <row r="1013">
      <c r="A1013" s="152"/>
      <c r="B1013" s="152"/>
      <c r="C1013" s="152"/>
      <c r="D1013" s="152"/>
      <c r="E1013" s="152"/>
      <c r="F1013" s="152"/>
      <c r="G1013" s="152"/>
      <c r="H1013" s="152"/>
      <c r="I1013" s="152"/>
      <c r="J1013" s="152"/>
      <c r="K1013" s="152"/>
      <c r="L1013" s="152"/>
      <c r="M1013" s="152"/>
      <c r="N1013" s="152"/>
      <c r="O1013" s="152"/>
      <c r="P1013" s="152"/>
      <c r="Q1013" s="152"/>
      <c r="R1013" s="152"/>
    </row>
    <row r="1014">
      <c r="A1014" s="152"/>
      <c r="B1014" s="152"/>
      <c r="C1014" s="152"/>
      <c r="D1014" s="152"/>
      <c r="E1014" s="152"/>
      <c r="F1014" s="152"/>
      <c r="G1014" s="152"/>
      <c r="H1014" s="152"/>
      <c r="I1014" s="152"/>
      <c r="J1014" s="152"/>
      <c r="K1014" s="152"/>
      <c r="L1014" s="152"/>
      <c r="M1014" s="152"/>
      <c r="N1014" s="152"/>
      <c r="O1014" s="152"/>
      <c r="P1014" s="152"/>
      <c r="Q1014" s="152"/>
      <c r="R1014" s="152"/>
    </row>
    <row r="1015">
      <c r="A1015" s="152"/>
      <c r="B1015" s="152"/>
      <c r="C1015" s="152"/>
      <c r="D1015" s="152"/>
      <c r="E1015" s="152"/>
      <c r="F1015" s="152"/>
      <c r="G1015" s="152"/>
      <c r="H1015" s="152"/>
      <c r="I1015" s="152"/>
      <c r="J1015" s="152"/>
      <c r="K1015" s="152"/>
      <c r="L1015" s="152"/>
      <c r="M1015" s="152"/>
      <c r="N1015" s="152"/>
      <c r="O1015" s="152"/>
      <c r="P1015" s="152"/>
      <c r="Q1015" s="152"/>
      <c r="R1015" s="152"/>
    </row>
    <row r="1016">
      <c r="A1016" s="152"/>
      <c r="B1016" s="152"/>
      <c r="C1016" s="152"/>
      <c r="D1016" s="152"/>
      <c r="E1016" s="152"/>
      <c r="F1016" s="152"/>
      <c r="G1016" s="152"/>
      <c r="H1016" s="152"/>
      <c r="I1016" s="152"/>
      <c r="J1016" s="152"/>
      <c r="K1016" s="152"/>
      <c r="L1016" s="152"/>
      <c r="M1016" s="152"/>
      <c r="N1016" s="152"/>
      <c r="O1016" s="152"/>
      <c r="P1016" s="152"/>
      <c r="Q1016" s="152"/>
      <c r="R1016" s="152"/>
    </row>
    <row r="1017">
      <c r="A1017" s="152"/>
      <c r="B1017" s="152"/>
      <c r="C1017" s="152"/>
      <c r="D1017" s="152"/>
      <c r="E1017" s="152"/>
      <c r="F1017" s="152"/>
      <c r="G1017" s="152"/>
      <c r="H1017" s="152"/>
      <c r="I1017" s="152"/>
      <c r="J1017" s="152"/>
      <c r="K1017" s="152"/>
      <c r="L1017" s="152"/>
      <c r="M1017" s="152"/>
      <c r="N1017" s="152"/>
      <c r="O1017" s="152"/>
      <c r="P1017" s="152"/>
      <c r="Q1017" s="152"/>
      <c r="R1017" s="152"/>
    </row>
    <row r="1018">
      <c r="A1018" s="152"/>
      <c r="B1018" s="152"/>
      <c r="C1018" s="152"/>
      <c r="D1018" s="152"/>
      <c r="E1018" s="152"/>
      <c r="F1018" s="152"/>
      <c r="G1018" s="152"/>
      <c r="H1018" s="152"/>
      <c r="I1018" s="152"/>
      <c r="J1018" s="152"/>
      <c r="K1018" s="152"/>
      <c r="L1018" s="152"/>
      <c r="M1018" s="152"/>
      <c r="N1018" s="152"/>
      <c r="O1018" s="152"/>
      <c r="P1018" s="152"/>
      <c r="Q1018" s="152"/>
      <c r="R1018" s="152"/>
    </row>
    <row r="1019">
      <c r="A1019" s="152"/>
      <c r="B1019" s="152"/>
      <c r="C1019" s="152"/>
      <c r="D1019" s="152"/>
      <c r="E1019" s="152"/>
      <c r="F1019" s="152"/>
      <c r="G1019" s="152"/>
      <c r="H1019" s="152"/>
      <c r="I1019" s="152"/>
      <c r="J1019" s="152"/>
      <c r="K1019" s="152"/>
      <c r="L1019" s="152"/>
      <c r="M1019" s="152"/>
      <c r="N1019" s="152"/>
      <c r="O1019" s="152"/>
      <c r="P1019" s="152"/>
      <c r="Q1019" s="152"/>
      <c r="R1019" s="152"/>
    </row>
    <row r="1020">
      <c r="A1020" s="152"/>
      <c r="B1020" s="152"/>
      <c r="C1020" s="152"/>
      <c r="D1020" s="152"/>
      <c r="E1020" s="152"/>
      <c r="F1020" s="152"/>
      <c r="G1020" s="152"/>
      <c r="H1020" s="152"/>
      <c r="I1020" s="152"/>
      <c r="J1020" s="152"/>
      <c r="K1020" s="152"/>
      <c r="L1020" s="152"/>
      <c r="M1020" s="152"/>
      <c r="N1020" s="152"/>
      <c r="O1020" s="152"/>
      <c r="P1020" s="152"/>
      <c r="Q1020" s="152"/>
      <c r="R1020" s="152"/>
    </row>
    <row r="1021">
      <c r="A1021" s="152"/>
      <c r="B1021" s="152"/>
      <c r="C1021" s="152"/>
      <c r="D1021" s="152"/>
      <c r="E1021" s="152"/>
      <c r="F1021" s="152"/>
      <c r="G1021" s="152"/>
      <c r="H1021" s="152"/>
      <c r="I1021" s="152"/>
      <c r="J1021" s="152"/>
      <c r="K1021" s="152"/>
      <c r="L1021" s="152"/>
      <c r="M1021" s="152"/>
      <c r="N1021" s="152"/>
      <c r="O1021" s="152"/>
      <c r="P1021" s="152"/>
      <c r="Q1021" s="152"/>
      <c r="R1021" s="152"/>
    </row>
    <row r="1022">
      <c r="A1022" s="152"/>
      <c r="B1022" s="152"/>
      <c r="C1022" s="152"/>
      <c r="D1022" s="152"/>
      <c r="E1022" s="152"/>
      <c r="F1022" s="152"/>
      <c r="G1022" s="152"/>
      <c r="H1022" s="152"/>
      <c r="I1022" s="152"/>
      <c r="J1022" s="152"/>
      <c r="K1022" s="152"/>
      <c r="L1022" s="152"/>
      <c r="M1022" s="152"/>
      <c r="N1022" s="152"/>
      <c r="O1022" s="152"/>
      <c r="P1022" s="152"/>
      <c r="Q1022" s="152"/>
      <c r="R1022" s="152"/>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3" t="s">
        <v>6796</v>
      </c>
      <c r="B1" s="413" t="s">
        <v>6797</v>
      </c>
      <c r="C1" s="294" t="s">
        <v>6798</v>
      </c>
      <c r="D1" s="294"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1" t="s">
        <v>6799</v>
      </c>
      <c r="F1" s="414"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2" t="s">
        <v>6800</v>
      </c>
      <c r="H1" s="41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6" t="s">
        <v>6801</v>
      </c>
      <c r="J1" s="416" t="s">
        <v>6802</v>
      </c>
      <c r="K1" s="433" t="s">
        <v>6803</v>
      </c>
      <c r="L1" s="433" t="s">
        <v>6804</v>
      </c>
      <c r="M1" s="418"/>
      <c r="N1" s="418"/>
      <c r="O1" s="418"/>
      <c r="P1" s="418"/>
      <c r="Q1" s="418"/>
      <c r="R1" s="418"/>
      <c r="S1" s="418"/>
      <c r="T1" s="418"/>
      <c r="U1" s="418"/>
      <c r="V1" s="418"/>
      <c r="W1" s="418"/>
    </row>
    <row r="2">
      <c r="A2" s="419" t="s">
        <v>6805</v>
      </c>
      <c r="B2" s="419" t="s">
        <v>6806</v>
      </c>
      <c r="C2" s="125" t="s">
        <v>6807</v>
      </c>
      <c r="D2" s="125" t="str">
        <f>IFERROR(__xludf.DUMMYFUNCTION("GOOGLETRANSLATE(B2,""zh-tw"",""ja"")"),"1 - Google で NVIDIA APP を検索し、NVIDIA アプリを起動します。")</f>
        <v>1 - Google で NVIDIA APP を検索し、NVIDIA アプリを起動します。</v>
      </c>
      <c r="E2" s="434" t="s">
        <v>6808</v>
      </c>
      <c r="F2" s="206" t="str">
        <f>IFERROR(__xludf.DUMMYFUNCTION("GOOGLETRANSLATE(B2,""zh-tw"",""en"")"),"1 - Search for NVIDIA APP on Google and launch the NVIDIA app.")</f>
        <v>1 - Search for NVIDIA APP on Google and launch the NVIDIA app.</v>
      </c>
      <c r="G2" s="435" t="s">
        <v>6809</v>
      </c>
      <c r="H2" s="420" t="str">
        <f>IFERROR(__xludf.DUMMYFUNCTION("GOOGLETRANSLATE(B2,""zh-tw"",""zh"")"),"1 - 在google上搜寻 NVIDIA APP安装，并启动 NVIDIA 应用程式。")</f>
        <v>1 - 在google上搜寻 NVIDIA APP安装，并启动 NVIDIA 应用程式。</v>
      </c>
      <c r="I2" s="421" t="s">
        <v>6810</v>
      </c>
      <c r="J2" s="421" t="s">
        <v>6811</v>
      </c>
      <c r="K2" s="422" t="s">
        <v>6812</v>
      </c>
      <c r="L2" s="422" t="s">
        <v>6813</v>
      </c>
      <c r="M2" s="152"/>
      <c r="N2" s="152"/>
      <c r="O2" s="152"/>
      <c r="P2" s="152"/>
      <c r="Q2" s="152"/>
      <c r="R2" s="152"/>
      <c r="S2" s="152"/>
      <c r="T2" s="152"/>
      <c r="U2" s="152"/>
      <c r="V2" s="152"/>
      <c r="W2" s="152"/>
    </row>
    <row r="3">
      <c r="A3" s="419" t="s">
        <v>6814</v>
      </c>
      <c r="B3" s="419" t="s">
        <v>6815</v>
      </c>
      <c r="C3" s="125" t="s">
        <v>6816</v>
      </c>
      <c r="D3" s="125" t="str">
        <f>IFERROR(__xludf.DUMMYFUNCTION("GOOGLETRANSLATE(B3,""zh-tw"",""ja"")"),"2 - 最新バージョンに更新した後、NVIDIA アプリケーションを再起動します。")</f>
        <v>2 - 最新バージョンに更新した後、NVIDIA アプリケーションを再起動します。</v>
      </c>
      <c r="E3" s="434" t="s">
        <v>6817</v>
      </c>
      <c r="F3" s="206" t="str">
        <f>IFERROR(__xludf.DUMMYFUNCTION("GOOGLETRANSLATE(B3,""zh-tw"",""en"")"),"2 - Restart the NVIDIA application after updating to the latest version.")</f>
        <v>2 - Restart the NVIDIA application after updating to the latest version.</v>
      </c>
      <c r="G3" s="435" t="s">
        <v>6818</v>
      </c>
      <c r="H3" s="420" t="str">
        <f>IFERROR(__xludf.DUMMYFUNCTION("GOOGLETRANSLATE(B3,""zh-tw"",""zh"")"),"2 - 在更新至最新版本后重新启动 NVIDIA 应用程式。")</f>
        <v>2 - 在更新至最新版本后重新启动 NVIDIA 应用程式。</v>
      </c>
      <c r="I3" s="421" t="s">
        <v>6819</v>
      </c>
      <c r="J3" s="421" t="s">
        <v>6820</v>
      </c>
      <c r="K3" s="422" t="s">
        <v>6821</v>
      </c>
      <c r="L3" s="422" t="s">
        <v>6822</v>
      </c>
      <c r="M3" s="152"/>
      <c r="N3" s="152"/>
      <c r="O3" s="152"/>
      <c r="P3" s="152"/>
      <c r="Q3" s="152"/>
      <c r="R3" s="152"/>
      <c r="S3" s="152"/>
      <c r="T3" s="152"/>
      <c r="U3" s="152"/>
      <c r="V3" s="152"/>
      <c r="W3" s="152"/>
    </row>
    <row r="4">
      <c r="A4" s="419" t="s">
        <v>6823</v>
      </c>
      <c r="B4" s="419" t="s">
        <v>6824</v>
      </c>
      <c r="C4" s="125" t="s">
        <v>6825</v>
      </c>
      <c r="D4" s="125" t="str">
        <f>IFERROR(__xludf.DUMMYFUNCTION("GOOGLETRANSLATE(B4,""zh-tw"",""ja"")"),"3 - NVIDIA アプリケーションで、グラフィック設定領域に移動します。")</f>
        <v>3 - NVIDIA アプリケーションで、グラフィック設定領域に移動します。</v>
      </c>
      <c r="E4" s="434" t="s">
        <v>6826</v>
      </c>
      <c r="F4" s="206" t="str">
        <f>IFERROR(__xludf.DUMMYFUNCTION("GOOGLETRANSLATE(B4,""zh-tw"",""en"")"),"3 - In the NVIDIA application, go to the Graphics settings area.")</f>
        <v>3 - In the NVIDIA application, go to the Graphics settings area.</v>
      </c>
      <c r="G4" s="435" t="s">
        <v>6827</v>
      </c>
      <c r="H4" s="420" t="str">
        <f>IFERROR(__xludf.DUMMYFUNCTION("GOOGLETRANSLATE(B4,""zh-tw"",""zh"")"),"3 - 在NVIDIA应用程式中，进入图形设置区域。")</f>
        <v>3 - 在NVIDIA应用程式中，进入图形设置区域。</v>
      </c>
      <c r="I4" s="421" t="s">
        <v>6828</v>
      </c>
      <c r="J4" s="421" t="s">
        <v>6829</v>
      </c>
      <c r="K4" s="422" t="s">
        <v>6830</v>
      </c>
      <c r="L4" s="422" t="s">
        <v>6831</v>
      </c>
      <c r="M4" s="152"/>
      <c r="N4" s="152"/>
      <c r="O4" s="152"/>
      <c r="P4" s="152"/>
      <c r="Q4" s="152"/>
      <c r="R4" s="152"/>
      <c r="S4" s="152"/>
      <c r="T4" s="152"/>
      <c r="U4" s="152"/>
      <c r="V4" s="152"/>
      <c r="W4" s="152"/>
    </row>
    <row r="5">
      <c r="A5" s="419" t="s">
        <v>6832</v>
      </c>
      <c r="B5" s="419" t="s">
        <v>6833</v>
      </c>
      <c r="C5" s="125" t="s">
        <v>6834</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4" t="s">
        <v>6835</v>
      </c>
      <c r="F5" s="206" t="str">
        <f>IFERROR(__xludf.DUMMYFUNCTION("GOOGLETRANSLATE(B5,""zh-tw"",""en"")"),"4 - In ""Program Settings"", click the three dots, select ""Add Program"", and then find the game's executable file.")</f>
        <v>4 - In "Program Settings", click the three dots, select "Add Program", and then find the game's executable file.</v>
      </c>
      <c r="G5" s="435" t="s">
        <v>6836</v>
      </c>
      <c r="H5" s="420" t="str">
        <f>IFERROR(__xludf.DUMMYFUNCTION("GOOGLETRANSLATE(B5,""zh-tw"",""zh"")"),"4 - 在「程式设定」中点击三个点，选择「新增程式」，然后寻找游戏的执行档。")</f>
        <v>4 - 在「程式设定」中点击三个点，选择「新增程式」，然后寻找游戏的执行档。</v>
      </c>
      <c r="I5" s="421" t="s">
        <v>6837</v>
      </c>
      <c r="J5" s="421" t="s">
        <v>6838</v>
      </c>
      <c r="K5" s="422" t="s">
        <v>6839</v>
      </c>
      <c r="L5" s="422" t="s">
        <v>6840</v>
      </c>
      <c r="M5" s="152"/>
      <c r="N5" s="152"/>
      <c r="O5" s="152"/>
      <c r="P5" s="152"/>
      <c r="Q5" s="152"/>
      <c r="R5" s="152"/>
      <c r="S5" s="152"/>
      <c r="T5" s="152"/>
      <c r="U5" s="152"/>
      <c r="V5" s="152"/>
      <c r="W5" s="152"/>
    </row>
    <row r="6">
      <c r="A6" s="419" t="s">
        <v>6841</v>
      </c>
      <c r="B6" s="419" t="s">
        <v>6842</v>
      </c>
      <c r="C6" s="125" t="s">
        <v>6843</v>
      </c>
      <c r="D6" s="125" t="str">
        <f>IFERROR(__xludf.DUMMYFUNCTION("GOOGLETRANSLATE(B6,""zh-tw"",""ja"")"),"5 - 「低遅延モード」を「超高」に設定し、電源管理モードを「最適電力」に設定します。")</f>
        <v>5 - 「低遅延モード」を「超高」に設定し、電源管理モードを「最適電力」に設定します。</v>
      </c>
      <c r="E6" s="434" t="s">
        <v>6844</v>
      </c>
      <c r="F6" s="206" t="str">
        <f>IFERROR(__xludf.DUMMYFUNCTION("GOOGLETRANSLATE(B6,""zh-tw"",""en"")"),"5 - Set ""Low Latency Mode"" to ""Ultra High"" and the power management mode to ""Optimal Power"".")</f>
        <v>5 - Set "Low Latency Mode" to "Ultra High" and the power management mode to "Optimal Power".</v>
      </c>
      <c r="G6" s="435" t="s">
        <v>6845</v>
      </c>
      <c r="H6" s="420" t="str">
        <f>IFERROR(__xludf.DUMMYFUNCTION("GOOGLETRANSLATE(B6,""zh-tw"",""zh"")"),"5 - 将「低延迟模式」设为「超高」，电源管理模式设为「最佳电源」。")</f>
        <v>5 - 将「低延迟模式」设为「超高」，电源管理模式设为「最佳电源」。</v>
      </c>
      <c r="I6" s="421" t="s">
        <v>6846</v>
      </c>
      <c r="J6" s="421" t="s">
        <v>6847</v>
      </c>
      <c r="K6" s="422" t="s">
        <v>6848</v>
      </c>
      <c r="L6" s="422" t="s">
        <v>6849</v>
      </c>
      <c r="M6" s="152"/>
      <c r="N6" s="152"/>
      <c r="O6" s="152"/>
      <c r="P6" s="152"/>
      <c r="Q6" s="152"/>
      <c r="R6" s="152"/>
      <c r="S6" s="152"/>
      <c r="T6" s="152"/>
      <c r="U6" s="152"/>
      <c r="V6" s="152"/>
      <c r="W6" s="152"/>
    </row>
    <row r="7">
      <c r="A7" s="419" t="s">
        <v>6850</v>
      </c>
      <c r="B7" s="419" t="s">
        <v>6851</v>
      </c>
      <c r="C7" s="125" t="s">
        <v>6852</v>
      </c>
      <c r="D7" s="125" t="str">
        <f>IFERROR(__xludf.DUMMYFUNCTION("GOOGLETRANSLATE(B7,""zh-tw"",""ja"")"),"6-「垂直同期」を「高速」に設定します。")</f>
        <v>6-「垂直同期」を「高速」に設定します。</v>
      </c>
      <c r="E7" s="434" t="s">
        <v>6853</v>
      </c>
      <c r="F7" s="206" t="str">
        <f>IFERROR(__xludf.DUMMYFUNCTION("GOOGLETRANSLATE(B7,""zh-tw"",""en"")"),"6- Set ""Vertical Sync"" to ""Fast"".")</f>
        <v>6- Set "Vertical Sync" to "Fast".</v>
      </c>
      <c r="G7" s="435" t="s">
        <v>6854</v>
      </c>
      <c r="H7" s="420" t="str">
        <f>IFERROR(__xludf.DUMMYFUNCTION("GOOGLETRANSLATE(B7,""zh-tw"",""zh"")"),"6- 将「垂直同步」设为「快速」。")</f>
        <v>6- 将「垂直同步」设为「快速」。</v>
      </c>
      <c r="I7" s="421" t="s">
        <v>6855</v>
      </c>
      <c r="J7" s="421" t="s">
        <v>6856</v>
      </c>
      <c r="K7" s="422" t="s">
        <v>6857</v>
      </c>
      <c r="L7" s="422" t="s">
        <v>6858</v>
      </c>
      <c r="M7" s="152"/>
      <c r="N7" s="152"/>
      <c r="O7" s="152"/>
      <c r="P7" s="152"/>
      <c r="Q7" s="152"/>
      <c r="R7" s="152"/>
      <c r="S7" s="152"/>
      <c r="T7" s="152"/>
      <c r="U7" s="152"/>
      <c r="V7" s="152"/>
      <c r="W7" s="152"/>
    </row>
    <row r="8">
      <c r="A8" s="419" t="s">
        <v>6859</v>
      </c>
      <c r="B8" s="419" t="s">
        <v>6860</v>
      </c>
      <c r="C8" s="125" t="s">
        <v>6861</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4" t="s">
        <v>6862</v>
      </c>
      <c r="F8" s="206" t="str">
        <f>IFERROR(__xludf.DUMMYFUNCTION("GOOGLETRANSLATE(B8,""zh-tw"",""en"")"),"7 - If your computer cannot handle these options, please follow the best option.")</f>
        <v>7 - If your computer cannot handle these options, please follow the best option.</v>
      </c>
      <c r="G8" s="435" t="s">
        <v>6863</v>
      </c>
      <c r="H8" s="420" t="str">
        <f>IFERROR(__xludf.DUMMYFUNCTION("GOOGLETRANSLATE(B8,""zh-tw"",""zh"")"),"7 - 如果你的电脑无法负荷这些选项，请依照最佳的选项即可。")</f>
        <v>7 - 如果你的电脑无法负荷这些选项，请依照最佳的选项即可。</v>
      </c>
      <c r="I8" s="421" t="s">
        <v>6864</v>
      </c>
      <c r="J8" s="421" t="s">
        <v>6865</v>
      </c>
      <c r="K8" s="422" t="s">
        <v>6866</v>
      </c>
      <c r="L8" s="422" t="s">
        <v>6867</v>
      </c>
      <c r="M8" s="152"/>
      <c r="N8" s="152"/>
      <c r="O8" s="152"/>
      <c r="P8" s="152"/>
      <c r="Q8" s="152"/>
      <c r="R8" s="152"/>
      <c r="S8" s="152"/>
      <c r="T8" s="152"/>
      <c r="U8" s="152"/>
      <c r="V8" s="152"/>
      <c r="W8" s="152"/>
    </row>
    <row r="9">
      <c r="A9" s="419" t="s">
        <v>6868</v>
      </c>
      <c r="B9" s="419" t="s">
        <v>6869</v>
      </c>
      <c r="C9" s="125" t="s">
        <v>6870</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4" t="s">
        <v>6871</v>
      </c>
      <c r="F9" s="206" t="str">
        <f>IFERROR(__xludf.DUMMYFUNCTION("GOOGLETRANSLATE(B9,""zh-tw"",""en"")"),"8- Now, launch the game and you should experience good and stable performance.")</f>
        <v>8- Now, launch the game and you should experience good and stable performance.</v>
      </c>
      <c r="G9" s="435" t="s">
        <v>6872</v>
      </c>
      <c r="H9" s="420" t="str">
        <f>IFERROR(__xludf.DUMMYFUNCTION("GOOGLETRANSLATE(B9,""zh-tw"",""zh"")"),"8- 现在，将游戏启动，你能体验到良好的稳定性能。")</f>
        <v>8- 现在，将游戏启动，你能体验到良好的稳定性能。</v>
      </c>
      <c r="I9" s="421" t="s">
        <v>6873</v>
      </c>
      <c r="J9" s="421" t="s">
        <v>6874</v>
      </c>
      <c r="K9" s="422" t="s">
        <v>6875</v>
      </c>
      <c r="L9" s="422" t="s">
        <v>6876</v>
      </c>
      <c r="M9" s="152"/>
      <c r="N9" s="152"/>
      <c r="O9" s="152"/>
      <c r="P9" s="152"/>
      <c r="Q9" s="152"/>
      <c r="R9" s="152"/>
      <c r="S9" s="152"/>
      <c r="T9" s="152"/>
      <c r="U9" s="152"/>
      <c r="V9" s="152"/>
      <c r="W9" s="152"/>
    </row>
    <row r="10">
      <c r="A10" s="419"/>
      <c r="B10" s="436" t="s">
        <v>6877</v>
      </c>
      <c r="C10" s="437"/>
      <c r="D10" s="438" t="s">
        <v>6878</v>
      </c>
      <c r="E10" s="439"/>
      <c r="F10" s="440" t="s">
        <v>6792</v>
      </c>
      <c r="G10" s="420"/>
      <c r="H10" s="441" t="s">
        <v>6879</v>
      </c>
      <c r="I10" s="442"/>
      <c r="J10" s="443" t="s">
        <v>6794</v>
      </c>
      <c r="K10" s="444"/>
      <c r="L10" s="428" t="str">
        <f>HYPERLINK("https://www.youtube.com/watch?v=9NSNcMB5M2o&amp;ab_channel=gabrielb", "Video Youtube tham khảo")</f>
        <v>Video Youtube tham khảo</v>
      </c>
      <c r="M10" s="152"/>
      <c r="N10" s="152"/>
      <c r="O10" s="152"/>
      <c r="P10" s="152"/>
      <c r="Q10" s="152"/>
      <c r="R10" s="152"/>
      <c r="S10" s="152"/>
      <c r="T10" s="152"/>
      <c r="U10" s="152"/>
      <c r="V10" s="152"/>
      <c r="W10" s="152"/>
    </row>
    <row r="11">
      <c r="A11" s="429"/>
      <c r="B11" s="429"/>
      <c r="C11" s="152"/>
      <c r="D11" s="152"/>
      <c r="E11" s="152"/>
      <c r="F11" s="429"/>
      <c r="G11" s="152"/>
      <c r="H11" s="152"/>
      <c r="I11" s="152"/>
      <c r="J11" s="430"/>
      <c r="K11" s="445"/>
      <c r="L11" s="445"/>
      <c r="M11" s="152"/>
      <c r="N11" s="152"/>
      <c r="O11" s="152"/>
      <c r="P11" s="152"/>
      <c r="Q11" s="152"/>
      <c r="R11" s="152"/>
      <c r="S11" s="152"/>
      <c r="T11" s="152"/>
      <c r="U11" s="152"/>
      <c r="V11" s="152"/>
      <c r="W11" s="152"/>
    </row>
    <row r="12">
      <c r="A12" s="429"/>
      <c r="B12" s="429"/>
      <c r="C12" s="152"/>
      <c r="D12" s="152"/>
      <c r="E12" s="152"/>
      <c r="F12" s="152"/>
      <c r="G12" s="152"/>
      <c r="H12" s="152"/>
      <c r="I12" s="152"/>
      <c r="J12" s="152"/>
      <c r="K12" s="445"/>
      <c r="L12" s="445"/>
      <c r="M12" s="152"/>
      <c r="N12" s="152"/>
      <c r="O12" s="152"/>
      <c r="P12" s="152"/>
      <c r="Q12" s="152"/>
      <c r="R12" s="152"/>
      <c r="S12" s="152"/>
      <c r="T12" s="152"/>
      <c r="U12" s="152"/>
      <c r="V12" s="152"/>
      <c r="W12" s="152"/>
    </row>
    <row r="13">
      <c r="A13" s="429"/>
      <c r="B13" s="429"/>
      <c r="C13" s="152"/>
      <c r="D13" s="152"/>
      <c r="E13" s="152"/>
      <c r="F13" s="152"/>
      <c r="G13" s="152"/>
      <c r="H13" s="152"/>
      <c r="I13" s="152"/>
      <c r="J13" s="152"/>
      <c r="K13" s="445"/>
      <c r="L13" s="445"/>
      <c r="M13" s="152"/>
      <c r="N13" s="152"/>
      <c r="O13" s="152"/>
      <c r="P13" s="152"/>
      <c r="Q13" s="152"/>
      <c r="R13" s="152"/>
      <c r="S13" s="152"/>
      <c r="T13" s="152"/>
      <c r="U13" s="152"/>
      <c r="V13" s="152"/>
      <c r="W13" s="152"/>
    </row>
    <row r="14">
      <c r="A14" s="429"/>
      <c r="B14" s="429"/>
      <c r="C14" s="152"/>
      <c r="D14" s="152"/>
      <c r="E14" s="152"/>
      <c r="F14" s="152"/>
      <c r="G14" s="152"/>
      <c r="H14" s="152"/>
      <c r="I14" s="152"/>
      <c r="J14" s="152"/>
      <c r="K14" s="445"/>
      <c r="L14" s="445"/>
      <c r="M14" s="152"/>
      <c r="N14" s="152"/>
      <c r="O14" s="152"/>
      <c r="P14" s="152"/>
      <c r="Q14" s="152"/>
      <c r="R14" s="152"/>
      <c r="S14" s="152"/>
      <c r="T14" s="152"/>
      <c r="U14" s="152"/>
      <c r="V14" s="152"/>
      <c r="W14" s="152"/>
    </row>
    <row r="15">
      <c r="A15" s="429"/>
      <c r="B15" s="429"/>
      <c r="C15" s="152"/>
      <c r="D15" s="152"/>
      <c r="E15" s="152"/>
      <c r="F15" s="152"/>
      <c r="G15" s="152"/>
      <c r="H15" s="152"/>
      <c r="I15" s="152"/>
      <c r="J15" s="152"/>
      <c r="K15" s="445"/>
      <c r="L15" s="445"/>
      <c r="M15" s="152"/>
      <c r="N15" s="152"/>
      <c r="O15" s="152"/>
      <c r="P15" s="152"/>
      <c r="Q15" s="152"/>
      <c r="R15" s="152"/>
      <c r="S15" s="152"/>
      <c r="T15" s="152"/>
      <c r="U15" s="152"/>
      <c r="V15" s="152"/>
      <c r="W15" s="152"/>
    </row>
    <row r="16">
      <c r="A16" s="429"/>
      <c r="B16" s="429"/>
      <c r="C16" s="152"/>
      <c r="D16" s="152"/>
      <c r="E16" s="152"/>
      <c r="F16" s="152"/>
      <c r="G16" s="152"/>
      <c r="H16" s="152"/>
      <c r="I16" s="152"/>
      <c r="J16" s="152"/>
      <c r="K16" s="445"/>
      <c r="L16" s="445"/>
      <c r="M16" s="152"/>
      <c r="N16" s="152"/>
      <c r="O16" s="152"/>
      <c r="P16" s="152"/>
      <c r="Q16" s="152"/>
      <c r="R16" s="152"/>
      <c r="S16" s="152"/>
      <c r="T16" s="152"/>
      <c r="U16" s="152"/>
      <c r="V16" s="152"/>
      <c r="W16" s="152"/>
    </row>
    <row r="17">
      <c r="A17" s="429"/>
      <c r="B17" s="429"/>
      <c r="C17" s="152"/>
      <c r="D17" s="152"/>
      <c r="E17" s="152"/>
      <c r="F17" s="152"/>
      <c r="G17" s="152"/>
      <c r="H17" s="152"/>
      <c r="I17" s="152"/>
      <c r="J17" s="152"/>
      <c r="K17" s="445"/>
      <c r="L17" s="445"/>
      <c r="M17" s="152"/>
      <c r="N17" s="152"/>
      <c r="O17" s="152"/>
      <c r="P17" s="152"/>
      <c r="Q17" s="152"/>
      <c r="R17" s="152"/>
      <c r="S17" s="152"/>
      <c r="T17" s="152"/>
      <c r="U17" s="152"/>
      <c r="V17" s="152"/>
      <c r="W17" s="152"/>
    </row>
    <row r="18">
      <c r="A18" s="429"/>
      <c r="B18" s="429"/>
      <c r="C18" s="152"/>
      <c r="D18" s="152"/>
      <c r="E18" s="152"/>
      <c r="F18" s="152"/>
      <c r="G18" s="152"/>
      <c r="H18" s="152"/>
      <c r="I18" s="152"/>
      <c r="J18" s="152"/>
      <c r="K18" s="445"/>
      <c r="L18" s="445"/>
      <c r="M18" s="152"/>
      <c r="N18" s="152"/>
      <c r="O18" s="152"/>
      <c r="P18" s="152"/>
      <c r="Q18" s="152"/>
      <c r="R18" s="152"/>
      <c r="S18" s="152"/>
      <c r="T18" s="152"/>
      <c r="U18" s="152"/>
      <c r="V18" s="152"/>
      <c r="W18" s="152"/>
    </row>
    <row r="19">
      <c r="A19" s="429"/>
      <c r="B19" s="429"/>
      <c r="C19" s="152"/>
      <c r="D19" s="152"/>
      <c r="E19" s="152"/>
      <c r="F19" s="152"/>
      <c r="G19" s="152"/>
      <c r="H19" s="152"/>
      <c r="I19" s="152"/>
      <c r="J19" s="152"/>
      <c r="K19" s="445"/>
      <c r="L19" s="445"/>
      <c r="M19" s="152"/>
      <c r="N19" s="152"/>
      <c r="O19" s="152"/>
      <c r="P19" s="152"/>
      <c r="Q19" s="152"/>
      <c r="R19" s="152"/>
      <c r="S19" s="152"/>
      <c r="T19" s="152"/>
      <c r="U19" s="152"/>
      <c r="V19" s="152"/>
      <c r="W19" s="152"/>
    </row>
    <row r="20">
      <c r="A20" s="429"/>
      <c r="B20" s="429"/>
      <c r="C20" s="152"/>
      <c r="D20" s="152"/>
      <c r="E20" s="152"/>
      <c r="F20" s="152"/>
      <c r="G20" s="152"/>
      <c r="H20" s="152"/>
      <c r="I20" s="152"/>
      <c r="J20" s="152"/>
      <c r="K20" s="445"/>
      <c r="L20" s="445"/>
      <c r="M20" s="152"/>
      <c r="N20" s="152"/>
      <c r="O20" s="152"/>
      <c r="P20" s="152"/>
      <c r="Q20" s="152"/>
      <c r="R20" s="152"/>
      <c r="S20" s="152"/>
      <c r="T20" s="152"/>
      <c r="U20" s="152"/>
      <c r="V20" s="152"/>
      <c r="W20" s="152"/>
    </row>
    <row r="21">
      <c r="A21" s="429"/>
      <c r="B21" s="429"/>
      <c r="C21" s="152"/>
      <c r="D21" s="152"/>
      <c r="E21" s="152"/>
      <c r="F21" s="152"/>
      <c r="G21" s="152"/>
      <c r="H21" s="152"/>
      <c r="I21" s="152"/>
      <c r="J21" s="152"/>
      <c r="K21" s="445"/>
      <c r="L21" s="445"/>
      <c r="M21" s="152"/>
      <c r="N21" s="152"/>
      <c r="O21" s="152"/>
      <c r="P21" s="152"/>
      <c r="Q21" s="152"/>
      <c r="R21" s="152"/>
      <c r="S21" s="152"/>
      <c r="T21" s="152"/>
      <c r="U21" s="152"/>
      <c r="V21" s="152"/>
      <c r="W21" s="152"/>
    </row>
    <row r="22">
      <c r="A22" s="446"/>
      <c r="B22" s="429"/>
      <c r="C22" s="152"/>
      <c r="D22" s="152"/>
      <c r="E22" s="152"/>
      <c r="F22" s="152"/>
      <c r="G22" s="152"/>
      <c r="H22" s="152"/>
      <c r="I22" s="152"/>
      <c r="J22" s="152"/>
      <c r="K22" s="445"/>
      <c r="L22" s="445"/>
      <c r="M22" s="152"/>
      <c r="N22" s="152"/>
      <c r="O22" s="152"/>
      <c r="P22" s="152"/>
      <c r="Q22" s="152"/>
      <c r="R22" s="152"/>
      <c r="S22" s="152"/>
      <c r="T22" s="152"/>
      <c r="U22" s="152"/>
      <c r="V22" s="152"/>
      <c r="W22" s="152"/>
    </row>
    <row r="23">
      <c r="A23" s="429"/>
      <c r="B23" s="429"/>
      <c r="C23" s="152"/>
      <c r="D23" s="152"/>
      <c r="E23" s="152"/>
      <c r="F23" s="152"/>
      <c r="G23" s="152"/>
      <c r="H23" s="152"/>
      <c r="I23" s="152"/>
      <c r="J23" s="152"/>
      <c r="K23" s="445"/>
      <c r="L23" s="445"/>
      <c r="M23" s="152"/>
      <c r="N23" s="152"/>
      <c r="O23" s="152"/>
      <c r="P23" s="152"/>
      <c r="Q23" s="152"/>
      <c r="R23" s="152"/>
      <c r="S23" s="152"/>
      <c r="T23" s="152"/>
      <c r="U23" s="152"/>
      <c r="V23" s="152"/>
      <c r="W23" s="152"/>
    </row>
    <row r="24">
      <c r="A24" s="429"/>
      <c r="B24" s="429"/>
      <c r="C24" s="152"/>
      <c r="D24" s="152"/>
      <c r="E24" s="152"/>
      <c r="F24" s="152"/>
      <c r="G24" s="152"/>
      <c r="H24" s="152"/>
      <c r="I24" s="152"/>
      <c r="J24" s="152"/>
      <c r="K24" s="445"/>
      <c r="L24" s="445"/>
      <c r="M24" s="152"/>
      <c r="N24" s="152"/>
      <c r="O24" s="152"/>
      <c r="P24" s="152"/>
      <c r="Q24" s="152"/>
      <c r="R24" s="152"/>
      <c r="S24" s="152"/>
      <c r="T24" s="152"/>
      <c r="U24" s="152"/>
      <c r="V24" s="152"/>
      <c r="W24" s="152"/>
    </row>
    <row r="25">
      <c r="A25" s="429"/>
      <c r="B25" s="429"/>
      <c r="C25" s="152"/>
      <c r="D25" s="152"/>
      <c r="E25" s="152"/>
      <c r="F25" s="152"/>
      <c r="G25" s="152"/>
      <c r="H25" s="152"/>
      <c r="I25" s="152"/>
      <c r="J25" s="152"/>
      <c r="K25" s="445"/>
      <c r="L25" s="445"/>
      <c r="M25" s="152"/>
      <c r="N25" s="152"/>
      <c r="O25" s="152"/>
      <c r="P25" s="152"/>
      <c r="Q25" s="152"/>
      <c r="R25" s="152"/>
      <c r="S25" s="152"/>
      <c r="T25" s="152"/>
      <c r="U25" s="152"/>
      <c r="V25" s="152"/>
      <c r="W25" s="152"/>
    </row>
    <row r="26">
      <c r="A26" s="429"/>
      <c r="B26" s="429"/>
      <c r="C26" s="152"/>
      <c r="D26" s="152"/>
      <c r="E26" s="152"/>
      <c r="F26" s="152"/>
      <c r="G26" s="152"/>
      <c r="H26" s="152"/>
      <c r="I26" s="152"/>
      <c r="J26" s="152"/>
      <c r="K26" s="445"/>
      <c r="L26" s="445"/>
      <c r="M26" s="152"/>
      <c r="N26" s="152"/>
      <c r="O26" s="152"/>
      <c r="P26" s="152"/>
      <c r="Q26" s="152"/>
      <c r="R26" s="152"/>
      <c r="S26" s="152"/>
      <c r="T26" s="152"/>
      <c r="U26" s="152"/>
      <c r="V26" s="152"/>
      <c r="W26" s="152"/>
    </row>
    <row r="27">
      <c r="A27" s="429"/>
      <c r="B27" s="429"/>
      <c r="C27" s="152"/>
      <c r="D27" s="152"/>
      <c r="E27" s="152"/>
      <c r="F27" s="152"/>
      <c r="G27" s="152"/>
      <c r="H27" s="152"/>
      <c r="I27" s="152"/>
      <c r="J27" s="152"/>
      <c r="K27" s="445"/>
      <c r="L27" s="445"/>
      <c r="M27" s="152"/>
      <c r="N27" s="152"/>
      <c r="O27" s="152"/>
      <c r="P27" s="152"/>
      <c r="Q27" s="152"/>
      <c r="R27" s="152"/>
      <c r="S27" s="152"/>
      <c r="T27" s="152"/>
      <c r="U27" s="152"/>
      <c r="V27" s="152"/>
      <c r="W27" s="152"/>
    </row>
    <row r="28">
      <c r="A28" s="429"/>
      <c r="B28" s="429"/>
      <c r="C28" s="152"/>
      <c r="D28" s="152"/>
      <c r="E28" s="152"/>
      <c r="F28" s="152"/>
      <c r="G28" s="152"/>
      <c r="H28" s="152"/>
      <c r="I28" s="152"/>
      <c r="J28" s="152"/>
      <c r="K28" s="445"/>
      <c r="L28" s="445"/>
      <c r="M28" s="152"/>
      <c r="N28" s="152"/>
      <c r="O28" s="152"/>
      <c r="P28" s="152"/>
      <c r="Q28" s="152"/>
      <c r="R28" s="152"/>
      <c r="S28" s="152"/>
      <c r="T28" s="152"/>
      <c r="U28" s="152"/>
      <c r="V28" s="152"/>
      <c r="W28" s="152"/>
    </row>
    <row r="29">
      <c r="A29" s="429"/>
      <c r="B29" s="429"/>
      <c r="C29" s="152"/>
      <c r="D29" s="152"/>
      <c r="E29" s="152"/>
      <c r="F29" s="152"/>
      <c r="G29" s="152"/>
      <c r="H29" s="152"/>
      <c r="I29" s="152"/>
      <c r="J29" s="152"/>
      <c r="K29" s="445"/>
      <c r="L29" s="445"/>
      <c r="M29" s="152"/>
      <c r="N29" s="152"/>
      <c r="O29" s="152"/>
      <c r="P29" s="152"/>
      <c r="Q29" s="152"/>
      <c r="R29" s="152"/>
      <c r="S29" s="152"/>
      <c r="T29" s="152"/>
      <c r="U29" s="152"/>
      <c r="V29" s="152"/>
      <c r="W29" s="152"/>
    </row>
    <row r="30">
      <c r="A30" s="429"/>
      <c r="B30" s="429"/>
      <c r="C30" s="152"/>
      <c r="D30" s="152"/>
      <c r="E30" s="152"/>
      <c r="F30" s="152"/>
      <c r="G30" s="152"/>
      <c r="H30" s="152"/>
      <c r="I30" s="152"/>
      <c r="J30" s="152"/>
      <c r="K30" s="445"/>
      <c r="L30" s="445"/>
      <c r="M30" s="152"/>
      <c r="N30" s="152"/>
      <c r="O30" s="152"/>
      <c r="P30" s="152"/>
      <c r="Q30" s="152"/>
      <c r="R30" s="152"/>
      <c r="S30" s="152"/>
      <c r="T30" s="152"/>
      <c r="U30" s="152"/>
      <c r="V30" s="152"/>
      <c r="W30" s="152"/>
    </row>
    <row r="31">
      <c r="A31" s="429"/>
      <c r="B31" s="429"/>
      <c r="C31" s="152"/>
      <c r="D31" s="152"/>
      <c r="E31" s="152"/>
      <c r="F31" s="152"/>
      <c r="G31" s="152"/>
      <c r="H31" s="152"/>
      <c r="I31" s="152"/>
      <c r="J31" s="152"/>
      <c r="K31" s="445"/>
      <c r="L31" s="445"/>
      <c r="M31" s="152"/>
      <c r="N31" s="152"/>
      <c r="O31" s="152"/>
      <c r="P31" s="152"/>
      <c r="Q31" s="152"/>
      <c r="R31" s="152"/>
      <c r="S31" s="152"/>
      <c r="T31" s="152"/>
      <c r="U31" s="152"/>
      <c r="V31" s="152"/>
      <c r="W31" s="152"/>
    </row>
    <row r="32">
      <c r="A32" s="429"/>
      <c r="B32" s="429"/>
      <c r="C32" s="152"/>
      <c r="D32" s="152"/>
      <c r="E32" s="152"/>
      <c r="F32" s="152"/>
      <c r="G32" s="152"/>
      <c r="H32" s="152"/>
      <c r="I32" s="152"/>
      <c r="J32" s="152"/>
      <c r="K32" s="445"/>
      <c r="L32" s="445"/>
      <c r="M32" s="152"/>
      <c r="N32" s="152"/>
      <c r="O32" s="152"/>
      <c r="P32" s="152"/>
      <c r="Q32" s="152"/>
      <c r="R32" s="152"/>
      <c r="S32" s="152"/>
      <c r="T32" s="152"/>
      <c r="U32" s="152"/>
      <c r="V32" s="152"/>
      <c r="W32" s="152"/>
    </row>
    <row r="33">
      <c r="A33" s="429"/>
      <c r="B33" s="429"/>
      <c r="C33" s="152"/>
      <c r="D33" s="152"/>
      <c r="E33" s="152"/>
      <c r="F33" s="152"/>
      <c r="G33" s="152"/>
      <c r="H33" s="152"/>
      <c r="I33" s="152"/>
      <c r="J33" s="152"/>
      <c r="K33" s="445"/>
      <c r="L33" s="445"/>
      <c r="M33" s="152"/>
      <c r="N33" s="152"/>
      <c r="O33" s="152"/>
      <c r="P33" s="152"/>
      <c r="Q33" s="152"/>
      <c r="R33" s="152"/>
      <c r="S33" s="152"/>
      <c r="T33" s="152"/>
      <c r="U33" s="152"/>
      <c r="V33" s="152"/>
      <c r="W33" s="152"/>
    </row>
    <row r="34">
      <c r="A34" s="429"/>
      <c r="B34" s="429"/>
      <c r="C34" s="152"/>
      <c r="D34" s="152"/>
      <c r="E34" s="152"/>
      <c r="F34" s="152"/>
      <c r="G34" s="152"/>
      <c r="H34" s="152"/>
      <c r="I34" s="152"/>
      <c r="J34" s="152"/>
      <c r="K34" s="445"/>
      <c r="L34" s="445"/>
      <c r="M34" s="152"/>
      <c r="N34" s="152"/>
      <c r="O34" s="152"/>
      <c r="P34" s="152"/>
      <c r="Q34" s="152"/>
      <c r="R34" s="152"/>
      <c r="S34" s="152"/>
      <c r="T34" s="152"/>
      <c r="U34" s="152"/>
      <c r="V34" s="152"/>
      <c r="W34" s="152"/>
    </row>
    <row r="35">
      <c r="A35" s="429"/>
      <c r="B35" s="429"/>
      <c r="C35" s="152"/>
      <c r="D35" s="152"/>
      <c r="E35" s="152"/>
      <c r="F35" s="152"/>
      <c r="G35" s="152"/>
      <c r="H35" s="152"/>
      <c r="I35" s="152"/>
      <c r="J35" s="152"/>
      <c r="K35" s="445"/>
      <c r="L35" s="445"/>
      <c r="M35" s="152"/>
      <c r="N35" s="152"/>
      <c r="O35" s="152"/>
      <c r="P35" s="152"/>
      <c r="Q35" s="152"/>
      <c r="R35" s="152"/>
      <c r="S35" s="152"/>
      <c r="T35" s="152"/>
      <c r="U35" s="152"/>
      <c r="V35" s="152"/>
      <c r="W35" s="152"/>
    </row>
    <row r="36">
      <c r="A36" s="152"/>
      <c r="B36" s="152"/>
      <c r="C36" s="152"/>
      <c r="D36" s="152"/>
      <c r="E36" s="152"/>
      <c r="F36" s="152"/>
      <c r="G36" s="152"/>
      <c r="H36" s="152"/>
      <c r="I36" s="152"/>
      <c r="J36" s="152"/>
      <c r="K36" s="445"/>
      <c r="L36" s="445"/>
      <c r="M36" s="152"/>
      <c r="N36" s="152"/>
      <c r="O36" s="152"/>
      <c r="P36" s="152"/>
      <c r="Q36" s="152"/>
      <c r="R36" s="152"/>
      <c r="S36" s="152"/>
      <c r="T36" s="152"/>
      <c r="U36" s="152"/>
      <c r="V36" s="152"/>
      <c r="W36" s="152"/>
    </row>
    <row r="37">
      <c r="A37" s="152"/>
      <c r="B37" s="152"/>
      <c r="C37" s="152"/>
      <c r="D37" s="152"/>
      <c r="E37" s="152"/>
      <c r="F37" s="152"/>
      <c r="G37" s="152"/>
      <c r="H37" s="152"/>
      <c r="I37" s="152"/>
      <c r="J37" s="152"/>
      <c r="K37" s="445"/>
      <c r="L37" s="445"/>
      <c r="M37" s="152"/>
      <c r="N37" s="152"/>
      <c r="O37" s="152"/>
      <c r="P37" s="152"/>
      <c r="Q37" s="152"/>
      <c r="R37" s="152"/>
      <c r="S37" s="152"/>
      <c r="T37" s="152"/>
      <c r="U37" s="152"/>
      <c r="V37" s="152"/>
      <c r="W37" s="152"/>
    </row>
    <row r="38">
      <c r="A38" s="152"/>
      <c r="B38" s="152"/>
      <c r="C38" s="152"/>
      <c r="D38" s="152"/>
      <c r="E38" s="152"/>
      <c r="F38" s="152"/>
      <c r="G38" s="152"/>
      <c r="H38" s="152"/>
      <c r="I38" s="152"/>
      <c r="J38" s="152"/>
      <c r="K38" s="445"/>
      <c r="L38" s="445"/>
      <c r="M38" s="152"/>
      <c r="N38" s="152"/>
      <c r="O38" s="152"/>
      <c r="P38" s="152"/>
      <c r="Q38" s="152"/>
      <c r="R38" s="152"/>
      <c r="S38" s="152"/>
      <c r="T38" s="152"/>
      <c r="U38" s="152"/>
      <c r="V38" s="152"/>
      <c r="W38" s="152"/>
    </row>
    <row r="39">
      <c r="A39" s="152"/>
      <c r="B39" s="152"/>
      <c r="C39" s="152"/>
      <c r="D39" s="152"/>
      <c r="E39" s="152"/>
      <c r="F39" s="152"/>
      <c r="G39" s="152"/>
      <c r="H39" s="152"/>
      <c r="I39" s="152"/>
      <c r="J39" s="152"/>
      <c r="K39" s="445"/>
      <c r="L39" s="445"/>
      <c r="M39" s="152"/>
      <c r="N39" s="152"/>
      <c r="O39" s="152"/>
      <c r="P39" s="152"/>
      <c r="Q39" s="152"/>
      <c r="R39" s="152"/>
      <c r="S39" s="152"/>
      <c r="T39" s="152"/>
      <c r="U39" s="152"/>
      <c r="V39" s="152"/>
      <c r="W39" s="152"/>
    </row>
    <row r="40">
      <c r="A40" s="152"/>
      <c r="B40" s="152"/>
      <c r="C40" s="152"/>
      <c r="D40" s="152"/>
      <c r="E40" s="152"/>
      <c r="F40" s="152"/>
      <c r="G40" s="152"/>
      <c r="H40" s="152"/>
      <c r="I40" s="152"/>
      <c r="J40" s="152"/>
      <c r="K40" s="445"/>
      <c r="L40" s="445"/>
      <c r="M40" s="152"/>
      <c r="N40" s="152"/>
      <c r="O40" s="152"/>
      <c r="P40" s="152"/>
      <c r="Q40" s="152"/>
      <c r="R40" s="152"/>
      <c r="S40" s="152"/>
      <c r="T40" s="152"/>
      <c r="U40" s="152"/>
      <c r="V40" s="152"/>
      <c r="W40" s="152"/>
    </row>
    <row r="41">
      <c r="A41" s="152"/>
      <c r="B41" s="152"/>
      <c r="C41" s="152"/>
      <c r="D41" s="152"/>
      <c r="E41" s="152"/>
      <c r="F41" s="152"/>
      <c r="G41" s="152"/>
      <c r="H41" s="152"/>
      <c r="I41" s="152"/>
      <c r="J41" s="152"/>
      <c r="K41" s="445"/>
      <c r="L41" s="445"/>
      <c r="M41" s="152"/>
      <c r="N41" s="152"/>
      <c r="O41" s="152"/>
      <c r="P41" s="152"/>
      <c r="Q41" s="152"/>
      <c r="R41" s="152"/>
      <c r="S41" s="152"/>
      <c r="T41" s="152"/>
      <c r="U41" s="152"/>
      <c r="V41" s="152"/>
      <c r="W41" s="152"/>
    </row>
    <row r="42">
      <c r="A42" s="152"/>
      <c r="B42" s="152"/>
      <c r="C42" s="152"/>
      <c r="D42" s="152"/>
      <c r="E42" s="152"/>
      <c r="F42" s="152"/>
      <c r="G42" s="152"/>
      <c r="H42" s="152"/>
      <c r="I42" s="152"/>
      <c r="J42" s="152"/>
      <c r="K42" s="445"/>
      <c r="L42" s="445"/>
      <c r="M42" s="152"/>
      <c r="N42" s="152"/>
      <c r="O42" s="152"/>
      <c r="P42" s="152"/>
      <c r="Q42" s="152"/>
      <c r="R42" s="152"/>
      <c r="S42" s="152"/>
      <c r="T42" s="152"/>
      <c r="U42" s="152"/>
      <c r="V42" s="152"/>
      <c r="W42" s="152"/>
    </row>
    <row r="43">
      <c r="A43" s="152"/>
      <c r="B43" s="152"/>
      <c r="C43" s="152"/>
      <c r="D43" s="152"/>
      <c r="E43" s="152"/>
      <c r="F43" s="152"/>
      <c r="G43" s="152"/>
      <c r="H43" s="152"/>
      <c r="I43" s="152"/>
      <c r="J43" s="152"/>
      <c r="K43" s="445"/>
      <c r="L43" s="445"/>
      <c r="M43" s="152"/>
      <c r="N43" s="152"/>
      <c r="O43" s="152"/>
      <c r="P43" s="152"/>
      <c r="Q43" s="152"/>
      <c r="R43" s="152"/>
      <c r="S43" s="152"/>
      <c r="T43" s="152"/>
      <c r="U43" s="152"/>
      <c r="V43" s="152"/>
      <c r="W43" s="152"/>
    </row>
    <row r="44">
      <c r="A44" s="152"/>
      <c r="B44" s="152"/>
      <c r="C44" s="152"/>
      <c r="D44" s="152"/>
      <c r="E44" s="152"/>
      <c r="F44" s="152"/>
      <c r="G44" s="152"/>
      <c r="H44" s="152"/>
      <c r="I44" s="152"/>
      <c r="J44" s="152"/>
      <c r="K44" s="445"/>
      <c r="L44" s="445"/>
      <c r="M44" s="152"/>
      <c r="N44" s="152"/>
      <c r="O44" s="152"/>
      <c r="P44" s="152"/>
      <c r="Q44" s="152"/>
      <c r="R44" s="152"/>
      <c r="S44" s="152"/>
      <c r="T44" s="152"/>
      <c r="U44" s="152"/>
      <c r="V44" s="152"/>
      <c r="W44" s="152"/>
    </row>
    <row r="45">
      <c r="A45" s="152"/>
      <c r="B45" s="152"/>
      <c r="C45" s="152"/>
      <c r="D45" s="152"/>
      <c r="E45" s="152"/>
      <c r="F45" s="152"/>
      <c r="G45" s="152"/>
      <c r="H45" s="152"/>
      <c r="I45" s="152"/>
      <c r="J45" s="152"/>
      <c r="K45" s="445"/>
      <c r="L45" s="445"/>
      <c r="M45" s="152"/>
      <c r="N45" s="152"/>
      <c r="O45" s="152"/>
      <c r="P45" s="152"/>
      <c r="Q45" s="152"/>
      <c r="R45" s="152"/>
      <c r="S45" s="152"/>
      <c r="T45" s="152"/>
      <c r="U45" s="152"/>
      <c r="V45" s="152"/>
      <c r="W45" s="152"/>
    </row>
    <row r="46">
      <c r="A46" s="152"/>
      <c r="B46" s="152"/>
      <c r="C46" s="152"/>
      <c r="D46" s="152"/>
      <c r="E46" s="152"/>
      <c r="F46" s="152"/>
      <c r="G46" s="152"/>
      <c r="H46" s="152"/>
      <c r="I46" s="152"/>
      <c r="J46" s="152"/>
      <c r="K46" s="445"/>
      <c r="L46" s="445"/>
      <c r="M46" s="152"/>
      <c r="N46" s="152"/>
      <c r="O46" s="152"/>
      <c r="P46" s="152"/>
      <c r="Q46" s="152"/>
      <c r="R46" s="152"/>
      <c r="S46" s="152"/>
      <c r="T46" s="152"/>
      <c r="U46" s="152"/>
      <c r="V46" s="152"/>
      <c r="W46" s="152"/>
    </row>
    <row r="47">
      <c r="A47" s="152"/>
      <c r="B47" s="152"/>
      <c r="C47" s="152"/>
      <c r="D47" s="152"/>
      <c r="E47" s="152"/>
      <c r="F47" s="152"/>
      <c r="G47" s="152"/>
      <c r="H47" s="152"/>
      <c r="I47" s="152"/>
      <c r="J47" s="152"/>
      <c r="K47" s="445"/>
      <c r="L47" s="445"/>
      <c r="M47" s="152"/>
      <c r="N47" s="152"/>
      <c r="O47" s="152"/>
      <c r="P47" s="152"/>
      <c r="Q47" s="152"/>
      <c r="R47" s="152"/>
      <c r="S47" s="152"/>
      <c r="T47" s="152"/>
      <c r="U47" s="152"/>
      <c r="V47" s="152"/>
      <c r="W47" s="152"/>
    </row>
    <row r="48">
      <c r="A48" s="152"/>
      <c r="B48" s="152"/>
      <c r="C48" s="152"/>
      <c r="D48" s="152"/>
      <c r="E48" s="152"/>
      <c r="F48" s="152"/>
      <c r="G48" s="152"/>
      <c r="H48" s="152"/>
      <c r="I48" s="152"/>
      <c r="J48" s="152"/>
      <c r="K48" s="445"/>
      <c r="L48" s="445"/>
      <c r="M48" s="152"/>
      <c r="N48" s="152"/>
      <c r="O48" s="152"/>
      <c r="P48" s="152"/>
      <c r="Q48" s="152"/>
      <c r="R48" s="152"/>
      <c r="S48" s="152"/>
      <c r="T48" s="152"/>
      <c r="U48" s="152"/>
      <c r="V48" s="152"/>
      <c r="W48" s="152"/>
    </row>
    <row r="49">
      <c r="A49" s="152"/>
      <c r="B49" s="152"/>
      <c r="C49" s="152"/>
      <c r="D49" s="152"/>
      <c r="E49" s="152"/>
      <c r="F49" s="152"/>
      <c r="G49" s="152"/>
      <c r="H49" s="152"/>
      <c r="I49" s="152"/>
      <c r="J49" s="152"/>
      <c r="K49" s="445"/>
      <c r="L49" s="445"/>
      <c r="M49" s="152"/>
      <c r="N49" s="152"/>
      <c r="O49" s="152"/>
      <c r="P49" s="152"/>
      <c r="Q49" s="152"/>
      <c r="R49" s="152"/>
      <c r="S49" s="152"/>
      <c r="T49" s="152"/>
      <c r="U49" s="152"/>
      <c r="V49" s="152"/>
      <c r="W49" s="152"/>
    </row>
    <row r="50">
      <c r="A50" s="152"/>
      <c r="B50" s="152"/>
      <c r="C50" s="152"/>
      <c r="D50" s="152"/>
      <c r="E50" s="152"/>
      <c r="F50" s="152"/>
      <c r="G50" s="152"/>
      <c r="H50" s="152"/>
      <c r="I50" s="152"/>
      <c r="J50" s="152"/>
      <c r="K50" s="445"/>
      <c r="L50" s="445"/>
      <c r="M50" s="152"/>
      <c r="N50" s="152"/>
      <c r="O50" s="152"/>
      <c r="P50" s="152"/>
      <c r="Q50" s="152"/>
      <c r="R50" s="152"/>
      <c r="S50" s="152"/>
      <c r="T50" s="152"/>
      <c r="U50" s="152"/>
      <c r="V50" s="152"/>
      <c r="W50" s="152"/>
    </row>
    <row r="51">
      <c r="A51" s="152"/>
      <c r="B51" s="152"/>
      <c r="C51" s="152"/>
      <c r="D51" s="152"/>
      <c r="E51" s="152"/>
      <c r="F51" s="152"/>
      <c r="G51" s="152"/>
      <c r="H51" s="152"/>
      <c r="I51" s="152"/>
      <c r="J51" s="152"/>
      <c r="K51" s="445"/>
      <c r="L51" s="445"/>
      <c r="M51" s="152"/>
      <c r="N51" s="152"/>
      <c r="O51" s="152"/>
      <c r="P51" s="152"/>
      <c r="Q51" s="152"/>
      <c r="R51" s="152"/>
      <c r="S51" s="152"/>
      <c r="T51" s="152"/>
      <c r="U51" s="152"/>
      <c r="V51" s="152"/>
      <c r="W51" s="152"/>
    </row>
    <row r="52">
      <c r="A52" s="152"/>
      <c r="B52" s="152"/>
      <c r="C52" s="152"/>
      <c r="D52" s="152"/>
      <c r="E52" s="152"/>
      <c r="F52" s="152"/>
      <c r="G52" s="152"/>
      <c r="H52" s="152"/>
      <c r="I52" s="152"/>
      <c r="J52" s="152"/>
      <c r="K52" s="445"/>
      <c r="L52" s="445"/>
      <c r="M52" s="152"/>
      <c r="N52" s="152"/>
      <c r="O52" s="152"/>
      <c r="P52" s="152"/>
      <c r="Q52" s="152"/>
      <c r="R52" s="152"/>
      <c r="S52" s="152"/>
      <c r="T52" s="152"/>
      <c r="U52" s="152"/>
      <c r="V52" s="152"/>
      <c r="W52" s="152"/>
    </row>
    <row r="53">
      <c r="A53" s="152"/>
      <c r="B53" s="152"/>
      <c r="C53" s="152"/>
      <c r="D53" s="152"/>
      <c r="E53" s="152"/>
      <c r="F53" s="152"/>
      <c r="G53" s="152"/>
      <c r="H53" s="152"/>
      <c r="I53" s="152"/>
      <c r="J53" s="152"/>
      <c r="K53" s="445"/>
      <c r="L53" s="445"/>
      <c r="M53" s="152"/>
      <c r="N53" s="152"/>
      <c r="O53" s="152"/>
      <c r="P53" s="152"/>
      <c r="Q53" s="152"/>
      <c r="R53" s="152"/>
      <c r="S53" s="152"/>
      <c r="T53" s="152"/>
      <c r="U53" s="152"/>
      <c r="V53" s="152"/>
      <c r="W53" s="152"/>
    </row>
    <row r="54">
      <c r="A54" s="152"/>
      <c r="B54" s="152"/>
      <c r="C54" s="152"/>
      <c r="D54" s="152"/>
      <c r="E54" s="152"/>
      <c r="F54" s="152"/>
      <c r="G54" s="152"/>
      <c r="H54" s="152"/>
      <c r="I54" s="152"/>
      <c r="J54" s="152"/>
      <c r="K54" s="445"/>
      <c r="L54" s="445"/>
      <c r="M54" s="152"/>
      <c r="N54" s="152"/>
      <c r="O54" s="152"/>
      <c r="P54" s="152"/>
      <c r="Q54" s="152"/>
      <c r="R54" s="152"/>
      <c r="S54" s="152"/>
      <c r="T54" s="152"/>
      <c r="U54" s="152"/>
      <c r="V54" s="152"/>
      <c r="W54" s="152"/>
    </row>
    <row r="55">
      <c r="A55" s="152"/>
      <c r="B55" s="152"/>
      <c r="C55" s="152"/>
      <c r="D55" s="152"/>
      <c r="E55" s="152"/>
      <c r="F55" s="152"/>
      <c r="G55" s="152"/>
      <c r="H55" s="152"/>
      <c r="I55" s="152"/>
      <c r="J55" s="152"/>
      <c r="K55" s="445"/>
      <c r="L55" s="445"/>
      <c r="M55" s="152"/>
      <c r="N55" s="152"/>
      <c r="O55" s="152"/>
      <c r="P55" s="152"/>
      <c r="Q55" s="152"/>
      <c r="R55" s="152"/>
      <c r="S55" s="152"/>
      <c r="T55" s="152"/>
      <c r="U55" s="152"/>
      <c r="V55" s="152"/>
      <c r="W55" s="152"/>
    </row>
    <row r="56">
      <c r="A56" s="152"/>
      <c r="B56" s="152"/>
      <c r="C56" s="152"/>
      <c r="D56" s="152"/>
      <c r="E56" s="152"/>
      <c r="F56" s="152"/>
      <c r="G56" s="152"/>
      <c r="H56" s="152"/>
      <c r="I56" s="152"/>
      <c r="J56" s="152"/>
      <c r="K56" s="445"/>
      <c r="L56" s="445"/>
      <c r="M56" s="152"/>
      <c r="N56" s="152"/>
      <c r="O56" s="152"/>
      <c r="P56" s="152"/>
      <c r="Q56" s="152"/>
      <c r="R56" s="152"/>
      <c r="S56" s="152"/>
      <c r="T56" s="152"/>
      <c r="U56" s="152"/>
      <c r="V56" s="152"/>
      <c r="W56" s="152"/>
    </row>
    <row r="57">
      <c r="A57" s="152"/>
      <c r="B57" s="152"/>
      <c r="C57" s="152"/>
      <c r="D57" s="152"/>
      <c r="E57" s="152"/>
      <c r="F57" s="152"/>
      <c r="G57" s="152"/>
      <c r="H57" s="152"/>
      <c r="I57" s="152"/>
      <c r="J57" s="152"/>
      <c r="K57" s="445"/>
      <c r="L57" s="445"/>
      <c r="M57" s="152"/>
      <c r="N57" s="152"/>
      <c r="O57" s="152"/>
      <c r="P57" s="152"/>
      <c r="Q57" s="152"/>
      <c r="R57" s="152"/>
      <c r="S57" s="152"/>
      <c r="T57" s="152"/>
      <c r="U57" s="152"/>
      <c r="V57" s="152"/>
      <c r="W57" s="152"/>
    </row>
    <row r="58">
      <c r="A58" s="152"/>
      <c r="B58" s="152"/>
      <c r="C58" s="152"/>
      <c r="D58" s="152"/>
      <c r="E58" s="152"/>
      <c r="F58" s="152"/>
      <c r="G58" s="152"/>
      <c r="H58" s="152"/>
      <c r="I58" s="152"/>
      <c r="J58" s="152"/>
      <c r="K58" s="445"/>
      <c r="L58" s="445"/>
      <c r="M58" s="152"/>
      <c r="N58" s="152"/>
      <c r="O58" s="152"/>
      <c r="P58" s="152"/>
      <c r="Q58" s="152"/>
      <c r="R58" s="152"/>
      <c r="S58" s="152"/>
      <c r="T58" s="152"/>
      <c r="U58" s="152"/>
      <c r="V58" s="152"/>
      <c r="W58" s="152"/>
    </row>
    <row r="59">
      <c r="A59" s="152"/>
      <c r="B59" s="152"/>
      <c r="C59" s="152"/>
      <c r="D59" s="152"/>
      <c r="E59" s="152"/>
      <c r="F59" s="152"/>
      <c r="G59" s="152"/>
      <c r="H59" s="152"/>
      <c r="I59" s="152"/>
      <c r="J59" s="152"/>
      <c r="K59" s="445"/>
      <c r="L59" s="445"/>
      <c r="M59" s="152"/>
      <c r="N59" s="152"/>
      <c r="O59" s="152"/>
      <c r="P59" s="152"/>
      <c r="Q59" s="152"/>
      <c r="R59" s="152"/>
      <c r="S59" s="152"/>
      <c r="T59" s="152"/>
      <c r="U59" s="152"/>
      <c r="V59" s="152"/>
      <c r="W59" s="152"/>
    </row>
    <row r="60">
      <c r="A60" s="152"/>
      <c r="B60" s="152"/>
      <c r="C60" s="152"/>
      <c r="D60" s="152"/>
      <c r="E60" s="152"/>
      <c r="F60" s="152"/>
      <c r="G60" s="152"/>
      <c r="H60" s="152"/>
      <c r="I60" s="152"/>
      <c r="J60" s="152"/>
      <c r="K60" s="445"/>
      <c r="L60" s="445"/>
      <c r="M60" s="152"/>
      <c r="N60" s="152"/>
      <c r="O60" s="152"/>
      <c r="P60" s="152"/>
      <c r="Q60" s="152"/>
      <c r="R60" s="152"/>
      <c r="S60" s="152"/>
      <c r="T60" s="152"/>
      <c r="U60" s="152"/>
      <c r="V60" s="152"/>
      <c r="W60" s="152"/>
    </row>
    <row r="61">
      <c r="A61" s="152"/>
      <c r="B61" s="152"/>
      <c r="C61" s="152"/>
      <c r="D61" s="152"/>
      <c r="E61" s="152"/>
      <c r="F61" s="152"/>
      <c r="G61" s="152"/>
      <c r="H61" s="152"/>
      <c r="I61" s="152"/>
      <c r="J61" s="152"/>
      <c r="K61" s="445"/>
      <c r="L61" s="445"/>
      <c r="M61" s="152"/>
      <c r="N61" s="152"/>
      <c r="O61" s="152"/>
      <c r="P61" s="152"/>
      <c r="Q61" s="152"/>
      <c r="R61" s="152"/>
      <c r="S61" s="152"/>
      <c r="T61" s="152"/>
      <c r="U61" s="152"/>
      <c r="V61" s="152"/>
      <c r="W61" s="152"/>
    </row>
    <row r="62">
      <c r="A62" s="152"/>
      <c r="B62" s="152"/>
      <c r="C62" s="152"/>
      <c r="D62" s="152"/>
      <c r="E62" s="152"/>
      <c r="F62" s="152"/>
      <c r="G62" s="152"/>
      <c r="H62" s="152"/>
      <c r="I62" s="152"/>
      <c r="J62" s="152"/>
      <c r="K62" s="445"/>
      <c r="L62" s="445"/>
      <c r="M62" s="152"/>
      <c r="N62" s="152"/>
      <c r="O62" s="152"/>
      <c r="P62" s="152"/>
      <c r="Q62" s="152"/>
      <c r="R62" s="152"/>
      <c r="S62" s="152"/>
      <c r="T62" s="152"/>
      <c r="U62" s="152"/>
      <c r="V62" s="152"/>
      <c r="W62" s="152"/>
    </row>
    <row r="63">
      <c r="A63" s="152"/>
      <c r="B63" s="152"/>
      <c r="C63" s="152"/>
      <c r="D63" s="152"/>
      <c r="E63" s="152"/>
      <c r="F63" s="152"/>
      <c r="G63" s="152"/>
      <c r="H63" s="152"/>
      <c r="I63" s="152"/>
      <c r="J63" s="152"/>
      <c r="K63" s="445"/>
      <c r="L63" s="445"/>
      <c r="M63" s="152"/>
      <c r="N63" s="152"/>
      <c r="O63" s="152"/>
      <c r="P63" s="152"/>
      <c r="Q63" s="152"/>
      <c r="R63" s="152"/>
      <c r="S63" s="152"/>
      <c r="T63" s="152"/>
      <c r="U63" s="152"/>
      <c r="V63" s="152"/>
      <c r="W63" s="152"/>
    </row>
    <row r="64">
      <c r="A64" s="152"/>
      <c r="B64" s="152"/>
      <c r="C64" s="152"/>
      <c r="D64" s="152"/>
      <c r="E64" s="152"/>
      <c r="F64" s="152"/>
      <c r="G64" s="152"/>
      <c r="H64" s="152"/>
      <c r="I64" s="152"/>
      <c r="J64" s="152"/>
      <c r="K64" s="445"/>
      <c r="L64" s="445"/>
      <c r="M64" s="152"/>
      <c r="N64" s="152"/>
      <c r="O64" s="152"/>
      <c r="P64" s="152"/>
      <c r="Q64" s="152"/>
      <c r="R64" s="152"/>
      <c r="S64" s="152"/>
      <c r="T64" s="152"/>
      <c r="U64" s="152"/>
      <c r="V64" s="152"/>
      <c r="W64" s="152"/>
    </row>
    <row r="65">
      <c r="A65" s="152"/>
      <c r="B65" s="152"/>
      <c r="C65" s="152"/>
      <c r="D65" s="152"/>
      <c r="E65" s="152"/>
      <c r="F65" s="152"/>
      <c r="G65" s="152"/>
      <c r="H65" s="152"/>
      <c r="I65" s="152"/>
      <c r="J65" s="152"/>
      <c r="K65" s="445"/>
      <c r="L65" s="445"/>
      <c r="M65" s="152"/>
      <c r="N65" s="152"/>
      <c r="O65" s="152"/>
      <c r="P65" s="152"/>
      <c r="Q65" s="152"/>
      <c r="R65" s="152"/>
      <c r="S65" s="152"/>
      <c r="T65" s="152"/>
      <c r="U65" s="152"/>
      <c r="V65" s="152"/>
      <c r="W65" s="152"/>
    </row>
    <row r="66">
      <c r="A66" s="152"/>
      <c r="B66" s="152"/>
      <c r="C66" s="152"/>
      <c r="D66" s="152"/>
      <c r="E66" s="152"/>
      <c r="F66" s="152"/>
      <c r="G66" s="152"/>
      <c r="H66" s="152"/>
      <c r="I66" s="152"/>
      <c r="J66" s="152"/>
      <c r="K66" s="445"/>
      <c r="L66" s="445"/>
      <c r="M66" s="152"/>
      <c r="N66" s="152"/>
      <c r="O66" s="152"/>
      <c r="P66" s="152"/>
      <c r="Q66" s="152"/>
      <c r="R66" s="152"/>
      <c r="S66" s="152"/>
      <c r="T66" s="152"/>
      <c r="U66" s="152"/>
      <c r="V66" s="152"/>
      <c r="W66" s="152"/>
    </row>
    <row r="67">
      <c r="A67" s="152"/>
      <c r="B67" s="152"/>
      <c r="C67" s="152"/>
      <c r="D67" s="152"/>
      <c r="E67" s="152"/>
      <c r="F67" s="152"/>
      <c r="G67" s="152"/>
      <c r="H67" s="152"/>
      <c r="I67" s="152"/>
      <c r="J67" s="152"/>
      <c r="K67" s="445"/>
      <c r="L67" s="445"/>
      <c r="M67" s="152"/>
      <c r="N67" s="152"/>
      <c r="O67" s="152"/>
      <c r="P67" s="152"/>
      <c r="Q67" s="152"/>
      <c r="R67" s="152"/>
      <c r="S67" s="152"/>
      <c r="T67" s="152"/>
      <c r="U67" s="152"/>
      <c r="V67" s="152"/>
      <c r="W67" s="152"/>
    </row>
    <row r="68">
      <c r="A68" s="152"/>
      <c r="B68" s="152"/>
      <c r="C68" s="152"/>
      <c r="D68" s="152"/>
      <c r="E68" s="152"/>
      <c r="F68" s="152"/>
      <c r="G68" s="152"/>
      <c r="H68" s="152"/>
      <c r="I68" s="152"/>
      <c r="J68" s="152"/>
      <c r="K68" s="445"/>
      <c r="L68" s="445"/>
      <c r="M68" s="152"/>
      <c r="N68" s="152"/>
      <c r="O68" s="152"/>
      <c r="P68" s="152"/>
      <c r="Q68" s="152"/>
      <c r="R68" s="152"/>
      <c r="S68" s="152"/>
      <c r="T68" s="152"/>
      <c r="U68" s="152"/>
      <c r="V68" s="152"/>
      <c r="W68" s="152"/>
    </row>
    <row r="69">
      <c r="A69" s="152"/>
      <c r="B69" s="152"/>
      <c r="C69" s="152"/>
      <c r="D69" s="152"/>
      <c r="E69" s="152"/>
      <c r="F69" s="152"/>
      <c r="G69" s="152"/>
      <c r="H69" s="152"/>
      <c r="I69" s="152"/>
      <c r="J69" s="152"/>
      <c r="K69" s="445"/>
      <c r="L69" s="445"/>
      <c r="M69" s="152"/>
      <c r="N69" s="152"/>
      <c r="O69" s="152"/>
      <c r="P69" s="152"/>
      <c r="Q69" s="152"/>
      <c r="R69" s="152"/>
      <c r="S69" s="152"/>
      <c r="T69" s="152"/>
      <c r="U69" s="152"/>
      <c r="V69" s="152"/>
      <c r="W69" s="152"/>
    </row>
    <row r="70">
      <c r="A70" s="152"/>
      <c r="B70" s="152"/>
      <c r="C70" s="152"/>
      <c r="D70" s="152"/>
      <c r="E70" s="152"/>
      <c r="F70" s="152"/>
      <c r="G70" s="152"/>
      <c r="H70" s="152"/>
      <c r="I70" s="152"/>
      <c r="J70" s="152"/>
      <c r="K70" s="445"/>
      <c r="L70" s="445"/>
      <c r="M70" s="152"/>
      <c r="N70" s="152"/>
      <c r="O70" s="152"/>
      <c r="P70" s="152"/>
      <c r="Q70" s="152"/>
      <c r="R70" s="152"/>
      <c r="S70" s="152"/>
      <c r="T70" s="152"/>
      <c r="U70" s="152"/>
      <c r="V70" s="152"/>
      <c r="W70" s="152"/>
    </row>
    <row r="71">
      <c r="A71" s="152"/>
      <c r="B71" s="152"/>
      <c r="C71" s="152"/>
      <c r="D71" s="152"/>
      <c r="E71" s="152"/>
      <c r="F71" s="152"/>
      <c r="G71" s="152"/>
      <c r="H71" s="152"/>
      <c r="I71" s="152"/>
      <c r="J71" s="152"/>
      <c r="K71" s="445"/>
      <c r="L71" s="445"/>
      <c r="M71" s="152"/>
      <c r="N71" s="152"/>
      <c r="O71" s="152"/>
      <c r="P71" s="152"/>
      <c r="Q71" s="152"/>
      <c r="R71" s="152"/>
      <c r="S71" s="152"/>
      <c r="T71" s="152"/>
      <c r="U71" s="152"/>
      <c r="V71" s="152"/>
      <c r="W71" s="152"/>
    </row>
    <row r="72">
      <c r="A72" s="152"/>
      <c r="B72" s="152"/>
      <c r="C72" s="152"/>
      <c r="D72" s="152"/>
      <c r="E72" s="152"/>
      <c r="F72" s="152"/>
      <c r="G72" s="152"/>
      <c r="H72" s="152"/>
      <c r="I72" s="152"/>
      <c r="J72" s="152"/>
      <c r="K72" s="445"/>
      <c r="L72" s="445"/>
      <c r="M72" s="152"/>
      <c r="N72" s="152"/>
      <c r="O72" s="152"/>
      <c r="P72" s="152"/>
      <c r="Q72" s="152"/>
      <c r="R72" s="152"/>
      <c r="S72" s="152"/>
      <c r="T72" s="152"/>
      <c r="U72" s="152"/>
      <c r="V72" s="152"/>
      <c r="W72" s="152"/>
    </row>
    <row r="73">
      <c r="A73" s="152"/>
      <c r="B73" s="152"/>
      <c r="C73" s="152"/>
      <c r="D73" s="152"/>
      <c r="E73" s="152"/>
      <c r="F73" s="152"/>
      <c r="G73" s="152"/>
      <c r="H73" s="152"/>
      <c r="I73" s="152"/>
      <c r="J73" s="152"/>
      <c r="K73" s="445"/>
      <c r="L73" s="445"/>
      <c r="M73" s="152"/>
      <c r="N73" s="152"/>
      <c r="O73" s="152"/>
      <c r="P73" s="152"/>
      <c r="Q73" s="152"/>
      <c r="R73" s="152"/>
      <c r="S73" s="152"/>
      <c r="T73" s="152"/>
      <c r="U73" s="152"/>
      <c r="V73" s="152"/>
      <c r="W73" s="152"/>
    </row>
    <row r="74">
      <c r="A74" s="152"/>
      <c r="B74" s="152"/>
      <c r="C74" s="152"/>
      <c r="D74" s="152"/>
      <c r="E74" s="152"/>
      <c r="F74" s="152"/>
      <c r="G74" s="152"/>
      <c r="H74" s="152"/>
      <c r="I74" s="152"/>
      <c r="J74" s="152"/>
      <c r="K74" s="445"/>
      <c r="L74" s="445"/>
      <c r="M74" s="152"/>
      <c r="N74" s="152"/>
      <c r="O74" s="152"/>
      <c r="P74" s="152"/>
      <c r="Q74" s="152"/>
      <c r="R74" s="152"/>
      <c r="S74" s="152"/>
      <c r="T74" s="152"/>
      <c r="U74" s="152"/>
      <c r="V74" s="152"/>
      <c r="W74" s="152"/>
    </row>
    <row r="75">
      <c r="A75" s="152"/>
      <c r="B75" s="152"/>
      <c r="C75" s="152"/>
      <c r="D75" s="152"/>
      <c r="E75" s="152"/>
      <c r="F75" s="152"/>
      <c r="G75" s="152"/>
      <c r="H75" s="152"/>
      <c r="I75" s="152"/>
      <c r="J75" s="152"/>
      <c r="K75" s="445"/>
      <c r="L75" s="445"/>
      <c r="M75" s="152"/>
      <c r="N75" s="152"/>
      <c r="O75" s="152"/>
      <c r="P75" s="152"/>
      <c r="Q75" s="152"/>
      <c r="R75" s="152"/>
      <c r="S75" s="152"/>
      <c r="T75" s="152"/>
      <c r="U75" s="152"/>
      <c r="V75" s="152"/>
      <c r="W75" s="152"/>
    </row>
    <row r="76">
      <c r="A76" s="152"/>
      <c r="B76" s="152"/>
      <c r="C76" s="152"/>
      <c r="D76" s="152"/>
      <c r="E76" s="152"/>
      <c r="F76" s="152"/>
      <c r="G76" s="152"/>
      <c r="H76" s="152"/>
      <c r="I76" s="152"/>
      <c r="J76" s="152"/>
      <c r="K76" s="445"/>
      <c r="L76" s="445"/>
      <c r="M76" s="152"/>
      <c r="N76" s="152"/>
      <c r="O76" s="152"/>
      <c r="P76" s="152"/>
      <c r="Q76" s="152"/>
      <c r="R76" s="152"/>
      <c r="S76" s="152"/>
      <c r="T76" s="152"/>
      <c r="U76" s="152"/>
      <c r="V76" s="152"/>
      <c r="W76" s="152"/>
    </row>
    <row r="77">
      <c r="A77" s="152"/>
      <c r="B77" s="152"/>
      <c r="C77" s="152"/>
      <c r="D77" s="152"/>
      <c r="E77" s="152"/>
      <c r="F77" s="152"/>
      <c r="G77" s="152"/>
      <c r="H77" s="152"/>
      <c r="I77" s="152"/>
      <c r="J77" s="152"/>
      <c r="K77" s="445"/>
      <c r="L77" s="445"/>
      <c r="M77" s="152"/>
      <c r="N77" s="152"/>
      <c r="O77" s="152"/>
      <c r="P77" s="152"/>
      <c r="Q77" s="152"/>
      <c r="R77" s="152"/>
      <c r="S77" s="152"/>
      <c r="T77" s="152"/>
      <c r="U77" s="152"/>
      <c r="V77" s="152"/>
      <c r="W77" s="152"/>
    </row>
    <row r="78">
      <c r="A78" s="152"/>
      <c r="B78" s="152"/>
      <c r="C78" s="152"/>
      <c r="D78" s="152"/>
      <c r="E78" s="152"/>
      <c r="F78" s="152"/>
      <c r="G78" s="152"/>
      <c r="H78" s="152"/>
      <c r="I78" s="152"/>
      <c r="J78" s="152"/>
      <c r="K78" s="445"/>
      <c r="L78" s="445"/>
      <c r="M78" s="152"/>
      <c r="N78" s="152"/>
      <c r="O78" s="152"/>
      <c r="P78" s="152"/>
      <c r="Q78" s="152"/>
      <c r="R78" s="152"/>
      <c r="S78" s="152"/>
      <c r="T78" s="152"/>
      <c r="U78" s="152"/>
      <c r="V78" s="152"/>
      <c r="W78" s="152"/>
    </row>
    <row r="79">
      <c r="A79" s="152"/>
      <c r="B79" s="152"/>
      <c r="C79" s="152"/>
      <c r="D79" s="152"/>
      <c r="E79" s="152"/>
      <c r="F79" s="152"/>
      <c r="G79" s="152"/>
      <c r="H79" s="152"/>
      <c r="I79" s="152"/>
      <c r="J79" s="152"/>
      <c r="K79" s="445"/>
      <c r="L79" s="445"/>
      <c r="M79" s="152"/>
      <c r="N79" s="152"/>
      <c r="O79" s="152"/>
      <c r="P79" s="152"/>
      <c r="Q79" s="152"/>
      <c r="R79" s="152"/>
      <c r="S79" s="152"/>
      <c r="T79" s="152"/>
      <c r="U79" s="152"/>
      <c r="V79" s="152"/>
      <c r="W79" s="152"/>
    </row>
    <row r="80">
      <c r="A80" s="152"/>
      <c r="B80" s="152"/>
      <c r="C80" s="152"/>
      <c r="D80" s="152"/>
      <c r="E80" s="152"/>
      <c r="F80" s="152"/>
      <c r="G80" s="152"/>
      <c r="H80" s="152"/>
      <c r="I80" s="152"/>
      <c r="J80" s="152"/>
      <c r="K80" s="445"/>
      <c r="L80" s="445"/>
      <c r="M80" s="152"/>
      <c r="N80" s="152"/>
      <c r="O80" s="152"/>
      <c r="P80" s="152"/>
      <c r="Q80" s="152"/>
      <c r="R80" s="152"/>
      <c r="S80" s="152"/>
      <c r="T80" s="152"/>
      <c r="U80" s="152"/>
      <c r="V80" s="152"/>
      <c r="W80" s="152"/>
    </row>
    <row r="81">
      <c r="A81" s="152"/>
      <c r="B81" s="152"/>
      <c r="C81" s="152"/>
      <c r="D81" s="152"/>
      <c r="E81" s="152"/>
      <c r="F81" s="152"/>
      <c r="G81" s="152"/>
      <c r="H81" s="152"/>
      <c r="I81" s="152"/>
      <c r="J81" s="152"/>
      <c r="K81" s="445"/>
      <c r="L81" s="445"/>
      <c r="M81" s="152"/>
      <c r="N81" s="152"/>
      <c r="O81" s="152"/>
      <c r="P81" s="152"/>
      <c r="Q81" s="152"/>
      <c r="R81" s="152"/>
      <c r="S81" s="152"/>
      <c r="T81" s="152"/>
      <c r="U81" s="152"/>
      <c r="V81" s="152"/>
      <c r="W81" s="152"/>
    </row>
    <row r="82">
      <c r="A82" s="152"/>
      <c r="B82" s="152"/>
      <c r="C82" s="152"/>
      <c r="D82" s="152"/>
      <c r="E82" s="152"/>
      <c r="F82" s="152"/>
      <c r="G82" s="152"/>
      <c r="H82" s="152"/>
      <c r="I82" s="152"/>
      <c r="J82" s="152"/>
      <c r="K82" s="445"/>
      <c r="L82" s="445"/>
      <c r="M82" s="152"/>
      <c r="N82" s="152"/>
      <c r="O82" s="152"/>
      <c r="P82" s="152"/>
      <c r="Q82" s="152"/>
      <c r="R82" s="152"/>
      <c r="S82" s="152"/>
      <c r="T82" s="152"/>
      <c r="U82" s="152"/>
      <c r="V82" s="152"/>
      <c r="W82" s="152"/>
    </row>
    <row r="83">
      <c r="A83" s="152"/>
      <c r="B83" s="152"/>
      <c r="C83" s="152"/>
      <c r="D83" s="152"/>
      <c r="E83" s="152"/>
      <c r="F83" s="152"/>
      <c r="G83" s="152"/>
      <c r="H83" s="152"/>
      <c r="I83" s="152"/>
      <c r="J83" s="152"/>
      <c r="K83" s="445"/>
      <c r="L83" s="445"/>
      <c r="M83" s="152"/>
      <c r="N83" s="152"/>
      <c r="O83" s="152"/>
      <c r="P83" s="152"/>
      <c r="Q83" s="152"/>
      <c r="R83" s="152"/>
      <c r="S83" s="152"/>
      <c r="T83" s="152"/>
      <c r="U83" s="152"/>
      <c r="V83" s="152"/>
      <c r="W83" s="152"/>
    </row>
    <row r="84">
      <c r="A84" s="152"/>
      <c r="B84" s="152"/>
      <c r="C84" s="152"/>
      <c r="D84" s="152"/>
      <c r="E84" s="152"/>
      <c r="F84" s="152"/>
      <c r="G84" s="152"/>
      <c r="H84" s="152"/>
      <c r="I84" s="152"/>
      <c r="J84" s="152"/>
      <c r="K84" s="445"/>
      <c r="L84" s="445"/>
      <c r="M84" s="152"/>
      <c r="N84" s="152"/>
      <c r="O84" s="152"/>
      <c r="P84" s="152"/>
      <c r="Q84" s="152"/>
      <c r="R84" s="152"/>
      <c r="S84" s="152"/>
      <c r="T84" s="152"/>
      <c r="U84" s="152"/>
      <c r="V84" s="152"/>
      <c r="W84" s="152"/>
    </row>
    <row r="85">
      <c r="A85" s="152"/>
      <c r="B85" s="152"/>
      <c r="C85" s="152"/>
      <c r="D85" s="152"/>
      <c r="E85" s="152"/>
      <c r="F85" s="152"/>
      <c r="G85" s="152"/>
      <c r="H85" s="152"/>
      <c r="I85" s="152"/>
      <c r="J85" s="152"/>
      <c r="K85" s="445"/>
      <c r="L85" s="445"/>
      <c r="M85" s="152"/>
      <c r="N85" s="152"/>
      <c r="O85" s="152"/>
      <c r="P85" s="152"/>
      <c r="Q85" s="152"/>
      <c r="R85" s="152"/>
      <c r="S85" s="152"/>
      <c r="T85" s="152"/>
      <c r="U85" s="152"/>
      <c r="V85" s="152"/>
      <c r="W85" s="152"/>
    </row>
    <row r="86">
      <c r="A86" s="152"/>
      <c r="B86" s="152"/>
      <c r="C86" s="152"/>
      <c r="D86" s="152"/>
      <c r="E86" s="152"/>
      <c r="F86" s="152"/>
      <c r="G86" s="152"/>
      <c r="H86" s="152"/>
      <c r="I86" s="152"/>
      <c r="J86" s="152"/>
      <c r="K86" s="445"/>
      <c r="L86" s="445"/>
      <c r="M86" s="152"/>
      <c r="N86" s="152"/>
      <c r="O86" s="152"/>
      <c r="P86" s="152"/>
      <c r="Q86" s="152"/>
      <c r="R86" s="152"/>
      <c r="S86" s="152"/>
      <c r="T86" s="152"/>
      <c r="U86" s="152"/>
      <c r="V86" s="152"/>
      <c r="W86" s="152"/>
    </row>
    <row r="87">
      <c r="A87" s="152"/>
      <c r="B87" s="152"/>
      <c r="C87" s="152"/>
      <c r="D87" s="152"/>
      <c r="E87" s="152"/>
      <c r="F87" s="152"/>
      <c r="G87" s="152"/>
      <c r="H87" s="152"/>
      <c r="I87" s="152"/>
      <c r="J87" s="152"/>
      <c r="K87" s="445"/>
      <c r="L87" s="445"/>
      <c r="M87" s="152"/>
      <c r="N87" s="152"/>
      <c r="O87" s="152"/>
      <c r="P87" s="152"/>
      <c r="Q87" s="152"/>
      <c r="R87" s="152"/>
      <c r="S87" s="152"/>
      <c r="T87" s="152"/>
      <c r="U87" s="152"/>
      <c r="V87" s="152"/>
      <c r="W87" s="152"/>
    </row>
    <row r="88">
      <c r="A88" s="152"/>
      <c r="B88" s="152"/>
      <c r="C88" s="152"/>
      <c r="D88" s="152"/>
      <c r="E88" s="152"/>
      <c r="F88" s="152"/>
      <c r="G88" s="152"/>
      <c r="H88" s="152"/>
      <c r="I88" s="152"/>
      <c r="J88" s="152"/>
      <c r="K88" s="445"/>
      <c r="L88" s="445"/>
      <c r="M88" s="152"/>
      <c r="N88" s="152"/>
      <c r="O88" s="152"/>
      <c r="P88" s="152"/>
      <c r="Q88" s="152"/>
      <c r="R88" s="152"/>
      <c r="S88" s="152"/>
      <c r="T88" s="152"/>
      <c r="U88" s="152"/>
      <c r="V88" s="152"/>
      <c r="W88" s="152"/>
    </row>
    <row r="89">
      <c r="A89" s="152"/>
      <c r="B89" s="152"/>
      <c r="C89" s="152"/>
      <c r="D89" s="152"/>
      <c r="E89" s="152"/>
      <c r="F89" s="152"/>
      <c r="G89" s="152"/>
      <c r="H89" s="152"/>
      <c r="I89" s="152"/>
      <c r="J89" s="152"/>
      <c r="K89" s="445"/>
      <c r="L89" s="445"/>
      <c r="M89" s="152"/>
      <c r="N89" s="152"/>
      <c r="O89" s="152"/>
      <c r="P89" s="152"/>
      <c r="Q89" s="152"/>
      <c r="R89" s="152"/>
      <c r="S89" s="152"/>
      <c r="T89" s="152"/>
      <c r="U89" s="152"/>
      <c r="V89" s="152"/>
      <c r="W89" s="152"/>
    </row>
    <row r="90">
      <c r="A90" s="152"/>
      <c r="B90" s="152"/>
      <c r="C90" s="152"/>
      <c r="D90" s="152"/>
      <c r="E90" s="152"/>
      <c r="F90" s="152"/>
      <c r="G90" s="152"/>
      <c r="H90" s="152"/>
      <c r="I90" s="152"/>
      <c r="J90" s="152"/>
      <c r="K90" s="445"/>
      <c r="L90" s="445"/>
      <c r="M90" s="152"/>
      <c r="N90" s="152"/>
      <c r="O90" s="152"/>
      <c r="P90" s="152"/>
      <c r="Q90" s="152"/>
      <c r="R90" s="152"/>
      <c r="S90" s="152"/>
      <c r="T90" s="152"/>
      <c r="U90" s="152"/>
      <c r="V90" s="152"/>
      <c r="W90" s="152"/>
    </row>
    <row r="91">
      <c r="A91" s="152"/>
      <c r="B91" s="152"/>
      <c r="C91" s="152"/>
      <c r="D91" s="152"/>
      <c r="E91" s="152"/>
      <c r="F91" s="152"/>
      <c r="G91" s="152"/>
      <c r="H91" s="152"/>
      <c r="I91" s="152"/>
      <c r="J91" s="152"/>
      <c r="K91" s="445"/>
      <c r="L91" s="445"/>
      <c r="M91" s="152"/>
      <c r="N91" s="152"/>
      <c r="O91" s="152"/>
      <c r="P91" s="152"/>
      <c r="Q91" s="152"/>
      <c r="R91" s="152"/>
      <c r="S91" s="152"/>
      <c r="T91" s="152"/>
      <c r="U91" s="152"/>
      <c r="V91" s="152"/>
      <c r="W91" s="152"/>
    </row>
    <row r="92">
      <c r="A92" s="152"/>
      <c r="B92" s="152"/>
      <c r="C92" s="152"/>
      <c r="D92" s="152"/>
      <c r="E92" s="152"/>
      <c r="F92" s="152"/>
      <c r="G92" s="152"/>
      <c r="H92" s="152"/>
      <c r="I92" s="152"/>
      <c r="J92" s="152"/>
      <c r="K92" s="445"/>
      <c r="L92" s="445"/>
      <c r="M92" s="152"/>
      <c r="N92" s="152"/>
      <c r="O92" s="152"/>
      <c r="P92" s="152"/>
      <c r="Q92" s="152"/>
      <c r="R92" s="152"/>
      <c r="S92" s="152"/>
      <c r="T92" s="152"/>
      <c r="U92" s="152"/>
      <c r="V92" s="152"/>
      <c r="W92" s="152"/>
    </row>
    <row r="93">
      <c r="A93" s="152"/>
      <c r="B93" s="152"/>
      <c r="C93" s="152"/>
      <c r="D93" s="152"/>
      <c r="E93" s="152"/>
      <c r="F93" s="152"/>
      <c r="G93" s="152"/>
      <c r="H93" s="152"/>
      <c r="I93" s="152"/>
      <c r="J93" s="152"/>
      <c r="K93" s="445"/>
      <c r="L93" s="445"/>
      <c r="M93" s="152"/>
      <c r="N93" s="152"/>
      <c r="O93" s="152"/>
      <c r="P93" s="152"/>
      <c r="Q93" s="152"/>
      <c r="R93" s="152"/>
      <c r="S93" s="152"/>
      <c r="T93" s="152"/>
      <c r="U93" s="152"/>
      <c r="V93" s="152"/>
      <c r="W93" s="152"/>
    </row>
    <row r="94">
      <c r="A94" s="152"/>
      <c r="B94" s="152"/>
      <c r="C94" s="152"/>
      <c r="D94" s="152"/>
      <c r="E94" s="152"/>
      <c r="F94" s="152"/>
      <c r="G94" s="152"/>
      <c r="H94" s="152"/>
      <c r="I94" s="152"/>
      <c r="J94" s="152"/>
      <c r="K94" s="445"/>
      <c r="L94" s="445"/>
      <c r="M94" s="152"/>
      <c r="N94" s="152"/>
      <c r="O94" s="152"/>
      <c r="P94" s="152"/>
      <c r="Q94" s="152"/>
      <c r="R94" s="152"/>
      <c r="S94" s="152"/>
      <c r="T94" s="152"/>
      <c r="U94" s="152"/>
      <c r="V94" s="152"/>
      <c r="W94" s="152"/>
    </row>
    <row r="95">
      <c r="A95" s="152"/>
      <c r="B95" s="152"/>
      <c r="C95" s="152"/>
      <c r="D95" s="152"/>
      <c r="E95" s="152"/>
      <c r="F95" s="152"/>
      <c r="G95" s="152"/>
      <c r="H95" s="152"/>
      <c r="I95" s="152"/>
      <c r="J95" s="152"/>
      <c r="K95" s="445"/>
      <c r="L95" s="445"/>
      <c r="M95" s="152"/>
      <c r="N95" s="152"/>
      <c r="O95" s="152"/>
      <c r="P95" s="152"/>
      <c r="Q95" s="152"/>
      <c r="R95" s="152"/>
      <c r="S95" s="152"/>
      <c r="T95" s="152"/>
      <c r="U95" s="152"/>
      <c r="V95" s="152"/>
      <c r="W95" s="152"/>
    </row>
    <row r="96">
      <c r="A96" s="152"/>
      <c r="B96" s="152"/>
      <c r="C96" s="152"/>
      <c r="D96" s="152"/>
      <c r="E96" s="152"/>
      <c r="F96" s="152"/>
      <c r="G96" s="152"/>
      <c r="H96" s="152"/>
      <c r="I96" s="152"/>
      <c r="J96" s="152"/>
      <c r="K96" s="445"/>
      <c r="L96" s="445"/>
      <c r="M96" s="152"/>
      <c r="N96" s="152"/>
      <c r="O96" s="152"/>
      <c r="P96" s="152"/>
      <c r="Q96" s="152"/>
      <c r="R96" s="152"/>
      <c r="S96" s="152"/>
      <c r="T96" s="152"/>
      <c r="U96" s="152"/>
      <c r="V96" s="152"/>
      <c r="W96" s="152"/>
    </row>
    <row r="97">
      <c r="A97" s="152"/>
      <c r="B97" s="152"/>
      <c r="C97" s="152"/>
      <c r="D97" s="152"/>
      <c r="E97" s="152"/>
      <c r="F97" s="152"/>
      <c r="G97" s="152"/>
      <c r="H97" s="152"/>
      <c r="I97" s="152"/>
      <c r="J97" s="152"/>
      <c r="K97" s="445"/>
      <c r="L97" s="445"/>
      <c r="M97" s="152"/>
      <c r="N97" s="152"/>
      <c r="O97" s="152"/>
      <c r="P97" s="152"/>
      <c r="Q97" s="152"/>
      <c r="R97" s="152"/>
      <c r="S97" s="152"/>
      <c r="T97" s="152"/>
      <c r="U97" s="152"/>
      <c r="V97" s="152"/>
      <c r="W97" s="152"/>
    </row>
    <row r="98">
      <c r="A98" s="152"/>
      <c r="B98" s="152"/>
      <c r="C98" s="152"/>
      <c r="D98" s="152"/>
      <c r="E98" s="152"/>
      <c r="F98" s="152"/>
      <c r="G98" s="152"/>
      <c r="H98" s="152"/>
      <c r="I98" s="152"/>
      <c r="J98" s="152"/>
      <c r="K98" s="445"/>
      <c r="L98" s="445"/>
      <c r="M98" s="152"/>
      <c r="N98" s="152"/>
      <c r="O98" s="152"/>
      <c r="P98" s="152"/>
      <c r="Q98" s="152"/>
      <c r="R98" s="152"/>
      <c r="S98" s="152"/>
      <c r="T98" s="152"/>
      <c r="U98" s="152"/>
      <c r="V98" s="152"/>
      <c r="W98" s="152"/>
    </row>
    <row r="99">
      <c r="A99" s="152"/>
      <c r="B99" s="152"/>
      <c r="C99" s="152"/>
      <c r="D99" s="152"/>
      <c r="E99" s="152"/>
      <c r="F99" s="152"/>
      <c r="G99" s="152"/>
      <c r="H99" s="152"/>
      <c r="I99" s="152"/>
      <c r="J99" s="152"/>
      <c r="K99" s="445"/>
      <c r="L99" s="445"/>
      <c r="M99" s="152"/>
      <c r="N99" s="152"/>
      <c r="O99" s="152"/>
      <c r="P99" s="152"/>
      <c r="Q99" s="152"/>
      <c r="R99" s="152"/>
      <c r="S99" s="152"/>
      <c r="T99" s="152"/>
      <c r="U99" s="152"/>
      <c r="V99" s="152"/>
      <c r="W99" s="152"/>
    </row>
    <row r="100">
      <c r="A100" s="152"/>
      <c r="B100" s="152"/>
      <c r="C100" s="152"/>
      <c r="D100" s="152"/>
      <c r="E100" s="152"/>
      <c r="F100" s="152"/>
      <c r="G100" s="152"/>
      <c r="H100" s="152"/>
      <c r="I100" s="152"/>
      <c r="J100" s="152"/>
      <c r="K100" s="445"/>
      <c r="L100" s="445"/>
      <c r="M100" s="152"/>
      <c r="N100" s="152"/>
      <c r="O100" s="152"/>
      <c r="P100" s="152"/>
      <c r="Q100" s="152"/>
      <c r="R100" s="152"/>
      <c r="S100" s="152"/>
      <c r="T100" s="152"/>
      <c r="U100" s="152"/>
      <c r="V100" s="152"/>
      <c r="W100" s="152"/>
    </row>
    <row r="101">
      <c r="A101" s="152"/>
      <c r="B101" s="152"/>
      <c r="C101" s="152"/>
      <c r="D101" s="152"/>
      <c r="E101" s="152"/>
      <c r="F101" s="152"/>
      <c r="G101" s="152"/>
      <c r="H101" s="152"/>
      <c r="I101" s="152"/>
      <c r="J101" s="152"/>
      <c r="K101" s="445"/>
      <c r="L101" s="445"/>
      <c r="M101" s="152"/>
      <c r="N101" s="152"/>
      <c r="O101" s="152"/>
      <c r="P101" s="152"/>
      <c r="Q101" s="152"/>
      <c r="R101" s="152"/>
      <c r="S101" s="152"/>
      <c r="T101" s="152"/>
      <c r="U101" s="152"/>
      <c r="V101" s="152"/>
      <c r="W101" s="152"/>
    </row>
    <row r="102">
      <c r="A102" s="152"/>
      <c r="B102" s="152"/>
      <c r="C102" s="152"/>
      <c r="D102" s="152"/>
      <c r="E102" s="152"/>
      <c r="F102" s="152"/>
      <c r="G102" s="152"/>
      <c r="H102" s="152"/>
      <c r="I102" s="152"/>
      <c r="J102" s="152"/>
      <c r="K102" s="445"/>
      <c r="L102" s="445"/>
      <c r="M102" s="152"/>
      <c r="N102" s="152"/>
      <c r="O102" s="152"/>
      <c r="P102" s="152"/>
      <c r="Q102" s="152"/>
      <c r="R102" s="152"/>
      <c r="S102" s="152"/>
      <c r="T102" s="152"/>
      <c r="U102" s="152"/>
      <c r="V102" s="152"/>
      <c r="W102" s="152"/>
    </row>
    <row r="103">
      <c r="A103" s="152"/>
      <c r="B103" s="152"/>
      <c r="C103" s="152"/>
      <c r="D103" s="152"/>
      <c r="E103" s="152"/>
      <c r="F103" s="152"/>
      <c r="G103" s="152"/>
      <c r="H103" s="152"/>
      <c r="I103" s="152"/>
      <c r="J103" s="152"/>
      <c r="K103" s="445"/>
      <c r="L103" s="445"/>
      <c r="M103" s="152"/>
      <c r="N103" s="152"/>
      <c r="O103" s="152"/>
      <c r="P103" s="152"/>
      <c r="Q103" s="152"/>
      <c r="R103" s="152"/>
      <c r="S103" s="152"/>
      <c r="T103" s="152"/>
      <c r="U103" s="152"/>
      <c r="V103" s="152"/>
      <c r="W103" s="152"/>
    </row>
    <row r="104">
      <c r="A104" s="152"/>
      <c r="B104" s="152"/>
      <c r="C104" s="152"/>
      <c r="D104" s="152"/>
      <c r="E104" s="152"/>
      <c r="F104" s="152"/>
      <c r="G104" s="152"/>
      <c r="H104" s="152"/>
      <c r="I104" s="152"/>
      <c r="J104" s="152"/>
      <c r="K104" s="445"/>
      <c r="L104" s="445"/>
      <c r="M104" s="152"/>
      <c r="N104" s="152"/>
      <c r="O104" s="152"/>
      <c r="P104" s="152"/>
      <c r="Q104" s="152"/>
      <c r="R104" s="152"/>
      <c r="S104" s="152"/>
      <c r="T104" s="152"/>
      <c r="U104" s="152"/>
      <c r="V104" s="152"/>
      <c r="W104" s="152"/>
    </row>
    <row r="105">
      <c r="A105" s="152"/>
      <c r="B105" s="152"/>
      <c r="C105" s="152"/>
      <c r="D105" s="152"/>
      <c r="E105" s="152"/>
      <c r="F105" s="152"/>
      <c r="G105" s="152"/>
      <c r="H105" s="152"/>
      <c r="I105" s="152"/>
      <c r="J105" s="152"/>
      <c r="K105" s="445"/>
      <c r="L105" s="445"/>
      <c r="M105" s="152"/>
      <c r="N105" s="152"/>
      <c r="O105" s="152"/>
      <c r="P105" s="152"/>
      <c r="Q105" s="152"/>
      <c r="R105" s="152"/>
      <c r="S105" s="152"/>
      <c r="T105" s="152"/>
      <c r="U105" s="152"/>
      <c r="V105" s="152"/>
      <c r="W105" s="152"/>
    </row>
    <row r="106">
      <c r="A106" s="152"/>
      <c r="B106" s="152"/>
      <c r="C106" s="152"/>
      <c r="D106" s="152"/>
      <c r="E106" s="152"/>
      <c r="F106" s="152"/>
      <c r="G106" s="152"/>
      <c r="H106" s="152"/>
      <c r="I106" s="152"/>
      <c r="J106" s="152"/>
      <c r="K106" s="445"/>
      <c r="L106" s="445"/>
      <c r="M106" s="152"/>
      <c r="N106" s="152"/>
      <c r="O106" s="152"/>
      <c r="P106" s="152"/>
      <c r="Q106" s="152"/>
      <c r="R106" s="152"/>
      <c r="S106" s="152"/>
      <c r="T106" s="152"/>
      <c r="U106" s="152"/>
      <c r="V106" s="152"/>
      <c r="W106" s="152"/>
    </row>
    <row r="107">
      <c r="A107" s="152"/>
      <c r="B107" s="152"/>
      <c r="C107" s="152"/>
      <c r="D107" s="152"/>
      <c r="E107" s="152"/>
      <c r="F107" s="152"/>
      <c r="G107" s="152"/>
      <c r="H107" s="152"/>
      <c r="I107" s="152"/>
      <c r="J107" s="152"/>
      <c r="K107" s="445"/>
      <c r="L107" s="445"/>
      <c r="M107" s="152"/>
      <c r="N107" s="152"/>
      <c r="O107" s="152"/>
      <c r="P107" s="152"/>
      <c r="Q107" s="152"/>
      <c r="R107" s="152"/>
      <c r="S107" s="152"/>
      <c r="T107" s="152"/>
      <c r="U107" s="152"/>
      <c r="V107" s="152"/>
      <c r="W107" s="152"/>
    </row>
    <row r="108">
      <c r="A108" s="152"/>
      <c r="B108" s="152"/>
      <c r="C108" s="152"/>
      <c r="D108" s="152"/>
      <c r="E108" s="152"/>
      <c r="F108" s="152"/>
      <c r="G108" s="152"/>
      <c r="H108" s="152"/>
      <c r="I108" s="152"/>
      <c r="J108" s="152"/>
      <c r="K108" s="445"/>
      <c r="L108" s="445"/>
      <c r="M108" s="152"/>
      <c r="N108" s="152"/>
      <c r="O108" s="152"/>
      <c r="P108" s="152"/>
      <c r="Q108" s="152"/>
      <c r="R108" s="152"/>
      <c r="S108" s="152"/>
      <c r="T108" s="152"/>
      <c r="U108" s="152"/>
      <c r="V108" s="152"/>
      <c r="W108" s="152"/>
    </row>
    <row r="109">
      <c r="A109" s="152"/>
      <c r="B109" s="152"/>
      <c r="C109" s="152"/>
      <c r="D109" s="152"/>
      <c r="E109" s="152"/>
      <c r="F109" s="152"/>
      <c r="G109" s="152"/>
      <c r="H109" s="152"/>
      <c r="I109" s="152"/>
      <c r="J109" s="152"/>
      <c r="K109" s="445"/>
      <c r="L109" s="445"/>
      <c r="M109" s="152"/>
      <c r="N109" s="152"/>
      <c r="O109" s="152"/>
      <c r="P109" s="152"/>
      <c r="Q109" s="152"/>
      <c r="R109" s="152"/>
      <c r="S109" s="152"/>
      <c r="T109" s="152"/>
      <c r="U109" s="152"/>
      <c r="V109" s="152"/>
      <c r="W109" s="152"/>
    </row>
    <row r="110">
      <c r="A110" s="152"/>
      <c r="B110" s="152"/>
      <c r="C110" s="152"/>
      <c r="D110" s="152"/>
      <c r="E110" s="152"/>
      <c r="F110" s="152"/>
      <c r="G110" s="152"/>
      <c r="H110" s="152"/>
      <c r="I110" s="152"/>
      <c r="J110" s="152"/>
      <c r="K110" s="445"/>
      <c r="L110" s="445"/>
      <c r="M110" s="152"/>
      <c r="N110" s="152"/>
      <c r="O110" s="152"/>
      <c r="P110" s="152"/>
      <c r="Q110" s="152"/>
      <c r="R110" s="152"/>
      <c r="S110" s="152"/>
      <c r="T110" s="152"/>
      <c r="U110" s="152"/>
      <c r="V110" s="152"/>
      <c r="W110" s="152"/>
    </row>
    <row r="111">
      <c r="A111" s="152"/>
      <c r="B111" s="152"/>
      <c r="C111" s="152"/>
      <c r="D111" s="152"/>
      <c r="E111" s="152"/>
      <c r="F111" s="152"/>
      <c r="G111" s="152"/>
      <c r="H111" s="152"/>
      <c r="I111" s="152"/>
      <c r="J111" s="152"/>
      <c r="K111" s="445"/>
      <c r="L111" s="445"/>
      <c r="M111" s="152"/>
      <c r="N111" s="152"/>
      <c r="O111" s="152"/>
      <c r="P111" s="152"/>
      <c r="Q111" s="152"/>
      <c r="R111" s="152"/>
      <c r="S111" s="152"/>
      <c r="T111" s="152"/>
      <c r="U111" s="152"/>
      <c r="V111" s="152"/>
      <c r="W111" s="152"/>
    </row>
    <row r="112">
      <c r="A112" s="152"/>
      <c r="B112" s="152"/>
      <c r="C112" s="152"/>
      <c r="D112" s="152"/>
      <c r="E112" s="152"/>
      <c r="F112" s="152"/>
      <c r="G112" s="152"/>
      <c r="H112" s="152"/>
      <c r="I112" s="152"/>
      <c r="J112" s="152"/>
      <c r="K112" s="445"/>
      <c r="L112" s="445"/>
      <c r="M112" s="152"/>
      <c r="N112" s="152"/>
      <c r="O112" s="152"/>
      <c r="P112" s="152"/>
      <c r="Q112" s="152"/>
      <c r="R112" s="152"/>
      <c r="S112" s="152"/>
      <c r="T112" s="152"/>
      <c r="U112" s="152"/>
      <c r="V112" s="152"/>
      <c r="W112" s="152"/>
    </row>
    <row r="113">
      <c r="A113" s="152"/>
      <c r="B113" s="152"/>
      <c r="C113" s="152"/>
      <c r="D113" s="152"/>
      <c r="E113" s="152"/>
      <c r="F113" s="152"/>
      <c r="G113" s="152"/>
      <c r="H113" s="152"/>
      <c r="I113" s="152"/>
      <c r="J113" s="152"/>
      <c r="K113" s="445"/>
      <c r="L113" s="445"/>
      <c r="M113" s="152"/>
      <c r="N113" s="152"/>
      <c r="O113" s="152"/>
      <c r="P113" s="152"/>
      <c r="Q113" s="152"/>
      <c r="R113" s="152"/>
      <c r="S113" s="152"/>
      <c r="T113" s="152"/>
      <c r="U113" s="152"/>
      <c r="V113" s="152"/>
      <c r="W113" s="152"/>
    </row>
    <row r="114">
      <c r="A114" s="152"/>
      <c r="B114" s="152"/>
      <c r="C114" s="152"/>
      <c r="D114" s="152"/>
      <c r="E114" s="152"/>
      <c r="F114" s="152"/>
      <c r="G114" s="152"/>
      <c r="H114" s="152"/>
      <c r="I114" s="152"/>
      <c r="J114" s="152"/>
      <c r="K114" s="445"/>
      <c r="L114" s="445"/>
      <c r="M114" s="152"/>
      <c r="N114" s="152"/>
      <c r="O114" s="152"/>
      <c r="P114" s="152"/>
      <c r="Q114" s="152"/>
      <c r="R114" s="152"/>
      <c r="S114" s="152"/>
      <c r="T114" s="152"/>
      <c r="U114" s="152"/>
      <c r="V114" s="152"/>
      <c r="W114" s="152"/>
    </row>
    <row r="115">
      <c r="A115" s="152"/>
      <c r="B115" s="152"/>
      <c r="C115" s="152"/>
      <c r="D115" s="152"/>
      <c r="E115" s="152"/>
      <c r="F115" s="152"/>
      <c r="G115" s="152"/>
      <c r="H115" s="152"/>
      <c r="I115" s="152"/>
      <c r="J115" s="152"/>
      <c r="K115" s="445"/>
      <c r="L115" s="445"/>
      <c r="M115" s="152"/>
      <c r="N115" s="152"/>
      <c r="O115" s="152"/>
      <c r="P115" s="152"/>
      <c r="Q115" s="152"/>
      <c r="R115" s="152"/>
      <c r="S115" s="152"/>
      <c r="T115" s="152"/>
      <c r="U115" s="152"/>
      <c r="V115" s="152"/>
      <c r="W115" s="152"/>
    </row>
    <row r="116">
      <c r="A116" s="152"/>
      <c r="B116" s="152"/>
      <c r="C116" s="152"/>
      <c r="D116" s="152"/>
      <c r="E116" s="152"/>
      <c r="F116" s="152"/>
      <c r="G116" s="152"/>
      <c r="H116" s="152"/>
      <c r="I116" s="152"/>
      <c r="J116" s="152"/>
      <c r="K116" s="445"/>
      <c r="L116" s="445"/>
      <c r="M116" s="152"/>
      <c r="N116" s="152"/>
      <c r="O116" s="152"/>
      <c r="P116" s="152"/>
      <c r="Q116" s="152"/>
      <c r="R116" s="152"/>
      <c r="S116" s="152"/>
      <c r="T116" s="152"/>
      <c r="U116" s="152"/>
      <c r="V116" s="152"/>
      <c r="W116" s="152"/>
    </row>
    <row r="117">
      <c r="A117" s="152"/>
      <c r="B117" s="152"/>
      <c r="C117" s="152"/>
      <c r="D117" s="152"/>
      <c r="E117" s="152"/>
      <c r="F117" s="152"/>
      <c r="G117" s="152"/>
      <c r="H117" s="152"/>
      <c r="I117" s="152"/>
      <c r="J117" s="152"/>
      <c r="K117" s="445"/>
      <c r="L117" s="445"/>
      <c r="M117" s="152"/>
      <c r="N117" s="152"/>
      <c r="O117" s="152"/>
      <c r="P117" s="152"/>
      <c r="Q117" s="152"/>
      <c r="R117" s="152"/>
      <c r="S117" s="152"/>
      <c r="T117" s="152"/>
      <c r="U117" s="152"/>
      <c r="V117" s="152"/>
      <c r="W117" s="152"/>
    </row>
    <row r="118">
      <c r="A118" s="152"/>
      <c r="B118" s="152"/>
      <c r="C118" s="152"/>
      <c r="D118" s="152"/>
      <c r="E118" s="152"/>
      <c r="F118" s="152"/>
      <c r="G118" s="152"/>
      <c r="H118" s="152"/>
      <c r="I118" s="152"/>
      <c r="J118" s="152"/>
      <c r="K118" s="445"/>
      <c r="L118" s="445"/>
      <c r="M118" s="152"/>
      <c r="N118" s="152"/>
      <c r="O118" s="152"/>
      <c r="P118" s="152"/>
      <c r="Q118" s="152"/>
      <c r="R118" s="152"/>
      <c r="S118" s="152"/>
      <c r="T118" s="152"/>
      <c r="U118" s="152"/>
      <c r="V118" s="152"/>
      <c r="W118" s="152"/>
    </row>
    <row r="119">
      <c r="A119" s="152"/>
      <c r="B119" s="152"/>
      <c r="C119" s="152"/>
      <c r="D119" s="152"/>
      <c r="E119" s="152"/>
      <c r="F119" s="152"/>
      <c r="G119" s="152"/>
      <c r="H119" s="152"/>
      <c r="I119" s="152"/>
      <c r="J119" s="152"/>
      <c r="K119" s="445"/>
      <c r="L119" s="445"/>
      <c r="M119" s="152"/>
      <c r="N119" s="152"/>
      <c r="O119" s="152"/>
      <c r="P119" s="152"/>
      <c r="Q119" s="152"/>
      <c r="R119" s="152"/>
      <c r="S119" s="152"/>
      <c r="T119" s="152"/>
      <c r="U119" s="152"/>
      <c r="V119" s="152"/>
      <c r="W119" s="152"/>
    </row>
    <row r="120">
      <c r="A120" s="152"/>
      <c r="B120" s="152"/>
      <c r="C120" s="152"/>
      <c r="D120" s="152"/>
      <c r="E120" s="152"/>
      <c r="F120" s="152"/>
      <c r="G120" s="152"/>
      <c r="H120" s="152"/>
      <c r="I120" s="152"/>
      <c r="J120" s="152"/>
      <c r="K120" s="445"/>
      <c r="L120" s="445"/>
      <c r="M120" s="152"/>
      <c r="N120" s="152"/>
      <c r="O120" s="152"/>
      <c r="P120" s="152"/>
      <c r="Q120" s="152"/>
      <c r="R120" s="152"/>
      <c r="S120" s="152"/>
      <c r="T120" s="152"/>
      <c r="U120" s="152"/>
      <c r="V120" s="152"/>
      <c r="W120" s="152"/>
    </row>
    <row r="121">
      <c r="A121" s="152"/>
      <c r="B121" s="152"/>
      <c r="C121" s="152"/>
      <c r="D121" s="152"/>
      <c r="E121" s="152"/>
      <c r="F121" s="152"/>
      <c r="G121" s="152"/>
      <c r="H121" s="152"/>
      <c r="I121" s="152"/>
      <c r="J121" s="152"/>
      <c r="K121" s="445"/>
      <c r="L121" s="445"/>
      <c r="M121" s="152"/>
      <c r="N121" s="152"/>
      <c r="O121" s="152"/>
      <c r="P121" s="152"/>
      <c r="Q121" s="152"/>
      <c r="R121" s="152"/>
      <c r="S121" s="152"/>
      <c r="T121" s="152"/>
      <c r="U121" s="152"/>
      <c r="V121" s="152"/>
      <c r="W121" s="152"/>
    </row>
    <row r="122">
      <c r="A122" s="152"/>
      <c r="B122" s="152"/>
      <c r="C122" s="152"/>
      <c r="D122" s="152"/>
      <c r="E122" s="152"/>
      <c r="F122" s="152"/>
      <c r="G122" s="152"/>
      <c r="H122" s="152"/>
      <c r="I122" s="152"/>
      <c r="J122" s="152"/>
      <c r="K122" s="445"/>
      <c r="L122" s="445"/>
      <c r="M122" s="152"/>
      <c r="N122" s="152"/>
      <c r="O122" s="152"/>
      <c r="P122" s="152"/>
      <c r="Q122" s="152"/>
      <c r="R122" s="152"/>
      <c r="S122" s="152"/>
      <c r="T122" s="152"/>
      <c r="U122" s="152"/>
      <c r="V122" s="152"/>
      <c r="W122" s="152"/>
    </row>
    <row r="123">
      <c r="A123" s="152"/>
      <c r="B123" s="152"/>
      <c r="C123" s="152"/>
      <c r="D123" s="152"/>
      <c r="E123" s="152"/>
      <c r="F123" s="152"/>
      <c r="G123" s="152"/>
      <c r="H123" s="152"/>
      <c r="I123" s="152"/>
      <c r="J123" s="152"/>
      <c r="K123" s="445"/>
      <c r="L123" s="445"/>
      <c r="M123" s="152"/>
      <c r="N123" s="152"/>
      <c r="O123" s="152"/>
      <c r="P123" s="152"/>
      <c r="Q123" s="152"/>
      <c r="R123" s="152"/>
      <c r="S123" s="152"/>
      <c r="T123" s="152"/>
      <c r="U123" s="152"/>
      <c r="V123" s="152"/>
      <c r="W123" s="152"/>
    </row>
    <row r="124">
      <c r="A124" s="152"/>
      <c r="B124" s="152"/>
      <c r="C124" s="152"/>
      <c r="D124" s="152"/>
      <c r="E124" s="152"/>
      <c r="F124" s="152"/>
      <c r="G124" s="152"/>
      <c r="H124" s="152"/>
      <c r="I124" s="152"/>
      <c r="J124" s="152"/>
      <c r="K124" s="445"/>
      <c r="L124" s="445"/>
      <c r="M124" s="152"/>
      <c r="N124" s="152"/>
      <c r="O124" s="152"/>
      <c r="P124" s="152"/>
      <c r="Q124" s="152"/>
      <c r="R124" s="152"/>
      <c r="S124" s="152"/>
      <c r="T124" s="152"/>
      <c r="U124" s="152"/>
      <c r="V124" s="152"/>
      <c r="W124" s="152"/>
    </row>
    <row r="125">
      <c r="A125" s="152"/>
      <c r="B125" s="152"/>
      <c r="C125" s="152"/>
      <c r="D125" s="152"/>
      <c r="E125" s="152"/>
      <c r="F125" s="152"/>
      <c r="G125" s="152"/>
      <c r="H125" s="152"/>
      <c r="I125" s="152"/>
      <c r="J125" s="152"/>
      <c r="K125" s="445"/>
      <c r="L125" s="445"/>
      <c r="M125" s="152"/>
      <c r="N125" s="152"/>
      <c r="O125" s="152"/>
      <c r="P125" s="152"/>
      <c r="Q125" s="152"/>
      <c r="R125" s="152"/>
      <c r="S125" s="152"/>
      <c r="T125" s="152"/>
      <c r="U125" s="152"/>
      <c r="V125" s="152"/>
      <c r="W125" s="152"/>
    </row>
    <row r="126">
      <c r="A126" s="152"/>
      <c r="B126" s="152"/>
      <c r="C126" s="152"/>
      <c r="D126" s="152"/>
      <c r="E126" s="152"/>
      <c r="F126" s="152"/>
      <c r="G126" s="152"/>
      <c r="H126" s="152"/>
      <c r="I126" s="152"/>
      <c r="J126" s="152"/>
      <c r="K126" s="445"/>
      <c r="L126" s="445"/>
      <c r="M126" s="152"/>
      <c r="N126" s="152"/>
      <c r="O126" s="152"/>
      <c r="P126" s="152"/>
      <c r="Q126" s="152"/>
      <c r="R126" s="152"/>
      <c r="S126" s="152"/>
      <c r="T126" s="152"/>
      <c r="U126" s="152"/>
      <c r="V126" s="152"/>
      <c r="W126" s="152"/>
    </row>
    <row r="127">
      <c r="A127" s="152"/>
      <c r="B127" s="152"/>
      <c r="C127" s="152"/>
      <c r="D127" s="152"/>
      <c r="E127" s="152"/>
      <c r="F127" s="152"/>
      <c r="G127" s="152"/>
      <c r="H127" s="152"/>
      <c r="I127" s="152"/>
      <c r="J127" s="152"/>
      <c r="K127" s="445"/>
      <c r="L127" s="445"/>
      <c r="M127" s="152"/>
      <c r="N127" s="152"/>
      <c r="O127" s="152"/>
      <c r="P127" s="152"/>
      <c r="Q127" s="152"/>
      <c r="R127" s="152"/>
      <c r="S127" s="152"/>
      <c r="T127" s="152"/>
      <c r="U127" s="152"/>
      <c r="V127" s="152"/>
      <c r="W127" s="152"/>
    </row>
    <row r="128">
      <c r="A128" s="152"/>
      <c r="B128" s="152"/>
      <c r="C128" s="152"/>
      <c r="D128" s="152"/>
      <c r="E128" s="152"/>
      <c r="F128" s="152"/>
      <c r="G128" s="152"/>
      <c r="H128" s="152"/>
      <c r="I128" s="152"/>
      <c r="J128" s="152"/>
      <c r="K128" s="445"/>
      <c r="L128" s="445"/>
      <c r="M128" s="152"/>
      <c r="N128" s="152"/>
      <c r="O128" s="152"/>
      <c r="P128" s="152"/>
      <c r="Q128" s="152"/>
      <c r="R128" s="152"/>
      <c r="S128" s="152"/>
      <c r="T128" s="152"/>
      <c r="U128" s="152"/>
      <c r="V128" s="152"/>
      <c r="W128" s="152"/>
    </row>
    <row r="129">
      <c r="A129" s="152"/>
      <c r="B129" s="152"/>
      <c r="C129" s="152"/>
      <c r="D129" s="152"/>
      <c r="E129" s="152"/>
      <c r="F129" s="152"/>
      <c r="G129" s="152"/>
      <c r="H129" s="152"/>
      <c r="I129" s="152"/>
      <c r="J129" s="152"/>
      <c r="K129" s="445"/>
      <c r="L129" s="445"/>
      <c r="M129" s="152"/>
      <c r="N129" s="152"/>
      <c r="O129" s="152"/>
      <c r="P129" s="152"/>
      <c r="Q129" s="152"/>
      <c r="R129" s="152"/>
      <c r="S129" s="152"/>
      <c r="T129" s="152"/>
      <c r="U129" s="152"/>
      <c r="V129" s="152"/>
      <c r="W129" s="152"/>
    </row>
    <row r="130">
      <c r="A130" s="152"/>
      <c r="B130" s="152"/>
      <c r="C130" s="152"/>
      <c r="D130" s="152"/>
      <c r="E130" s="152"/>
      <c r="F130" s="152"/>
      <c r="G130" s="152"/>
      <c r="H130" s="152"/>
      <c r="I130" s="152"/>
      <c r="J130" s="152"/>
      <c r="K130" s="445"/>
      <c r="L130" s="445"/>
      <c r="M130" s="152"/>
      <c r="N130" s="152"/>
      <c r="O130" s="152"/>
      <c r="P130" s="152"/>
      <c r="Q130" s="152"/>
      <c r="R130" s="152"/>
      <c r="S130" s="152"/>
      <c r="T130" s="152"/>
      <c r="U130" s="152"/>
      <c r="V130" s="152"/>
      <c r="W130" s="152"/>
    </row>
    <row r="131">
      <c r="A131" s="152"/>
      <c r="B131" s="152"/>
      <c r="C131" s="152"/>
      <c r="D131" s="152"/>
      <c r="E131" s="152"/>
      <c r="F131" s="152"/>
      <c r="G131" s="152"/>
      <c r="H131" s="152"/>
      <c r="I131" s="152"/>
      <c r="J131" s="152"/>
      <c r="K131" s="445"/>
      <c r="L131" s="445"/>
      <c r="M131" s="152"/>
      <c r="N131" s="152"/>
      <c r="O131" s="152"/>
      <c r="P131" s="152"/>
      <c r="Q131" s="152"/>
      <c r="R131" s="152"/>
      <c r="S131" s="152"/>
      <c r="T131" s="152"/>
      <c r="U131" s="152"/>
      <c r="V131" s="152"/>
      <c r="W131" s="152"/>
    </row>
    <row r="132">
      <c r="A132" s="152"/>
      <c r="B132" s="152"/>
      <c r="C132" s="152"/>
      <c r="D132" s="152"/>
      <c r="E132" s="152"/>
      <c r="F132" s="152"/>
      <c r="G132" s="152"/>
      <c r="H132" s="152"/>
      <c r="I132" s="152"/>
      <c r="J132" s="152"/>
      <c r="K132" s="445"/>
      <c r="L132" s="445"/>
      <c r="M132" s="152"/>
      <c r="N132" s="152"/>
      <c r="O132" s="152"/>
      <c r="P132" s="152"/>
      <c r="Q132" s="152"/>
      <c r="R132" s="152"/>
      <c r="S132" s="152"/>
      <c r="T132" s="152"/>
      <c r="U132" s="152"/>
      <c r="V132" s="152"/>
      <c r="W132" s="152"/>
    </row>
    <row r="133">
      <c r="A133" s="152"/>
      <c r="B133" s="152"/>
      <c r="C133" s="152"/>
      <c r="D133" s="152"/>
      <c r="E133" s="152"/>
      <c r="F133" s="152"/>
      <c r="G133" s="152"/>
      <c r="H133" s="152"/>
      <c r="I133" s="152"/>
      <c r="J133" s="152"/>
      <c r="K133" s="445"/>
      <c r="L133" s="445"/>
      <c r="M133" s="152"/>
      <c r="N133" s="152"/>
      <c r="O133" s="152"/>
      <c r="P133" s="152"/>
      <c r="Q133" s="152"/>
      <c r="R133" s="152"/>
      <c r="S133" s="152"/>
      <c r="T133" s="152"/>
      <c r="U133" s="152"/>
      <c r="V133" s="152"/>
      <c r="W133" s="152"/>
    </row>
    <row r="134">
      <c r="A134" s="152"/>
      <c r="B134" s="152"/>
      <c r="C134" s="152"/>
      <c r="D134" s="152"/>
      <c r="E134" s="152"/>
      <c r="F134" s="152"/>
      <c r="G134" s="152"/>
      <c r="H134" s="152"/>
      <c r="I134" s="152"/>
      <c r="J134" s="152"/>
      <c r="K134" s="445"/>
      <c r="L134" s="445"/>
      <c r="M134" s="152"/>
      <c r="N134" s="152"/>
      <c r="O134" s="152"/>
      <c r="P134" s="152"/>
      <c r="Q134" s="152"/>
      <c r="R134" s="152"/>
      <c r="S134" s="152"/>
      <c r="T134" s="152"/>
      <c r="U134" s="152"/>
      <c r="V134" s="152"/>
      <c r="W134" s="152"/>
    </row>
    <row r="135">
      <c r="A135" s="152"/>
      <c r="B135" s="152"/>
      <c r="C135" s="152"/>
      <c r="D135" s="152"/>
      <c r="E135" s="152"/>
      <c r="F135" s="152"/>
      <c r="G135" s="152"/>
      <c r="H135" s="152"/>
      <c r="I135" s="152"/>
      <c r="J135" s="152"/>
      <c r="K135" s="445"/>
      <c r="L135" s="445"/>
      <c r="M135" s="152"/>
      <c r="N135" s="152"/>
      <c r="O135" s="152"/>
      <c r="P135" s="152"/>
      <c r="Q135" s="152"/>
      <c r="R135" s="152"/>
      <c r="S135" s="152"/>
      <c r="T135" s="152"/>
      <c r="U135" s="152"/>
      <c r="V135" s="152"/>
      <c r="W135" s="152"/>
    </row>
    <row r="136">
      <c r="A136" s="152"/>
      <c r="B136" s="152"/>
      <c r="C136" s="152"/>
      <c r="D136" s="152"/>
      <c r="E136" s="152"/>
      <c r="F136" s="152"/>
      <c r="G136" s="152"/>
      <c r="H136" s="152"/>
      <c r="I136" s="152"/>
      <c r="J136" s="152"/>
      <c r="K136" s="445"/>
      <c r="L136" s="445"/>
      <c r="M136" s="152"/>
      <c r="N136" s="152"/>
      <c r="O136" s="152"/>
      <c r="P136" s="152"/>
      <c r="Q136" s="152"/>
      <c r="R136" s="152"/>
      <c r="S136" s="152"/>
      <c r="T136" s="152"/>
      <c r="U136" s="152"/>
      <c r="V136" s="152"/>
      <c r="W136" s="152"/>
    </row>
    <row r="137">
      <c r="A137" s="152"/>
      <c r="B137" s="152"/>
      <c r="C137" s="152"/>
      <c r="D137" s="152"/>
      <c r="E137" s="152"/>
      <c r="F137" s="152"/>
      <c r="G137" s="152"/>
      <c r="H137" s="152"/>
      <c r="I137" s="152"/>
      <c r="J137" s="152"/>
      <c r="K137" s="445"/>
      <c r="L137" s="445"/>
      <c r="M137" s="152"/>
      <c r="N137" s="152"/>
      <c r="O137" s="152"/>
      <c r="P137" s="152"/>
      <c r="Q137" s="152"/>
      <c r="R137" s="152"/>
      <c r="S137" s="152"/>
      <c r="T137" s="152"/>
      <c r="U137" s="152"/>
      <c r="V137" s="152"/>
      <c r="W137" s="152"/>
    </row>
    <row r="138">
      <c r="A138" s="152"/>
      <c r="B138" s="152"/>
      <c r="C138" s="152"/>
      <c r="D138" s="152"/>
      <c r="E138" s="152"/>
      <c r="F138" s="152"/>
      <c r="G138" s="152"/>
      <c r="H138" s="152"/>
      <c r="I138" s="152"/>
      <c r="J138" s="152"/>
      <c r="K138" s="445"/>
      <c r="L138" s="445"/>
      <c r="M138" s="152"/>
      <c r="N138" s="152"/>
      <c r="O138" s="152"/>
      <c r="P138" s="152"/>
      <c r="Q138" s="152"/>
      <c r="R138" s="152"/>
      <c r="S138" s="152"/>
      <c r="T138" s="152"/>
      <c r="U138" s="152"/>
      <c r="V138" s="152"/>
      <c r="W138" s="152"/>
    </row>
    <row r="139">
      <c r="A139" s="152"/>
      <c r="B139" s="152"/>
      <c r="C139" s="152"/>
      <c r="D139" s="152"/>
      <c r="E139" s="152"/>
      <c r="F139" s="152"/>
      <c r="G139" s="152"/>
      <c r="H139" s="152"/>
      <c r="I139" s="152"/>
      <c r="J139" s="152"/>
      <c r="K139" s="445"/>
      <c r="L139" s="445"/>
      <c r="M139" s="152"/>
      <c r="N139" s="152"/>
      <c r="O139" s="152"/>
      <c r="P139" s="152"/>
      <c r="Q139" s="152"/>
      <c r="R139" s="152"/>
      <c r="S139" s="152"/>
      <c r="T139" s="152"/>
      <c r="U139" s="152"/>
      <c r="V139" s="152"/>
      <c r="W139" s="152"/>
    </row>
    <row r="140">
      <c r="A140" s="152"/>
      <c r="B140" s="152"/>
      <c r="C140" s="152"/>
      <c r="D140" s="152"/>
      <c r="E140" s="152"/>
      <c r="F140" s="152"/>
      <c r="G140" s="152"/>
      <c r="H140" s="152"/>
      <c r="I140" s="152"/>
      <c r="J140" s="152"/>
      <c r="K140" s="445"/>
      <c r="L140" s="445"/>
      <c r="M140" s="152"/>
      <c r="N140" s="152"/>
      <c r="O140" s="152"/>
      <c r="P140" s="152"/>
      <c r="Q140" s="152"/>
      <c r="R140" s="152"/>
      <c r="S140" s="152"/>
      <c r="T140" s="152"/>
      <c r="U140" s="152"/>
      <c r="V140" s="152"/>
      <c r="W140" s="152"/>
    </row>
    <row r="141">
      <c r="A141" s="152"/>
      <c r="B141" s="152"/>
      <c r="C141" s="152"/>
      <c r="D141" s="152"/>
      <c r="E141" s="152"/>
      <c r="F141" s="152"/>
      <c r="G141" s="152"/>
      <c r="H141" s="152"/>
      <c r="I141" s="152"/>
      <c r="J141" s="152"/>
      <c r="K141" s="445"/>
      <c r="L141" s="445"/>
      <c r="M141" s="152"/>
      <c r="N141" s="152"/>
      <c r="O141" s="152"/>
      <c r="P141" s="152"/>
      <c r="Q141" s="152"/>
      <c r="R141" s="152"/>
      <c r="S141" s="152"/>
      <c r="T141" s="152"/>
      <c r="U141" s="152"/>
      <c r="V141" s="152"/>
      <c r="W141" s="152"/>
    </row>
    <row r="142">
      <c r="A142" s="152"/>
      <c r="B142" s="152"/>
      <c r="C142" s="152"/>
      <c r="D142" s="152"/>
      <c r="E142" s="152"/>
      <c r="F142" s="152"/>
      <c r="G142" s="152"/>
      <c r="H142" s="152"/>
      <c r="I142" s="152"/>
      <c r="J142" s="152"/>
      <c r="K142" s="445"/>
      <c r="L142" s="445"/>
      <c r="M142" s="152"/>
      <c r="N142" s="152"/>
      <c r="O142" s="152"/>
      <c r="P142" s="152"/>
      <c r="Q142" s="152"/>
      <c r="R142" s="152"/>
      <c r="S142" s="152"/>
      <c r="T142" s="152"/>
      <c r="U142" s="152"/>
      <c r="V142" s="152"/>
      <c r="W142" s="152"/>
    </row>
    <row r="143">
      <c r="A143" s="152"/>
      <c r="B143" s="152"/>
      <c r="C143" s="152"/>
      <c r="D143" s="152"/>
      <c r="E143" s="152"/>
      <c r="F143" s="152"/>
      <c r="G143" s="152"/>
      <c r="H143" s="152"/>
      <c r="I143" s="152"/>
      <c r="J143" s="152"/>
      <c r="K143" s="445"/>
      <c r="L143" s="445"/>
      <c r="M143" s="152"/>
      <c r="N143" s="152"/>
      <c r="O143" s="152"/>
      <c r="P143" s="152"/>
      <c r="Q143" s="152"/>
      <c r="R143" s="152"/>
      <c r="S143" s="152"/>
      <c r="T143" s="152"/>
      <c r="U143" s="152"/>
      <c r="V143" s="152"/>
      <c r="W143" s="152"/>
    </row>
    <row r="144">
      <c r="A144" s="152"/>
      <c r="B144" s="152"/>
      <c r="C144" s="152"/>
      <c r="D144" s="152"/>
      <c r="E144" s="152"/>
      <c r="F144" s="152"/>
      <c r="G144" s="152"/>
      <c r="H144" s="152"/>
      <c r="I144" s="152"/>
      <c r="J144" s="152"/>
      <c r="K144" s="445"/>
      <c r="L144" s="445"/>
      <c r="M144" s="152"/>
      <c r="N144" s="152"/>
      <c r="O144" s="152"/>
      <c r="P144" s="152"/>
      <c r="Q144" s="152"/>
      <c r="R144" s="152"/>
      <c r="S144" s="152"/>
      <c r="T144" s="152"/>
      <c r="U144" s="152"/>
      <c r="V144" s="152"/>
      <c r="W144" s="152"/>
    </row>
    <row r="145">
      <c r="A145" s="152"/>
      <c r="B145" s="152"/>
      <c r="C145" s="152"/>
      <c r="D145" s="152"/>
      <c r="E145" s="152"/>
      <c r="F145" s="152"/>
      <c r="G145" s="152"/>
      <c r="H145" s="152"/>
      <c r="I145" s="152"/>
      <c r="J145" s="152"/>
      <c r="K145" s="445"/>
      <c r="L145" s="445"/>
      <c r="M145" s="152"/>
      <c r="N145" s="152"/>
      <c r="O145" s="152"/>
      <c r="P145" s="152"/>
      <c r="Q145" s="152"/>
      <c r="R145" s="152"/>
      <c r="S145" s="152"/>
      <c r="T145" s="152"/>
      <c r="U145" s="152"/>
      <c r="V145" s="152"/>
      <c r="W145" s="152"/>
    </row>
    <row r="146">
      <c r="A146" s="152"/>
      <c r="B146" s="152"/>
      <c r="C146" s="152"/>
      <c r="D146" s="152"/>
      <c r="E146" s="152"/>
      <c r="F146" s="152"/>
      <c r="G146" s="152"/>
      <c r="H146" s="152"/>
      <c r="I146" s="152"/>
      <c r="J146" s="152"/>
      <c r="K146" s="445"/>
      <c r="L146" s="445"/>
      <c r="M146" s="152"/>
      <c r="N146" s="152"/>
      <c r="O146" s="152"/>
      <c r="P146" s="152"/>
      <c r="Q146" s="152"/>
      <c r="R146" s="152"/>
      <c r="S146" s="152"/>
      <c r="T146" s="152"/>
      <c r="U146" s="152"/>
      <c r="V146" s="152"/>
      <c r="W146" s="152"/>
    </row>
    <row r="147">
      <c r="A147" s="152"/>
      <c r="B147" s="152"/>
      <c r="C147" s="152"/>
      <c r="D147" s="152"/>
      <c r="E147" s="152"/>
      <c r="F147" s="152"/>
      <c r="G147" s="152"/>
      <c r="H147" s="152"/>
      <c r="I147" s="152"/>
      <c r="J147" s="152"/>
      <c r="K147" s="445"/>
      <c r="L147" s="445"/>
      <c r="M147" s="152"/>
      <c r="N147" s="152"/>
      <c r="O147" s="152"/>
      <c r="P147" s="152"/>
      <c r="Q147" s="152"/>
      <c r="R147" s="152"/>
      <c r="S147" s="152"/>
      <c r="T147" s="152"/>
      <c r="U147" s="152"/>
      <c r="V147" s="152"/>
      <c r="W147" s="152"/>
    </row>
    <row r="148">
      <c r="A148" s="152"/>
      <c r="B148" s="152"/>
      <c r="C148" s="152"/>
      <c r="D148" s="152"/>
      <c r="E148" s="152"/>
      <c r="F148" s="152"/>
      <c r="G148" s="152"/>
      <c r="H148" s="152"/>
      <c r="I148" s="152"/>
      <c r="J148" s="152"/>
      <c r="K148" s="445"/>
      <c r="L148" s="445"/>
      <c r="M148" s="152"/>
      <c r="N148" s="152"/>
      <c r="O148" s="152"/>
      <c r="P148" s="152"/>
      <c r="Q148" s="152"/>
      <c r="R148" s="152"/>
      <c r="S148" s="152"/>
      <c r="T148" s="152"/>
      <c r="U148" s="152"/>
      <c r="V148" s="152"/>
      <c r="W148" s="152"/>
    </row>
    <row r="149">
      <c r="A149" s="152"/>
      <c r="B149" s="152"/>
      <c r="C149" s="152"/>
      <c r="D149" s="152"/>
      <c r="E149" s="152"/>
      <c r="F149" s="152"/>
      <c r="G149" s="152"/>
      <c r="H149" s="152"/>
      <c r="I149" s="152"/>
      <c r="J149" s="152"/>
      <c r="K149" s="445"/>
      <c r="L149" s="445"/>
      <c r="M149" s="152"/>
      <c r="N149" s="152"/>
      <c r="O149" s="152"/>
      <c r="P149" s="152"/>
      <c r="Q149" s="152"/>
      <c r="R149" s="152"/>
      <c r="S149" s="152"/>
      <c r="T149" s="152"/>
      <c r="U149" s="152"/>
      <c r="V149" s="152"/>
      <c r="W149" s="152"/>
    </row>
    <row r="150">
      <c r="A150" s="152"/>
      <c r="B150" s="152"/>
      <c r="C150" s="152"/>
      <c r="D150" s="152"/>
      <c r="E150" s="152"/>
      <c r="F150" s="152"/>
      <c r="G150" s="152"/>
      <c r="H150" s="152"/>
      <c r="I150" s="152"/>
      <c r="J150" s="152"/>
      <c r="K150" s="445"/>
      <c r="L150" s="445"/>
      <c r="M150" s="152"/>
      <c r="N150" s="152"/>
      <c r="O150" s="152"/>
      <c r="P150" s="152"/>
      <c r="Q150" s="152"/>
      <c r="R150" s="152"/>
      <c r="S150" s="152"/>
      <c r="T150" s="152"/>
      <c r="U150" s="152"/>
      <c r="V150" s="152"/>
      <c r="W150" s="152"/>
    </row>
    <row r="151">
      <c r="A151" s="152"/>
      <c r="B151" s="152"/>
      <c r="C151" s="152"/>
      <c r="D151" s="152"/>
      <c r="E151" s="152"/>
      <c r="F151" s="152"/>
      <c r="G151" s="152"/>
      <c r="H151" s="152"/>
      <c r="I151" s="152"/>
      <c r="J151" s="152"/>
      <c r="K151" s="445"/>
      <c r="L151" s="445"/>
      <c r="M151" s="152"/>
      <c r="N151" s="152"/>
      <c r="O151" s="152"/>
      <c r="P151" s="152"/>
      <c r="Q151" s="152"/>
      <c r="R151" s="152"/>
      <c r="S151" s="152"/>
      <c r="T151" s="152"/>
      <c r="U151" s="152"/>
      <c r="V151" s="152"/>
      <c r="W151" s="152"/>
    </row>
    <row r="152">
      <c r="A152" s="152"/>
      <c r="B152" s="152"/>
      <c r="C152" s="152"/>
      <c r="D152" s="152"/>
      <c r="E152" s="152"/>
      <c r="F152" s="152"/>
      <c r="G152" s="152"/>
      <c r="H152" s="152"/>
      <c r="I152" s="152"/>
      <c r="J152" s="152"/>
      <c r="K152" s="445"/>
      <c r="L152" s="445"/>
      <c r="M152" s="152"/>
      <c r="N152" s="152"/>
      <c r="O152" s="152"/>
      <c r="P152" s="152"/>
      <c r="Q152" s="152"/>
      <c r="R152" s="152"/>
      <c r="S152" s="152"/>
      <c r="T152" s="152"/>
      <c r="U152" s="152"/>
      <c r="V152" s="152"/>
      <c r="W152" s="152"/>
    </row>
    <row r="153">
      <c r="A153" s="152"/>
      <c r="B153" s="152"/>
      <c r="C153" s="152"/>
      <c r="D153" s="152"/>
      <c r="E153" s="152"/>
      <c r="F153" s="152"/>
      <c r="G153" s="152"/>
      <c r="H153" s="152"/>
      <c r="I153" s="152"/>
      <c r="J153" s="152"/>
      <c r="K153" s="445"/>
      <c r="L153" s="445"/>
      <c r="M153" s="152"/>
      <c r="N153" s="152"/>
      <c r="O153" s="152"/>
      <c r="P153" s="152"/>
      <c r="Q153" s="152"/>
      <c r="R153" s="152"/>
      <c r="S153" s="152"/>
      <c r="T153" s="152"/>
      <c r="U153" s="152"/>
      <c r="V153" s="152"/>
      <c r="W153" s="152"/>
    </row>
    <row r="154">
      <c r="A154" s="152"/>
      <c r="B154" s="152"/>
      <c r="C154" s="152"/>
      <c r="D154" s="152"/>
      <c r="E154" s="152"/>
      <c r="F154" s="152"/>
      <c r="G154" s="152"/>
      <c r="H154" s="152"/>
      <c r="I154" s="152"/>
      <c r="J154" s="152"/>
      <c r="K154" s="445"/>
      <c r="L154" s="445"/>
      <c r="M154" s="152"/>
      <c r="N154" s="152"/>
      <c r="O154" s="152"/>
      <c r="P154" s="152"/>
      <c r="Q154" s="152"/>
      <c r="R154" s="152"/>
      <c r="S154" s="152"/>
      <c r="T154" s="152"/>
      <c r="U154" s="152"/>
      <c r="V154" s="152"/>
      <c r="W154" s="152"/>
    </row>
    <row r="155">
      <c r="A155" s="152"/>
      <c r="B155" s="152"/>
      <c r="C155" s="152"/>
      <c r="D155" s="152"/>
      <c r="E155" s="152"/>
      <c r="F155" s="152"/>
      <c r="G155" s="152"/>
      <c r="H155" s="152"/>
      <c r="I155" s="152"/>
      <c r="J155" s="152"/>
      <c r="K155" s="445"/>
      <c r="L155" s="445"/>
      <c r="M155" s="152"/>
      <c r="N155" s="152"/>
      <c r="O155" s="152"/>
      <c r="P155" s="152"/>
      <c r="Q155" s="152"/>
      <c r="R155" s="152"/>
      <c r="S155" s="152"/>
      <c r="T155" s="152"/>
      <c r="U155" s="152"/>
      <c r="V155" s="152"/>
      <c r="W155" s="152"/>
    </row>
    <row r="156">
      <c r="A156" s="152"/>
      <c r="B156" s="152"/>
      <c r="C156" s="152"/>
      <c r="D156" s="152"/>
      <c r="E156" s="152"/>
      <c r="F156" s="152"/>
      <c r="G156" s="152"/>
      <c r="H156" s="152"/>
      <c r="I156" s="152"/>
      <c r="J156" s="152"/>
      <c r="K156" s="445"/>
      <c r="L156" s="445"/>
      <c r="M156" s="152"/>
      <c r="N156" s="152"/>
      <c r="O156" s="152"/>
      <c r="P156" s="152"/>
      <c r="Q156" s="152"/>
      <c r="R156" s="152"/>
      <c r="S156" s="152"/>
      <c r="T156" s="152"/>
      <c r="U156" s="152"/>
      <c r="V156" s="152"/>
      <c r="W156" s="152"/>
    </row>
    <row r="157">
      <c r="A157" s="152"/>
      <c r="B157" s="152"/>
      <c r="C157" s="152"/>
      <c r="D157" s="152"/>
      <c r="E157" s="152"/>
      <c r="F157" s="152"/>
      <c r="G157" s="152"/>
      <c r="H157" s="152"/>
      <c r="I157" s="152"/>
      <c r="J157" s="152"/>
      <c r="K157" s="445"/>
      <c r="L157" s="445"/>
      <c r="M157" s="152"/>
      <c r="N157" s="152"/>
      <c r="O157" s="152"/>
      <c r="P157" s="152"/>
      <c r="Q157" s="152"/>
      <c r="R157" s="152"/>
      <c r="S157" s="152"/>
      <c r="T157" s="152"/>
      <c r="U157" s="152"/>
      <c r="V157" s="152"/>
      <c r="W157" s="152"/>
    </row>
    <row r="158">
      <c r="A158" s="152"/>
      <c r="B158" s="152"/>
      <c r="C158" s="152"/>
      <c r="D158" s="152"/>
      <c r="E158" s="152"/>
      <c r="F158" s="152"/>
      <c r="G158" s="152"/>
      <c r="H158" s="152"/>
      <c r="I158" s="152"/>
      <c r="J158" s="152"/>
      <c r="K158" s="445"/>
      <c r="L158" s="445"/>
      <c r="M158" s="152"/>
      <c r="N158" s="152"/>
      <c r="O158" s="152"/>
      <c r="P158" s="152"/>
      <c r="Q158" s="152"/>
      <c r="R158" s="152"/>
      <c r="S158" s="152"/>
      <c r="T158" s="152"/>
      <c r="U158" s="152"/>
      <c r="V158" s="152"/>
      <c r="W158" s="152"/>
    </row>
    <row r="159">
      <c r="A159" s="152"/>
      <c r="B159" s="152"/>
      <c r="C159" s="152"/>
      <c r="D159" s="152"/>
      <c r="E159" s="152"/>
      <c r="F159" s="152"/>
      <c r="G159" s="152"/>
      <c r="H159" s="152"/>
      <c r="I159" s="152"/>
      <c r="J159" s="152"/>
      <c r="K159" s="445"/>
      <c r="L159" s="445"/>
      <c r="M159" s="152"/>
      <c r="N159" s="152"/>
      <c r="O159" s="152"/>
      <c r="P159" s="152"/>
      <c r="Q159" s="152"/>
      <c r="R159" s="152"/>
      <c r="S159" s="152"/>
      <c r="T159" s="152"/>
      <c r="U159" s="152"/>
      <c r="V159" s="152"/>
      <c r="W159" s="152"/>
    </row>
    <row r="160">
      <c r="A160" s="152"/>
      <c r="B160" s="152"/>
      <c r="C160" s="152"/>
      <c r="D160" s="152"/>
      <c r="E160" s="152"/>
      <c r="F160" s="152"/>
      <c r="G160" s="152"/>
      <c r="H160" s="152"/>
      <c r="I160" s="152"/>
      <c r="J160" s="152"/>
      <c r="K160" s="445"/>
      <c r="L160" s="445"/>
      <c r="M160" s="152"/>
      <c r="N160" s="152"/>
      <c r="O160" s="152"/>
      <c r="P160" s="152"/>
      <c r="Q160" s="152"/>
      <c r="R160" s="152"/>
      <c r="S160" s="152"/>
      <c r="T160" s="152"/>
      <c r="U160" s="152"/>
      <c r="V160" s="152"/>
      <c r="W160" s="152"/>
    </row>
    <row r="161">
      <c r="A161" s="152"/>
      <c r="B161" s="152"/>
      <c r="C161" s="152"/>
      <c r="D161" s="152"/>
      <c r="E161" s="152"/>
      <c r="F161" s="152"/>
      <c r="G161" s="152"/>
      <c r="H161" s="152"/>
      <c r="I161" s="152"/>
      <c r="J161" s="152"/>
      <c r="K161" s="445"/>
      <c r="L161" s="445"/>
      <c r="M161" s="152"/>
      <c r="N161" s="152"/>
      <c r="O161" s="152"/>
      <c r="P161" s="152"/>
      <c r="Q161" s="152"/>
      <c r="R161" s="152"/>
      <c r="S161" s="152"/>
      <c r="T161" s="152"/>
      <c r="U161" s="152"/>
      <c r="V161" s="152"/>
      <c r="W161" s="152"/>
    </row>
    <row r="162">
      <c r="A162" s="152"/>
      <c r="B162" s="152"/>
      <c r="C162" s="152"/>
      <c r="D162" s="152"/>
      <c r="E162" s="152"/>
      <c r="F162" s="152"/>
      <c r="G162" s="152"/>
      <c r="H162" s="152"/>
      <c r="I162" s="152"/>
      <c r="J162" s="152"/>
      <c r="K162" s="445"/>
      <c r="L162" s="445"/>
      <c r="M162" s="152"/>
      <c r="N162" s="152"/>
      <c r="O162" s="152"/>
      <c r="P162" s="152"/>
      <c r="Q162" s="152"/>
      <c r="R162" s="152"/>
      <c r="S162" s="152"/>
      <c r="T162" s="152"/>
      <c r="U162" s="152"/>
      <c r="V162" s="152"/>
      <c r="W162" s="152"/>
    </row>
    <row r="163">
      <c r="A163" s="152"/>
      <c r="B163" s="152"/>
      <c r="C163" s="152"/>
      <c r="D163" s="152"/>
      <c r="E163" s="152"/>
      <c r="F163" s="152"/>
      <c r="G163" s="152"/>
      <c r="H163" s="152"/>
      <c r="I163" s="152"/>
      <c r="J163" s="152"/>
      <c r="K163" s="445"/>
      <c r="L163" s="445"/>
      <c r="M163" s="152"/>
      <c r="N163" s="152"/>
      <c r="O163" s="152"/>
      <c r="P163" s="152"/>
      <c r="Q163" s="152"/>
      <c r="R163" s="152"/>
      <c r="S163" s="152"/>
      <c r="T163" s="152"/>
      <c r="U163" s="152"/>
      <c r="V163" s="152"/>
      <c r="W163" s="152"/>
    </row>
    <row r="164">
      <c r="A164" s="152"/>
      <c r="B164" s="152"/>
      <c r="C164" s="152"/>
      <c r="D164" s="152"/>
      <c r="E164" s="152"/>
      <c r="F164" s="152"/>
      <c r="G164" s="152"/>
      <c r="H164" s="152"/>
      <c r="I164" s="152"/>
      <c r="J164" s="152"/>
      <c r="K164" s="445"/>
      <c r="L164" s="445"/>
      <c r="M164" s="152"/>
      <c r="N164" s="152"/>
      <c r="O164" s="152"/>
      <c r="P164" s="152"/>
      <c r="Q164" s="152"/>
      <c r="R164" s="152"/>
      <c r="S164" s="152"/>
      <c r="T164" s="152"/>
      <c r="U164" s="152"/>
      <c r="V164" s="152"/>
      <c r="W164" s="152"/>
    </row>
    <row r="165">
      <c r="A165" s="152"/>
      <c r="B165" s="152"/>
      <c r="C165" s="152"/>
      <c r="D165" s="152"/>
      <c r="E165" s="152"/>
      <c r="F165" s="152"/>
      <c r="G165" s="152"/>
      <c r="H165" s="152"/>
      <c r="I165" s="152"/>
      <c r="J165" s="152"/>
      <c r="K165" s="445"/>
      <c r="L165" s="445"/>
      <c r="M165" s="152"/>
      <c r="N165" s="152"/>
      <c r="O165" s="152"/>
      <c r="P165" s="152"/>
      <c r="Q165" s="152"/>
      <c r="R165" s="152"/>
      <c r="S165" s="152"/>
      <c r="T165" s="152"/>
      <c r="U165" s="152"/>
      <c r="V165" s="152"/>
      <c r="W165" s="152"/>
    </row>
    <row r="166">
      <c r="A166" s="152"/>
      <c r="B166" s="152"/>
      <c r="C166" s="152"/>
      <c r="D166" s="152"/>
      <c r="E166" s="152"/>
      <c r="F166" s="152"/>
      <c r="G166" s="152"/>
      <c r="H166" s="152"/>
      <c r="I166" s="152"/>
      <c r="J166" s="152"/>
      <c r="K166" s="445"/>
      <c r="L166" s="445"/>
      <c r="M166" s="152"/>
      <c r="N166" s="152"/>
      <c r="O166" s="152"/>
      <c r="P166" s="152"/>
      <c r="Q166" s="152"/>
      <c r="R166" s="152"/>
      <c r="S166" s="152"/>
      <c r="T166" s="152"/>
      <c r="U166" s="152"/>
      <c r="V166" s="152"/>
      <c r="W166" s="152"/>
    </row>
    <row r="167">
      <c r="A167" s="152"/>
      <c r="B167" s="152"/>
      <c r="C167" s="152"/>
      <c r="D167" s="152"/>
      <c r="E167" s="152"/>
      <c r="F167" s="152"/>
      <c r="G167" s="152"/>
      <c r="H167" s="152"/>
      <c r="I167" s="152"/>
      <c r="J167" s="152"/>
      <c r="K167" s="445"/>
      <c r="L167" s="445"/>
      <c r="M167" s="152"/>
      <c r="N167" s="152"/>
      <c r="O167" s="152"/>
      <c r="P167" s="152"/>
      <c r="Q167" s="152"/>
      <c r="R167" s="152"/>
      <c r="S167" s="152"/>
      <c r="T167" s="152"/>
      <c r="U167" s="152"/>
      <c r="V167" s="152"/>
      <c r="W167" s="152"/>
    </row>
    <row r="168">
      <c r="A168" s="152"/>
      <c r="B168" s="152"/>
      <c r="C168" s="152"/>
      <c r="D168" s="152"/>
      <c r="E168" s="152"/>
      <c r="F168" s="152"/>
      <c r="G168" s="152"/>
      <c r="H168" s="152"/>
      <c r="I168" s="152"/>
      <c r="J168" s="152"/>
      <c r="K168" s="445"/>
      <c r="L168" s="445"/>
      <c r="M168" s="152"/>
      <c r="N168" s="152"/>
      <c r="O168" s="152"/>
      <c r="P168" s="152"/>
      <c r="Q168" s="152"/>
      <c r="R168" s="152"/>
      <c r="S168" s="152"/>
      <c r="T168" s="152"/>
      <c r="U168" s="152"/>
      <c r="V168" s="152"/>
      <c r="W168" s="152"/>
    </row>
    <row r="169">
      <c r="A169" s="152"/>
      <c r="B169" s="152"/>
      <c r="C169" s="152"/>
      <c r="D169" s="152"/>
      <c r="E169" s="152"/>
      <c r="F169" s="152"/>
      <c r="G169" s="152"/>
      <c r="H169" s="152"/>
      <c r="I169" s="152"/>
      <c r="J169" s="152"/>
      <c r="K169" s="445"/>
      <c r="L169" s="445"/>
      <c r="M169" s="152"/>
      <c r="N169" s="152"/>
      <c r="O169" s="152"/>
      <c r="P169" s="152"/>
      <c r="Q169" s="152"/>
      <c r="R169" s="152"/>
      <c r="S169" s="152"/>
      <c r="T169" s="152"/>
      <c r="U169" s="152"/>
      <c r="V169" s="152"/>
      <c r="W169" s="152"/>
    </row>
    <row r="170">
      <c r="A170" s="152"/>
      <c r="B170" s="152"/>
      <c r="C170" s="152"/>
      <c r="D170" s="152"/>
      <c r="E170" s="152"/>
      <c r="F170" s="152"/>
      <c r="G170" s="152"/>
      <c r="H170" s="152"/>
      <c r="I170" s="152"/>
      <c r="J170" s="152"/>
      <c r="K170" s="445"/>
      <c r="L170" s="445"/>
      <c r="M170" s="152"/>
      <c r="N170" s="152"/>
      <c r="O170" s="152"/>
      <c r="P170" s="152"/>
      <c r="Q170" s="152"/>
      <c r="R170" s="152"/>
      <c r="S170" s="152"/>
      <c r="T170" s="152"/>
      <c r="U170" s="152"/>
      <c r="V170" s="152"/>
      <c r="W170" s="152"/>
    </row>
    <row r="171">
      <c r="A171" s="152"/>
      <c r="B171" s="152"/>
      <c r="C171" s="152"/>
      <c r="D171" s="152"/>
      <c r="E171" s="152"/>
      <c r="F171" s="152"/>
      <c r="G171" s="152"/>
      <c r="H171" s="152"/>
      <c r="I171" s="152"/>
      <c r="J171" s="152"/>
      <c r="K171" s="445"/>
      <c r="L171" s="445"/>
      <c r="M171" s="152"/>
      <c r="N171" s="152"/>
      <c r="O171" s="152"/>
      <c r="P171" s="152"/>
      <c r="Q171" s="152"/>
      <c r="R171" s="152"/>
      <c r="S171" s="152"/>
      <c r="T171" s="152"/>
      <c r="U171" s="152"/>
      <c r="V171" s="152"/>
      <c r="W171" s="152"/>
    </row>
    <row r="172">
      <c r="A172" s="152"/>
      <c r="B172" s="152"/>
      <c r="C172" s="152"/>
      <c r="D172" s="152"/>
      <c r="E172" s="152"/>
      <c r="F172" s="152"/>
      <c r="G172" s="152"/>
      <c r="H172" s="152"/>
      <c r="I172" s="152"/>
      <c r="J172" s="152"/>
      <c r="K172" s="445"/>
      <c r="L172" s="445"/>
      <c r="M172" s="152"/>
      <c r="N172" s="152"/>
      <c r="O172" s="152"/>
      <c r="P172" s="152"/>
      <c r="Q172" s="152"/>
      <c r="R172" s="152"/>
      <c r="S172" s="152"/>
      <c r="T172" s="152"/>
      <c r="U172" s="152"/>
      <c r="V172" s="152"/>
      <c r="W172" s="152"/>
    </row>
    <row r="173">
      <c r="A173" s="152"/>
      <c r="B173" s="152"/>
      <c r="C173" s="152"/>
      <c r="D173" s="152"/>
      <c r="E173" s="152"/>
      <c r="F173" s="152"/>
      <c r="G173" s="152"/>
      <c r="H173" s="152"/>
      <c r="I173" s="152"/>
      <c r="J173" s="152"/>
      <c r="K173" s="445"/>
      <c r="L173" s="445"/>
      <c r="M173" s="152"/>
      <c r="N173" s="152"/>
      <c r="O173" s="152"/>
      <c r="P173" s="152"/>
      <c r="Q173" s="152"/>
      <c r="R173" s="152"/>
      <c r="S173" s="152"/>
      <c r="T173" s="152"/>
      <c r="U173" s="152"/>
      <c r="V173" s="152"/>
      <c r="W173" s="152"/>
    </row>
    <row r="174">
      <c r="A174" s="152"/>
      <c r="B174" s="152"/>
      <c r="C174" s="152"/>
      <c r="D174" s="152"/>
      <c r="E174" s="152"/>
      <c r="F174" s="152"/>
      <c r="G174" s="152"/>
      <c r="H174" s="152"/>
      <c r="I174" s="152"/>
      <c r="J174" s="152"/>
      <c r="K174" s="445"/>
      <c r="L174" s="445"/>
      <c r="M174" s="152"/>
      <c r="N174" s="152"/>
      <c r="O174" s="152"/>
      <c r="P174" s="152"/>
      <c r="Q174" s="152"/>
      <c r="R174" s="152"/>
      <c r="S174" s="152"/>
      <c r="T174" s="152"/>
      <c r="U174" s="152"/>
      <c r="V174" s="152"/>
      <c r="W174" s="152"/>
    </row>
    <row r="175">
      <c r="A175" s="152"/>
      <c r="B175" s="152"/>
      <c r="C175" s="152"/>
      <c r="D175" s="152"/>
      <c r="E175" s="152"/>
      <c r="F175" s="152"/>
      <c r="G175" s="152"/>
      <c r="H175" s="152"/>
      <c r="I175" s="152"/>
      <c r="J175" s="152"/>
      <c r="K175" s="445"/>
      <c r="L175" s="445"/>
      <c r="M175" s="152"/>
      <c r="N175" s="152"/>
      <c r="O175" s="152"/>
      <c r="P175" s="152"/>
      <c r="Q175" s="152"/>
      <c r="R175" s="152"/>
      <c r="S175" s="152"/>
      <c r="T175" s="152"/>
      <c r="U175" s="152"/>
      <c r="V175" s="152"/>
      <c r="W175" s="152"/>
    </row>
    <row r="176">
      <c r="A176" s="152"/>
      <c r="B176" s="152"/>
      <c r="C176" s="152"/>
      <c r="D176" s="152"/>
      <c r="E176" s="152"/>
      <c r="F176" s="152"/>
      <c r="G176" s="152"/>
      <c r="H176" s="152"/>
      <c r="I176" s="152"/>
      <c r="J176" s="152"/>
      <c r="K176" s="445"/>
      <c r="L176" s="445"/>
      <c r="M176" s="152"/>
      <c r="N176" s="152"/>
      <c r="O176" s="152"/>
      <c r="P176" s="152"/>
      <c r="Q176" s="152"/>
      <c r="R176" s="152"/>
      <c r="S176" s="152"/>
      <c r="T176" s="152"/>
      <c r="U176" s="152"/>
      <c r="V176" s="152"/>
      <c r="W176" s="152"/>
    </row>
    <row r="177">
      <c r="A177" s="152"/>
      <c r="B177" s="152"/>
      <c r="C177" s="152"/>
      <c r="D177" s="152"/>
      <c r="E177" s="152"/>
      <c r="F177" s="152"/>
      <c r="G177" s="152"/>
      <c r="H177" s="152"/>
      <c r="I177" s="152"/>
      <c r="J177" s="152"/>
      <c r="K177" s="445"/>
      <c r="L177" s="445"/>
      <c r="M177" s="152"/>
      <c r="N177" s="152"/>
      <c r="O177" s="152"/>
      <c r="P177" s="152"/>
      <c r="Q177" s="152"/>
      <c r="R177" s="152"/>
      <c r="S177" s="152"/>
      <c r="T177" s="152"/>
      <c r="U177" s="152"/>
      <c r="V177" s="152"/>
      <c r="W177" s="152"/>
    </row>
    <row r="178">
      <c r="A178" s="152"/>
      <c r="B178" s="152"/>
      <c r="C178" s="152"/>
      <c r="D178" s="152"/>
      <c r="E178" s="152"/>
      <c r="F178" s="152"/>
      <c r="G178" s="152"/>
      <c r="H178" s="152"/>
      <c r="I178" s="152"/>
      <c r="J178" s="152"/>
      <c r="K178" s="445"/>
      <c r="L178" s="445"/>
      <c r="M178" s="152"/>
      <c r="N178" s="152"/>
      <c r="O178" s="152"/>
      <c r="P178" s="152"/>
      <c r="Q178" s="152"/>
      <c r="R178" s="152"/>
      <c r="S178" s="152"/>
      <c r="T178" s="152"/>
      <c r="U178" s="152"/>
      <c r="V178" s="152"/>
      <c r="W178" s="152"/>
    </row>
    <row r="179">
      <c r="A179" s="152"/>
      <c r="B179" s="152"/>
      <c r="C179" s="152"/>
      <c r="D179" s="152"/>
      <c r="E179" s="152"/>
      <c r="F179" s="152"/>
      <c r="G179" s="152"/>
      <c r="H179" s="152"/>
      <c r="I179" s="152"/>
      <c r="J179" s="152"/>
      <c r="K179" s="445"/>
      <c r="L179" s="445"/>
      <c r="M179" s="152"/>
      <c r="N179" s="152"/>
      <c r="O179" s="152"/>
      <c r="P179" s="152"/>
      <c r="Q179" s="152"/>
      <c r="R179" s="152"/>
      <c r="S179" s="152"/>
      <c r="T179" s="152"/>
      <c r="U179" s="152"/>
      <c r="V179" s="152"/>
      <c r="W179" s="152"/>
    </row>
    <row r="180">
      <c r="A180" s="152"/>
      <c r="B180" s="152"/>
      <c r="C180" s="152"/>
      <c r="D180" s="152"/>
      <c r="E180" s="152"/>
      <c r="F180" s="152"/>
      <c r="G180" s="152"/>
      <c r="H180" s="152"/>
      <c r="I180" s="152"/>
      <c r="J180" s="152"/>
      <c r="K180" s="445"/>
      <c r="L180" s="445"/>
      <c r="M180" s="152"/>
      <c r="N180" s="152"/>
      <c r="O180" s="152"/>
      <c r="P180" s="152"/>
      <c r="Q180" s="152"/>
      <c r="R180" s="152"/>
      <c r="S180" s="152"/>
      <c r="T180" s="152"/>
      <c r="U180" s="152"/>
      <c r="V180" s="152"/>
      <c r="W180" s="152"/>
    </row>
    <row r="181">
      <c r="A181" s="152"/>
      <c r="B181" s="152"/>
      <c r="C181" s="152"/>
      <c r="D181" s="152"/>
      <c r="E181" s="152"/>
      <c r="F181" s="152"/>
      <c r="G181" s="152"/>
      <c r="H181" s="152"/>
      <c r="I181" s="152"/>
      <c r="J181" s="152"/>
      <c r="K181" s="445"/>
      <c r="L181" s="445"/>
      <c r="M181" s="152"/>
      <c r="N181" s="152"/>
      <c r="O181" s="152"/>
      <c r="P181" s="152"/>
      <c r="Q181" s="152"/>
      <c r="R181" s="152"/>
      <c r="S181" s="152"/>
      <c r="T181" s="152"/>
      <c r="U181" s="152"/>
      <c r="V181" s="152"/>
      <c r="W181" s="152"/>
    </row>
    <row r="182">
      <c r="A182" s="152"/>
      <c r="B182" s="152"/>
      <c r="C182" s="152"/>
      <c r="D182" s="152"/>
      <c r="E182" s="152"/>
      <c r="F182" s="152"/>
      <c r="G182" s="152"/>
      <c r="H182" s="152"/>
      <c r="I182" s="152"/>
      <c r="J182" s="152"/>
      <c r="K182" s="445"/>
      <c r="L182" s="445"/>
      <c r="M182" s="152"/>
      <c r="N182" s="152"/>
      <c r="O182" s="152"/>
      <c r="P182" s="152"/>
      <c r="Q182" s="152"/>
      <c r="R182" s="152"/>
      <c r="S182" s="152"/>
      <c r="T182" s="152"/>
      <c r="U182" s="152"/>
      <c r="V182" s="152"/>
      <c r="W182" s="152"/>
    </row>
    <row r="183">
      <c r="A183" s="152"/>
      <c r="B183" s="152"/>
      <c r="C183" s="152"/>
      <c r="D183" s="152"/>
      <c r="E183" s="152"/>
      <c r="F183" s="152"/>
      <c r="G183" s="152"/>
      <c r="H183" s="152"/>
      <c r="I183" s="152"/>
      <c r="J183" s="152"/>
      <c r="K183" s="445"/>
      <c r="L183" s="445"/>
      <c r="M183" s="152"/>
      <c r="N183" s="152"/>
      <c r="O183" s="152"/>
      <c r="P183" s="152"/>
      <c r="Q183" s="152"/>
      <c r="R183" s="152"/>
      <c r="S183" s="152"/>
      <c r="T183" s="152"/>
      <c r="U183" s="152"/>
      <c r="V183" s="152"/>
      <c r="W183" s="152"/>
    </row>
    <row r="184">
      <c r="A184" s="152"/>
      <c r="B184" s="152"/>
      <c r="C184" s="152"/>
      <c r="D184" s="152"/>
      <c r="E184" s="152"/>
      <c r="F184" s="152"/>
      <c r="G184" s="152"/>
      <c r="H184" s="152"/>
      <c r="I184" s="152"/>
      <c r="J184" s="152"/>
      <c r="K184" s="445"/>
      <c r="L184" s="445"/>
      <c r="M184" s="152"/>
      <c r="N184" s="152"/>
      <c r="O184" s="152"/>
      <c r="P184" s="152"/>
      <c r="Q184" s="152"/>
      <c r="R184" s="152"/>
      <c r="S184" s="152"/>
      <c r="T184" s="152"/>
      <c r="U184" s="152"/>
      <c r="V184" s="152"/>
      <c r="W184" s="152"/>
    </row>
    <row r="185">
      <c r="A185" s="152"/>
      <c r="B185" s="152"/>
      <c r="C185" s="152"/>
      <c r="D185" s="152"/>
      <c r="E185" s="152"/>
      <c r="F185" s="152"/>
      <c r="G185" s="152"/>
      <c r="H185" s="152"/>
      <c r="I185" s="152"/>
      <c r="J185" s="152"/>
      <c r="K185" s="445"/>
      <c r="L185" s="445"/>
      <c r="M185" s="152"/>
      <c r="N185" s="152"/>
      <c r="O185" s="152"/>
      <c r="P185" s="152"/>
      <c r="Q185" s="152"/>
      <c r="R185" s="152"/>
      <c r="S185" s="152"/>
      <c r="T185" s="152"/>
      <c r="U185" s="152"/>
      <c r="V185" s="152"/>
      <c r="W185" s="152"/>
    </row>
    <row r="186">
      <c r="A186" s="152"/>
      <c r="B186" s="152"/>
      <c r="C186" s="152"/>
      <c r="D186" s="152"/>
      <c r="E186" s="152"/>
      <c r="F186" s="152"/>
      <c r="G186" s="152"/>
      <c r="H186" s="152"/>
      <c r="I186" s="152"/>
      <c r="J186" s="152"/>
      <c r="K186" s="445"/>
      <c r="L186" s="445"/>
      <c r="M186" s="152"/>
      <c r="N186" s="152"/>
      <c r="O186" s="152"/>
      <c r="P186" s="152"/>
      <c r="Q186" s="152"/>
      <c r="R186" s="152"/>
      <c r="S186" s="152"/>
      <c r="T186" s="152"/>
      <c r="U186" s="152"/>
      <c r="V186" s="152"/>
      <c r="W186" s="152"/>
    </row>
    <row r="187">
      <c r="A187" s="152"/>
      <c r="B187" s="152"/>
      <c r="C187" s="152"/>
      <c r="D187" s="152"/>
      <c r="E187" s="152"/>
      <c r="F187" s="152"/>
      <c r="G187" s="152"/>
      <c r="H187" s="152"/>
      <c r="I187" s="152"/>
      <c r="J187" s="152"/>
      <c r="K187" s="445"/>
      <c r="L187" s="445"/>
      <c r="M187" s="152"/>
      <c r="N187" s="152"/>
      <c r="O187" s="152"/>
      <c r="P187" s="152"/>
      <c r="Q187" s="152"/>
      <c r="R187" s="152"/>
      <c r="S187" s="152"/>
      <c r="T187" s="152"/>
      <c r="U187" s="152"/>
      <c r="V187" s="152"/>
      <c r="W187" s="152"/>
    </row>
    <row r="188">
      <c r="A188" s="152"/>
      <c r="B188" s="152"/>
      <c r="C188" s="152"/>
      <c r="D188" s="152"/>
      <c r="E188" s="152"/>
      <c r="F188" s="152"/>
      <c r="G188" s="152"/>
      <c r="H188" s="152"/>
      <c r="I188" s="152"/>
      <c r="J188" s="152"/>
      <c r="K188" s="445"/>
      <c r="L188" s="445"/>
      <c r="M188" s="152"/>
      <c r="N188" s="152"/>
      <c r="O188" s="152"/>
      <c r="P188" s="152"/>
      <c r="Q188" s="152"/>
      <c r="R188" s="152"/>
      <c r="S188" s="152"/>
      <c r="T188" s="152"/>
      <c r="U188" s="152"/>
      <c r="V188" s="152"/>
      <c r="W188" s="152"/>
    </row>
    <row r="189">
      <c r="A189" s="152"/>
      <c r="B189" s="152"/>
      <c r="C189" s="152"/>
      <c r="D189" s="152"/>
      <c r="E189" s="152"/>
      <c r="F189" s="152"/>
      <c r="G189" s="152"/>
      <c r="H189" s="152"/>
      <c r="I189" s="152"/>
      <c r="J189" s="152"/>
      <c r="K189" s="445"/>
      <c r="L189" s="445"/>
      <c r="M189" s="152"/>
      <c r="N189" s="152"/>
      <c r="O189" s="152"/>
      <c r="P189" s="152"/>
      <c r="Q189" s="152"/>
      <c r="R189" s="152"/>
      <c r="S189" s="152"/>
      <c r="T189" s="152"/>
      <c r="U189" s="152"/>
      <c r="V189" s="152"/>
      <c r="W189" s="152"/>
    </row>
    <row r="190">
      <c r="A190" s="152"/>
      <c r="B190" s="152"/>
      <c r="C190" s="152"/>
      <c r="D190" s="152"/>
      <c r="E190" s="152"/>
      <c r="F190" s="152"/>
      <c r="G190" s="152"/>
      <c r="H190" s="152"/>
      <c r="I190" s="152"/>
      <c r="J190" s="152"/>
      <c r="K190" s="445"/>
      <c r="L190" s="445"/>
      <c r="M190" s="152"/>
      <c r="N190" s="152"/>
      <c r="O190" s="152"/>
      <c r="P190" s="152"/>
      <c r="Q190" s="152"/>
      <c r="R190" s="152"/>
      <c r="S190" s="152"/>
      <c r="T190" s="152"/>
      <c r="U190" s="152"/>
      <c r="V190" s="152"/>
      <c r="W190" s="152"/>
    </row>
    <row r="191">
      <c r="A191" s="152"/>
      <c r="B191" s="152"/>
      <c r="C191" s="152"/>
      <c r="D191" s="152"/>
      <c r="E191" s="152"/>
      <c r="F191" s="152"/>
      <c r="G191" s="152"/>
      <c r="H191" s="152"/>
      <c r="I191" s="152"/>
      <c r="J191" s="152"/>
      <c r="K191" s="445"/>
      <c r="L191" s="445"/>
      <c r="M191" s="152"/>
      <c r="N191" s="152"/>
      <c r="O191" s="152"/>
      <c r="P191" s="152"/>
      <c r="Q191" s="152"/>
      <c r="R191" s="152"/>
      <c r="S191" s="152"/>
      <c r="T191" s="152"/>
      <c r="U191" s="152"/>
      <c r="V191" s="152"/>
      <c r="W191" s="152"/>
    </row>
    <row r="192">
      <c r="A192" s="152"/>
      <c r="B192" s="152"/>
      <c r="C192" s="152"/>
      <c r="D192" s="152"/>
      <c r="E192" s="152"/>
      <c r="F192" s="152"/>
      <c r="G192" s="152"/>
      <c r="H192" s="152"/>
      <c r="I192" s="152"/>
      <c r="J192" s="152"/>
      <c r="K192" s="445"/>
      <c r="L192" s="445"/>
      <c r="M192" s="152"/>
      <c r="N192" s="152"/>
      <c r="O192" s="152"/>
      <c r="P192" s="152"/>
      <c r="Q192" s="152"/>
      <c r="R192" s="152"/>
      <c r="S192" s="152"/>
      <c r="T192" s="152"/>
      <c r="U192" s="152"/>
      <c r="V192" s="152"/>
      <c r="W192" s="152"/>
    </row>
    <row r="193">
      <c r="A193" s="152"/>
      <c r="B193" s="152"/>
      <c r="C193" s="152"/>
      <c r="D193" s="152"/>
      <c r="E193" s="152"/>
      <c r="F193" s="152"/>
      <c r="G193" s="152"/>
      <c r="H193" s="152"/>
      <c r="I193" s="152"/>
      <c r="J193" s="152"/>
      <c r="K193" s="445"/>
      <c r="L193" s="445"/>
      <c r="M193" s="152"/>
      <c r="N193" s="152"/>
      <c r="O193" s="152"/>
      <c r="P193" s="152"/>
      <c r="Q193" s="152"/>
      <c r="R193" s="152"/>
      <c r="S193" s="152"/>
      <c r="T193" s="152"/>
      <c r="U193" s="152"/>
      <c r="V193" s="152"/>
      <c r="W193" s="152"/>
    </row>
    <row r="194">
      <c r="A194" s="152"/>
      <c r="B194" s="152"/>
      <c r="C194" s="152"/>
      <c r="D194" s="152"/>
      <c r="E194" s="152"/>
      <c r="F194" s="152"/>
      <c r="G194" s="152"/>
      <c r="H194" s="152"/>
      <c r="I194" s="152"/>
      <c r="J194" s="152"/>
      <c r="K194" s="445"/>
      <c r="L194" s="445"/>
      <c r="M194" s="152"/>
      <c r="N194" s="152"/>
      <c r="O194" s="152"/>
      <c r="P194" s="152"/>
      <c r="Q194" s="152"/>
      <c r="R194" s="152"/>
      <c r="S194" s="152"/>
      <c r="T194" s="152"/>
      <c r="U194" s="152"/>
      <c r="V194" s="152"/>
      <c r="W194" s="152"/>
    </row>
    <row r="195">
      <c r="A195" s="152"/>
      <c r="B195" s="152"/>
      <c r="C195" s="152"/>
      <c r="D195" s="152"/>
      <c r="E195" s="152"/>
      <c r="F195" s="152"/>
      <c r="G195" s="152"/>
      <c r="H195" s="152"/>
      <c r="I195" s="152"/>
      <c r="J195" s="152"/>
      <c r="K195" s="445"/>
      <c r="L195" s="445"/>
      <c r="M195" s="152"/>
      <c r="N195" s="152"/>
      <c r="O195" s="152"/>
      <c r="P195" s="152"/>
      <c r="Q195" s="152"/>
      <c r="R195" s="152"/>
      <c r="S195" s="152"/>
      <c r="T195" s="152"/>
      <c r="U195" s="152"/>
      <c r="V195" s="152"/>
      <c r="W195" s="152"/>
    </row>
    <row r="196">
      <c r="A196" s="152"/>
      <c r="B196" s="152"/>
      <c r="C196" s="152"/>
      <c r="D196" s="152"/>
      <c r="E196" s="152"/>
      <c r="F196" s="152"/>
      <c r="G196" s="152"/>
      <c r="H196" s="152"/>
      <c r="I196" s="152"/>
      <c r="J196" s="152"/>
      <c r="K196" s="445"/>
      <c r="L196" s="445"/>
      <c r="M196" s="152"/>
      <c r="N196" s="152"/>
      <c r="O196" s="152"/>
      <c r="P196" s="152"/>
      <c r="Q196" s="152"/>
      <c r="R196" s="152"/>
      <c r="S196" s="152"/>
      <c r="T196" s="152"/>
      <c r="U196" s="152"/>
      <c r="V196" s="152"/>
      <c r="W196" s="152"/>
    </row>
    <row r="197">
      <c r="A197" s="152"/>
      <c r="B197" s="152"/>
      <c r="C197" s="152"/>
      <c r="D197" s="152"/>
      <c r="E197" s="152"/>
      <c r="F197" s="152"/>
      <c r="G197" s="152"/>
      <c r="H197" s="152"/>
      <c r="I197" s="152"/>
      <c r="J197" s="152"/>
      <c r="K197" s="445"/>
      <c r="L197" s="445"/>
      <c r="M197" s="152"/>
      <c r="N197" s="152"/>
      <c r="O197" s="152"/>
      <c r="P197" s="152"/>
      <c r="Q197" s="152"/>
      <c r="R197" s="152"/>
      <c r="S197" s="152"/>
      <c r="T197" s="152"/>
      <c r="U197" s="152"/>
      <c r="V197" s="152"/>
      <c r="W197" s="152"/>
    </row>
    <row r="198">
      <c r="A198" s="152"/>
      <c r="B198" s="152"/>
      <c r="C198" s="152"/>
      <c r="D198" s="152"/>
      <c r="E198" s="152"/>
      <c r="F198" s="152"/>
      <c r="G198" s="152"/>
      <c r="H198" s="152"/>
      <c r="I198" s="152"/>
      <c r="J198" s="152"/>
      <c r="K198" s="445"/>
      <c r="L198" s="445"/>
      <c r="M198" s="152"/>
      <c r="N198" s="152"/>
      <c r="O198" s="152"/>
      <c r="P198" s="152"/>
      <c r="Q198" s="152"/>
      <c r="R198" s="152"/>
      <c r="S198" s="152"/>
      <c r="T198" s="152"/>
      <c r="U198" s="152"/>
      <c r="V198" s="152"/>
      <c r="W198" s="152"/>
    </row>
    <row r="199">
      <c r="A199" s="152"/>
      <c r="B199" s="152"/>
      <c r="C199" s="152"/>
      <c r="D199" s="152"/>
      <c r="E199" s="152"/>
      <c r="F199" s="152"/>
      <c r="G199" s="152"/>
      <c r="H199" s="152"/>
      <c r="I199" s="152"/>
      <c r="J199" s="152"/>
      <c r="K199" s="445"/>
      <c r="L199" s="445"/>
      <c r="M199" s="152"/>
      <c r="N199" s="152"/>
      <c r="O199" s="152"/>
      <c r="P199" s="152"/>
      <c r="Q199" s="152"/>
      <c r="R199" s="152"/>
      <c r="S199" s="152"/>
      <c r="T199" s="152"/>
      <c r="U199" s="152"/>
      <c r="V199" s="152"/>
      <c r="W199" s="152"/>
    </row>
    <row r="200">
      <c r="A200" s="152"/>
      <c r="B200" s="152"/>
      <c r="C200" s="152"/>
      <c r="D200" s="152"/>
      <c r="E200" s="152"/>
      <c r="F200" s="152"/>
      <c r="G200" s="152"/>
      <c r="H200" s="152"/>
      <c r="I200" s="152"/>
      <c r="J200" s="152"/>
      <c r="K200" s="445"/>
      <c r="L200" s="445"/>
      <c r="M200" s="152"/>
      <c r="N200" s="152"/>
      <c r="O200" s="152"/>
      <c r="P200" s="152"/>
      <c r="Q200" s="152"/>
      <c r="R200" s="152"/>
      <c r="S200" s="152"/>
      <c r="T200" s="152"/>
      <c r="U200" s="152"/>
      <c r="V200" s="152"/>
      <c r="W200" s="152"/>
    </row>
    <row r="201">
      <c r="A201" s="152"/>
      <c r="B201" s="152"/>
      <c r="C201" s="152"/>
      <c r="D201" s="152"/>
      <c r="E201" s="152"/>
      <c r="F201" s="152"/>
      <c r="G201" s="152"/>
      <c r="H201" s="152"/>
      <c r="I201" s="152"/>
      <c r="J201" s="152"/>
      <c r="K201" s="445"/>
      <c r="L201" s="445"/>
      <c r="M201" s="152"/>
      <c r="N201" s="152"/>
      <c r="O201" s="152"/>
      <c r="P201" s="152"/>
      <c r="Q201" s="152"/>
      <c r="R201" s="152"/>
      <c r="S201" s="152"/>
      <c r="T201" s="152"/>
      <c r="U201" s="152"/>
      <c r="V201" s="152"/>
      <c r="W201" s="152"/>
    </row>
    <row r="202">
      <c r="A202" s="152"/>
      <c r="B202" s="152"/>
      <c r="C202" s="152"/>
      <c r="D202" s="152"/>
      <c r="E202" s="152"/>
      <c r="F202" s="152"/>
      <c r="G202" s="152"/>
      <c r="H202" s="152"/>
      <c r="I202" s="152"/>
      <c r="J202" s="152"/>
      <c r="K202" s="445"/>
      <c r="L202" s="445"/>
      <c r="M202" s="152"/>
      <c r="N202" s="152"/>
      <c r="O202" s="152"/>
      <c r="P202" s="152"/>
      <c r="Q202" s="152"/>
      <c r="R202" s="152"/>
      <c r="S202" s="152"/>
      <c r="T202" s="152"/>
      <c r="U202" s="152"/>
      <c r="V202" s="152"/>
      <c r="W202" s="152"/>
    </row>
    <row r="203">
      <c r="A203" s="152"/>
      <c r="B203" s="152"/>
      <c r="C203" s="152"/>
      <c r="D203" s="152"/>
      <c r="E203" s="152"/>
      <c r="F203" s="152"/>
      <c r="G203" s="152"/>
      <c r="H203" s="152"/>
      <c r="I203" s="152"/>
      <c r="J203" s="152"/>
      <c r="K203" s="445"/>
      <c r="L203" s="445"/>
      <c r="M203" s="152"/>
      <c r="N203" s="152"/>
      <c r="O203" s="152"/>
      <c r="P203" s="152"/>
      <c r="Q203" s="152"/>
      <c r="R203" s="152"/>
      <c r="S203" s="152"/>
      <c r="T203" s="152"/>
      <c r="U203" s="152"/>
      <c r="V203" s="152"/>
      <c r="W203" s="152"/>
    </row>
    <row r="204">
      <c r="A204" s="152"/>
      <c r="B204" s="152"/>
      <c r="C204" s="152"/>
      <c r="D204" s="152"/>
      <c r="E204" s="152"/>
      <c r="F204" s="152"/>
      <c r="G204" s="152"/>
      <c r="H204" s="152"/>
      <c r="I204" s="152"/>
      <c r="J204" s="152"/>
      <c r="K204" s="445"/>
      <c r="L204" s="445"/>
      <c r="M204" s="152"/>
      <c r="N204" s="152"/>
      <c r="O204" s="152"/>
      <c r="P204" s="152"/>
      <c r="Q204" s="152"/>
      <c r="R204" s="152"/>
      <c r="S204" s="152"/>
      <c r="T204" s="152"/>
      <c r="U204" s="152"/>
      <c r="V204" s="152"/>
      <c r="W204" s="152"/>
    </row>
    <row r="205">
      <c r="A205" s="152"/>
      <c r="B205" s="152"/>
      <c r="C205" s="152"/>
      <c r="D205" s="152"/>
      <c r="E205" s="152"/>
      <c r="F205" s="152"/>
      <c r="G205" s="152"/>
      <c r="H205" s="152"/>
      <c r="I205" s="152"/>
      <c r="J205" s="152"/>
      <c r="K205" s="445"/>
      <c r="L205" s="445"/>
      <c r="M205" s="152"/>
      <c r="N205" s="152"/>
      <c r="O205" s="152"/>
      <c r="P205" s="152"/>
      <c r="Q205" s="152"/>
      <c r="R205" s="152"/>
      <c r="S205" s="152"/>
      <c r="T205" s="152"/>
      <c r="U205" s="152"/>
      <c r="V205" s="152"/>
      <c r="W205" s="152"/>
    </row>
    <row r="206">
      <c r="A206" s="152"/>
      <c r="B206" s="152"/>
      <c r="C206" s="152"/>
      <c r="D206" s="152"/>
      <c r="E206" s="152"/>
      <c r="F206" s="152"/>
      <c r="G206" s="152"/>
      <c r="H206" s="152"/>
      <c r="I206" s="152"/>
      <c r="J206" s="152"/>
      <c r="K206" s="445"/>
      <c r="L206" s="445"/>
      <c r="M206" s="152"/>
      <c r="N206" s="152"/>
      <c r="O206" s="152"/>
      <c r="P206" s="152"/>
      <c r="Q206" s="152"/>
      <c r="R206" s="152"/>
      <c r="S206" s="152"/>
      <c r="T206" s="152"/>
      <c r="U206" s="152"/>
      <c r="V206" s="152"/>
      <c r="W206" s="152"/>
    </row>
    <row r="207">
      <c r="A207" s="152"/>
      <c r="B207" s="152"/>
      <c r="C207" s="152"/>
      <c r="D207" s="152"/>
      <c r="E207" s="152"/>
      <c r="F207" s="152"/>
      <c r="G207" s="152"/>
      <c r="H207" s="152"/>
      <c r="I207" s="152"/>
      <c r="J207" s="152"/>
      <c r="K207" s="445"/>
      <c r="L207" s="445"/>
      <c r="M207" s="152"/>
      <c r="N207" s="152"/>
      <c r="O207" s="152"/>
      <c r="P207" s="152"/>
      <c r="Q207" s="152"/>
      <c r="R207" s="152"/>
      <c r="S207" s="152"/>
      <c r="T207" s="152"/>
      <c r="U207" s="152"/>
      <c r="V207" s="152"/>
      <c r="W207" s="152"/>
    </row>
    <row r="208">
      <c r="A208" s="152"/>
      <c r="B208" s="152"/>
      <c r="C208" s="152"/>
      <c r="D208" s="152"/>
      <c r="E208" s="152"/>
      <c r="F208" s="152"/>
      <c r="G208" s="152"/>
      <c r="H208" s="152"/>
      <c r="I208" s="152"/>
      <c r="J208" s="152"/>
      <c r="K208" s="445"/>
      <c r="L208" s="445"/>
      <c r="M208" s="152"/>
      <c r="N208" s="152"/>
      <c r="O208" s="152"/>
      <c r="P208" s="152"/>
      <c r="Q208" s="152"/>
      <c r="R208" s="152"/>
      <c r="S208" s="152"/>
      <c r="T208" s="152"/>
      <c r="U208" s="152"/>
      <c r="V208" s="152"/>
      <c r="W208" s="152"/>
    </row>
    <row r="209">
      <c r="A209" s="152"/>
      <c r="B209" s="152"/>
      <c r="C209" s="152"/>
      <c r="D209" s="152"/>
      <c r="E209" s="152"/>
      <c r="F209" s="152"/>
      <c r="G209" s="152"/>
      <c r="H209" s="152"/>
      <c r="I209" s="152"/>
      <c r="J209" s="152"/>
      <c r="K209" s="445"/>
      <c r="L209" s="445"/>
      <c r="M209" s="152"/>
      <c r="N209" s="152"/>
      <c r="O209" s="152"/>
      <c r="P209" s="152"/>
      <c r="Q209" s="152"/>
      <c r="R209" s="152"/>
      <c r="S209" s="152"/>
      <c r="T209" s="152"/>
      <c r="U209" s="152"/>
      <c r="V209" s="152"/>
      <c r="W209" s="152"/>
    </row>
    <row r="210">
      <c r="A210" s="152"/>
      <c r="B210" s="152"/>
      <c r="C210" s="152"/>
      <c r="D210" s="152"/>
      <c r="E210" s="152"/>
      <c r="F210" s="152"/>
      <c r="G210" s="152"/>
      <c r="H210" s="152"/>
      <c r="I210" s="152"/>
      <c r="J210" s="152"/>
      <c r="K210" s="445"/>
      <c r="L210" s="445"/>
      <c r="M210" s="152"/>
      <c r="N210" s="152"/>
      <c r="O210" s="152"/>
      <c r="P210" s="152"/>
      <c r="Q210" s="152"/>
      <c r="R210" s="152"/>
      <c r="S210" s="152"/>
      <c r="T210" s="152"/>
      <c r="U210" s="152"/>
      <c r="V210" s="152"/>
      <c r="W210" s="152"/>
    </row>
    <row r="211">
      <c r="A211" s="152"/>
      <c r="B211" s="152"/>
      <c r="C211" s="152"/>
      <c r="D211" s="152"/>
      <c r="E211" s="152"/>
      <c r="F211" s="152"/>
      <c r="G211" s="152"/>
      <c r="H211" s="152"/>
      <c r="I211" s="152"/>
      <c r="J211" s="152"/>
      <c r="K211" s="445"/>
      <c r="L211" s="445"/>
      <c r="M211" s="152"/>
      <c r="N211" s="152"/>
      <c r="O211" s="152"/>
      <c r="P211" s="152"/>
      <c r="Q211" s="152"/>
      <c r="R211" s="152"/>
      <c r="S211" s="152"/>
      <c r="T211" s="152"/>
      <c r="U211" s="152"/>
      <c r="V211" s="152"/>
      <c r="W211" s="152"/>
    </row>
    <row r="212">
      <c r="A212" s="152"/>
      <c r="B212" s="152"/>
      <c r="C212" s="152"/>
      <c r="D212" s="152"/>
      <c r="E212" s="152"/>
      <c r="F212" s="152"/>
      <c r="G212" s="152"/>
      <c r="H212" s="152"/>
      <c r="I212" s="152"/>
      <c r="J212" s="152"/>
      <c r="K212" s="445"/>
      <c r="L212" s="445"/>
      <c r="M212" s="152"/>
      <c r="N212" s="152"/>
      <c r="O212" s="152"/>
      <c r="P212" s="152"/>
      <c r="Q212" s="152"/>
      <c r="R212" s="152"/>
      <c r="S212" s="152"/>
      <c r="T212" s="152"/>
      <c r="U212" s="152"/>
      <c r="V212" s="152"/>
      <c r="W212" s="152"/>
    </row>
    <row r="213">
      <c r="A213" s="152"/>
      <c r="B213" s="152"/>
      <c r="C213" s="152"/>
      <c r="D213" s="152"/>
      <c r="E213" s="152"/>
      <c r="F213" s="152"/>
      <c r="G213" s="152"/>
      <c r="H213" s="152"/>
      <c r="I213" s="152"/>
      <c r="J213" s="152"/>
      <c r="K213" s="445"/>
      <c r="L213" s="445"/>
      <c r="M213" s="152"/>
      <c r="N213" s="152"/>
      <c r="O213" s="152"/>
      <c r="P213" s="152"/>
      <c r="Q213" s="152"/>
      <c r="R213" s="152"/>
      <c r="S213" s="152"/>
      <c r="T213" s="152"/>
      <c r="U213" s="152"/>
      <c r="V213" s="152"/>
      <c r="W213" s="152"/>
    </row>
    <row r="214">
      <c r="A214" s="152"/>
      <c r="B214" s="152"/>
      <c r="C214" s="152"/>
      <c r="D214" s="152"/>
      <c r="E214" s="152"/>
      <c r="F214" s="152"/>
      <c r="G214" s="152"/>
      <c r="H214" s="152"/>
      <c r="I214" s="152"/>
      <c r="J214" s="152"/>
      <c r="K214" s="445"/>
      <c r="L214" s="445"/>
      <c r="M214" s="152"/>
      <c r="N214" s="152"/>
      <c r="O214" s="152"/>
      <c r="P214" s="152"/>
      <c r="Q214" s="152"/>
      <c r="R214" s="152"/>
      <c r="S214" s="152"/>
      <c r="T214" s="152"/>
      <c r="U214" s="152"/>
      <c r="V214" s="152"/>
      <c r="W214" s="152"/>
    </row>
    <row r="215">
      <c r="A215" s="152"/>
      <c r="B215" s="152"/>
      <c r="C215" s="152"/>
      <c r="D215" s="152"/>
      <c r="E215" s="152"/>
      <c r="F215" s="152"/>
      <c r="G215" s="152"/>
      <c r="H215" s="152"/>
      <c r="I215" s="152"/>
      <c r="J215" s="152"/>
      <c r="K215" s="445"/>
      <c r="L215" s="445"/>
      <c r="M215" s="152"/>
      <c r="N215" s="152"/>
      <c r="O215" s="152"/>
      <c r="P215" s="152"/>
      <c r="Q215" s="152"/>
      <c r="R215" s="152"/>
      <c r="S215" s="152"/>
      <c r="T215" s="152"/>
      <c r="U215" s="152"/>
      <c r="V215" s="152"/>
      <c r="W215" s="152"/>
    </row>
    <row r="216">
      <c r="A216" s="152"/>
      <c r="B216" s="152"/>
      <c r="C216" s="152"/>
      <c r="D216" s="152"/>
      <c r="E216" s="152"/>
      <c r="F216" s="152"/>
      <c r="G216" s="152"/>
      <c r="H216" s="152"/>
      <c r="I216" s="152"/>
      <c r="J216" s="152"/>
      <c r="K216" s="445"/>
      <c r="L216" s="445"/>
      <c r="M216" s="152"/>
      <c r="N216" s="152"/>
      <c r="O216" s="152"/>
      <c r="P216" s="152"/>
      <c r="Q216" s="152"/>
      <c r="R216" s="152"/>
      <c r="S216" s="152"/>
      <c r="T216" s="152"/>
      <c r="U216" s="152"/>
      <c r="V216" s="152"/>
      <c r="W216" s="152"/>
    </row>
    <row r="217">
      <c r="A217" s="152"/>
      <c r="B217" s="152"/>
      <c r="C217" s="152"/>
      <c r="D217" s="152"/>
      <c r="E217" s="152"/>
      <c r="F217" s="152"/>
      <c r="G217" s="152"/>
      <c r="H217" s="152"/>
      <c r="I217" s="152"/>
      <c r="J217" s="152"/>
      <c r="K217" s="445"/>
      <c r="L217" s="445"/>
      <c r="M217" s="152"/>
      <c r="N217" s="152"/>
      <c r="O217" s="152"/>
      <c r="P217" s="152"/>
      <c r="Q217" s="152"/>
      <c r="R217" s="152"/>
      <c r="S217" s="152"/>
      <c r="T217" s="152"/>
      <c r="U217" s="152"/>
      <c r="V217" s="152"/>
      <c r="W217" s="152"/>
    </row>
    <row r="218">
      <c r="A218" s="152"/>
      <c r="B218" s="152"/>
      <c r="C218" s="152"/>
      <c r="D218" s="152"/>
      <c r="E218" s="152"/>
      <c r="F218" s="152"/>
      <c r="G218" s="152"/>
      <c r="H218" s="152"/>
      <c r="I218" s="152"/>
      <c r="J218" s="152"/>
      <c r="K218" s="445"/>
      <c r="L218" s="445"/>
      <c r="M218" s="152"/>
      <c r="N218" s="152"/>
      <c r="O218" s="152"/>
      <c r="P218" s="152"/>
      <c r="Q218" s="152"/>
      <c r="R218" s="152"/>
      <c r="S218" s="152"/>
      <c r="T218" s="152"/>
      <c r="U218" s="152"/>
      <c r="V218" s="152"/>
      <c r="W218" s="152"/>
    </row>
    <row r="219">
      <c r="A219" s="152"/>
      <c r="B219" s="152"/>
      <c r="C219" s="152"/>
      <c r="D219" s="152"/>
      <c r="E219" s="152"/>
      <c r="F219" s="152"/>
      <c r="G219" s="152"/>
      <c r="H219" s="152"/>
      <c r="I219" s="152"/>
      <c r="J219" s="152"/>
      <c r="K219" s="445"/>
      <c r="L219" s="445"/>
      <c r="M219" s="152"/>
      <c r="N219" s="152"/>
      <c r="O219" s="152"/>
      <c r="P219" s="152"/>
      <c r="Q219" s="152"/>
      <c r="R219" s="152"/>
      <c r="S219" s="152"/>
      <c r="T219" s="152"/>
      <c r="U219" s="152"/>
      <c r="V219" s="152"/>
      <c r="W219" s="152"/>
    </row>
    <row r="220">
      <c r="A220" s="152"/>
      <c r="B220" s="152"/>
      <c r="C220" s="152"/>
      <c r="D220" s="152"/>
      <c r="E220" s="152"/>
      <c r="F220" s="152"/>
      <c r="G220" s="152"/>
      <c r="H220" s="152"/>
      <c r="I220" s="152"/>
      <c r="J220" s="152"/>
      <c r="K220" s="445"/>
      <c r="L220" s="445"/>
      <c r="M220" s="152"/>
      <c r="N220" s="152"/>
      <c r="O220" s="152"/>
      <c r="P220" s="152"/>
      <c r="Q220" s="152"/>
      <c r="R220" s="152"/>
      <c r="S220" s="152"/>
      <c r="T220" s="152"/>
      <c r="U220" s="152"/>
      <c r="V220" s="152"/>
      <c r="W220" s="152"/>
    </row>
    <row r="221">
      <c r="A221" s="152"/>
      <c r="B221" s="152"/>
      <c r="C221" s="152"/>
      <c r="D221" s="152"/>
      <c r="E221" s="152"/>
      <c r="F221" s="152"/>
      <c r="G221" s="152"/>
      <c r="H221" s="152"/>
      <c r="I221" s="152"/>
      <c r="J221" s="152"/>
      <c r="K221" s="445"/>
      <c r="L221" s="445"/>
      <c r="M221" s="152"/>
      <c r="N221" s="152"/>
      <c r="O221" s="152"/>
      <c r="P221" s="152"/>
      <c r="Q221" s="152"/>
      <c r="R221" s="152"/>
      <c r="S221" s="152"/>
      <c r="T221" s="152"/>
      <c r="U221" s="152"/>
      <c r="V221" s="152"/>
      <c r="W221" s="152"/>
    </row>
    <row r="222">
      <c r="A222" s="152"/>
      <c r="B222" s="152"/>
      <c r="C222" s="152"/>
      <c r="D222" s="152"/>
      <c r="E222" s="152"/>
      <c r="F222" s="152"/>
      <c r="G222" s="152"/>
      <c r="H222" s="152"/>
      <c r="I222" s="152"/>
      <c r="J222" s="152"/>
      <c r="K222" s="445"/>
      <c r="L222" s="445"/>
      <c r="M222" s="152"/>
      <c r="N222" s="152"/>
      <c r="O222" s="152"/>
      <c r="P222" s="152"/>
      <c r="Q222" s="152"/>
      <c r="R222" s="152"/>
      <c r="S222" s="152"/>
      <c r="T222" s="152"/>
      <c r="U222" s="152"/>
      <c r="V222" s="152"/>
      <c r="W222" s="152"/>
    </row>
    <row r="223">
      <c r="A223" s="152"/>
      <c r="B223" s="152"/>
      <c r="C223" s="152"/>
      <c r="D223" s="152"/>
      <c r="E223" s="152"/>
      <c r="F223" s="152"/>
      <c r="G223" s="152"/>
      <c r="H223" s="152"/>
      <c r="I223" s="152"/>
      <c r="J223" s="152"/>
      <c r="K223" s="445"/>
      <c r="L223" s="445"/>
      <c r="M223" s="152"/>
      <c r="N223" s="152"/>
      <c r="O223" s="152"/>
      <c r="P223" s="152"/>
      <c r="Q223" s="152"/>
      <c r="R223" s="152"/>
      <c r="S223" s="152"/>
      <c r="T223" s="152"/>
      <c r="U223" s="152"/>
      <c r="V223" s="152"/>
      <c r="W223" s="152"/>
    </row>
    <row r="224">
      <c r="A224" s="152"/>
      <c r="B224" s="152"/>
      <c r="C224" s="152"/>
      <c r="D224" s="152"/>
      <c r="E224" s="152"/>
      <c r="F224" s="152"/>
      <c r="G224" s="152"/>
      <c r="H224" s="152"/>
      <c r="I224" s="152"/>
      <c r="J224" s="152"/>
      <c r="K224" s="445"/>
      <c r="L224" s="445"/>
      <c r="M224" s="152"/>
      <c r="N224" s="152"/>
      <c r="O224" s="152"/>
      <c r="P224" s="152"/>
      <c r="Q224" s="152"/>
      <c r="R224" s="152"/>
      <c r="S224" s="152"/>
      <c r="T224" s="152"/>
      <c r="U224" s="152"/>
      <c r="V224" s="152"/>
      <c r="W224" s="152"/>
    </row>
    <row r="225">
      <c r="A225" s="152"/>
      <c r="B225" s="152"/>
      <c r="C225" s="152"/>
      <c r="D225" s="152"/>
      <c r="E225" s="152"/>
      <c r="F225" s="152"/>
      <c r="G225" s="152"/>
      <c r="H225" s="152"/>
      <c r="I225" s="152"/>
      <c r="J225" s="152"/>
      <c r="K225" s="445"/>
      <c r="L225" s="445"/>
      <c r="M225" s="152"/>
      <c r="N225" s="152"/>
      <c r="O225" s="152"/>
      <c r="P225" s="152"/>
      <c r="Q225" s="152"/>
      <c r="R225" s="152"/>
      <c r="S225" s="152"/>
      <c r="T225" s="152"/>
      <c r="U225" s="152"/>
      <c r="V225" s="152"/>
      <c r="W225" s="152"/>
    </row>
    <row r="226">
      <c r="A226" s="152"/>
      <c r="B226" s="152"/>
      <c r="C226" s="152"/>
      <c r="D226" s="152"/>
      <c r="E226" s="152"/>
      <c r="F226" s="152"/>
      <c r="G226" s="152"/>
      <c r="H226" s="152"/>
      <c r="I226" s="152"/>
      <c r="J226" s="152"/>
      <c r="K226" s="445"/>
      <c r="L226" s="445"/>
      <c r="M226" s="152"/>
      <c r="N226" s="152"/>
      <c r="O226" s="152"/>
      <c r="P226" s="152"/>
      <c r="Q226" s="152"/>
      <c r="R226" s="152"/>
      <c r="S226" s="152"/>
      <c r="T226" s="152"/>
      <c r="U226" s="152"/>
      <c r="V226" s="152"/>
      <c r="W226" s="152"/>
    </row>
    <row r="227">
      <c r="A227" s="152"/>
      <c r="B227" s="152"/>
      <c r="C227" s="152"/>
      <c r="D227" s="152"/>
      <c r="E227" s="152"/>
      <c r="F227" s="152"/>
      <c r="G227" s="152"/>
      <c r="H227" s="152"/>
      <c r="I227" s="152"/>
      <c r="J227" s="152"/>
      <c r="K227" s="445"/>
      <c r="L227" s="445"/>
      <c r="M227" s="152"/>
      <c r="N227" s="152"/>
      <c r="O227" s="152"/>
      <c r="P227" s="152"/>
      <c r="Q227" s="152"/>
      <c r="R227" s="152"/>
      <c r="S227" s="152"/>
      <c r="T227" s="152"/>
      <c r="U227" s="152"/>
      <c r="V227" s="152"/>
      <c r="W227" s="152"/>
    </row>
    <row r="228">
      <c r="A228" s="152"/>
      <c r="B228" s="152"/>
      <c r="C228" s="152"/>
      <c r="D228" s="152"/>
      <c r="E228" s="152"/>
      <c r="F228" s="152"/>
      <c r="G228" s="152"/>
      <c r="H228" s="152"/>
      <c r="I228" s="152"/>
      <c r="J228" s="152"/>
      <c r="K228" s="445"/>
      <c r="L228" s="445"/>
      <c r="M228" s="152"/>
      <c r="N228" s="152"/>
      <c r="O228" s="152"/>
      <c r="P228" s="152"/>
      <c r="Q228" s="152"/>
      <c r="R228" s="152"/>
      <c r="S228" s="152"/>
      <c r="T228" s="152"/>
      <c r="U228" s="152"/>
      <c r="V228" s="152"/>
      <c r="W228" s="152"/>
    </row>
    <row r="229">
      <c r="A229" s="152"/>
      <c r="B229" s="152"/>
      <c r="C229" s="152"/>
      <c r="D229" s="152"/>
      <c r="E229" s="152"/>
      <c r="F229" s="152"/>
      <c r="G229" s="152"/>
      <c r="H229" s="152"/>
      <c r="I229" s="152"/>
      <c r="J229" s="152"/>
      <c r="K229" s="445"/>
      <c r="L229" s="445"/>
      <c r="M229" s="152"/>
      <c r="N229" s="152"/>
      <c r="O229" s="152"/>
      <c r="P229" s="152"/>
      <c r="Q229" s="152"/>
      <c r="R229" s="152"/>
      <c r="S229" s="152"/>
      <c r="T229" s="152"/>
      <c r="U229" s="152"/>
      <c r="V229" s="152"/>
      <c r="W229" s="152"/>
    </row>
    <row r="230">
      <c r="A230" s="152"/>
      <c r="B230" s="152"/>
      <c r="C230" s="152"/>
      <c r="D230" s="152"/>
      <c r="E230" s="152"/>
      <c r="F230" s="152"/>
      <c r="G230" s="152"/>
      <c r="H230" s="152"/>
      <c r="I230" s="152"/>
      <c r="J230" s="152"/>
      <c r="K230" s="445"/>
      <c r="L230" s="445"/>
      <c r="M230" s="152"/>
      <c r="N230" s="152"/>
      <c r="O230" s="152"/>
      <c r="P230" s="152"/>
      <c r="Q230" s="152"/>
      <c r="R230" s="152"/>
      <c r="S230" s="152"/>
      <c r="T230" s="152"/>
      <c r="U230" s="152"/>
      <c r="V230" s="152"/>
      <c r="W230" s="152"/>
    </row>
    <row r="231">
      <c r="A231" s="152"/>
      <c r="B231" s="152"/>
      <c r="C231" s="152"/>
      <c r="D231" s="152"/>
      <c r="E231" s="152"/>
      <c r="F231" s="152"/>
      <c r="G231" s="152"/>
      <c r="H231" s="152"/>
      <c r="I231" s="152"/>
      <c r="J231" s="152"/>
      <c r="K231" s="445"/>
      <c r="L231" s="445"/>
      <c r="M231" s="152"/>
      <c r="N231" s="152"/>
      <c r="O231" s="152"/>
      <c r="P231" s="152"/>
      <c r="Q231" s="152"/>
      <c r="R231" s="152"/>
      <c r="S231" s="152"/>
      <c r="T231" s="152"/>
      <c r="U231" s="152"/>
      <c r="V231" s="152"/>
      <c r="W231" s="152"/>
    </row>
    <row r="232">
      <c r="A232" s="152"/>
      <c r="B232" s="152"/>
      <c r="C232" s="152"/>
      <c r="D232" s="152"/>
      <c r="E232" s="152"/>
      <c r="F232" s="152"/>
      <c r="G232" s="152"/>
      <c r="H232" s="152"/>
      <c r="I232" s="152"/>
      <c r="J232" s="152"/>
      <c r="K232" s="445"/>
      <c r="L232" s="445"/>
      <c r="M232" s="152"/>
      <c r="N232" s="152"/>
      <c r="O232" s="152"/>
      <c r="P232" s="152"/>
      <c r="Q232" s="152"/>
      <c r="R232" s="152"/>
      <c r="S232" s="152"/>
      <c r="T232" s="152"/>
      <c r="U232" s="152"/>
      <c r="V232" s="152"/>
      <c r="W232" s="152"/>
    </row>
    <row r="233">
      <c r="A233" s="152"/>
      <c r="B233" s="152"/>
      <c r="C233" s="152"/>
      <c r="D233" s="152"/>
      <c r="E233" s="152"/>
      <c r="F233" s="152"/>
      <c r="G233" s="152"/>
      <c r="H233" s="152"/>
      <c r="I233" s="152"/>
      <c r="J233" s="152"/>
      <c r="K233" s="445"/>
      <c r="L233" s="445"/>
      <c r="M233" s="152"/>
      <c r="N233" s="152"/>
      <c r="O233" s="152"/>
      <c r="P233" s="152"/>
      <c r="Q233" s="152"/>
      <c r="R233" s="152"/>
      <c r="S233" s="152"/>
      <c r="T233" s="152"/>
      <c r="U233" s="152"/>
      <c r="V233" s="152"/>
      <c r="W233" s="152"/>
    </row>
    <row r="234">
      <c r="A234" s="152"/>
      <c r="B234" s="152"/>
      <c r="C234" s="152"/>
      <c r="D234" s="152"/>
      <c r="E234" s="152"/>
      <c r="F234" s="152"/>
      <c r="G234" s="152"/>
      <c r="H234" s="152"/>
      <c r="I234" s="152"/>
      <c r="J234" s="152"/>
      <c r="K234" s="445"/>
      <c r="L234" s="445"/>
      <c r="M234" s="152"/>
      <c r="N234" s="152"/>
      <c r="O234" s="152"/>
      <c r="P234" s="152"/>
      <c r="Q234" s="152"/>
      <c r="R234" s="152"/>
      <c r="S234" s="152"/>
      <c r="T234" s="152"/>
      <c r="U234" s="152"/>
      <c r="V234" s="152"/>
      <c r="W234" s="152"/>
    </row>
    <row r="235">
      <c r="A235" s="152"/>
      <c r="B235" s="152"/>
      <c r="C235" s="152"/>
      <c r="D235" s="152"/>
      <c r="E235" s="152"/>
      <c r="F235" s="152"/>
      <c r="G235" s="152"/>
      <c r="H235" s="152"/>
      <c r="I235" s="152"/>
      <c r="J235" s="152"/>
      <c r="K235" s="445"/>
      <c r="L235" s="445"/>
      <c r="M235" s="152"/>
      <c r="N235" s="152"/>
      <c r="O235" s="152"/>
      <c r="P235" s="152"/>
      <c r="Q235" s="152"/>
      <c r="R235" s="152"/>
      <c r="S235" s="152"/>
      <c r="T235" s="152"/>
      <c r="U235" s="152"/>
      <c r="V235" s="152"/>
      <c r="W235" s="152"/>
    </row>
    <row r="236">
      <c r="A236" s="152"/>
      <c r="B236" s="152"/>
      <c r="C236" s="152"/>
      <c r="D236" s="152"/>
      <c r="E236" s="152"/>
      <c r="F236" s="152"/>
      <c r="G236" s="152"/>
      <c r="H236" s="152"/>
      <c r="I236" s="152"/>
      <c r="J236" s="152"/>
      <c r="K236" s="445"/>
      <c r="L236" s="445"/>
      <c r="M236" s="152"/>
      <c r="N236" s="152"/>
      <c r="O236" s="152"/>
      <c r="P236" s="152"/>
      <c r="Q236" s="152"/>
      <c r="R236" s="152"/>
      <c r="S236" s="152"/>
      <c r="T236" s="152"/>
      <c r="U236" s="152"/>
      <c r="V236" s="152"/>
      <c r="W236" s="152"/>
    </row>
    <row r="237">
      <c r="A237" s="152"/>
      <c r="B237" s="152"/>
      <c r="C237" s="152"/>
      <c r="D237" s="152"/>
      <c r="E237" s="152"/>
      <c r="F237" s="152"/>
      <c r="G237" s="152"/>
      <c r="H237" s="152"/>
      <c r="I237" s="152"/>
      <c r="J237" s="152"/>
      <c r="K237" s="445"/>
      <c r="L237" s="445"/>
      <c r="M237" s="152"/>
      <c r="N237" s="152"/>
      <c r="O237" s="152"/>
      <c r="P237" s="152"/>
      <c r="Q237" s="152"/>
      <c r="R237" s="152"/>
      <c r="S237" s="152"/>
      <c r="T237" s="152"/>
      <c r="U237" s="152"/>
      <c r="V237" s="152"/>
      <c r="W237" s="152"/>
    </row>
    <row r="238">
      <c r="A238" s="152"/>
      <c r="B238" s="152"/>
      <c r="C238" s="152"/>
      <c r="D238" s="152"/>
      <c r="E238" s="152"/>
      <c r="F238" s="152"/>
      <c r="G238" s="152"/>
      <c r="H238" s="152"/>
      <c r="I238" s="152"/>
      <c r="J238" s="152"/>
      <c r="K238" s="445"/>
      <c r="L238" s="445"/>
      <c r="M238" s="152"/>
      <c r="N238" s="152"/>
      <c r="O238" s="152"/>
      <c r="P238" s="152"/>
      <c r="Q238" s="152"/>
      <c r="R238" s="152"/>
      <c r="S238" s="152"/>
      <c r="T238" s="152"/>
      <c r="U238" s="152"/>
      <c r="V238" s="152"/>
      <c r="W238" s="152"/>
    </row>
    <row r="239">
      <c r="A239" s="152"/>
      <c r="B239" s="152"/>
      <c r="C239" s="152"/>
      <c r="D239" s="152"/>
      <c r="E239" s="152"/>
      <c r="F239" s="152"/>
      <c r="G239" s="152"/>
      <c r="H239" s="152"/>
      <c r="I239" s="152"/>
      <c r="J239" s="152"/>
      <c r="K239" s="445"/>
      <c r="L239" s="445"/>
      <c r="M239" s="152"/>
      <c r="N239" s="152"/>
      <c r="O239" s="152"/>
      <c r="P239" s="152"/>
      <c r="Q239" s="152"/>
      <c r="R239" s="152"/>
      <c r="S239" s="152"/>
      <c r="T239" s="152"/>
      <c r="U239" s="152"/>
      <c r="V239" s="152"/>
      <c r="W239" s="152"/>
    </row>
    <row r="240">
      <c r="A240" s="152"/>
      <c r="B240" s="152"/>
      <c r="C240" s="152"/>
      <c r="D240" s="152"/>
      <c r="E240" s="152"/>
      <c r="F240" s="152"/>
      <c r="G240" s="152"/>
      <c r="H240" s="152"/>
      <c r="I240" s="152"/>
      <c r="J240" s="152"/>
      <c r="K240" s="445"/>
      <c r="L240" s="445"/>
      <c r="M240" s="152"/>
      <c r="N240" s="152"/>
      <c r="O240" s="152"/>
      <c r="P240" s="152"/>
      <c r="Q240" s="152"/>
      <c r="R240" s="152"/>
      <c r="S240" s="152"/>
      <c r="T240" s="152"/>
      <c r="U240" s="152"/>
      <c r="V240" s="152"/>
      <c r="W240" s="152"/>
    </row>
    <row r="241">
      <c r="A241" s="152"/>
      <c r="B241" s="152"/>
      <c r="C241" s="152"/>
      <c r="D241" s="152"/>
      <c r="E241" s="152"/>
      <c r="F241" s="152"/>
      <c r="G241" s="152"/>
      <c r="H241" s="152"/>
      <c r="I241" s="152"/>
      <c r="J241" s="152"/>
      <c r="K241" s="445"/>
      <c r="L241" s="445"/>
      <c r="M241" s="152"/>
      <c r="N241" s="152"/>
      <c r="O241" s="152"/>
      <c r="P241" s="152"/>
      <c r="Q241" s="152"/>
      <c r="R241" s="152"/>
      <c r="S241" s="152"/>
      <c r="T241" s="152"/>
      <c r="U241" s="152"/>
      <c r="V241" s="152"/>
      <c r="W241" s="152"/>
    </row>
    <row r="242">
      <c r="A242" s="152"/>
      <c r="B242" s="152"/>
      <c r="C242" s="152"/>
      <c r="D242" s="152"/>
      <c r="E242" s="152"/>
      <c r="F242" s="152"/>
      <c r="G242" s="152"/>
      <c r="H242" s="152"/>
      <c r="I242" s="152"/>
      <c r="J242" s="152"/>
      <c r="K242" s="445"/>
      <c r="L242" s="445"/>
      <c r="M242" s="152"/>
      <c r="N242" s="152"/>
      <c r="O242" s="152"/>
      <c r="P242" s="152"/>
      <c r="Q242" s="152"/>
      <c r="R242" s="152"/>
      <c r="S242" s="152"/>
      <c r="T242" s="152"/>
      <c r="U242" s="152"/>
      <c r="V242" s="152"/>
      <c r="W242" s="152"/>
    </row>
    <row r="243">
      <c r="A243" s="152"/>
      <c r="B243" s="152"/>
      <c r="C243" s="152"/>
      <c r="D243" s="152"/>
      <c r="E243" s="152"/>
      <c r="F243" s="152"/>
      <c r="G243" s="152"/>
      <c r="H243" s="152"/>
      <c r="I243" s="152"/>
      <c r="J243" s="152"/>
      <c r="K243" s="445"/>
      <c r="L243" s="445"/>
      <c r="M243" s="152"/>
      <c r="N243" s="152"/>
      <c r="O243" s="152"/>
      <c r="P243" s="152"/>
      <c r="Q243" s="152"/>
      <c r="R243" s="152"/>
      <c r="S243" s="152"/>
      <c r="T243" s="152"/>
      <c r="U243" s="152"/>
      <c r="V243" s="152"/>
      <c r="W243" s="152"/>
    </row>
    <row r="244">
      <c r="A244" s="152"/>
      <c r="B244" s="152"/>
      <c r="C244" s="152"/>
      <c r="D244" s="152"/>
      <c r="E244" s="152"/>
      <c r="F244" s="152"/>
      <c r="G244" s="152"/>
      <c r="H244" s="152"/>
      <c r="I244" s="152"/>
      <c r="J244" s="152"/>
      <c r="K244" s="445"/>
      <c r="L244" s="445"/>
      <c r="M244" s="152"/>
      <c r="N244" s="152"/>
      <c r="O244" s="152"/>
      <c r="P244" s="152"/>
      <c r="Q244" s="152"/>
      <c r="R244" s="152"/>
      <c r="S244" s="152"/>
      <c r="T244" s="152"/>
      <c r="U244" s="152"/>
      <c r="V244" s="152"/>
      <c r="W244" s="152"/>
    </row>
    <row r="245">
      <c r="A245" s="152"/>
      <c r="B245" s="152"/>
      <c r="C245" s="152"/>
      <c r="D245" s="152"/>
      <c r="E245" s="152"/>
      <c r="F245" s="152"/>
      <c r="G245" s="152"/>
      <c r="H245" s="152"/>
      <c r="I245" s="152"/>
      <c r="J245" s="152"/>
      <c r="K245" s="445"/>
      <c r="L245" s="445"/>
      <c r="M245" s="152"/>
      <c r="N245" s="152"/>
      <c r="O245" s="152"/>
      <c r="P245" s="152"/>
      <c r="Q245" s="152"/>
      <c r="R245" s="152"/>
      <c r="S245" s="152"/>
      <c r="T245" s="152"/>
      <c r="U245" s="152"/>
      <c r="V245" s="152"/>
      <c r="W245" s="152"/>
    </row>
    <row r="246">
      <c r="A246" s="152"/>
      <c r="B246" s="152"/>
      <c r="C246" s="152"/>
      <c r="D246" s="152"/>
      <c r="E246" s="152"/>
      <c r="F246" s="152"/>
      <c r="G246" s="152"/>
      <c r="H246" s="152"/>
      <c r="I246" s="152"/>
      <c r="J246" s="152"/>
      <c r="K246" s="445"/>
      <c r="L246" s="445"/>
      <c r="M246" s="152"/>
      <c r="N246" s="152"/>
      <c r="O246" s="152"/>
      <c r="P246" s="152"/>
      <c r="Q246" s="152"/>
      <c r="R246" s="152"/>
      <c r="S246" s="152"/>
      <c r="T246" s="152"/>
      <c r="U246" s="152"/>
      <c r="V246" s="152"/>
      <c r="W246" s="152"/>
    </row>
    <row r="247">
      <c r="A247" s="152"/>
      <c r="B247" s="152"/>
      <c r="C247" s="152"/>
      <c r="D247" s="152"/>
      <c r="E247" s="152"/>
      <c r="F247" s="152"/>
      <c r="G247" s="152"/>
      <c r="H247" s="152"/>
      <c r="I247" s="152"/>
      <c r="J247" s="152"/>
      <c r="K247" s="445"/>
      <c r="L247" s="445"/>
      <c r="M247" s="152"/>
      <c r="N247" s="152"/>
      <c r="O247" s="152"/>
      <c r="P247" s="152"/>
      <c r="Q247" s="152"/>
      <c r="R247" s="152"/>
      <c r="S247" s="152"/>
      <c r="T247" s="152"/>
      <c r="U247" s="152"/>
      <c r="V247" s="152"/>
      <c r="W247" s="152"/>
    </row>
    <row r="248">
      <c r="A248" s="152"/>
      <c r="B248" s="152"/>
      <c r="C248" s="152"/>
      <c r="D248" s="152"/>
      <c r="E248" s="152"/>
      <c r="F248" s="152"/>
      <c r="G248" s="152"/>
      <c r="H248" s="152"/>
      <c r="I248" s="152"/>
      <c r="J248" s="152"/>
      <c r="K248" s="445"/>
      <c r="L248" s="445"/>
      <c r="M248" s="152"/>
      <c r="N248" s="152"/>
      <c r="O248" s="152"/>
      <c r="P248" s="152"/>
      <c r="Q248" s="152"/>
      <c r="R248" s="152"/>
      <c r="S248" s="152"/>
      <c r="T248" s="152"/>
      <c r="U248" s="152"/>
      <c r="V248" s="152"/>
      <c r="W248" s="152"/>
    </row>
    <row r="249">
      <c r="A249" s="152"/>
      <c r="B249" s="152"/>
      <c r="C249" s="152"/>
      <c r="D249" s="152"/>
      <c r="E249" s="152"/>
      <c r="F249" s="152"/>
      <c r="G249" s="152"/>
      <c r="H249" s="152"/>
      <c r="I249" s="152"/>
      <c r="J249" s="152"/>
      <c r="K249" s="445"/>
      <c r="L249" s="445"/>
      <c r="M249" s="152"/>
      <c r="N249" s="152"/>
      <c r="O249" s="152"/>
      <c r="P249" s="152"/>
      <c r="Q249" s="152"/>
      <c r="R249" s="152"/>
      <c r="S249" s="152"/>
      <c r="T249" s="152"/>
      <c r="U249" s="152"/>
      <c r="V249" s="152"/>
      <c r="W249" s="152"/>
    </row>
    <row r="250">
      <c r="A250" s="152"/>
      <c r="B250" s="152"/>
      <c r="C250" s="152"/>
      <c r="D250" s="152"/>
      <c r="E250" s="152"/>
      <c r="F250" s="152"/>
      <c r="G250" s="152"/>
      <c r="H250" s="152"/>
      <c r="I250" s="152"/>
      <c r="J250" s="152"/>
      <c r="K250" s="445"/>
      <c r="L250" s="445"/>
      <c r="M250" s="152"/>
      <c r="N250" s="152"/>
      <c r="O250" s="152"/>
      <c r="P250" s="152"/>
      <c r="Q250" s="152"/>
      <c r="R250" s="152"/>
      <c r="S250" s="152"/>
      <c r="T250" s="152"/>
      <c r="U250" s="152"/>
      <c r="V250" s="152"/>
      <c r="W250" s="152"/>
    </row>
    <row r="251">
      <c r="A251" s="152"/>
      <c r="B251" s="152"/>
      <c r="C251" s="152"/>
      <c r="D251" s="152"/>
      <c r="E251" s="152"/>
      <c r="F251" s="152"/>
      <c r="G251" s="152"/>
      <c r="H251" s="152"/>
      <c r="I251" s="152"/>
      <c r="J251" s="152"/>
      <c r="K251" s="445"/>
      <c r="L251" s="445"/>
      <c r="M251" s="152"/>
      <c r="N251" s="152"/>
      <c r="O251" s="152"/>
      <c r="P251" s="152"/>
      <c r="Q251" s="152"/>
      <c r="R251" s="152"/>
      <c r="S251" s="152"/>
      <c r="T251" s="152"/>
      <c r="U251" s="152"/>
      <c r="V251" s="152"/>
      <c r="W251" s="152"/>
    </row>
    <row r="252">
      <c r="A252" s="152"/>
      <c r="B252" s="152"/>
      <c r="C252" s="152"/>
      <c r="D252" s="152"/>
      <c r="E252" s="152"/>
      <c r="F252" s="152"/>
      <c r="G252" s="152"/>
      <c r="H252" s="152"/>
      <c r="I252" s="152"/>
      <c r="J252" s="152"/>
      <c r="K252" s="445"/>
      <c r="L252" s="445"/>
      <c r="M252" s="152"/>
      <c r="N252" s="152"/>
      <c r="O252" s="152"/>
      <c r="P252" s="152"/>
      <c r="Q252" s="152"/>
      <c r="R252" s="152"/>
      <c r="S252" s="152"/>
      <c r="T252" s="152"/>
      <c r="U252" s="152"/>
      <c r="V252" s="152"/>
      <c r="W252" s="152"/>
    </row>
    <row r="253">
      <c r="A253" s="152"/>
      <c r="B253" s="152"/>
      <c r="C253" s="152"/>
      <c r="D253" s="152"/>
      <c r="E253" s="152"/>
      <c r="F253" s="152"/>
      <c r="G253" s="152"/>
      <c r="H253" s="152"/>
      <c r="I253" s="152"/>
      <c r="J253" s="152"/>
      <c r="K253" s="445"/>
      <c r="L253" s="445"/>
      <c r="M253" s="152"/>
      <c r="N253" s="152"/>
      <c r="O253" s="152"/>
      <c r="P253" s="152"/>
      <c r="Q253" s="152"/>
      <c r="R253" s="152"/>
      <c r="S253" s="152"/>
      <c r="T253" s="152"/>
      <c r="U253" s="152"/>
      <c r="V253" s="152"/>
      <c r="W253" s="152"/>
    </row>
    <row r="254">
      <c r="A254" s="152"/>
      <c r="B254" s="152"/>
      <c r="C254" s="152"/>
      <c r="D254" s="152"/>
      <c r="E254" s="152"/>
      <c r="F254" s="152"/>
      <c r="G254" s="152"/>
      <c r="H254" s="152"/>
      <c r="I254" s="152"/>
      <c r="J254" s="152"/>
      <c r="K254" s="445"/>
      <c r="L254" s="445"/>
      <c r="M254" s="152"/>
      <c r="N254" s="152"/>
      <c r="O254" s="152"/>
      <c r="P254" s="152"/>
      <c r="Q254" s="152"/>
      <c r="R254" s="152"/>
      <c r="S254" s="152"/>
      <c r="T254" s="152"/>
      <c r="U254" s="152"/>
      <c r="V254" s="152"/>
      <c r="W254" s="152"/>
    </row>
    <row r="255">
      <c r="A255" s="152"/>
      <c r="B255" s="152"/>
      <c r="C255" s="152"/>
      <c r="D255" s="152"/>
      <c r="E255" s="152"/>
      <c r="F255" s="152"/>
      <c r="G255" s="152"/>
      <c r="H255" s="152"/>
      <c r="I255" s="152"/>
      <c r="J255" s="152"/>
      <c r="K255" s="445"/>
      <c r="L255" s="445"/>
      <c r="M255" s="152"/>
      <c r="N255" s="152"/>
      <c r="O255" s="152"/>
      <c r="P255" s="152"/>
      <c r="Q255" s="152"/>
      <c r="R255" s="152"/>
      <c r="S255" s="152"/>
      <c r="T255" s="152"/>
      <c r="U255" s="152"/>
      <c r="V255" s="152"/>
      <c r="W255" s="152"/>
    </row>
    <row r="256">
      <c r="A256" s="152"/>
      <c r="B256" s="152"/>
      <c r="C256" s="152"/>
      <c r="D256" s="152"/>
      <c r="E256" s="152"/>
      <c r="F256" s="152"/>
      <c r="G256" s="152"/>
      <c r="H256" s="152"/>
      <c r="I256" s="152"/>
      <c r="J256" s="152"/>
      <c r="K256" s="445"/>
      <c r="L256" s="445"/>
      <c r="M256" s="152"/>
      <c r="N256" s="152"/>
      <c r="O256" s="152"/>
      <c r="P256" s="152"/>
      <c r="Q256" s="152"/>
      <c r="R256" s="152"/>
      <c r="S256" s="152"/>
      <c r="T256" s="152"/>
      <c r="U256" s="152"/>
      <c r="V256" s="152"/>
      <c r="W256" s="152"/>
    </row>
    <row r="257">
      <c r="A257" s="152"/>
      <c r="B257" s="152"/>
      <c r="C257" s="152"/>
      <c r="D257" s="152"/>
      <c r="E257" s="152"/>
      <c r="F257" s="152"/>
      <c r="G257" s="152"/>
      <c r="H257" s="152"/>
      <c r="I257" s="152"/>
      <c r="J257" s="152"/>
      <c r="K257" s="445"/>
      <c r="L257" s="445"/>
      <c r="M257" s="152"/>
      <c r="N257" s="152"/>
      <c r="O257" s="152"/>
      <c r="P257" s="152"/>
      <c r="Q257" s="152"/>
      <c r="R257" s="152"/>
      <c r="S257" s="152"/>
      <c r="T257" s="152"/>
      <c r="U257" s="152"/>
      <c r="V257" s="152"/>
      <c r="W257" s="152"/>
    </row>
    <row r="258">
      <c r="A258" s="152"/>
      <c r="B258" s="152"/>
      <c r="C258" s="152"/>
      <c r="D258" s="152"/>
      <c r="E258" s="152"/>
      <c r="F258" s="152"/>
      <c r="G258" s="152"/>
      <c r="H258" s="152"/>
      <c r="I258" s="152"/>
      <c r="J258" s="152"/>
      <c r="K258" s="445"/>
      <c r="L258" s="445"/>
      <c r="M258" s="152"/>
      <c r="N258" s="152"/>
      <c r="O258" s="152"/>
      <c r="P258" s="152"/>
      <c r="Q258" s="152"/>
      <c r="R258" s="152"/>
      <c r="S258" s="152"/>
      <c r="T258" s="152"/>
      <c r="U258" s="152"/>
      <c r="V258" s="152"/>
      <c r="W258" s="152"/>
    </row>
    <row r="259">
      <c r="A259" s="152"/>
      <c r="B259" s="152"/>
      <c r="C259" s="152"/>
      <c r="D259" s="152"/>
      <c r="E259" s="152"/>
      <c r="F259" s="152"/>
      <c r="G259" s="152"/>
      <c r="H259" s="152"/>
      <c r="I259" s="152"/>
      <c r="J259" s="152"/>
      <c r="K259" s="445"/>
      <c r="L259" s="445"/>
      <c r="M259" s="152"/>
      <c r="N259" s="152"/>
      <c r="O259" s="152"/>
      <c r="P259" s="152"/>
      <c r="Q259" s="152"/>
      <c r="R259" s="152"/>
      <c r="S259" s="152"/>
      <c r="T259" s="152"/>
      <c r="U259" s="152"/>
      <c r="V259" s="152"/>
      <c r="W259" s="152"/>
    </row>
    <row r="260">
      <c r="A260" s="152"/>
      <c r="B260" s="152"/>
      <c r="C260" s="152"/>
      <c r="D260" s="152"/>
      <c r="E260" s="152"/>
      <c r="F260" s="152"/>
      <c r="G260" s="152"/>
      <c r="H260" s="152"/>
      <c r="I260" s="152"/>
      <c r="J260" s="152"/>
      <c r="K260" s="445"/>
      <c r="L260" s="445"/>
      <c r="M260" s="152"/>
      <c r="N260" s="152"/>
      <c r="O260" s="152"/>
      <c r="P260" s="152"/>
      <c r="Q260" s="152"/>
      <c r="R260" s="152"/>
      <c r="S260" s="152"/>
      <c r="T260" s="152"/>
      <c r="U260" s="152"/>
      <c r="V260" s="152"/>
      <c r="W260" s="152"/>
    </row>
    <row r="261">
      <c r="A261" s="152"/>
      <c r="B261" s="152"/>
      <c r="C261" s="152"/>
      <c r="D261" s="152"/>
      <c r="E261" s="152"/>
      <c r="F261" s="152"/>
      <c r="G261" s="152"/>
      <c r="H261" s="152"/>
      <c r="I261" s="152"/>
      <c r="J261" s="152"/>
      <c r="K261" s="445"/>
      <c r="L261" s="445"/>
      <c r="M261" s="152"/>
      <c r="N261" s="152"/>
      <c r="O261" s="152"/>
      <c r="P261" s="152"/>
      <c r="Q261" s="152"/>
      <c r="R261" s="152"/>
      <c r="S261" s="152"/>
      <c r="T261" s="152"/>
      <c r="U261" s="152"/>
      <c r="V261" s="152"/>
      <c r="W261" s="152"/>
    </row>
    <row r="262">
      <c r="A262" s="152"/>
      <c r="B262" s="152"/>
      <c r="C262" s="152"/>
      <c r="D262" s="152"/>
      <c r="E262" s="152"/>
      <c r="F262" s="152"/>
      <c r="G262" s="152"/>
      <c r="H262" s="152"/>
      <c r="I262" s="152"/>
      <c r="J262" s="152"/>
      <c r="K262" s="445"/>
      <c r="L262" s="445"/>
      <c r="M262" s="152"/>
      <c r="N262" s="152"/>
      <c r="O262" s="152"/>
      <c r="P262" s="152"/>
      <c r="Q262" s="152"/>
      <c r="R262" s="152"/>
      <c r="S262" s="152"/>
      <c r="T262" s="152"/>
      <c r="U262" s="152"/>
      <c r="V262" s="152"/>
      <c r="W262" s="152"/>
    </row>
    <row r="263">
      <c r="A263" s="152"/>
      <c r="B263" s="152"/>
      <c r="C263" s="152"/>
      <c r="D263" s="152"/>
      <c r="E263" s="152"/>
      <c r="F263" s="152"/>
      <c r="G263" s="152"/>
      <c r="H263" s="152"/>
      <c r="I263" s="152"/>
      <c r="J263" s="152"/>
      <c r="K263" s="445"/>
      <c r="L263" s="445"/>
      <c r="M263" s="152"/>
      <c r="N263" s="152"/>
      <c r="O263" s="152"/>
      <c r="P263" s="152"/>
      <c r="Q263" s="152"/>
      <c r="R263" s="152"/>
      <c r="S263" s="152"/>
      <c r="T263" s="152"/>
      <c r="U263" s="152"/>
      <c r="V263" s="152"/>
      <c r="W263" s="152"/>
    </row>
    <row r="264">
      <c r="A264" s="152"/>
      <c r="B264" s="152"/>
      <c r="C264" s="152"/>
      <c r="D264" s="152"/>
      <c r="E264" s="152"/>
      <c r="F264" s="152"/>
      <c r="G264" s="152"/>
      <c r="H264" s="152"/>
      <c r="I264" s="152"/>
      <c r="J264" s="152"/>
      <c r="K264" s="445"/>
      <c r="L264" s="445"/>
      <c r="M264" s="152"/>
      <c r="N264" s="152"/>
      <c r="O264" s="152"/>
      <c r="P264" s="152"/>
      <c r="Q264" s="152"/>
      <c r="R264" s="152"/>
      <c r="S264" s="152"/>
      <c r="T264" s="152"/>
      <c r="U264" s="152"/>
      <c r="V264" s="152"/>
      <c r="W264" s="152"/>
    </row>
    <row r="265">
      <c r="A265" s="152"/>
      <c r="B265" s="152"/>
      <c r="C265" s="152"/>
      <c r="D265" s="152"/>
      <c r="E265" s="152"/>
      <c r="F265" s="152"/>
      <c r="G265" s="152"/>
      <c r="H265" s="152"/>
      <c r="I265" s="152"/>
      <c r="J265" s="152"/>
      <c r="K265" s="445"/>
      <c r="L265" s="445"/>
      <c r="M265" s="152"/>
      <c r="N265" s="152"/>
      <c r="O265" s="152"/>
      <c r="P265" s="152"/>
      <c r="Q265" s="152"/>
      <c r="R265" s="152"/>
      <c r="S265" s="152"/>
      <c r="T265" s="152"/>
      <c r="U265" s="152"/>
      <c r="V265" s="152"/>
      <c r="W265" s="152"/>
    </row>
    <row r="266">
      <c r="A266" s="152"/>
      <c r="B266" s="152"/>
      <c r="C266" s="152"/>
      <c r="D266" s="152"/>
      <c r="E266" s="152"/>
      <c r="F266" s="152"/>
      <c r="G266" s="152"/>
      <c r="H266" s="152"/>
      <c r="I266" s="152"/>
      <c r="J266" s="152"/>
      <c r="K266" s="445"/>
      <c r="L266" s="445"/>
      <c r="M266" s="152"/>
      <c r="N266" s="152"/>
      <c r="O266" s="152"/>
      <c r="P266" s="152"/>
      <c r="Q266" s="152"/>
      <c r="R266" s="152"/>
      <c r="S266" s="152"/>
      <c r="T266" s="152"/>
      <c r="U266" s="152"/>
      <c r="V266" s="152"/>
      <c r="W266" s="152"/>
    </row>
    <row r="267">
      <c r="A267" s="152"/>
      <c r="B267" s="152"/>
      <c r="C267" s="152"/>
      <c r="D267" s="152"/>
      <c r="E267" s="152"/>
      <c r="F267" s="152"/>
      <c r="G267" s="152"/>
      <c r="H267" s="152"/>
      <c r="I267" s="152"/>
      <c r="J267" s="152"/>
      <c r="K267" s="445"/>
      <c r="L267" s="445"/>
      <c r="M267" s="152"/>
      <c r="N267" s="152"/>
      <c r="O267" s="152"/>
      <c r="P267" s="152"/>
      <c r="Q267" s="152"/>
      <c r="R267" s="152"/>
      <c r="S267" s="152"/>
      <c r="T267" s="152"/>
      <c r="U267" s="152"/>
      <c r="V267" s="152"/>
      <c r="W267" s="152"/>
    </row>
    <row r="268">
      <c r="A268" s="152"/>
      <c r="B268" s="152"/>
      <c r="C268" s="152"/>
      <c r="D268" s="152"/>
      <c r="E268" s="152"/>
      <c r="F268" s="152"/>
      <c r="G268" s="152"/>
      <c r="H268" s="152"/>
      <c r="I268" s="152"/>
      <c r="J268" s="152"/>
      <c r="K268" s="445"/>
      <c r="L268" s="445"/>
      <c r="M268" s="152"/>
      <c r="N268" s="152"/>
      <c r="O268" s="152"/>
      <c r="P268" s="152"/>
      <c r="Q268" s="152"/>
      <c r="R268" s="152"/>
      <c r="S268" s="152"/>
      <c r="T268" s="152"/>
      <c r="U268" s="152"/>
      <c r="V268" s="152"/>
      <c r="W268" s="152"/>
    </row>
    <row r="269">
      <c r="A269" s="152"/>
      <c r="B269" s="152"/>
      <c r="C269" s="152"/>
      <c r="D269" s="152"/>
      <c r="E269" s="152"/>
      <c r="F269" s="152"/>
      <c r="G269" s="152"/>
      <c r="H269" s="152"/>
      <c r="I269" s="152"/>
      <c r="J269" s="152"/>
      <c r="K269" s="445"/>
      <c r="L269" s="445"/>
      <c r="M269" s="152"/>
      <c r="N269" s="152"/>
      <c r="O269" s="152"/>
      <c r="P269" s="152"/>
      <c r="Q269" s="152"/>
      <c r="R269" s="152"/>
      <c r="S269" s="152"/>
      <c r="T269" s="152"/>
      <c r="U269" s="152"/>
      <c r="V269" s="152"/>
      <c r="W269" s="152"/>
    </row>
    <row r="270">
      <c r="A270" s="152"/>
      <c r="B270" s="152"/>
      <c r="C270" s="152"/>
      <c r="D270" s="152"/>
      <c r="E270" s="152"/>
      <c r="F270" s="152"/>
      <c r="G270" s="152"/>
      <c r="H270" s="152"/>
      <c r="I270" s="152"/>
      <c r="J270" s="152"/>
      <c r="K270" s="445"/>
      <c r="L270" s="445"/>
      <c r="M270" s="152"/>
      <c r="N270" s="152"/>
      <c r="O270" s="152"/>
      <c r="P270" s="152"/>
      <c r="Q270" s="152"/>
      <c r="R270" s="152"/>
      <c r="S270" s="152"/>
      <c r="T270" s="152"/>
      <c r="U270" s="152"/>
      <c r="V270" s="152"/>
      <c r="W270" s="152"/>
    </row>
    <row r="271">
      <c r="A271" s="152"/>
      <c r="B271" s="152"/>
      <c r="C271" s="152"/>
      <c r="D271" s="152"/>
      <c r="E271" s="152"/>
      <c r="F271" s="152"/>
      <c r="G271" s="152"/>
      <c r="H271" s="152"/>
      <c r="I271" s="152"/>
      <c r="J271" s="152"/>
      <c r="K271" s="445"/>
      <c r="L271" s="445"/>
      <c r="M271" s="152"/>
      <c r="N271" s="152"/>
      <c r="O271" s="152"/>
      <c r="P271" s="152"/>
      <c r="Q271" s="152"/>
      <c r="R271" s="152"/>
      <c r="S271" s="152"/>
      <c r="T271" s="152"/>
      <c r="U271" s="152"/>
      <c r="V271" s="152"/>
      <c r="W271" s="152"/>
    </row>
    <row r="272">
      <c r="A272" s="152"/>
      <c r="B272" s="152"/>
      <c r="C272" s="152"/>
      <c r="D272" s="152"/>
      <c r="E272" s="152"/>
      <c r="F272" s="152"/>
      <c r="G272" s="152"/>
      <c r="H272" s="152"/>
      <c r="I272" s="152"/>
      <c r="J272" s="152"/>
      <c r="K272" s="445"/>
      <c r="L272" s="445"/>
      <c r="M272" s="152"/>
      <c r="N272" s="152"/>
      <c r="O272" s="152"/>
      <c r="P272" s="152"/>
      <c r="Q272" s="152"/>
      <c r="R272" s="152"/>
      <c r="S272" s="152"/>
      <c r="T272" s="152"/>
      <c r="U272" s="152"/>
      <c r="V272" s="152"/>
      <c r="W272" s="152"/>
    </row>
    <row r="273">
      <c r="A273" s="152"/>
      <c r="B273" s="152"/>
      <c r="C273" s="152"/>
      <c r="D273" s="152"/>
      <c r="E273" s="152"/>
      <c r="F273" s="152"/>
      <c r="G273" s="152"/>
      <c r="H273" s="152"/>
      <c r="I273" s="152"/>
      <c r="J273" s="152"/>
      <c r="K273" s="445"/>
      <c r="L273" s="445"/>
      <c r="M273" s="152"/>
      <c r="N273" s="152"/>
      <c r="O273" s="152"/>
      <c r="P273" s="152"/>
      <c r="Q273" s="152"/>
      <c r="R273" s="152"/>
      <c r="S273" s="152"/>
      <c r="T273" s="152"/>
      <c r="U273" s="152"/>
      <c r="V273" s="152"/>
      <c r="W273" s="152"/>
    </row>
    <row r="274">
      <c r="A274" s="152"/>
      <c r="B274" s="152"/>
      <c r="C274" s="152"/>
      <c r="D274" s="152"/>
      <c r="E274" s="152"/>
      <c r="F274" s="152"/>
      <c r="G274" s="152"/>
      <c r="H274" s="152"/>
      <c r="I274" s="152"/>
      <c r="J274" s="152"/>
      <c r="K274" s="445"/>
      <c r="L274" s="445"/>
      <c r="M274" s="152"/>
      <c r="N274" s="152"/>
      <c r="O274" s="152"/>
      <c r="P274" s="152"/>
      <c r="Q274" s="152"/>
      <c r="R274" s="152"/>
      <c r="S274" s="152"/>
      <c r="T274" s="152"/>
      <c r="U274" s="152"/>
      <c r="V274" s="152"/>
      <c r="W274" s="152"/>
    </row>
    <row r="275">
      <c r="A275" s="152"/>
      <c r="B275" s="152"/>
      <c r="C275" s="152"/>
      <c r="D275" s="152"/>
      <c r="E275" s="152"/>
      <c r="F275" s="152"/>
      <c r="G275" s="152"/>
      <c r="H275" s="152"/>
      <c r="I275" s="152"/>
      <c r="J275" s="152"/>
      <c r="K275" s="445"/>
      <c r="L275" s="445"/>
      <c r="M275" s="152"/>
      <c r="N275" s="152"/>
      <c r="O275" s="152"/>
      <c r="P275" s="152"/>
      <c r="Q275" s="152"/>
      <c r="R275" s="152"/>
      <c r="S275" s="152"/>
      <c r="T275" s="152"/>
      <c r="U275" s="152"/>
      <c r="V275" s="152"/>
      <c r="W275" s="152"/>
    </row>
    <row r="276">
      <c r="A276" s="152"/>
      <c r="B276" s="152"/>
      <c r="C276" s="152"/>
      <c r="D276" s="152"/>
      <c r="E276" s="152"/>
      <c r="F276" s="152"/>
      <c r="G276" s="152"/>
      <c r="H276" s="152"/>
      <c r="I276" s="152"/>
      <c r="J276" s="152"/>
      <c r="K276" s="445"/>
      <c r="L276" s="445"/>
      <c r="M276" s="152"/>
      <c r="N276" s="152"/>
      <c r="O276" s="152"/>
      <c r="P276" s="152"/>
      <c r="Q276" s="152"/>
      <c r="R276" s="152"/>
      <c r="S276" s="152"/>
      <c r="T276" s="152"/>
      <c r="U276" s="152"/>
      <c r="V276" s="152"/>
      <c r="W276" s="152"/>
    </row>
    <row r="277">
      <c r="A277" s="152"/>
      <c r="B277" s="152"/>
      <c r="C277" s="152"/>
      <c r="D277" s="152"/>
      <c r="E277" s="152"/>
      <c r="F277" s="152"/>
      <c r="G277" s="152"/>
      <c r="H277" s="152"/>
      <c r="I277" s="152"/>
      <c r="J277" s="152"/>
      <c r="K277" s="445"/>
      <c r="L277" s="445"/>
      <c r="M277" s="152"/>
      <c r="N277" s="152"/>
      <c r="O277" s="152"/>
      <c r="P277" s="152"/>
      <c r="Q277" s="152"/>
      <c r="R277" s="152"/>
      <c r="S277" s="152"/>
      <c r="T277" s="152"/>
      <c r="U277" s="152"/>
      <c r="V277" s="152"/>
      <c r="W277" s="152"/>
    </row>
    <row r="278">
      <c r="A278" s="152"/>
      <c r="B278" s="152"/>
      <c r="C278" s="152"/>
      <c r="D278" s="152"/>
      <c r="E278" s="152"/>
      <c r="F278" s="152"/>
      <c r="G278" s="152"/>
      <c r="H278" s="152"/>
      <c r="I278" s="152"/>
      <c r="J278" s="152"/>
      <c r="K278" s="445"/>
      <c r="L278" s="445"/>
      <c r="M278" s="152"/>
      <c r="N278" s="152"/>
      <c r="O278" s="152"/>
      <c r="P278" s="152"/>
      <c r="Q278" s="152"/>
      <c r="R278" s="152"/>
      <c r="S278" s="152"/>
      <c r="T278" s="152"/>
      <c r="U278" s="152"/>
      <c r="V278" s="152"/>
      <c r="W278" s="152"/>
    </row>
    <row r="279">
      <c r="A279" s="152"/>
      <c r="B279" s="152"/>
      <c r="C279" s="152"/>
      <c r="D279" s="152"/>
      <c r="E279" s="152"/>
      <c r="F279" s="152"/>
      <c r="G279" s="152"/>
      <c r="H279" s="152"/>
      <c r="I279" s="152"/>
      <c r="J279" s="152"/>
      <c r="K279" s="445"/>
      <c r="L279" s="445"/>
      <c r="M279" s="152"/>
      <c r="N279" s="152"/>
      <c r="O279" s="152"/>
      <c r="P279" s="152"/>
      <c r="Q279" s="152"/>
      <c r="R279" s="152"/>
      <c r="S279" s="152"/>
      <c r="T279" s="152"/>
      <c r="U279" s="152"/>
      <c r="V279" s="152"/>
      <c r="W279" s="152"/>
    </row>
    <row r="280">
      <c r="A280" s="152"/>
      <c r="B280" s="152"/>
      <c r="C280" s="152"/>
      <c r="D280" s="152"/>
      <c r="E280" s="152"/>
      <c r="F280" s="152"/>
      <c r="G280" s="152"/>
      <c r="H280" s="152"/>
      <c r="I280" s="152"/>
      <c r="J280" s="152"/>
      <c r="K280" s="445"/>
      <c r="L280" s="445"/>
      <c r="M280" s="152"/>
      <c r="N280" s="152"/>
      <c r="O280" s="152"/>
      <c r="P280" s="152"/>
      <c r="Q280" s="152"/>
      <c r="R280" s="152"/>
      <c r="S280" s="152"/>
      <c r="T280" s="152"/>
      <c r="U280" s="152"/>
      <c r="V280" s="152"/>
      <c r="W280" s="152"/>
    </row>
    <row r="281">
      <c r="A281" s="152"/>
      <c r="B281" s="152"/>
      <c r="C281" s="152"/>
      <c r="D281" s="152"/>
      <c r="E281" s="152"/>
      <c r="F281" s="152"/>
      <c r="G281" s="152"/>
      <c r="H281" s="152"/>
      <c r="I281" s="152"/>
      <c r="J281" s="152"/>
      <c r="K281" s="445"/>
      <c r="L281" s="445"/>
      <c r="M281" s="152"/>
      <c r="N281" s="152"/>
      <c r="O281" s="152"/>
      <c r="P281" s="152"/>
      <c r="Q281" s="152"/>
      <c r="R281" s="152"/>
      <c r="S281" s="152"/>
      <c r="T281" s="152"/>
      <c r="U281" s="152"/>
      <c r="V281" s="152"/>
      <c r="W281" s="152"/>
    </row>
    <row r="282">
      <c r="A282" s="152"/>
      <c r="B282" s="152"/>
      <c r="C282" s="152"/>
      <c r="D282" s="152"/>
      <c r="E282" s="152"/>
      <c r="F282" s="152"/>
      <c r="G282" s="152"/>
      <c r="H282" s="152"/>
      <c r="I282" s="152"/>
      <c r="J282" s="152"/>
      <c r="K282" s="445"/>
      <c r="L282" s="445"/>
      <c r="M282" s="152"/>
      <c r="N282" s="152"/>
      <c r="O282" s="152"/>
      <c r="P282" s="152"/>
      <c r="Q282" s="152"/>
      <c r="R282" s="152"/>
      <c r="S282" s="152"/>
      <c r="T282" s="152"/>
      <c r="U282" s="152"/>
      <c r="V282" s="152"/>
      <c r="W282" s="152"/>
    </row>
    <row r="283">
      <c r="A283" s="152"/>
      <c r="B283" s="152"/>
      <c r="C283" s="152"/>
      <c r="D283" s="152"/>
      <c r="E283" s="152"/>
      <c r="F283" s="152"/>
      <c r="G283" s="152"/>
      <c r="H283" s="152"/>
      <c r="I283" s="152"/>
      <c r="J283" s="152"/>
      <c r="K283" s="445"/>
      <c r="L283" s="445"/>
      <c r="M283" s="152"/>
      <c r="N283" s="152"/>
      <c r="O283" s="152"/>
      <c r="P283" s="152"/>
      <c r="Q283" s="152"/>
      <c r="R283" s="152"/>
      <c r="S283" s="152"/>
      <c r="T283" s="152"/>
      <c r="U283" s="152"/>
      <c r="V283" s="152"/>
      <c r="W283" s="152"/>
    </row>
    <row r="284">
      <c r="A284" s="152"/>
      <c r="B284" s="152"/>
      <c r="C284" s="152"/>
      <c r="D284" s="152"/>
      <c r="E284" s="152"/>
      <c r="F284" s="152"/>
      <c r="G284" s="152"/>
      <c r="H284" s="152"/>
      <c r="I284" s="152"/>
      <c r="J284" s="152"/>
      <c r="K284" s="445"/>
      <c r="L284" s="445"/>
      <c r="M284" s="152"/>
      <c r="N284" s="152"/>
      <c r="O284" s="152"/>
      <c r="P284" s="152"/>
      <c r="Q284" s="152"/>
      <c r="R284" s="152"/>
      <c r="S284" s="152"/>
      <c r="T284" s="152"/>
      <c r="U284" s="152"/>
      <c r="V284" s="152"/>
      <c r="W284" s="152"/>
    </row>
    <row r="285">
      <c r="A285" s="152"/>
      <c r="B285" s="152"/>
      <c r="C285" s="152"/>
      <c r="D285" s="152"/>
      <c r="E285" s="152"/>
      <c r="F285" s="152"/>
      <c r="G285" s="152"/>
      <c r="H285" s="152"/>
      <c r="I285" s="152"/>
      <c r="J285" s="152"/>
      <c r="K285" s="445"/>
      <c r="L285" s="445"/>
      <c r="M285" s="152"/>
      <c r="N285" s="152"/>
      <c r="O285" s="152"/>
      <c r="P285" s="152"/>
      <c r="Q285" s="152"/>
      <c r="R285" s="152"/>
      <c r="S285" s="152"/>
      <c r="T285" s="152"/>
      <c r="U285" s="152"/>
      <c r="V285" s="152"/>
      <c r="W285" s="152"/>
    </row>
    <row r="286">
      <c r="A286" s="152"/>
      <c r="B286" s="152"/>
      <c r="C286" s="152"/>
      <c r="D286" s="152"/>
      <c r="E286" s="152"/>
      <c r="F286" s="152"/>
      <c r="G286" s="152"/>
      <c r="H286" s="152"/>
      <c r="I286" s="152"/>
      <c r="J286" s="152"/>
      <c r="K286" s="445"/>
      <c r="L286" s="445"/>
      <c r="M286" s="152"/>
      <c r="N286" s="152"/>
      <c r="O286" s="152"/>
      <c r="P286" s="152"/>
      <c r="Q286" s="152"/>
      <c r="R286" s="152"/>
      <c r="S286" s="152"/>
      <c r="T286" s="152"/>
      <c r="U286" s="152"/>
      <c r="V286" s="152"/>
      <c r="W286" s="152"/>
    </row>
    <row r="287">
      <c r="A287" s="152"/>
      <c r="B287" s="152"/>
      <c r="C287" s="152"/>
      <c r="D287" s="152"/>
      <c r="E287" s="152"/>
      <c r="F287" s="152"/>
      <c r="G287" s="152"/>
      <c r="H287" s="152"/>
      <c r="I287" s="152"/>
      <c r="J287" s="152"/>
      <c r="K287" s="445"/>
      <c r="L287" s="445"/>
      <c r="M287" s="152"/>
      <c r="N287" s="152"/>
      <c r="O287" s="152"/>
      <c r="P287" s="152"/>
      <c r="Q287" s="152"/>
      <c r="R287" s="152"/>
      <c r="S287" s="152"/>
      <c r="T287" s="152"/>
      <c r="U287" s="152"/>
      <c r="V287" s="152"/>
      <c r="W287" s="152"/>
    </row>
    <row r="288">
      <c r="A288" s="152"/>
      <c r="B288" s="152"/>
      <c r="C288" s="152"/>
      <c r="D288" s="152"/>
      <c r="E288" s="152"/>
      <c r="F288" s="152"/>
      <c r="G288" s="152"/>
      <c r="H288" s="152"/>
      <c r="I288" s="152"/>
      <c r="J288" s="152"/>
      <c r="K288" s="445"/>
      <c r="L288" s="445"/>
      <c r="M288" s="152"/>
      <c r="N288" s="152"/>
      <c r="O288" s="152"/>
      <c r="P288" s="152"/>
      <c r="Q288" s="152"/>
      <c r="R288" s="152"/>
      <c r="S288" s="152"/>
      <c r="T288" s="152"/>
      <c r="U288" s="152"/>
      <c r="V288" s="152"/>
      <c r="W288" s="152"/>
    </row>
    <row r="289">
      <c r="A289" s="152"/>
      <c r="B289" s="152"/>
      <c r="C289" s="152"/>
      <c r="D289" s="152"/>
      <c r="E289" s="152"/>
      <c r="F289" s="152"/>
      <c r="G289" s="152"/>
      <c r="H289" s="152"/>
      <c r="I289" s="152"/>
      <c r="J289" s="152"/>
      <c r="K289" s="445"/>
      <c r="L289" s="445"/>
      <c r="M289" s="152"/>
      <c r="N289" s="152"/>
      <c r="O289" s="152"/>
      <c r="P289" s="152"/>
      <c r="Q289" s="152"/>
      <c r="R289" s="152"/>
      <c r="S289" s="152"/>
      <c r="T289" s="152"/>
      <c r="U289" s="152"/>
      <c r="V289" s="152"/>
      <c r="W289" s="152"/>
    </row>
    <row r="290">
      <c r="A290" s="152"/>
      <c r="B290" s="152"/>
      <c r="C290" s="152"/>
      <c r="D290" s="152"/>
      <c r="E290" s="152"/>
      <c r="F290" s="152"/>
      <c r="G290" s="152"/>
      <c r="H290" s="152"/>
      <c r="I290" s="152"/>
      <c r="J290" s="152"/>
      <c r="K290" s="445"/>
      <c r="L290" s="445"/>
      <c r="M290" s="152"/>
      <c r="N290" s="152"/>
      <c r="O290" s="152"/>
      <c r="P290" s="152"/>
      <c r="Q290" s="152"/>
      <c r="R290" s="152"/>
      <c r="S290" s="152"/>
      <c r="T290" s="152"/>
      <c r="U290" s="152"/>
      <c r="V290" s="152"/>
      <c r="W290" s="152"/>
    </row>
    <row r="291">
      <c r="A291" s="152"/>
      <c r="B291" s="152"/>
      <c r="C291" s="152"/>
      <c r="D291" s="152"/>
      <c r="E291" s="152"/>
      <c r="F291" s="152"/>
      <c r="G291" s="152"/>
      <c r="H291" s="152"/>
      <c r="I291" s="152"/>
      <c r="J291" s="152"/>
      <c r="K291" s="445"/>
      <c r="L291" s="445"/>
      <c r="M291" s="152"/>
      <c r="N291" s="152"/>
      <c r="O291" s="152"/>
      <c r="P291" s="152"/>
      <c r="Q291" s="152"/>
      <c r="R291" s="152"/>
      <c r="S291" s="152"/>
      <c r="T291" s="152"/>
      <c r="U291" s="152"/>
      <c r="V291" s="152"/>
      <c r="W291" s="152"/>
    </row>
    <row r="292">
      <c r="A292" s="152"/>
      <c r="B292" s="152"/>
      <c r="C292" s="152"/>
      <c r="D292" s="152"/>
      <c r="E292" s="152"/>
      <c r="F292" s="152"/>
      <c r="G292" s="152"/>
      <c r="H292" s="152"/>
      <c r="I292" s="152"/>
      <c r="J292" s="152"/>
      <c r="K292" s="445"/>
      <c r="L292" s="445"/>
      <c r="M292" s="152"/>
      <c r="N292" s="152"/>
      <c r="O292" s="152"/>
      <c r="P292" s="152"/>
      <c r="Q292" s="152"/>
      <c r="R292" s="152"/>
      <c r="S292" s="152"/>
      <c r="T292" s="152"/>
      <c r="U292" s="152"/>
      <c r="V292" s="152"/>
      <c r="W292" s="152"/>
    </row>
    <row r="293">
      <c r="A293" s="152"/>
      <c r="B293" s="152"/>
      <c r="C293" s="152"/>
      <c r="D293" s="152"/>
      <c r="E293" s="152"/>
      <c r="F293" s="152"/>
      <c r="G293" s="152"/>
      <c r="H293" s="152"/>
      <c r="I293" s="152"/>
      <c r="J293" s="152"/>
      <c r="K293" s="445"/>
      <c r="L293" s="445"/>
      <c r="M293" s="152"/>
      <c r="N293" s="152"/>
      <c r="O293" s="152"/>
      <c r="P293" s="152"/>
      <c r="Q293" s="152"/>
      <c r="R293" s="152"/>
      <c r="S293" s="152"/>
      <c r="T293" s="152"/>
      <c r="U293" s="152"/>
      <c r="V293" s="152"/>
      <c r="W293" s="152"/>
    </row>
    <row r="294">
      <c r="A294" s="152"/>
      <c r="B294" s="152"/>
      <c r="C294" s="152"/>
      <c r="D294" s="152"/>
      <c r="E294" s="152"/>
      <c r="F294" s="152"/>
      <c r="G294" s="152"/>
      <c r="H294" s="152"/>
      <c r="I294" s="152"/>
      <c r="J294" s="152"/>
      <c r="K294" s="445"/>
      <c r="L294" s="445"/>
      <c r="M294" s="152"/>
      <c r="N294" s="152"/>
      <c r="O294" s="152"/>
      <c r="P294" s="152"/>
      <c r="Q294" s="152"/>
      <c r="R294" s="152"/>
      <c r="S294" s="152"/>
      <c r="T294" s="152"/>
      <c r="U294" s="152"/>
      <c r="V294" s="152"/>
      <c r="W294" s="152"/>
    </row>
    <row r="295">
      <c r="A295" s="152"/>
      <c r="B295" s="152"/>
      <c r="C295" s="152"/>
      <c r="D295" s="152"/>
      <c r="E295" s="152"/>
      <c r="F295" s="152"/>
      <c r="G295" s="152"/>
      <c r="H295" s="152"/>
      <c r="I295" s="152"/>
      <c r="J295" s="152"/>
      <c r="K295" s="445"/>
      <c r="L295" s="445"/>
      <c r="M295" s="152"/>
      <c r="N295" s="152"/>
      <c r="O295" s="152"/>
      <c r="P295" s="152"/>
      <c r="Q295" s="152"/>
      <c r="R295" s="152"/>
      <c r="S295" s="152"/>
      <c r="T295" s="152"/>
      <c r="U295" s="152"/>
      <c r="V295" s="152"/>
      <c r="W295" s="152"/>
    </row>
    <row r="296">
      <c r="A296" s="152"/>
      <c r="B296" s="152"/>
      <c r="C296" s="152"/>
      <c r="D296" s="152"/>
      <c r="E296" s="152"/>
      <c r="F296" s="152"/>
      <c r="G296" s="152"/>
      <c r="H296" s="152"/>
      <c r="I296" s="152"/>
      <c r="J296" s="152"/>
      <c r="K296" s="445"/>
      <c r="L296" s="445"/>
      <c r="M296" s="152"/>
      <c r="N296" s="152"/>
      <c r="O296" s="152"/>
      <c r="P296" s="152"/>
      <c r="Q296" s="152"/>
      <c r="R296" s="152"/>
      <c r="S296" s="152"/>
      <c r="T296" s="152"/>
      <c r="U296" s="152"/>
      <c r="V296" s="152"/>
      <c r="W296" s="152"/>
    </row>
    <row r="297">
      <c r="A297" s="152"/>
      <c r="B297" s="152"/>
      <c r="C297" s="152"/>
      <c r="D297" s="152"/>
      <c r="E297" s="152"/>
      <c r="F297" s="152"/>
      <c r="G297" s="152"/>
      <c r="H297" s="152"/>
      <c r="I297" s="152"/>
      <c r="J297" s="152"/>
      <c r="K297" s="445"/>
      <c r="L297" s="445"/>
      <c r="M297" s="152"/>
      <c r="N297" s="152"/>
      <c r="O297" s="152"/>
      <c r="P297" s="152"/>
      <c r="Q297" s="152"/>
      <c r="R297" s="152"/>
      <c r="S297" s="152"/>
      <c r="T297" s="152"/>
      <c r="U297" s="152"/>
      <c r="V297" s="152"/>
      <c r="W297" s="152"/>
    </row>
    <row r="298">
      <c r="A298" s="152"/>
      <c r="B298" s="152"/>
      <c r="C298" s="152"/>
      <c r="D298" s="152"/>
      <c r="E298" s="152"/>
      <c r="F298" s="152"/>
      <c r="G298" s="152"/>
      <c r="H298" s="152"/>
      <c r="I298" s="152"/>
      <c r="J298" s="152"/>
      <c r="K298" s="445"/>
      <c r="L298" s="445"/>
      <c r="M298" s="152"/>
      <c r="N298" s="152"/>
      <c r="O298" s="152"/>
      <c r="P298" s="152"/>
      <c r="Q298" s="152"/>
      <c r="R298" s="152"/>
      <c r="S298" s="152"/>
      <c r="T298" s="152"/>
      <c r="U298" s="152"/>
      <c r="V298" s="152"/>
      <c r="W298" s="152"/>
    </row>
    <row r="299">
      <c r="A299" s="152"/>
      <c r="B299" s="152"/>
      <c r="C299" s="152"/>
      <c r="D299" s="152"/>
      <c r="E299" s="152"/>
      <c r="F299" s="152"/>
      <c r="G299" s="152"/>
      <c r="H299" s="152"/>
      <c r="I299" s="152"/>
      <c r="J299" s="152"/>
      <c r="K299" s="445"/>
      <c r="L299" s="445"/>
      <c r="M299" s="152"/>
      <c r="N299" s="152"/>
      <c r="O299" s="152"/>
      <c r="P299" s="152"/>
      <c r="Q299" s="152"/>
      <c r="R299" s="152"/>
      <c r="S299" s="152"/>
      <c r="T299" s="152"/>
      <c r="U299" s="152"/>
      <c r="V299" s="152"/>
      <c r="W299" s="152"/>
    </row>
    <row r="300">
      <c r="A300" s="152"/>
      <c r="B300" s="152"/>
      <c r="C300" s="152"/>
      <c r="D300" s="152"/>
      <c r="E300" s="152"/>
      <c r="F300" s="152"/>
      <c r="G300" s="152"/>
      <c r="H300" s="152"/>
      <c r="I300" s="152"/>
      <c r="J300" s="152"/>
      <c r="K300" s="445"/>
      <c r="L300" s="445"/>
      <c r="M300" s="152"/>
      <c r="N300" s="152"/>
      <c r="O300" s="152"/>
      <c r="P300" s="152"/>
      <c r="Q300" s="152"/>
      <c r="R300" s="152"/>
      <c r="S300" s="152"/>
      <c r="T300" s="152"/>
      <c r="U300" s="152"/>
      <c r="V300" s="152"/>
      <c r="W300" s="152"/>
    </row>
    <row r="301">
      <c r="A301" s="152"/>
      <c r="B301" s="152"/>
      <c r="C301" s="152"/>
      <c r="D301" s="152"/>
      <c r="E301" s="152"/>
      <c r="F301" s="152"/>
      <c r="G301" s="152"/>
      <c r="H301" s="152"/>
      <c r="I301" s="152"/>
      <c r="J301" s="152"/>
      <c r="K301" s="445"/>
      <c r="L301" s="445"/>
      <c r="M301" s="152"/>
      <c r="N301" s="152"/>
      <c r="O301" s="152"/>
      <c r="P301" s="152"/>
      <c r="Q301" s="152"/>
      <c r="R301" s="152"/>
      <c r="S301" s="152"/>
      <c r="T301" s="152"/>
      <c r="U301" s="152"/>
      <c r="V301" s="152"/>
      <c r="W301" s="152"/>
    </row>
    <row r="302">
      <c r="A302" s="152"/>
      <c r="B302" s="152"/>
      <c r="C302" s="152"/>
      <c r="D302" s="152"/>
      <c r="E302" s="152"/>
      <c r="F302" s="152"/>
      <c r="G302" s="152"/>
      <c r="H302" s="152"/>
      <c r="I302" s="152"/>
      <c r="J302" s="152"/>
      <c r="K302" s="445"/>
      <c r="L302" s="445"/>
      <c r="M302" s="152"/>
      <c r="N302" s="152"/>
      <c r="O302" s="152"/>
      <c r="P302" s="152"/>
      <c r="Q302" s="152"/>
      <c r="R302" s="152"/>
      <c r="S302" s="152"/>
      <c r="T302" s="152"/>
      <c r="U302" s="152"/>
      <c r="V302" s="152"/>
      <c r="W302" s="152"/>
    </row>
    <row r="303">
      <c r="A303" s="152"/>
      <c r="B303" s="152"/>
      <c r="C303" s="152"/>
      <c r="D303" s="152"/>
      <c r="E303" s="152"/>
      <c r="F303" s="152"/>
      <c r="G303" s="152"/>
      <c r="H303" s="152"/>
      <c r="I303" s="152"/>
      <c r="J303" s="152"/>
      <c r="K303" s="445"/>
      <c r="L303" s="445"/>
      <c r="M303" s="152"/>
      <c r="N303" s="152"/>
      <c r="O303" s="152"/>
      <c r="P303" s="152"/>
      <c r="Q303" s="152"/>
      <c r="R303" s="152"/>
      <c r="S303" s="152"/>
      <c r="T303" s="152"/>
      <c r="U303" s="152"/>
      <c r="V303" s="152"/>
      <c r="W303" s="152"/>
    </row>
    <row r="304">
      <c r="A304" s="152"/>
      <c r="B304" s="152"/>
      <c r="C304" s="152"/>
      <c r="D304" s="152"/>
      <c r="E304" s="152"/>
      <c r="F304" s="152"/>
      <c r="G304" s="152"/>
      <c r="H304" s="152"/>
      <c r="I304" s="152"/>
      <c r="J304" s="152"/>
      <c r="K304" s="445"/>
      <c r="L304" s="445"/>
      <c r="M304" s="152"/>
      <c r="N304" s="152"/>
      <c r="O304" s="152"/>
      <c r="P304" s="152"/>
      <c r="Q304" s="152"/>
      <c r="R304" s="152"/>
      <c r="S304" s="152"/>
      <c r="T304" s="152"/>
      <c r="U304" s="152"/>
      <c r="V304" s="152"/>
      <c r="W304" s="152"/>
    </row>
    <row r="305">
      <c r="A305" s="152"/>
      <c r="B305" s="152"/>
      <c r="C305" s="152"/>
      <c r="D305" s="152"/>
      <c r="E305" s="152"/>
      <c r="F305" s="152"/>
      <c r="G305" s="152"/>
      <c r="H305" s="152"/>
      <c r="I305" s="152"/>
      <c r="J305" s="152"/>
      <c r="K305" s="445"/>
      <c r="L305" s="445"/>
      <c r="M305" s="152"/>
      <c r="N305" s="152"/>
      <c r="O305" s="152"/>
      <c r="P305" s="152"/>
      <c r="Q305" s="152"/>
      <c r="R305" s="152"/>
      <c r="S305" s="152"/>
      <c r="T305" s="152"/>
      <c r="U305" s="152"/>
      <c r="V305" s="152"/>
      <c r="W305" s="152"/>
    </row>
    <row r="306">
      <c r="A306" s="152"/>
      <c r="B306" s="152"/>
      <c r="C306" s="152"/>
      <c r="D306" s="152"/>
      <c r="E306" s="152"/>
      <c r="F306" s="152"/>
      <c r="G306" s="152"/>
      <c r="H306" s="152"/>
      <c r="I306" s="152"/>
      <c r="J306" s="152"/>
      <c r="K306" s="445"/>
      <c r="L306" s="445"/>
      <c r="M306" s="152"/>
      <c r="N306" s="152"/>
      <c r="O306" s="152"/>
      <c r="P306" s="152"/>
      <c r="Q306" s="152"/>
      <c r="R306" s="152"/>
      <c r="S306" s="152"/>
      <c r="T306" s="152"/>
      <c r="U306" s="152"/>
      <c r="V306" s="152"/>
      <c r="W306" s="152"/>
    </row>
    <row r="307">
      <c r="A307" s="152"/>
      <c r="B307" s="152"/>
      <c r="C307" s="152"/>
      <c r="D307" s="152"/>
      <c r="E307" s="152"/>
      <c r="F307" s="152"/>
      <c r="G307" s="152"/>
      <c r="H307" s="152"/>
      <c r="I307" s="152"/>
      <c r="J307" s="152"/>
      <c r="K307" s="445"/>
      <c r="L307" s="445"/>
      <c r="M307" s="152"/>
      <c r="N307" s="152"/>
      <c r="O307" s="152"/>
      <c r="P307" s="152"/>
      <c r="Q307" s="152"/>
      <c r="R307" s="152"/>
      <c r="S307" s="152"/>
      <c r="T307" s="152"/>
      <c r="U307" s="152"/>
      <c r="V307" s="152"/>
      <c r="W307" s="152"/>
    </row>
    <row r="308">
      <c r="A308" s="152"/>
      <c r="B308" s="152"/>
      <c r="C308" s="152"/>
      <c r="D308" s="152"/>
      <c r="E308" s="152"/>
      <c r="F308" s="152"/>
      <c r="G308" s="152"/>
      <c r="H308" s="152"/>
      <c r="I308" s="152"/>
      <c r="J308" s="152"/>
      <c r="K308" s="445"/>
      <c r="L308" s="445"/>
      <c r="M308" s="152"/>
      <c r="N308" s="152"/>
      <c r="O308" s="152"/>
      <c r="P308" s="152"/>
      <c r="Q308" s="152"/>
      <c r="R308" s="152"/>
      <c r="S308" s="152"/>
      <c r="T308" s="152"/>
      <c r="U308" s="152"/>
      <c r="V308" s="152"/>
      <c r="W308" s="152"/>
    </row>
    <row r="309">
      <c r="A309" s="152"/>
      <c r="B309" s="152"/>
      <c r="C309" s="152"/>
      <c r="D309" s="152"/>
      <c r="E309" s="152"/>
      <c r="F309" s="152"/>
      <c r="G309" s="152"/>
      <c r="H309" s="152"/>
      <c r="I309" s="152"/>
      <c r="J309" s="152"/>
      <c r="K309" s="445"/>
      <c r="L309" s="445"/>
      <c r="M309" s="152"/>
      <c r="N309" s="152"/>
      <c r="O309" s="152"/>
      <c r="P309" s="152"/>
      <c r="Q309" s="152"/>
      <c r="R309" s="152"/>
      <c r="S309" s="152"/>
      <c r="T309" s="152"/>
      <c r="U309" s="152"/>
      <c r="V309" s="152"/>
      <c r="W309" s="152"/>
    </row>
    <row r="310">
      <c r="A310" s="152"/>
      <c r="B310" s="152"/>
      <c r="C310" s="152"/>
      <c r="D310" s="152"/>
      <c r="E310" s="152"/>
      <c r="F310" s="152"/>
      <c r="G310" s="152"/>
      <c r="H310" s="152"/>
      <c r="I310" s="152"/>
      <c r="J310" s="152"/>
      <c r="K310" s="445"/>
      <c r="L310" s="445"/>
      <c r="M310" s="152"/>
      <c r="N310" s="152"/>
      <c r="O310" s="152"/>
      <c r="P310" s="152"/>
      <c r="Q310" s="152"/>
      <c r="R310" s="152"/>
      <c r="S310" s="152"/>
      <c r="T310" s="152"/>
      <c r="U310" s="152"/>
      <c r="V310" s="152"/>
      <c r="W310" s="152"/>
    </row>
    <row r="311">
      <c r="A311" s="152"/>
      <c r="B311" s="152"/>
      <c r="C311" s="152"/>
      <c r="D311" s="152"/>
      <c r="E311" s="152"/>
      <c r="F311" s="152"/>
      <c r="G311" s="152"/>
      <c r="H311" s="152"/>
      <c r="I311" s="152"/>
      <c r="J311" s="152"/>
      <c r="K311" s="445"/>
      <c r="L311" s="445"/>
      <c r="M311" s="152"/>
      <c r="N311" s="152"/>
      <c r="O311" s="152"/>
      <c r="P311" s="152"/>
      <c r="Q311" s="152"/>
      <c r="R311" s="152"/>
      <c r="S311" s="152"/>
      <c r="T311" s="152"/>
      <c r="U311" s="152"/>
      <c r="V311" s="152"/>
      <c r="W311" s="152"/>
    </row>
    <row r="312">
      <c r="A312" s="152"/>
      <c r="B312" s="152"/>
      <c r="C312" s="152"/>
      <c r="D312" s="152"/>
      <c r="E312" s="152"/>
      <c r="F312" s="152"/>
      <c r="G312" s="152"/>
      <c r="H312" s="152"/>
      <c r="I312" s="152"/>
      <c r="J312" s="152"/>
      <c r="K312" s="445"/>
      <c r="L312" s="445"/>
      <c r="M312" s="152"/>
      <c r="N312" s="152"/>
      <c r="O312" s="152"/>
      <c r="P312" s="152"/>
      <c r="Q312" s="152"/>
      <c r="R312" s="152"/>
      <c r="S312" s="152"/>
      <c r="T312" s="152"/>
      <c r="U312" s="152"/>
      <c r="V312" s="152"/>
      <c r="W312" s="152"/>
    </row>
    <row r="313">
      <c r="A313" s="152"/>
      <c r="B313" s="152"/>
      <c r="C313" s="152"/>
      <c r="D313" s="152"/>
      <c r="E313" s="152"/>
      <c r="F313" s="152"/>
      <c r="G313" s="152"/>
      <c r="H313" s="152"/>
      <c r="I313" s="152"/>
      <c r="J313" s="152"/>
      <c r="K313" s="445"/>
      <c r="L313" s="445"/>
      <c r="M313" s="152"/>
      <c r="N313" s="152"/>
      <c r="O313" s="152"/>
      <c r="P313" s="152"/>
      <c r="Q313" s="152"/>
      <c r="R313" s="152"/>
      <c r="S313" s="152"/>
      <c r="T313" s="152"/>
      <c r="U313" s="152"/>
      <c r="V313" s="152"/>
      <c r="W313" s="152"/>
    </row>
    <row r="314">
      <c r="A314" s="152"/>
      <c r="B314" s="152"/>
      <c r="C314" s="152"/>
      <c r="D314" s="152"/>
      <c r="E314" s="152"/>
      <c r="F314" s="152"/>
      <c r="G314" s="152"/>
      <c r="H314" s="152"/>
      <c r="I314" s="152"/>
      <c r="J314" s="152"/>
      <c r="K314" s="445"/>
      <c r="L314" s="445"/>
      <c r="M314" s="152"/>
      <c r="N314" s="152"/>
      <c r="O314" s="152"/>
      <c r="P314" s="152"/>
      <c r="Q314" s="152"/>
      <c r="R314" s="152"/>
      <c r="S314" s="152"/>
      <c r="T314" s="152"/>
      <c r="U314" s="152"/>
      <c r="V314" s="152"/>
      <c r="W314" s="152"/>
    </row>
    <row r="315">
      <c r="A315" s="152"/>
      <c r="B315" s="152"/>
      <c r="C315" s="152"/>
      <c r="D315" s="152"/>
      <c r="E315" s="152"/>
      <c r="F315" s="152"/>
      <c r="G315" s="152"/>
      <c r="H315" s="152"/>
      <c r="I315" s="152"/>
      <c r="J315" s="152"/>
      <c r="K315" s="445"/>
      <c r="L315" s="445"/>
      <c r="M315" s="152"/>
      <c r="N315" s="152"/>
      <c r="O315" s="152"/>
      <c r="P315" s="152"/>
      <c r="Q315" s="152"/>
      <c r="R315" s="152"/>
      <c r="S315" s="152"/>
      <c r="T315" s="152"/>
      <c r="U315" s="152"/>
      <c r="V315" s="152"/>
      <c r="W315" s="152"/>
    </row>
    <row r="316">
      <c r="A316" s="152"/>
      <c r="B316" s="152"/>
      <c r="C316" s="152"/>
      <c r="D316" s="152"/>
      <c r="E316" s="152"/>
      <c r="F316" s="152"/>
      <c r="G316" s="152"/>
      <c r="H316" s="152"/>
      <c r="I316" s="152"/>
      <c r="J316" s="152"/>
      <c r="K316" s="445"/>
      <c r="L316" s="445"/>
      <c r="M316" s="152"/>
      <c r="N316" s="152"/>
      <c r="O316" s="152"/>
      <c r="P316" s="152"/>
      <c r="Q316" s="152"/>
      <c r="R316" s="152"/>
      <c r="S316" s="152"/>
      <c r="T316" s="152"/>
      <c r="U316" s="152"/>
      <c r="V316" s="152"/>
      <c r="W316" s="152"/>
    </row>
    <row r="317">
      <c r="A317" s="152"/>
      <c r="B317" s="152"/>
      <c r="C317" s="152"/>
      <c r="D317" s="152"/>
      <c r="E317" s="152"/>
      <c r="F317" s="152"/>
      <c r="G317" s="152"/>
      <c r="H317" s="152"/>
      <c r="I317" s="152"/>
      <c r="J317" s="152"/>
      <c r="K317" s="445"/>
      <c r="L317" s="445"/>
      <c r="M317" s="152"/>
      <c r="N317" s="152"/>
      <c r="O317" s="152"/>
      <c r="P317" s="152"/>
      <c r="Q317" s="152"/>
      <c r="R317" s="152"/>
      <c r="S317" s="152"/>
      <c r="T317" s="152"/>
      <c r="U317" s="152"/>
      <c r="V317" s="152"/>
      <c r="W317" s="152"/>
    </row>
    <row r="318">
      <c r="A318" s="152"/>
      <c r="B318" s="152"/>
      <c r="C318" s="152"/>
      <c r="D318" s="152"/>
      <c r="E318" s="152"/>
      <c r="F318" s="152"/>
      <c r="G318" s="152"/>
      <c r="H318" s="152"/>
      <c r="I318" s="152"/>
      <c r="J318" s="152"/>
      <c r="K318" s="445"/>
      <c r="L318" s="445"/>
      <c r="M318" s="152"/>
      <c r="N318" s="152"/>
      <c r="O318" s="152"/>
      <c r="P318" s="152"/>
      <c r="Q318" s="152"/>
      <c r="R318" s="152"/>
      <c r="S318" s="152"/>
      <c r="T318" s="152"/>
      <c r="U318" s="152"/>
      <c r="V318" s="152"/>
      <c r="W318" s="152"/>
    </row>
    <row r="319">
      <c r="A319" s="152"/>
      <c r="B319" s="152"/>
      <c r="C319" s="152"/>
      <c r="D319" s="152"/>
      <c r="E319" s="152"/>
      <c r="F319" s="152"/>
      <c r="G319" s="152"/>
      <c r="H319" s="152"/>
      <c r="I319" s="152"/>
      <c r="J319" s="152"/>
      <c r="K319" s="445"/>
      <c r="L319" s="445"/>
      <c r="M319" s="152"/>
      <c r="N319" s="152"/>
      <c r="O319" s="152"/>
      <c r="P319" s="152"/>
      <c r="Q319" s="152"/>
      <c r="R319" s="152"/>
      <c r="S319" s="152"/>
      <c r="T319" s="152"/>
      <c r="U319" s="152"/>
      <c r="V319" s="152"/>
      <c r="W319" s="152"/>
    </row>
    <row r="320">
      <c r="A320" s="152"/>
      <c r="B320" s="152"/>
      <c r="C320" s="152"/>
      <c r="D320" s="152"/>
      <c r="E320" s="152"/>
      <c r="F320" s="152"/>
      <c r="G320" s="152"/>
      <c r="H320" s="152"/>
      <c r="I320" s="152"/>
      <c r="J320" s="152"/>
      <c r="K320" s="445"/>
      <c r="L320" s="445"/>
      <c r="M320" s="152"/>
      <c r="N320" s="152"/>
      <c r="O320" s="152"/>
      <c r="P320" s="152"/>
      <c r="Q320" s="152"/>
      <c r="R320" s="152"/>
      <c r="S320" s="152"/>
      <c r="T320" s="152"/>
      <c r="U320" s="152"/>
      <c r="V320" s="152"/>
      <c r="W320" s="152"/>
    </row>
    <row r="321">
      <c r="A321" s="152"/>
      <c r="B321" s="152"/>
      <c r="C321" s="152"/>
      <c r="D321" s="152"/>
      <c r="E321" s="152"/>
      <c r="F321" s="152"/>
      <c r="G321" s="152"/>
      <c r="H321" s="152"/>
      <c r="I321" s="152"/>
      <c r="J321" s="152"/>
      <c r="K321" s="445"/>
      <c r="L321" s="445"/>
      <c r="M321" s="152"/>
      <c r="N321" s="152"/>
      <c r="O321" s="152"/>
      <c r="P321" s="152"/>
      <c r="Q321" s="152"/>
      <c r="R321" s="152"/>
      <c r="S321" s="152"/>
      <c r="T321" s="152"/>
      <c r="U321" s="152"/>
      <c r="V321" s="152"/>
      <c r="W321" s="152"/>
    </row>
    <row r="322">
      <c r="A322" s="152"/>
      <c r="B322" s="152"/>
      <c r="C322" s="152"/>
      <c r="D322" s="152"/>
      <c r="E322" s="152"/>
      <c r="F322" s="152"/>
      <c r="G322" s="152"/>
      <c r="H322" s="152"/>
      <c r="I322" s="152"/>
      <c r="J322" s="152"/>
      <c r="K322" s="445"/>
      <c r="L322" s="445"/>
      <c r="M322" s="152"/>
      <c r="N322" s="152"/>
      <c r="O322" s="152"/>
      <c r="P322" s="152"/>
      <c r="Q322" s="152"/>
      <c r="R322" s="152"/>
      <c r="S322" s="152"/>
      <c r="T322" s="152"/>
      <c r="U322" s="152"/>
      <c r="V322" s="152"/>
      <c r="W322" s="152"/>
    </row>
    <row r="323">
      <c r="A323" s="152"/>
      <c r="B323" s="152"/>
      <c r="C323" s="152"/>
      <c r="D323" s="152"/>
      <c r="E323" s="152"/>
      <c r="F323" s="152"/>
      <c r="G323" s="152"/>
      <c r="H323" s="152"/>
      <c r="I323" s="152"/>
      <c r="J323" s="152"/>
      <c r="K323" s="445"/>
      <c r="L323" s="445"/>
      <c r="M323" s="152"/>
      <c r="N323" s="152"/>
      <c r="O323" s="152"/>
      <c r="P323" s="152"/>
      <c r="Q323" s="152"/>
      <c r="R323" s="152"/>
      <c r="S323" s="152"/>
      <c r="T323" s="152"/>
      <c r="U323" s="152"/>
      <c r="V323" s="152"/>
      <c r="W323" s="152"/>
    </row>
    <row r="324">
      <c r="A324" s="152"/>
      <c r="B324" s="152"/>
      <c r="C324" s="152"/>
      <c r="D324" s="152"/>
      <c r="E324" s="152"/>
      <c r="F324" s="152"/>
      <c r="G324" s="152"/>
      <c r="H324" s="152"/>
      <c r="I324" s="152"/>
      <c r="J324" s="152"/>
      <c r="K324" s="445"/>
      <c r="L324" s="445"/>
      <c r="M324" s="152"/>
      <c r="N324" s="152"/>
      <c r="O324" s="152"/>
      <c r="P324" s="152"/>
      <c r="Q324" s="152"/>
      <c r="R324" s="152"/>
      <c r="S324" s="152"/>
      <c r="T324" s="152"/>
      <c r="U324" s="152"/>
      <c r="V324" s="152"/>
      <c r="W324" s="152"/>
    </row>
    <row r="325">
      <c r="A325" s="152"/>
      <c r="B325" s="152"/>
      <c r="C325" s="152"/>
      <c r="D325" s="152"/>
      <c r="E325" s="152"/>
      <c r="F325" s="152"/>
      <c r="G325" s="152"/>
      <c r="H325" s="152"/>
      <c r="I325" s="152"/>
      <c r="J325" s="152"/>
      <c r="K325" s="445"/>
      <c r="L325" s="445"/>
      <c r="M325" s="152"/>
      <c r="N325" s="152"/>
      <c r="O325" s="152"/>
      <c r="P325" s="152"/>
      <c r="Q325" s="152"/>
      <c r="R325" s="152"/>
      <c r="S325" s="152"/>
      <c r="T325" s="152"/>
      <c r="U325" s="152"/>
      <c r="V325" s="152"/>
      <c r="W325" s="152"/>
    </row>
    <row r="326">
      <c r="A326" s="152"/>
      <c r="B326" s="152"/>
      <c r="C326" s="152"/>
      <c r="D326" s="152"/>
      <c r="E326" s="152"/>
      <c r="F326" s="152"/>
      <c r="G326" s="152"/>
      <c r="H326" s="152"/>
      <c r="I326" s="152"/>
      <c r="J326" s="152"/>
      <c r="K326" s="445"/>
      <c r="L326" s="445"/>
      <c r="M326" s="152"/>
      <c r="N326" s="152"/>
      <c r="O326" s="152"/>
      <c r="P326" s="152"/>
      <c r="Q326" s="152"/>
      <c r="R326" s="152"/>
      <c r="S326" s="152"/>
      <c r="T326" s="152"/>
      <c r="U326" s="152"/>
      <c r="V326" s="152"/>
      <c r="W326" s="152"/>
    </row>
    <row r="327">
      <c r="A327" s="152"/>
      <c r="B327" s="152"/>
      <c r="C327" s="152"/>
      <c r="D327" s="152"/>
      <c r="E327" s="152"/>
      <c r="F327" s="152"/>
      <c r="G327" s="152"/>
      <c r="H327" s="152"/>
      <c r="I327" s="152"/>
      <c r="J327" s="152"/>
      <c r="K327" s="445"/>
      <c r="L327" s="445"/>
      <c r="M327" s="152"/>
      <c r="N327" s="152"/>
      <c r="O327" s="152"/>
      <c r="P327" s="152"/>
      <c r="Q327" s="152"/>
      <c r="R327" s="152"/>
      <c r="S327" s="152"/>
      <c r="T327" s="152"/>
      <c r="U327" s="152"/>
      <c r="V327" s="152"/>
      <c r="W327" s="152"/>
    </row>
    <row r="328">
      <c r="A328" s="152"/>
      <c r="B328" s="152"/>
      <c r="C328" s="152"/>
      <c r="D328" s="152"/>
      <c r="E328" s="152"/>
      <c r="F328" s="152"/>
      <c r="G328" s="152"/>
      <c r="H328" s="152"/>
      <c r="I328" s="152"/>
      <c r="J328" s="152"/>
      <c r="K328" s="445"/>
      <c r="L328" s="445"/>
      <c r="M328" s="152"/>
      <c r="N328" s="152"/>
      <c r="O328" s="152"/>
      <c r="P328" s="152"/>
      <c r="Q328" s="152"/>
      <c r="R328" s="152"/>
      <c r="S328" s="152"/>
      <c r="T328" s="152"/>
      <c r="U328" s="152"/>
      <c r="V328" s="152"/>
      <c r="W328" s="152"/>
    </row>
    <row r="329">
      <c r="A329" s="152"/>
      <c r="B329" s="152"/>
      <c r="C329" s="152"/>
      <c r="D329" s="152"/>
      <c r="E329" s="152"/>
      <c r="F329" s="152"/>
      <c r="G329" s="152"/>
      <c r="H329" s="152"/>
      <c r="I329" s="152"/>
      <c r="J329" s="152"/>
      <c r="K329" s="445"/>
      <c r="L329" s="445"/>
      <c r="M329" s="152"/>
      <c r="N329" s="152"/>
      <c r="O329" s="152"/>
      <c r="P329" s="152"/>
      <c r="Q329" s="152"/>
      <c r="R329" s="152"/>
      <c r="S329" s="152"/>
      <c r="T329" s="152"/>
      <c r="U329" s="152"/>
      <c r="V329" s="152"/>
      <c r="W329" s="152"/>
    </row>
    <row r="330">
      <c r="A330" s="152"/>
      <c r="B330" s="152"/>
      <c r="C330" s="152"/>
      <c r="D330" s="152"/>
      <c r="E330" s="152"/>
      <c r="F330" s="152"/>
      <c r="G330" s="152"/>
      <c r="H330" s="152"/>
      <c r="I330" s="152"/>
      <c r="J330" s="152"/>
      <c r="K330" s="445"/>
      <c r="L330" s="445"/>
      <c r="M330" s="152"/>
      <c r="N330" s="152"/>
      <c r="O330" s="152"/>
      <c r="P330" s="152"/>
      <c r="Q330" s="152"/>
      <c r="R330" s="152"/>
      <c r="S330" s="152"/>
      <c r="T330" s="152"/>
      <c r="U330" s="152"/>
      <c r="V330" s="152"/>
      <c r="W330" s="152"/>
    </row>
    <row r="331">
      <c r="A331" s="152"/>
      <c r="B331" s="152"/>
      <c r="C331" s="152"/>
      <c r="D331" s="152"/>
      <c r="E331" s="152"/>
      <c r="F331" s="152"/>
      <c r="G331" s="152"/>
      <c r="H331" s="152"/>
      <c r="I331" s="152"/>
      <c r="J331" s="152"/>
      <c r="K331" s="445"/>
      <c r="L331" s="445"/>
      <c r="M331" s="152"/>
      <c r="N331" s="152"/>
      <c r="O331" s="152"/>
      <c r="P331" s="152"/>
      <c r="Q331" s="152"/>
      <c r="R331" s="152"/>
      <c r="S331" s="152"/>
      <c r="T331" s="152"/>
      <c r="U331" s="152"/>
      <c r="V331" s="152"/>
      <c r="W331" s="152"/>
    </row>
    <row r="332">
      <c r="A332" s="152"/>
      <c r="B332" s="152"/>
      <c r="C332" s="152"/>
      <c r="D332" s="152"/>
      <c r="E332" s="152"/>
      <c r="F332" s="152"/>
      <c r="G332" s="152"/>
      <c r="H332" s="152"/>
      <c r="I332" s="152"/>
      <c r="J332" s="152"/>
      <c r="K332" s="445"/>
      <c r="L332" s="445"/>
      <c r="M332" s="152"/>
      <c r="N332" s="152"/>
      <c r="O332" s="152"/>
      <c r="P332" s="152"/>
      <c r="Q332" s="152"/>
      <c r="R332" s="152"/>
      <c r="S332" s="152"/>
      <c r="T332" s="152"/>
      <c r="U332" s="152"/>
      <c r="V332" s="152"/>
      <c r="W332" s="152"/>
    </row>
    <row r="333">
      <c r="A333" s="152"/>
      <c r="B333" s="152"/>
      <c r="C333" s="152"/>
      <c r="D333" s="152"/>
      <c r="E333" s="152"/>
      <c r="F333" s="152"/>
      <c r="G333" s="152"/>
      <c r="H333" s="152"/>
      <c r="I333" s="152"/>
      <c r="J333" s="152"/>
      <c r="K333" s="445"/>
      <c r="L333" s="445"/>
      <c r="M333" s="152"/>
      <c r="N333" s="152"/>
      <c r="O333" s="152"/>
      <c r="P333" s="152"/>
      <c r="Q333" s="152"/>
      <c r="R333" s="152"/>
      <c r="S333" s="152"/>
      <c r="T333" s="152"/>
      <c r="U333" s="152"/>
      <c r="V333" s="152"/>
      <c r="W333" s="152"/>
    </row>
    <row r="334">
      <c r="A334" s="152"/>
      <c r="B334" s="152"/>
      <c r="C334" s="152"/>
      <c r="D334" s="152"/>
      <c r="E334" s="152"/>
      <c r="F334" s="152"/>
      <c r="G334" s="152"/>
      <c r="H334" s="152"/>
      <c r="I334" s="152"/>
      <c r="J334" s="152"/>
      <c r="K334" s="445"/>
      <c r="L334" s="445"/>
      <c r="M334" s="152"/>
      <c r="N334" s="152"/>
      <c r="O334" s="152"/>
      <c r="P334" s="152"/>
      <c r="Q334" s="152"/>
      <c r="R334" s="152"/>
      <c r="S334" s="152"/>
      <c r="T334" s="152"/>
      <c r="U334" s="152"/>
      <c r="V334" s="152"/>
      <c r="W334" s="152"/>
    </row>
    <row r="335">
      <c r="A335" s="152"/>
      <c r="B335" s="152"/>
      <c r="C335" s="152"/>
      <c r="D335" s="152"/>
      <c r="E335" s="152"/>
      <c r="F335" s="152"/>
      <c r="G335" s="152"/>
      <c r="H335" s="152"/>
      <c r="I335" s="152"/>
      <c r="J335" s="152"/>
      <c r="K335" s="445"/>
      <c r="L335" s="445"/>
      <c r="M335" s="152"/>
      <c r="N335" s="152"/>
      <c r="O335" s="152"/>
      <c r="P335" s="152"/>
      <c r="Q335" s="152"/>
      <c r="R335" s="152"/>
      <c r="S335" s="152"/>
      <c r="T335" s="152"/>
      <c r="U335" s="152"/>
      <c r="V335" s="152"/>
      <c r="W335" s="152"/>
    </row>
    <row r="336">
      <c r="A336" s="152"/>
      <c r="B336" s="152"/>
      <c r="C336" s="152"/>
      <c r="D336" s="152"/>
      <c r="E336" s="152"/>
      <c r="F336" s="152"/>
      <c r="G336" s="152"/>
      <c r="H336" s="152"/>
      <c r="I336" s="152"/>
      <c r="J336" s="152"/>
      <c r="K336" s="445"/>
      <c r="L336" s="445"/>
      <c r="M336" s="152"/>
      <c r="N336" s="152"/>
      <c r="O336" s="152"/>
      <c r="P336" s="152"/>
      <c r="Q336" s="152"/>
      <c r="R336" s="152"/>
      <c r="S336" s="152"/>
      <c r="T336" s="152"/>
      <c r="U336" s="152"/>
      <c r="V336" s="152"/>
      <c r="W336" s="152"/>
    </row>
    <row r="337">
      <c r="A337" s="152"/>
      <c r="B337" s="152"/>
      <c r="C337" s="152"/>
      <c r="D337" s="152"/>
      <c r="E337" s="152"/>
      <c r="F337" s="152"/>
      <c r="G337" s="152"/>
      <c r="H337" s="152"/>
      <c r="I337" s="152"/>
      <c r="J337" s="152"/>
      <c r="K337" s="445"/>
      <c r="L337" s="445"/>
      <c r="M337" s="152"/>
      <c r="N337" s="152"/>
      <c r="O337" s="152"/>
      <c r="P337" s="152"/>
      <c r="Q337" s="152"/>
      <c r="R337" s="152"/>
      <c r="S337" s="152"/>
      <c r="T337" s="152"/>
      <c r="U337" s="152"/>
      <c r="V337" s="152"/>
      <c r="W337" s="152"/>
    </row>
    <row r="338">
      <c r="A338" s="152"/>
      <c r="B338" s="152"/>
      <c r="C338" s="152"/>
      <c r="D338" s="152"/>
      <c r="E338" s="152"/>
      <c r="F338" s="152"/>
      <c r="G338" s="152"/>
      <c r="H338" s="152"/>
      <c r="I338" s="152"/>
      <c r="J338" s="152"/>
      <c r="K338" s="445"/>
      <c r="L338" s="445"/>
      <c r="M338" s="152"/>
      <c r="N338" s="152"/>
      <c r="O338" s="152"/>
      <c r="P338" s="152"/>
      <c r="Q338" s="152"/>
      <c r="R338" s="152"/>
      <c r="S338" s="152"/>
      <c r="T338" s="152"/>
      <c r="U338" s="152"/>
      <c r="V338" s="152"/>
      <c r="W338" s="152"/>
    </row>
    <row r="339">
      <c r="A339" s="152"/>
      <c r="B339" s="152"/>
      <c r="C339" s="152"/>
      <c r="D339" s="152"/>
      <c r="E339" s="152"/>
      <c r="F339" s="152"/>
      <c r="G339" s="152"/>
      <c r="H339" s="152"/>
      <c r="I339" s="152"/>
      <c r="J339" s="152"/>
      <c r="K339" s="445"/>
      <c r="L339" s="445"/>
      <c r="M339" s="152"/>
      <c r="N339" s="152"/>
      <c r="O339" s="152"/>
      <c r="P339" s="152"/>
      <c r="Q339" s="152"/>
      <c r="R339" s="152"/>
      <c r="S339" s="152"/>
      <c r="T339" s="152"/>
      <c r="U339" s="152"/>
      <c r="V339" s="152"/>
      <c r="W339" s="152"/>
    </row>
    <row r="340">
      <c r="A340" s="152"/>
      <c r="B340" s="152"/>
      <c r="C340" s="152"/>
      <c r="D340" s="152"/>
      <c r="E340" s="152"/>
      <c r="F340" s="152"/>
      <c r="G340" s="152"/>
      <c r="H340" s="152"/>
      <c r="I340" s="152"/>
      <c r="J340" s="152"/>
      <c r="K340" s="445"/>
      <c r="L340" s="445"/>
      <c r="M340" s="152"/>
      <c r="N340" s="152"/>
      <c r="O340" s="152"/>
      <c r="P340" s="152"/>
      <c r="Q340" s="152"/>
      <c r="R340" s="152"/>
      <c r="S340" s="152"/>
      <c r="T340" s="152"/>
      <c r="U340" s="152"/>
      <c r="V340" s="152"/>
      <c r="W340" s="152"/>
    </row>
    <row r="341">
      <c r="A341" s="152"/>
      <c r="B341" s="152"/>
      <c r="C341" s="152"/>
      <c r="D341" s="152"/>
      <c r="E341" s="152"/>
      <c r="F341" s="152"/>
      <c r="G341" s="152"/>
      <c r="H341" s="152"/>
      <c r="I341" s="152"/>
      <c r="J341" s="152"/>
      <c r="K341" s="445"/>
      <c r="L341" s="445"/>
      <c r="M341" s="152"/>
      <c r="N341" s="152"/>
      <c r="O341" s="152"/>
      <c r="P341" s="152"/>
      <c r="Q341" s="152"/>
      <c r="R341" s="152"/>
      <c r="S341" s="152"/>
      <c r="T341" s="152"/>
      <c r="U341" s="152"/>
      <c r="V341" s="152"/>
      <c r="W341" s="152"/>
    </row>
    <row r="342">
      <c r="A342" s="152"/>
      <c r="B342" s="152"/>
      <c r="C342" s="152"/>
      <c r="D342" s="152"/>
      <c r="E342" s="152"/>
      <c r="F342" s="152"/>
      <c r="G342" s="152"/>
      <c r="H342" s="152"/>
      <c r="I342" s="152"/>
      <c r="J342" s="152"/>
      <c r="K342" s="445"/>
      <c r="L342" s="445"/>
      <c r="M342" s="152"/>
      <c r="N342" s="152"/>
      <c r="O342" s="152"/>
      <c r="P342" s="152"/>
      <c r="Q342" s="152"/>
      <c r="R342" s="152"/>
      <c r="S342" s="152"/>
      <c r="T342" s="152"/>
      <c r="U342" s="152"/>
      <c r="V342" s="152"/>
      <c r="W342" s="152"/>
    </row>
    <row r="343">
      <c r="A343" s="152"/>
      <c r="B343" s="152"/>
      <c r="C343" s="152"/>
      <c r="D343" s="152"/>
      <c r="E343" s="152"/>
      <c r="F343" s="152"/>
      <c r="G343" s="152"/>
      <c r="H343" s="152"/>
      <c r="I343" s="152"/>
      <c r="J343" s="152"/>
      <c r="K343" s="445"/>
      <c r="L343" s="445"/>
      <c r="M343" s="152"/>
      <c r="N343" s="152"/>
      <c r="O343" s="152"/>
      <c r="P343" s="152"/>
      <c r="Q343" s="152"/>
      <c r="R343" s="152"/>
      <c r="S343" s="152"/>
      <c r="T343" s="152"/>
      <c r="U343" s="152"/>
      <c r="V343" s="152"/>
      <c r="W343" s="152"/>
    </row>
    <row r="344">
      <c r="A344" s="152"/>
      <c r="B344" s="152"/>
      <c r="C344" s="152"/>
      <c r="D344" s="152"/>
      <c r="E344" s="152"/>
      <c r="F344" s="152"/>
      <c r="G344" s="152"/>
      <c r="H344" s="152"/>
      <c r="I344" s="152"/>
      <c r="J344" s="152"/>
      <c r="K344" s="445"/>
      <c r="L344" s="445"/>
      <c r="M344" s="152"/>
      <c r="N344" s="152"/>
      <c r="O344" s="152"/>
      <c r="P344" s="152"/>
      <c r="Q344" s="152"/>
      <c r="R344" s="152"/>
      <c r="S344" s="152"/>
      <c r="T344" s="152"/>
      <c r="U344" s="152"/>
      <c r="V344" s="152"/>
      <c r="W344" s="152"/>
    </row>
    <row r="345">
      <c r="A345" s="152"/>
      <c r="B345" s="152"/>
      <c r="C345" s="152"/>
      <c r="D345" s="152"/>
      <c r="E345" s="152"/>
      <c r="F345" s="152"/>
      <c r="G345" s="152"/>
      <c r="H345" s="152"/>
      <c r="I345" s="152"/>
      <c r="J345" s="152"/>
      <c r="K345" s="445"/>
      <c r="L345" s="445"/>
      <c r="M345" s="152"/>
      <c r="N345" s="152"/>
      <c r="O345" s="152"/>
      <c r="P345" s="152"/>
      <c r="Q345" s="152"/>
      <c r="R345" s="152"/>
      <c r="S345" s="152"/>
      <c r="T345" s="152"/>
      <c r="U345" s="152"/>
      <c r="V345" s="152"/>
      <c r="W345" s="152"/>
    </row>
    <row r="346">
      <c r="A346" s="152"/>
      <c r="B346" s="152"/>
      <c r="C346" s="152"/>
      <c r="D346" s="152"/>
      <c r="E346" s="152"/>
      <c r="F346" s="152"/>
      <c r="G346" s="152"/>
      <c r="H346" s="152"/>
      <c r="I346" s="152"/>
      <c r="J346" s="152"/>
      <c r="K346" s="445"/>
      <c r="L346" s="445"/>
      <c r="M346" s="152"/>
      <c r="N346" s="152"/>
      <c r="O346" s="152"/>
      <c r="P346" s="152"/>
      <c r="Q346" s="152"/>
      <c r="R346" s="152"/>
      <c r="S346" s="152"/>
      <c r="T346" s="152"/>
      <c r="U346" s="152"/>
      <c r="V346" s="152"/>
      <c r="W346" s="152"/>
    </row>
    <row r="347">
      <c r="A347" s="152"/>
      <c r="B347" s="152"/>
      <c r="C347" s="152"/>
      <c r="D347" s="152"/>
      <c r="E347" s="152"/>
      <c r="F347" s="152"/>
      <c r="G347" s="152"/>
      <c r="H347" s="152"/>
      <c r="I347" s="152"/>
      <c r="J347" s="152"/>
      <c r="K347" s="445"/>
      <c r="L347" s="445"/>
      <c r="M347" s="152"/>
      <c r="N347" s="152"/>
      <c r="O347" s="152"/>
      <c r="P347" s="152"/>
      <c r="Q347" s="152"/>
      <c r="R347" s="152"/>
      <c r="S347" s="152"/>
      <c r="T347" s="152"/>
      <c r="U347" s="152"/>
      <c r="V347" s="152"/>
      <c r="W347" s="152"/>
    </row>
    <row r="348">
      <c r="A348" s="152"/>
      <c r="B348" s="152"/>
      <c r="C348" s="152"/>
      <c r="D348" s="152"/>
      <c r="E348" s="152"/>
      <c r="F348" s="152"/>
      <c r="G348" s="152"/>
      <c r="H348" s="152"/>
      <c r="I348" s="152"/>
      <c r="J348" s="152"/>
      <c r="K348" s="445"/>
      <c r="L348" s="445"/>
      <c r="M348" s="152"/>
      <c r="N348" s="152"/>
      <c r="O348" s="152"/>
      <c r="P348" s="152"/>
      <c r="Q348" s="152"/>
      <c r="R348" s="152"/>
      <c r="S348" s="152"/>
      <c r="T348" s="152"/>
      <c r="U348" s="152"/>
      <c r="V348" s="152"/>
      <c r="W348" s="152"/>
    </row>
    <row r="349">
      <c r="A349" s="152"/>
      <c r="B349" s="152"/>
      <c r="C349" s="152"/>
      <c r="D349" s="152"/>
      <c r="E349" s="152"/>
      <c r="F349" s="152"/>
      <c r="G349" s="152"/>
      <c r="H349" s="152"/>
      <c r="I349" s="152"/>
      <c r="J349" s="152"/>
      <c r="K349" s="445"/>
      <c r="L349" s="445"/>
      <c r="M349" s="152"/>
      <c r="N349" s="152"/>
      <c r="O349" s="152"/>
      <c r="P349" s="152"/>
      <c r="Q349" s="152"/>
      <c r="R349" s="152"/>
      <c r="S349" s="152"/>
      <c r="T349" s="152"/>
      <c r="U349" s="152"/>
      <c r="V349" s="152"/>
      <c r="W349" s="152"/>
    </row>
    <row r="350">
      <c r="A350" s="152"/>
      <c r="B350" s="152"/>
      <c r="C350" s="152"/>
      <c r="D350" s="152"/>
      <c r="E350" s="152"/>
      <c r="F350" s="152"/>
      <c r="G350" s="152"/>
      <c r="H350" s="152"/>
      <c r="I350" s="152"/>
      <c r="J350" s="152"/>
      <c r="K350" s="445"/>
      <c r="L350" s="445"/>
      <c r="M350" s="152"/>
      <c r="N350" s="152"/>
      <c r="O350" s="152"/>
      <c r="P350" s="152"/>
      <c r="Q350" s="152"/>
      <c r="R350" s="152"/>
      <c r="S350" s="152"/>
      <c r="T350" s="152"/>
      <c r="U350" s="152"/>
      <c r="V350" s="152"/>
      <c r="W350" s="152"/>
    </row>
    <row r="351">
      <c r="A351" s="152"/>
      <c r="B351" s="152"/>
      <c r="C351" s="152"/>
      <c r="D351" s="152"/>
      <c r="E351" s="152"/>
      <c r="F351" s="152"/>
      <c r="G351" s="152"/>
      <c r="H351" s="152"/>
      <c r="I351" s="152"/>
      <c r="J351" s="152"/>
      <c r="K351" s="445"/>
      <c r="L351" s="445"/>
      <c r="M351" s="152"/>
      <c r="N351" s="152"/>
      <c r="O351" s="152"/>
      <c r="P351" s="152"/>
      <c r="Q351" s="152"/>
      <c r="R351" s="152"/>
      <c r="S351" s="152"/>
      <c r="T351" s="152"/>
      <c r="U351" s="152"/>
      <c r="V351" s="152"/>
      <c r="W351" s="152"/>
    </row>
    <row r="352">
      <c r="A352" s="152"/>
      <c r="B352" s="152"/>
      <c r="C352" s="152"/>
      <c r="D352" s="152"/>
      <c r="E352" s="152"/>
      <c r="F352" s="152"/>
      <c r="G352" s="152"/>
      <c r="H352" s="152"/>
      <c r="I352" s="152"/>
      <c r="J352" s="152"/>
      <c r="K352" s="445"/>
      <c r="L352" s="445"/>
      <c r="M352" s="152"/>
      <c r="N352" s="152"/>
      <c r="O352" s="152"/>
      <c r="P352" s="152"/>
      <c r="Q352" s="152"/>
      <c r="R352" s="152"/>
      <c r="S352" s="152"/>
      <c r="T352" s="152"/>
      <c r="U352" s="152"/>
      <c r="V352" s="152"/>
      <c r="W352" s="152"/>
    </row>
    <row r="353">
      <c r="A353" s="152"/>
      <c r="B353" s="152"/>
      <c r="C353" s="152"/>
      <c r="D353" s="152"/>
      <c r="E353" s="152"/>
      <c r="F353" s="152"/>
      <c r="G353" s="152"/>
      <c r="H353" s="152"/>
      <c r="I353" s="152"/>
      <c r="J353" s="152"/>
      <c r="K353" s="445"/>
      <c r="L353" s="445"/>
      <c r="M353" s="152"/>
      <c r="N353" s="152"/>
      <c r="O353" s="152"/>
      <c r="P353" s="152"/>
      <c r="Q353" s="152"/>
      <c r="R353" s="152"/>
      <c r="S353" s="152"/>
      <c r="T353" s="152"/>
      <c r="U353" s="152"/>
      <c r="V353" s="152"/>
      <c r="W353" s="152"/>
    </row>
    <row r="354">
      <c r="A354" s="152"/>
      <c r="B354" s="152"/>
      <c r="C354" s="152"/>
      <c r="D354" s="152"/>
      <c r="E354" s="152"/>
      <c r="F354" s="152"/>
      <c r="G354" s="152"/>
      <c r="H354" s="152"/>
      <c r="I354" s="152"/>
      <c r="J354" s="152"/>
      <c r="K354" s="445"/>
      <c r="L354" s="445"/>
      <c r="M354" s="152"/>
      <c r="N354" s="152"/>
      <c r="O354" s="152"/>
      <c r="P354" s="152"/>
      <c r="Q354" s="152"/>
      <c r="R354" s="152"/>
      <c r="S354" s="152"/>
      <c r="T354" s="152"/>
      <c r="U354" s="152"/>
      <c r="V354" s="152"/>
      <c r="W354" s="152"/>
    </row>
    <row r="355">
      <c r="A355" s="152"/>
      <c r="B355" s="152"/>
      <c r="C355" s="152"/>
      <c r="D355" s="152"/>
      <c r="E355" s="152"/>
      <c r="F355" s="152"/>
      <c r="G355" s="152"/>
      <c r="H355" s="152"/>
      <c r="I355" s="152"/>
      <c r="J355" s="152"/>
      <c r="K355" s="445"/>
      <c r="L355" s="445"/>
      <c r="M355" s="152"/>
      <c r="N355" s="152"/>
      <c r="O355" s="152"/>
      <c r="P355" s="152"/>
      <c r="Q355" s="152"/>
      <c r="R355" s="152"/>
      <c r="S355" s="152"/>
      <c r="T355" s="152"/>
      <c r="U355" s="152"/>
      <c r="V355" s="152"/>
      <c r="W355" s="152"/>
    </row>
    <row r="356">
      <c r="A356" s="152"/>
      <c r="B356" s="152"/>
      <c r="C356" s="152"/>
      <c r="D356" s="152"/>
      <c r="E356" s="152"/>
      <c r="F356" s="152"/>
      <c r="G356" s="152"/>
      <c r="H356" s="152"/>
      <c r="I356" s="152"/>
      <c r="J356" s="152"/>
      <c r="K356" s="445"/>
      <c r="L356" s="445"/>
      <c r="M356" s="152"/>
      <c r="N356" s="152"/>
      <c r="O356" s="152"/>
      <c r="P356" s="152"/>
      <c r="Q356" s="152"/>
      <c r="R356" s="152"/>
      <c r="S356" s="152"/>
      <c r="T356" s="152"/>
      <c r="U356" s="152"/>
      <c r="V356" s="152"/>
      <c r="W356" s="152"/>
    </row>
    <row r="357">
      <c r="A357" s="152"/>
      <c r="B357" s="152"/>
      <c r="C357" s="152"/>
      <c r="D357" s="152"/>
      <c r="E357" s="152"/>
      <c r="F357" s="152"/>
      <c r="G357" s="152"/>
      <c r="H357" s="152"/>
      <c r="I357" s="152"/>
      <c r="J357" s="152"/>
      <c r="K357" s="445"/>
      <c r="L357" s="445"/>
      <c r="M357" s="152"/>
      <c r="N357" s="152"/>
      <c r="O357" s="152"/>
      <c r="P357" s="152"/>
      <c r="Q357" s="152"/>
      <c r="R357" s="152"/>
      <c r="S357" s="152"/>
      <c r="T357" s="152"/>
      <c r="U357" s="152"/>
      <c r="V357" s="152"/>
      <c r="W357" s="152"/>
    </row>
    <row r="358">
      <c r="A358" s="152"/>
      <c r="B358" s="152"/>
      <c r="C358" s="152"/>
      <c r="D358" s="152"/>
      <c r="E358" s="152"/>
      <c r="F358" s="152"/>
      <c r="G358" s="152"/>
      <c r="H358" s="152"/>
      <c r="I358" s="152"/>
      <c r="J358" s="152"/>
      <c r="K358" s="445"/>
      <c r="L358" s="445"/>
      <c r="M358" s="152"/>
      <c r="N358" s="152"/>
      <c r="O358" s="152"/>
      <c r="P358" s="152"/>
      <c r="Q358" s="152"/>
      <c r="R358" s="152"/>
      <c r="S358" s="152"/>
      <c r="T358" s="152"/>
      <c r="U358" s="152"/>
      <c r="V358" s="152"/>
      <c r="W358" s="152"/>
    </row>
    <row r="359">
      <c r="A359" s="152"/>
      <c r="B359" s="152"/>
      <c r="C359" s="152"/>
      <c r="D359" s="152"/>
      <c r="E359" s="152"/>
      <c r="F359" s="152"/>
      <c r="G359" s="152"/>
      <c r="H359" s="152"/>
      <c r="I359" s="152"/>
      <c r="J359" s="152"/>
      <c r="K359" s="445"/>
      <c r="L359" s="445"/>
      <c r="M359" s="152"/>
      <c r="N359" s="152"/>
      <c r="O359" s="152"/>
      <c r="P359" s="152"/>
      <c r="Q359" s="152"/>
      <c r="R359" s="152"/>
      <c r="S359" s="152"/>
      <c r="T359" s="152"/>
      <c r="U359" s="152"/>
      <c r="V359" s="152"/>
      <c r="W359" s="152"/>
    </row>
    <row r="360">
      <c r="A360" s="152"/>
      <c r="B360" s="152"/>
      <c r="C360" s="152"/>
      <c r="D360" s="152"/>
      <c r="E360" s="152"/>
      <c r="F360" s="152"/>
      <c r="G360" s="152"/>
      <c r="H360" s="152"/>
      <c r="I360" s="152"/>
      <c r="J360" s="152"/>
      <c r="K360" s="445"/>
      <c r="L360" s="445"/>
      <c r="M360" s="152"/>
      <c r="N360" s="152"/>
      <c r="O360" s="152"/>
      <c r="P360" s="152"/>
      <c r="Q360" s="152"/>
      <c r="R360" s="152"/>
      <c r="S360" s="152"/>
      <c r="T360" s="152"/>
      <c r="U360" s="152"/>
      <c r="V360" s="152"/>
      <c r="W360" s="152"/>
    </row>
    <row r="361">
      <c r="A361" s="152"/>
      <c r="B361" s="152"/>
      <c r="C361" s="152"/>
      <c r="D361" s="152"/>
      <c r="E361" s="152"/>
      <c r="F361" s="152"/>
      <c r="G361" s="152"/>
      <c r="H361" s="152"/>
      <c r="I361" s="152"/>
      <c r="J361" s="152"/>
      <c r="K361" s="445"/>
      <c r="L361" s="445"/>
      <c r="M361" s="152"/>
      <c r="N361" s="152"/>
      <c r="O361" s="152"/>
      <c r="P361" s="152"/>
      <c r="Q361" s="152"/>
      <c r="R361" s="152"/>
      <c r="S361" s="152"/>
      <c r="T361" s="152"/>
      <c r="U361" s="152"/>
      <c r="V361" s="152"/>
      <c r="W361" s="152"/>
    </row>
    <row r="362">
      <c r="A362" s="152"/>
      <c r="B362" s="152"/>
      <c r="C362" s="152"/>
      <c r="D362" s="152"/>
      <c r="E362" s="152"/>
      <c r="F362" s="152"/>
      <c r="G362" s="152"/>
      <c r="H362" s="152"/>
      <c r="I362" s="152"/>
      <c r="J362" s="152"/>
      <c r="K362" s="445"/>
      <c r="L362" s="445"/>
      <c r="M362" s="152"/>
      <c r="N362" s="152"/>
      <c r="O362" s="152"/>
      <c r="P362" s="152"/>
      <c r="Q362" s="152"/>
      <c r="R362" s="152"/>
      <c r="S362" s="152"/>
      <c r="T362" s="152"/>
      <c r="U362" s="152"/>
      <c r="V362" s="152"/>
      <c r="W362" s="152"/>
    </row>
    <row r="363">
      <c r="A363" s="152"/>
      <c r="B363" s="152"/>
      <c r="C363" s="152"/>
      <c r="D363" s="152"/>
      <c r="E363" s="152"/>
      <c r="F363" s="152"/>
      <c r="G363" s="152"/>
      <c r="H363" s="152"/>
      <c r="I363" s="152"/>
      <c r="J363" s="152"/>
      <c r="K363" s="445"/>
      <c r="L363" s="445"/>
      <c r="M363" s="152"/>
      <c r="N363" s="152"/>
      <c r="O363" s="152"/>
      <c r="P363" s="152"/>
      <c r="Q363" s="152"/>
      <c r="R363" s="152"/>
      <c r="S363" s="152"/>
      <c r="T363" s="152"/>
      <c r="U363" s="152"/>
      <c r="V363" s="152"/>
      <c r="W363" s="152"/>
    </row>
    <row r="364">
      <c r="A364" s="152"/>
      <c r="B364" s="152"/>
      <c r="C364" s="152"/>
      <c r="D364" s="152"/>
      <c r="E364" s="152"/>
      <c r="F364" s="152"/>
      <c r="G364" s="152"/>
      <c r="H364" s="152"/>
      <c r="I364" s="152"/>
      <c r="J364" s="152"/>
      <c r="K364" s="445"/>
      <c r="L364" s="445"/>
      <c r="M364" s="152"/>
      <c r="N364" s="152"/>
      <c r="O364" s="152"/>
      <c r="P364" s="152"/>
      <c r="Q364" s="152"/>
      <c r="R364" s="152"/>
      <c r="S364" s="152"/>
      <c r="T364" s="152"/>
      <c r="U364" s="152"/>
      <c r="V364" s="152"/>
      <c r="W364" s="152"/>
    </row>
    <row r="365">
      <c r="A365" s="152"/>
      <c r="B365" s="152"/>
      <c r="C365" s="152"/>
      <c r="D365" s="152"/>
      <c r="E365" s="152"/>
      <c r="F365" s="152"/>
      <c r="G365" s="152"/>
      <c r="H365" s="152"/>
      <c r="I365" s="152"/>
      <c r="J365" s="152"/>
      <c r="K365" s="445"/>
      <c r="L365" s="445"/>
      <c r="M365" s="152"/>
      <c r="N365" s="152"/>
      <c r="O365" s="152"/>
      <c r="P365" s="152"/>
      <c r="Q365" s="152"/>
      <c r="R365" s="152"/>
      <c r="S365" s="152"/>
      <c r="T365" s="152"/>
      <c r="U365" s="152"/>
      <c r="V365" s="152"/>
      <c r="W365" s="152"/>
    </row>
    <row r="366">
      <c r="A366" s="152"/>
      <c r="B366" s="152"/>
      <c r="C366" s="152"/>
      <c r="D366" s="152"/>
      <c r="E366" s="152"/>
      <c r="F366" s="152"/>
      <c r="G366" s="152"/>
      <c r="H366" s="152"/>
      <c r="I366" s="152"/>
      <c r="J366" s="152"/>
      <c r="K366" s="445"/>
      <c r="L366" s="445"/>
      <c r="M366" s="152"/>
      <c r="N366" s="152"/>
      <c r="O366" s="152"/>
      <c r="P366" s="152"/>
      <c r="Q366" s="152"/>
      <c r="R366" s="152"/>
      <c r="S366" s="152"/>
      <c r="T366" s="152"/>
      <c r="U366" s="152"/>
      <c r="V366" s="152"/>
      <c r="W366" s="152"/>
    </row>
    <row r="367">
      <c r="A367" s="152"/>
      <c r="B367" s="152"/>
      <c r="C367" s="152"/>
      <c r="D367" s="152"/>
      <c r="E367" s="152"/>
      <c r="F367" s="152"/>
      <c r="G367" s="152"/>
      <c r="H367" s="152"/>
      <c r="I367" s="152"/>
      <c r="J367" s="152"/>
      <c r="K367" s="445"/>
      <c r="L367" s="445"/>
      <c r="M367" s="152"/>
      <c r="N367" s="152"/>
      <c r="O367" s="152"/>
      <c r="P367" s="152"/>
      <c r="Q367" s="152"/>
      <c r="R367" s="152"/>
      <c r="S367" s="152"/>
      <c r="T367" s="152"/>
      <c r="U367" s="152"/>
      <c r="V367" s="152"/>
      <c r="W367" s="152"/>
    </row>
    <row r="368">
      <c r="A368" s="152"/>
      <c r="B368" s="152"/>
      <c r="C368" s="152"/>
      <c r="D368" s="152"/>
      <c r="E368" s="152"/>
      <c r="F368" s="152"/>
      <c r="G368" s="152"/>
      <c r="H368" s="152"/>
      <c r="I368" s="152"/>
      <c r="J368" s="152"/>
      <c r="K368" s="445"/>
      <c r="L368" s="445"/>
      <c r="M368" s="152"/>
      <c r="N368" s="152"/>
      <c r="O368" s="152"/>
      <c r="P368" s="152"/>
      <c r="Q368" s="152"/>
      <c r="R368" s="152"/>
      <c r="S368" s="152"/>
      <c r="T368" s="152"/>
      <c r="U368" s="152"/>
      <c r="V368" s="152"/>
      <c r="W368" s="152"/>
    </row>
    <row r="369">
      <c r="A369" s="152"/>
      <c r="B369" s="152"/>
      <c r="C369" s="152"/>
      <c r="D369" s="152"/>
      <c r="E369" s="152"/>
      <c r="F369" s="152"/>
      <c r="G369" s="152"/>
      <c r="H369" s="152"/>
      <c r="I369" s="152"/>
      <c r="J369" s="152"/>
      <c r="K369" s="445"/>
      <c r="L369" s="445"/>
      <c r="M369" s="152"/>
      <c r="N369" s="152"/>
      <c r="O369" s="152"/>
      <c r="P369" s="152"/>
      <c r="Q369" s="152"/>
      <c r="R369" s="152"/>
      <c r="S369" s="152"/>
      <c r="T369" s="152"/>
      <c r="U369" s="152"/>
      <c r="V369" s="152"/>
      <c r="W369" s="152"/>
    </row>
    <row r="370">
      <c r="A370" s="152"/>
      <c r="B370" s="152"/>
      <c r="C370" s="152"/>
      <c r="D370" s="152"/>
      <c r="E370" s="152"/>
      <c r="F370" s="152"/>
      <c r="G370" s="152"/>
      <c r="H370" s="152"/>
      <c r="I370" s="152"/>
      <c r="J370" s="152"/>
      <c r="K370" s="445"/>
      <c r="L370" s="445"/>
      <c r="M370" s="152"/>
      <c r="N370" s="152"/>
      <c r="O370" s="152"/>
      <c r="P370" s="152"/>
      <c r="Q370" s="152"/>
      <c r="R370" s="152"/>
      <c r="S370" s="152"/>
      <c r="T370" s="152"/>
      <c r="U370" s="152"/>
      <c r="V370" s="152"/>
      <c r="W370" s="152"/>
    </row>
    <row r="371">
      <c r="A371" s="152"/>
      <c r="B371" s="152"/>
      <c r="C371" s="152"/>
      <c r="D371" s="152"/>
      <c r="E371" s="152"/>
      <c r="F371" s="152"/>
      <c r="G371" s="152"/>
      <c r="H371" s="152"/>
      <c r="I371" s="152"/>
      <c r="J371" s="152"/>
      <c r="K371" s="445"/>
      <c r="L371" s="445"/>
      <c r="M371" s="152"/>
      <c r="N371" s="152"/>
      <c r="O371" s="152"/>
      <c r="P371" s="152"/>
      <c r="Q371" s="152"/>
      <c r="R371" s="152"/>
      <c r="S371" s="152"/>
      <c r="T371" s="152"/>
      <c r="U371" s="152"/>
      <c r="V371" s="152"/>
      <c r="W371" s="152"/>
    </row>
    <row r="372">
      <c r="A372" s="152"/>
      <c r="B372" s="152"/>
      <c r="C372" s="152"/>
      <c r="D372" s="152"/>
      <c r="E372" s="152"/>
      <c r="F372" s="152"/>
      <c r="G372" s="152"/>
      <c r="H372" s="152"/>
      <c r="I372" s="152"/>
      <c r="J372" s="152"/>
      <c r="K372" s="445"/>
      <c r="L372" s="445"/>
      <c r="M372" s="152"/>
      <c r="N372" s="152"/>
      <c r="O372" s="152"/>
      <c r="P372" s="152"/>
      <c r="Q372" s="152"/>
      <c r="R372" s="152"/>
      <c r="S372" s="152"/>
      <c r="T372" s="152"/>
      <c r="U372" s="152"/>
      <c r="V372" s="152"/>
      <c r="W372" s="152"/>
    </row>
    <row r="373">
      <c r="A373" s="152"/>
      <c r="B373" s="152"/>
      <c r="C373" s="152"/>
      <c r="D373" s="152"/>
      <c r="E373" s="152"/>
      <c r="F373" s="152"/>
      <c r="G373" s="152"/>
      <c r="H373" s="152"/>
      <c r="I373" s="152"/>
      <c r="J373" s="152"/>
      <c r="K373" s="445"/>
      <c r="L373" s="445"/>
      <c r="M373" s="152"/>
      <c r="N373" s="152"/>
      <c r="O373" s="152"/>
      <c r="P373" s="152"/>
      <c r="Q373" s="152"/>
      <c r="R373" s="152"/>
      <c r="S373" s="152"/>
      <c r="T373" s="152"/>
      <c r="U373" s="152"/>
      <c r="V373" s="152"/>
      <c r="W373" s="152"/>
    </row>
    <row r="374">
      <c r="A374" s="152"/>
      <c r="B374" s="152"/>
      <c r="C374" s="152"/>
      <c r="D374" s="152"/>
      <c r="E374" s="152"/>
      <c r="F374" s="152"/>
      <c r="G374" s="152"/>
      <c r="H374" s="152"/>
      <c r="I374" s="152"/>
      <c r="J374" s="152"/>
      <c r="K374" s="445"/>
      <c r="L374" s="445"/>
      <c r="M374" s="152"/>
      <c r="N374" s="152"/>
      <c r="O374" s="152"/>
      <c r="P374" s="152"/>
      <c r="Q374" s="152"/>
      <c r="R374" s="152"/>
      <c r="S374" s="152"/>
      <c r="T374" s="152"/>
      <c r="U374" s="152"/>
      <c r="V374" s="152"/>
      <c r="W374" s="152"/>
    </row>
    <row r="375">
      <c r="A375" s="152"/>
      <c r="B375" s="152"/>
      <c r="C375" s="152"/>
      <c r="D375" s="152"/>
      <c r="E375" s="152"/>
      <c r="F375" s="152"/>
      <c r="G375" s="152"/>
      <c r="H375" s="152"/>
      <c r="I375" s="152"/>
      <c r="J375" s="152"/>
      <c r="K375" s="445"/>
      <c r="L375" s="445"/>
      <c r="M375" s="152"/>
      <c r="N375" s="152"/>
      <c r="O375" s="152"/>
      <c r="P375" s="152"/>
      <c r="Q375" s="152"/>
      <c r="R375" s="152"/>
      <c r="S375" s="152"/>
      <c r="T375" s="152"/>
      <c r="U375" s="152"/>
      <c r="V375" s="152"/>
      <c r="W375" s="152"/>
    </row>
    <row r="376">
      <c r="A376" s="152"/>
      <c r="B376" s="152"/>
      <c r="C376" s="152"/>
      <c r="D376" s="152"/>
      <c r="E376" s="152"/>
      <c r="F376" s="152"/>
      <c r="G376" s="152"/>
      <c r="H376" s="152"/>
      <c r="I376" s="152"/>
      <c r="J376" s="152"/>
      <c r="K376" s="445"/>
      <c r="L376" s="445"/>
      <c r="M376" s="152"/>
      <c r="N376" s="152"/>
      <c r="O376" s="152"/>
      <c r="P376" s="152"/>
      <c r="Q376" s="152"/>
      <c r="R376" s="152"/>
      <c r="S376" s="152"/>
      <c r="T376" s="152"/>
      <c r="U376" s="152"/>
      <c r="V376" s="152"/>
      <c r="W376" s="152"/>
    </row>
    <row r="377">
      <c r="A377" s="152"/>
      <c r="B377" s="152"/>
      <c r="C377" s="152"/>
      <c r="D377" s="152"/>
      <c r="E377" s="152"/>
      <c r="F377" s="152"/>
      <c r="G377" s="152"/>
      <c r="H377" s="152"/>
      <c r="I377" s="152"/>
      <c r="J377" s="152"/>
      <c r="K377" s="445"/>
      <c r="L377" s="445"/>
      <c r="M377" s="152"/>
      <c r="N377" s="152"/>
      <c r="O377" s="152"/>
      <c r="P377" s="152"/>
      <c r="Q377" s="152"/>
      <c r="R377" s="152"/>
      <c r="S377" s="152"/>
      <c r="T377" s="152"/>
      <c r="U377" s="152"/>
      <c r="V377" s="152"/>
      <c r="W377" s="152"/>
    </row>
    <row r="378">
      <c r="A378" s="152"/>
      <c r="B378" s="152"/>
      <c r="C378" s="152"/>
      <c r="D378" s="152"/>
      <c r="E378" s="152"/>
      <c r="F378" s="152"/>
      <c r="G378" s="152"/>
      <c r="H378" s="152"/>
      <c r="I378" s="152"/>
      <c r="J378" s="152"/>
      <c r="K378" s="445"/>
      <c r="L378" s="445"/>
      <c r="M378" s="152"/>
      <c r="N378" s="152"/>
      <c r="O378" s="152"/>
      <c r="P378" s="152"/>
      <c r="Q378" s="152"/>
      <c r="R378" s="152"/>
      <c r="S378" s="152"/>
      <c r="T378" s="152"/>
      <c r="U378" s="152"/>
      <c r="V378" s="152"/>
      <c r="W378" s="152"/>
    </row>
    <row r="379">
      <c r="A379" s="152"/>
      <c r="B379" s="152"/>
      <c r="C379" s="152"/>
      <c r="D379" s="152"/>
      <c r="E379" s="152"/>
      <c r="F379" s="152"/>
      <c r="G379" s="152"/>
      <c r="H379" s="152"/>
      <c r="I379" s="152"/>
      <c r="J379" s="152"/>
      <c r="K379" s="445"/>
      <c r="L379" s="445"/>
      <c r="M379" s="152"/>
      <c r="N379" s="152"/>
      <c r="O379" s="152"/>
      <c r="P379" s="152"/>
      <c r="Q379" s="152"/>
      <c r="R379" s="152"/>
      <c r="S379" s="152"/>
      <c r="T379" s="152"/>
      <c r="U379" s="152"/>
      <c r="V379" s="152"/>
      <c r="W379" s="152"/>
    </row>
    <row r="380">
      <c r="A380" s="152"/>
      <c r="B380" s="152"/>
      <c r="C380" s="152"/>
      <c r="D380" s="152"/>
      <c r="E380" s="152"/>
      <c r="F380" s="152"/>
      <c r="G380" s="152"/>
      <c r="H380" s="152"/>
      <c r="I380" s="152"/>
      <c r="J380" s="152"/>
      <c r="K380" s="445"/>
      <c r="L380" s="445"/>
      <c r="M380" s="152"/>
      <c r="N380" s="152"/>
      <c r="O380" s="152"/>
      <c r="P380" s="152"/>
      <c r="Q380" s="152"/>
      <c r="R380" s="152"/>
      <c r="S380" s="152"/>
      <c r="T380" s="152"/>
      <c r="U380" s="152"/>
      <c r="V380" s="152"/>
      <c r="W380" s="152"/>
    </row>
    <row r="381">
      <c r="A381" s="152"/>
      <c r="B381" s="152"/>
      <c r="C381" s="152"/>
      <c r="D381" s="152"/>
      <c r="E381" s="152"/>
      <c r="F381" s="152"/>
      <c r="G381" s="152"/>
      <c r="H381" s="152"/>
      <c r="I381" s="152"/>
      <c r="J381" s="152"/>
      <c r="K381" s="445"/>
      <c r="L381" s="445"/>
      <c r="M381" s="152"/>
      <c r="N381" s="152"/>
      <c r="O381" s="152"/>
      <c r="P381" s="152"/>
      <c r="Q381" s="152"/>
      <c r="R381" s="152"/>
      <c r="S381" s="152"/>
      <c r="T381" s="152"/>
      <c r="U381" s="152"/>
      <c r="V381" s="152"/>
      <c r="W381" s="152"/>
    </row>
    <row r="382">
      <c r="A382" s="152"/>
      <c r="B382" s="152"/>
      <c r="C382" s="152"/>
      <c r="D382" s="152"/>
      <c r="E382" s="152"/>
      <c r="F382" s="152"/>
      <c r="G382" s="152"/>
      <c r="H382" s="152"/>
      <c r="I382" s="152"/>
      <c r="J382" s="152"/>
      <c r="K382" s="445"/>
      <c r="L382" s="445"/>
      <c r="M382" s="152"/>
      <c r="N382" s="152"/>
      <c r="O382" s="152"/>
      <c r="P382" s="152"/>
      <c r="Q382" s="152"/>
      <c r="R382" s="152"/>
      <c r="S382" s="152"/>
      <c r="T382" s="152"/>
      <c r="U382" s="152"/>
      <c r="V382" s="152"/>
      <c r="W382" s="152"/>
    </row>
    <row r="383">
      <c r="A383" s="152"/>
      <c r="B383" s="152"/>
      <c r="C383" s="152"/>
      <c r="D383" s="152"/>
      <c r="E383" s="152"/>
      <c r="F383" s="152"/>
      <c r="G383" s="152"/>
      <c r="H383" s="152"/>
      <c r="I383" s="152"/>
      <c r="J383" s="152"/>
      <c r="K383" s="445"/>
      <c r="L383" s="445"/>
      <c r="M383" s="152"/>
      <c r="N383" s="152"/>
      <c r="O383" s="152"/>
      <c r="P383" s="152"/>
      <c r="Q383" s="152"/>
      <c r="R383" s="152"/>
      <c r="S383" s="152"/>
      <c r="T383" s="152"/>
      <c r="U383" s="152"/>
      <c r="V383" s="152"/>
      <c r="W383" s="152"/>
    </row>
    <row r="384">
      <c r="A384" s="152"/>
      <c r="B384" s="152"/>
      <c r="C384" s="152"/>
      <c r="D384" s="152"/>
      <c r="E384" s="152"/>
      <c r="F384" s="152"/>
      <c r="G384" s="152"/>
      <c r="H384" s="152"/>
      <c r="I384" s="152"/>
      <c r="J384" s="152"/>
      <c r="K384" s="445"/>
      <c r="L384" s="445"/>
      <c r="M384" s="152"/>
      <c r="N384" s="152"/>
      <c r="O384" s="152"/>
      <c r="P384" s="152"/>
      <c r="Q384" s="152"/>
      <c r="R384" s="152"/>
      <c r="S384" s="152"/>
      <c r="T384" s="152"/>
      <c r="U384" s="152"/>
      <c r="V384" s="152"/>
      <c r="W384" s="152"/>
    </row>
    <row r="385">
      <c r="A385" s="152"/>
      <c r="B385" s="152"/>
      <c r="C385" s="152"/>
      <c r="D385" s="152"/>
      <c r="E385" s="152"/>
      <c r="F385" s="152"/>
      <c r="G385" s="152"/>
      <c r="H385" s="152"/>
      <c r="I385" s="152"/>
      <c r="J385" s="152"/>
      <c r="K385" s="445"/>
      <c r="L385" s="445"/>
      <c r="M385" s="152"/>
      <c r="N385" s="152"/>
      <c r="O385" s="152"/>
      <c r="P385" s="152"/>
      <c r="Q385" s="152"/>
      <c r="R385" s="152"/>
      <c r="S385" s="152"/>
      <c r="T385" s="152"/>
      <c r="U385" s="152"/>
      <c r="V385" s="152"/>
      <c r="W385" s="152"/>
    </row>
    <row r="386">
      <c r="A386" s="152"/>
      <c r="B386" s="152"/>
      <c r="C386" s="152"/>
      <c r="D386" s="152"/>
      <c r="E386" s="152"/>
      <c r="F386" s="152"/>
      <c r="G386" s="152"/>
      <c r="H386" s="152"/>
      <c r="I386" s="152"/>
      <c r="J386" s="152"/>
      <c r="K386" s="445"/>
      <c r="L386" s="445"/>
      <c r="M386" s="152"/>
      <c r="N386" s="152"/>
      <c r="O386" s="152"/>
      <c r="P386" s="152"/>
      <c r="Q386" s="152"/>
      <c r="R386" s="152"/>
      <c r="S386" s="152"/>
      <c r="T386" s="152"/>
      <c r="U386" s="152"/>
      <c r="V386" s="152"/>
      <c r="W386" s="152"/>
    </row>
    <row r="387">
      <c r="A387" s="152"/>
      <c r="B387" s="152"/>
      <c r="C387" s="152"/>
      <c r="D387" s="152"/>
      <c r="E387" s="152"/>
      <c r="F387" s="152"/>
      <c r="G387" s="152"/>
      <c r="H387" s="152"/>
      <c r="I387" s="152"/>
      <c r="J387" s="152"/>
      <c r="K387" s="445"/>
      <c r="L387" s="445"/>
      <c r="M387" s="152"/>
      <c r="N387" s="152"/>
      <c r="O387" s="152"/>
      <c r="P387" s="152"/>
      <c r="Q387" s="152"/>
      <c r="R387" s="152"/>
      <c r="S387" s="152"/>
      <c r="T387" s="152"/>
      <c r="U387" s="152"/>
      <c r="V387" s="152"/>
      <c r="W387" s="152"/>
    </row>
    <row r="388">
      <c r="A388" s="152"/>
      <c r="B388" s="152"/>
      <c r="C388" s="152"/>
      <c r="D388" s="152"/>
      <c r="E388" s="152"/>
      <c r="F388" s="152"/>
      <c r="G388" s="152"/>
      <c r="H388" s="152"/>
      <c r="I388" s="152"/>
      <c r="J388" s="152"/>
      <c r="K388" s="445"/>
      <c r="L388" s="445"/>
      <c r="M388" s="152"/>
      <c r="N388" s="152"/>
      <c r="O388" s="152"/>
      <c r="P388" s="152"/>
      <c r="Q388" s="152"/>
      <c r="R388" s="152"/>
      <c r="S388" s="152"/>
      <c r="T388" s="152"/>
      <c r="U388" s="152"/>
      <c r="V388" s="152"/>
      <c r="W388" s="152"/>
    </row>
    <row r="389">
      <c r="A389" s="152"/>
      <c r="B389" s="152"/>
      <c r="C389" s="152"/>
      <c r="D389" s="152"/>
      <c r="E389" s="152"/>
      <c r="F389" s="152"/>
      <c r="G389" s="152"/>
      <c r="H389" s="152"/>
      <c r="I389" s="152"/>
      <c r="J389" s="152"/>
      <c r="K389" s="445"/>
      <c r="L389" s="445"/>
      <c r="M389" s="152"/>
      <c r="N389" s="152"/>
      <c r="O389" s="152"/>
      <c r="P389" s="152"/>
      <c r="Q389" s="152"/>
      <c r="R389" s="152"/>
      <c r="S389" s="152"/>
      <c r="T389" s="152"/>
      <c r="U389" s="152"/>
      <c r="V389" s="152"/>
      <c r="W389" s="152"/>
    </row>
    <row r="390">
      <c r="A390" s="152"/>
      <c r="B390" s="152"/>
      <c r="C390" s="152"/>
      <c r="D390" s="152"/>
      <c r="E390" s="152"/>
      <c r="F390" s="152"/>
      <c r="G390" s="152"/>
      <c r="H390" s="152"/>
      <c r="I390" s="152"/>
      <c r="J390" s="152"/>
      <c r="K390" s="445"/>
      <c r="L390" s="445"/>
      <c r="M390" s="152"/>
      <c r="N390" s="152"/>
      <c r="O390" s="152"/>
      <c r="P390" s="152"/>
      <c r="Q390" s="152"/>
      <c r="R390" s="152"/>
      <c r="S390" s="152"/>
      <c r="T390" s="152"/>
      <c r="U390" s="152"/>
      <c r="V390" s="152"/>
      <c r="W390" s="152"/>
    </row>
    <row r="391">
      <c r="A391" s="152"/>
      <c r="B391" s="152"/>
      <c r="C391" s="152"/>
      <c r="D391" s="152"/>
      <c r="E391" s="152"/>
      <c r="F391" s="152"/>
      <c r="G391" s="152"/>
      <c r="H391" s="152"/>
      <c r="I391" s="152"/>
      <c r="J391" s="152"/>
      <c r="K391" s="445"/>
      <c r="L391" s="445"/>
      <c r="M391" s="152"/>
      <c r="N391" s="152"/>
      <c r="O391" s="152"/>
      <c r="P391" s="152"/>
      <c r="Q391" s="152"/>
      <c r="R391" s="152"/>
      <c r="S391" s="152"/>
      <c r="T391" s="152"/>
      <c r="U391" s="152"/>
      <c r="V391" s="152"/>
      <c r="W391" s="152"/>
    </row>
    <row r="392">
      <c r="A392" s="152"/>
      <c r="B392" s="152"/>
      <c r="C392" s="152"/>
      <c r="D392" s="152"/>
      <c r="E392" s="152"/>
      <c r="F392" s="152"/>
      <c r="G392" s="152"/>
      <c r="H392" s="152"/>
      <c r="I392" s="152"/>
      <c r="J392" s="152"/>
      <c r="K392" s="445"/>
      <c r="L392" s="445"/>
      <c r="M392" s="152"/>
      <c r="N392" s="152"/>
      <c r="O392" s="152"/>
      <c r="P392" s="152"/>
      <c r="Q392" s="152"/>
      <c r="R392" s="152"/>
      <c r="S392" s="152"/>
      <c r="T392" s="152"/>
      <c r="U392" s="152"/>
      <c r="V392" s="152"/>
      <c r="W392" s="152"/>
    </row>
    <row r="393">
      <c r="A393" s="152"/>
      <c r="B393" s="152"/>
      <c r="C393" s="152"/>
      <c r="D393" s="152"/>
      <c r="E393" s="152"/>
      <c r="F393" s="152"/>
      <c r="G393" s="152"/>
      <c r="H393" s="152"/>
      <c r="I393" s="152"/>
      <c r="J393" s="152"/>
      <c r="K393" s="445"/>
      <c r="L393" s="445"/>
      <c r="M393" s="152"/>
      <c r="N393" s="152"/>
      <c r="O393" s="152"/>
      <c r="P393" s="152"/>
      <c r="Q393" s="152"/>
      <c r="R393" s="152"/>
      <c r="S393" s="152"/>
      <c r="T393" s="152"/>
      <c r="U393" s="152"/>
      <c r="V393" s="152"/>
      <c r="W393" s="152"/>
    </row>
    <row r="394">
      <c r="A394" s="152"/>
      <c r="B394" s="152"/>
      <c r="C394" s="152"/>
      <c r="D394" s="152"/>
      <c r="E394" s="152"/>
      <c r="F394" s="152"/>
      <c r="G394" s="152"/>
      <c r="H394" s="152"/>
      <c r="I394" s="152"/>
      <c r="J394" s="152"/>
      <c r="K394" s="445"/>
      <c r="L394" s="445"/>
      <c r="M394" s="152"/>
      <c r="N394" s="152"/>
      <c r="O394" s="152"/>
      <c r="P394" s="152"/>
      <c r="Q394" s="152"/>
      <c r="R394" s="152"/>
      <c r="S394" s="152"/>
      <c r="T394" s="152"/>
      <c r="U394" s="152"/>
      <c r="V394" s="152"/>
      <c r="W394" s="152"/>
    </row>
    <row r="395">
      <c r="A395" s="152"/>
      <c r="B395" s="152"/>
      <c r="C395" s="152"/>
      <c r="D395" s="152"/>
      <c r="E395" s="152"/>
      <c r="F395" s="152"/>
      <c r="G395" s="152"/>
      <c r="H395" s="152"/>
      <c r="I395" s="152"/>
      <c r="J395" s="152"/>
      <c r="K395" s="445"/>
      <c r="L395" s="445"/>
      <c r="M395" s="152"/>
      <c r="N395" s="152"/>
      <c r="O395" s="152"/>
      <c r="P395" s="152"/>
      <c r="Q395" s="152"/>
      <c r="R395" s="152"/>
      <c r="S395" s="152"/>
      <c r="T395" s="152"/>
      <c r="U395" s="152"/>
      <c r="V395" s="152"/>
      <c r="W395" s="152"/>
    </row>
    <row r="396">
      <c r="A396" s="152"/>
      <c r="B396" s="152"/>
      <c r="C396" s="152"/>
      <c r="D396" s="152"/>
      <c r="E396" s="152"/>
      <c r="F396" s="152"/>
      <c r="G396" s="152"/>
      <c r="H396" s="152"/>
      <c r="I396" s="152"/>
      <c r="J396" s="152"/>
      <c r="K396" s="445"/>
      <c r="L396" s="445"/>
      <c r="M396" s="152"/>
      <c r="N396" s="152"/>
      <c r="O396" s="152"/>
      <c r="P396" s="152"/>
      <c r="Q396" s="152"/>
      <c r="R396" s="152"/>
      <c r="S396" s="152"/>
      <c r="T396" s="152"/>
      <c r="U396" s="152"/>
      <c r="V396" s="152"/>
      <c r="W396" s="152"/>
    </row>
    <row r="397">
      <c r="A397" s="152"/>
      <c r="B397" s="152"/>
      <c r="C397" s="152"/>
      <c r="D397" s="152"/>
      <c r="E397" s="152"/>
      <c r="F397" s="152"/>
      <c r="G397" s="152"/>
      <c r="H397" s="152"/>
      <c r="I397" s="152"/>
      <c r="J397" s="152"/>
      <c r="K397" s="445"/>
      <c r="L397" s="445"/>
      <c r="M397" s="152"/>
      <c r="N397" s="152"/>
      <c r="O397" s="152"/>
      <c r="P397" s="152"/>
      <c r="Q397" s="152"/>
      <c r="R397" s="152"/>
      <c r="S397" s="152"/>
      <c r="T397" s="152"/>
      <c r="U397" s="152"/>
      <c r="V397" s="152"/>
      <c r="W397" s="152"/>
    </row>
    <row r="398">
      <c r="A398" s="152"/>
      <c r="B398" s="152"/>
      <c r="C398" s="152"/>
      <c r="D398" s="152"/>
      <c r="E398" s="152"/>
      <c r="F398" s="152"/>
      <c r="G398" s="152"/>
      <c r="H398" s="152"/>
      <c r="I398" s="152"/>
      <c r="J398" s="152"/>
      <c r="K398" s="445"/>
      <c r="L398" s="445"/>
      <c r="M398" s="152"/>
      <c r="N398" s="152"/>
      <c r="O398" s="152"/>
      <c r="P398" s="152"/>
      <c r="Q398" s="152"/>
      <c r="R398" s="152"/>
      <c r="S398" s="152"/>
      <c r="T398" s="152"/>
      <c r="U398" s="152"/>
      <c r="V398" s="152"/>
      <c r="W398" s="152"/>
    </row>
    <row r="399">
      <c r="A399" s="152"/>
      <c r="B399" s="152"/>
      <c r="C399" s="152"/>
      <c r="D399" s="152"/>
      <c r="E399" s="152"/>
      <c r="F399" s="152"/>
      <c r="G399" s="152"/>
      <c r="H399" s="152"/>
      <c r="I399" s="152"/>
      <c r="J399" s="152"/>
      <c r="K399" s="445"/>
      <c r="L399" s="445"/>
      <c r="M399" s="152"/>
      <c r="N399" s="152"/>
      <c r="O399" s="152"/>
      <c r="P399" s="152"/>
      <c r="Q399" s="152"/>
      <c r="R399" s="152"/>
      <c r="S399" s="152"/>
      <c r="T399" s="152"/>
      <c r="U399" s="152"/>
      <c r="V399" s="152"/>
      <c r="W399" s="152"/>
    </row>
    <row r="400">
      <c r="A400" s="152"/>
      <c r="B400" s="152"/>
      <c r="C400" s="152"/>
      <c r="D400" s="152"/>
      <c r="E400" s="152"/>
      <c r="F400" s="152"/>
      <c r="G400" s="152"/>
      <c r="H400" s="152"/>
      <c r="I400" s="152"/>
      <c r="J400" s="152"/>
      <c r="K400" s="445"/>
      <c r="L400" s="445"/>
      <c r="M400" s="152"/>
      <c r="N400" s="152"/>
      <c r="O400" s="152"/>
      <c r="P400" s="152"/>
      <c r="Q400" s="152"/>
      <c r="R400" s="152"/>
      <c r="S400" s="152"/>
      <c r="T400" s="152"/>
      <c r="U400" s="152"/>
      <c r="V400" s="152"/>
      <c r="W400" s="152"/>
    </row>
    <row r="401">
      <c r="A401" s="152"/>
      <c r="B401" s="152"/>
      <c r="C401" s="152"/>
      <c r="D401" s="152"/>
      <c r="E401" s="152"/>
      <c r="F401" s="152"/>
      <c r="G401" s="152"/>
      <c r="H401" s="152"/>
      <c r="I401" s="152"/>
      <c r="J401" s="152"/>
      <c r="K401" s="445"/>
      <c r="L401" s="445"/>
      <c r="M401" s="152"/>
      <c r="N401" s="152"/>
      <c r="O401" s="152"/>
      <c r="P401" s="152"/>
      <c r="Q401" s="152"/>
      <c r="R401" s="152"/>
      <c r="S401" s="152"/>
      <c r="T401" s="152"/>
      <c r="U401" s="152"/>
      <c r="V401" s="152"/>
      <c r="W401" s="152"/>
    </row>
    <row r="402">
      <c r="A402" s="152"/>
      <c r="B402" s="152"/>
      <c r="C402" s="152"/>
      <c r="D402" s="152"/>
      <c r="E402" s="152"/>
      <c r="F402" s="152"/>
      <c r="G402" s="152"/>
      <c r="H402" s="152"/>
      <c r="I402" s="152"/>
      <c r="J402" s="152"/>
      <c r="K402" s="445"/>
      <c r="L402" s="445"/>
      <c r="M402" s="152"/>
      <c r="N402" s="152"/>
      <c r="O402" s="152"/>
      <c r="P402" s="152"/>
      <c r="Q402" s="152"/>
      <c r="R402" s="152"/>
      <c r="S402" s="152"/>
      <c r="T402" s="152"/>
      <c r="U402" s="152"/>
      <c r="V402" s="152"/>
      <c r="W402" s="152"/>
    </row>
    <row r="403">
      <c r="A403" s="152"/>
      <c r="B403" s="152"/>
      <c r="C403" s="152"/>
      <c r="D403" s="152"/>
      <c r="E403" s="152"/>
      <c r="F403" s="152"/>
      <c r="G403" s="152"/>
      <c r="H403" s="152"/>
      <c r="I403" s="152"/>
      <c r="J403" s="152"/>
      <c r="K403" s="445"/>
      <c r="L403" s="445"/>
      <c r="M403" s="152"/>
      <c r="N403" s="152"/>
      <c r="O403" s="152"/>
      <c r="P403" s="152"/>
      <c r="Q403" s="152"/>
      <c r="R403" s="152"/>
      <c r="S403" s="152"/>
      <c r="T403" s="152"/>
      <c r="U403" s="152"/>
      <c r="V403" s="152"/>
      <c r="W403" s="152"/>
    </row>
    <row r="404">
      <c r="A404" s="152"/>
      <c r="B404" s="152"/>
      <c r="C404" s="152"/>
      <c r="D404" s="152"/>
      <c r="E404" s="152"/>
      <c r="F404" s="152"/>
      <c r="G404" s="152"/>
      <c r="H404" s="152"/>
      <c r="I404" s="152"/>
      <c r="J404" s="152"/>
      <c r="K404" s="445"/>
      <c r="L404" s="445"/>
      <c r="M404" s="152"/>
      <c r="N404" s="152"/>
      <c r="O404" s="152"/>
      <c r="P404" s="152"/>
      <c r="Q404" s="152"/>
      <c r="R404" s="152"/>
      <c r="S404" s="152"/>
      <c r="T404" s="152"/>
      <c r="U404" s="152"/>
      <c r="V404" s="152"/>
      <c r="W404" s="152"/>
    </row>
    <row r="405">
      <c r="A405" s="152"/>
      <c r="B405" s="152"/>
      <c r="C405" s="152"/>
      <c r="D405" s="152"/>
      <c r="E405" s="152"/>
      <c r="F405" s="152"/>
      <c r="G405" s="152"/>
      <c r="H405" s="152"/>
      <c r="I405" s="152"/>
      <c r="J405" s="152"/>
      <c r="K405" s="445"/>
      <c r="L405" s="445"/>
      <c r="M405" s="152"/>
      <c r="N405" s="152"/>
      <c r="O405" s="152"/>
      <c r="P405" s="152"/>
      <c r="Q405" s="152"/>
      <c r="R405" s="152"/>
      <c r="S405" s="152"/>
      <c r="T405" s="152"/>
      <c r="U405" s="152"/>
      <c r="V405" s="152"/>
      <c r="W405" s="152"/>
    </row>
    <row r="406">
      <c r="A406" s="152"/>
      <c r="B406" s="152"/>
      <c r="C406" s="152"/>
      <c r="D406" s="152"/>
      <c r="E406" s="152"/>
      <c r="F406" s="152"/>
      <c r="G406" s="152"/>
      <c r="H406" s="152"/>
      <c r="I406" s="152"/>
      <c r="J406" s="152"/>
      <c r="K406" s="445"/>
      <c r="L406" s="445"/>
      <c r="M406" s="152"/>
      <c r="N406" s="152"/>
      <c r="O406" s="152"/>
      <c r="P406" s="152"/>
      <c r="Q406" s="152"/>
      <c r="R406" s="152"/>
      <c r="S406" s="152"/>
      <c r="T406" s="152"/>
      <c r="U406" s="152"/>
      <c r="V406" s="152"/>
      <c r="W406" s="152"/>
    </row>
    <row r="407">
      <c r="A407" s="152"/>
      <c r="B407" s="152"/>
      <c r="C407" s="152"/>
      <c r="D407" s="152"/>
      <c r="E407" s="152"/>
      <c r="F407" s="152"/>
      <c r="G407" s="152"/>
      <c r="H407" s="152"/>
      <c r="I407" s="152"/>
      <c r="J407" s="152"/>
      <c r="K407" s="445"/>
      <c r="L407" s="445"/>
      <c r="M407" s="152"/>
      <c r="N407" s="152"/>
      <c r="O407" s="152"/>
      <c r="P407" s="152"/>
      <c r="Q407" s="152"/>
      <c r="R407" s="152"/>
      <c r="S407" s="152"/>
      <c r="T407" s="152"/>
      <c r="U407" s="152"/>
      <c r="V407" s="152"/>
      <c r="W407" s="152"/>
    </row>
    <row r="408">
      <c r="A408" s="152"/>
      <c r="B408" s="152"/>
      <c r="C408" s="152"/>
      <c r="D408" s="152"/>
      <c r="E408" s="152"/>
      <c r="F408" s="152"/>
      <c r="G408" s="152"/>
      <c r="H408" s="152"/>
      <c r="I408" s="152"/>
      <c r="J408" s="152"/>
      <c r="K408" s="445"/>
      <c r="L408" s="445"/>
      <c r="M408" s="152"/>
      <c r="N408" s="152"/>
      <c r="O408" s="152"/>
      <c r="P408" s="152"/>
      <c r="Q408" s="152"/>
      <c r="R408" s="152"/>
      <c r="S408" s="152"/>
      <c r="T408" s="152"/>
      <c r="U408" s="152"/>
      <c r="V408" s="152"/>
      <c r="W408" s="152"/>
    </row>
    <row r="409">
      <c r="A409" s="152"/>
      <c r="B409" s="152"/>
      <c r="C409" s="152"/>
      <c r="D409" s="152"/>
      <c r="E409" s="152"/>
      <c r="F409" s="152"/>
      <c r="G409" s="152"/>
      <c r="H409" s="152"/>
      <c r="I409" s="152"/>
      <c r="J409" s="152"/>
      <c r="K409" s="445"/>
      <c r="L409" s="445"/>
      <c r="M409" s="152"/>
      <c r="N409" s="152"/>
      <c r="O409" s="152"/>
      <c r="P409" s="152"/>
      <c r="Q409" s="152"/>
      <c r="R409" s="152"/>
      <c r="S409" s="152"/>
      <c r="T409" s="152"/>
      <c r="U409" s="152"/>
      <c r="V409" s="152"/>
      <c r="W409" s="152"/>
    </row>
    <row r="410">
      <c r="A410" s="152"/>
      <c r="B410" s="152"/>
      <c r="C410" s="152"/>
      <c r="D410" s="152"/>
      <c r="E410" s="152"/>
      <c r="F410" s="152"/>
      <c r="G410" s="152"/>
      <c r="H410" s="152"/>
      <c r="I410" s="152"/>
      <c r="J410" s="152"/>
      <c r="K410" s="445"/>
      <c r="L410" s="445"/>
      <c r="M410" s="152"/>
      <c r="N410" s="152"/>
      <c r="O410" s="152"/>
      <c r="P410" s="152"/>
      <c r="Q410" s="152"/>
      <c r="R410" s="152"/>
      <c r="S410" s="152"/>
      <c r="T410" s="152"/>
      <c r="U410" s="152"/>
      <c r="V410" s="152"/>
      <c r="W410" s="152"/>
    </row>
    <row r="411">
      <c r="A411" s="152"/>
      <c r="B411" s="152"/>
      <c r="C411" s="152"/>
      <c r="D411" s="152"/>
      <c r="E411" s="152"/>
      <c r="F411" s="152"/>
      <c r="G411" s="152"/>
      <c r="H411" s="152"/>
      <c r="I411" s="152"/>
      <c r="J411" s="152"/>
      <c r="K411" s="445"/>
      <c r="L411" s="445"/>
      <c r="M411" s="152"/>
      <c r="N411" s="152"/>
      <c r="O411" s="152"/>
      <c r="P411" s="152"/>
      <c r="Q411" s="152"/>
      <c r="R411" s="152"/>
      <c r="S411" s="152"/>
      <c r="T411" s="152"/>
      <c r="U411" s="152"/>
      <c r="V411" s="152"/>
      <c r="W411" s="152"/>
    </row>
    <row r="412">
      <c r="A412" s="152"/>
      <c r="B412" s="152"/>
      <c r="C412" s="152"/>
      <c r="D412" s="152"/>
      <c r="E412" s="152"/>
      <c r="F412" s="152"/>
      <c r="G412" s="152"/>
      <c r="H412" s="152"/>
      <c r="I412" s="152"/>
      <c r="J412" s="152"/>
      <c r="K412" s="445"/>
      <c r="L412" s="445"/>
      <c r="M412" s="152"/>
      <c r="N412" s="152"/>
      <c r="O412" s="152"/>
      <c r="P412" s="152"/>
      <c r="Q412" s="152"/>
      <c r="R412" s="152"/>
      <c r="S412" s="152"/>
      <c r="T412" s="152"/>
      <c r="U412" s="152"/>
      <c r="V412" s="152"/>
      <c r="W412" s="152"/>
    </row>
    <row r="413">
      <c r="A413" s="152"/>
      <c r="B413" s="152"/>
      <c r="C413" s="152"/>
      <c r="D413" s="152"/>
      <c r="E413" s="152"/>
      <c r="F413" s="152"/>
      <c r="G413" s="152"/>
      <c r="H413" s="152"/>
      <c r="I413" s="152"/>
      <c r="J413" s="152"/>
      <c r="K413" s="445"/>
      <c r="L413" s="445"/>
      <c r="M413" s="152"/>
      <c r="N413" s="152"/>
      <c r="O413" s="152"/>
      <c r="P413" s="152"/>
      <c r="Q413" s="152"/>
      <c r="R413" s="152"/>
      <c r="S413" s="152"/>
      <c r="T413" s="152"/>
      <c r="U413" s="152"/>
      <c r="V413" s="152"/>
      <c r="W413" s="152"/>
    </row>
    <row r="414">
      <c r="A414" s="152"/>
      <c r="B414" s="152"/>
      <c r="C414" s="152"/>
      <c r="D414" s="152"/>
      <c r="E414" s="152"/>
      <c r="F414" s="152"/>
      <c r="G414" s="152"/>
      <c r="H414" s="152"/>
      <c r="I414" s="152"/>
      <c r="J414" s="152"/>
      <c r="K414" s="445"/>
      <c r="L414" s="445"/>
      <c r="M414" s="152"/>
      <c r="N414" s="152"/>
      <c r="O414" s="152"/>
      <c r="P414" s="152"/>
      <c r="Q414" s="152"/>
      <c r="R414" s="152"/>
      <c r="S414" s="152"/>
      <c r="T414" s="152"/>
      <c r="U414" s="152"/>
      <c r="V414" s="152"/>
      <c r="W414" s="152"/>
    </row>
    <row r="415">
      <c r="A415" s="152"/>
      <c r="B415" s="152"/>
      <c r="C415" s="152"/>
      <c r="D415" s="152"/>
      <c r="E415" s="152"/>
      <c r="F415" s="152"/>
      <c r="G415" s="152"/>
      <c r="H415" s="152"/>
      <c r="I415" s="152"/>
      <c r="J415" s="152"/>
      <c r="K415" s="445"/>
      <c r="L415" s="445"/>
      <c r="M415" s="152"/>
      <c r="N415" s="152"/>
      <c r="O415" s="152"/>
      <c r="P415" s="152"/>
      <c r="Q415" s="152"/>
      <c r="R415" s="152"/>
      <c r="S415" s="152"/>
      <c r="T415" s="152"/>
      <c r="U415" s="152"/>
      <c r="V415" s="152"/>
      <c r="W415" s="152"/>
    </row>
    <row r="416">
      <c r="A416" s="152"/>
      <c r="B416" s="152"/>
      <c r="C416" s="152"/>
      <c r="D416" s="152"/>
      <c r="E416" s="152"/>
      <c r="F416" s="152"/>
      <c r="G416" s="152"/>
      <c r="H416" s="152"/>
      <c r="I416" s="152"/>
      <c r="J416" s="152"/>
      <c r="K416" s="445"/>
      <c r="L416" s="445"/>
      <c r="M416" s="152"/>
      <c r="N416" s="152"/>
      <c r="O416" s="152"/>
      <c r="P416" s="152"/>
      <c r="Q416" s="152"/>
      <c r="R416" s="152"/>
      <c r="S416" s="152"/>
      <c r="T416" s="152"/>
      <c r="U416" s="152"/>
      <c r="V416" s="152"/>
      <c r="W416" s="152"/>
    </row>
    <row r="417">
      <c r="A417" s="152"/>
      <c r="B417" s="152"/>
      <c r="C417" s="152"/>
      <c r="D417" s="152"/>
      <c r="E417" s="152"/>
      <c r="F417" s="152"/>
      <c r="G417" s="152"/>
      <c r="H417" s="152"/>
      <c r="I417" s="152"/>
      <c r="J417" s="152"/>
      <c r="K417" s="445"/>
      <c r="L417" s="445"/>
      <c r="M417" s="152"/>
      <c r="N417" s="152"/>
      <c r="O417" s="152"/>
      <c r="P417" s="152"/>
      <c r="Q417" s="152"/>
      <c r="R417" s="152"/>
      <c r="S417" s="152"/>
      <c r="T417" s="152"/>
      <c r="U417" s="152"/>
      <c r="V417" s="152"/>
      <c r="W417" s="152"/>
    </row>
    <row r="418">
      <c r="A418" s="152"/>
      <c r="B418" s="152"/>
      <c r="C418" s="152"/>
      <c r="D418" s="152"/>
      <c r="E418" s="152"/>
      <c r="F418" s="152"/>
      <c r="G418" s="152"/>
      <c r="H418" s="152"/>
      <c r="I418" s="152"/>
      <c r="J418" s="152"/>
      <c r="K418" s="445"/>
      <c r="L418" s="445"/>
      <c r="M418" s="152"/>
      <c r="N418" s="152"/>
      <c r="O418" s="152"/>
      <c r="P418" s="152"/>
      <c r="Q418" s="152"/>
      <c r="R418" s="152"/>
      <c r="S418" s="152"/>
      <c r="T418" s="152"/>
      <c r="U418" s="152"/>
      <c r="V418" s="152"/>
      <c r="W418" s="152"/>
    </row>
    <row r="419">
      <c r="A419" s="152"/>
      <c r="B419" s="152"/>
      <c r="C419" s="152"/>
      <c r="D419" s="152"/>
      <c r="E419" s="152"/>
      <c r="F419" s="152"/>
      <c r="G419" s="152"/>
      <c r="H419" s="152"/>
      <c r="I419" s="152"/>
      <c r="J419" s="152"/>
      <c r="K419" s="445"/>
      <c r="L419" s="445"/>
      <c r="M419" s="152"/>
      <c r="N419" s="152"/>
      <c r="O419" s="152"/>
      <c r="P419" s="152"/>
      <c r="Q419" s="152"/>
      <c r="R419" s="152"/>
      <c r="S419" s="152"/>
      <c r="T419" s="152"/>
      <c r="U419" s="152"/>
      <c r="V419" s="152"/>
      <c r="W419" s="152"/>
    </row>
    <row r="420">
      <c r="A420" s="152"/>
      <c r="B420" s="152"/>
      <c r="C420" s="152"/>
      <c r="D420" s="152"/>
      <c r="E420" s="152"/>
      <c r="F420" s="152"/>
      <c r="G420" s="152"/>
      <c r="H420" s="152"/>
      <c r="I420" s="152"/>
      <c r="J420" s="152"/>
      <c r="K420" s="445"/>
      <c r="L420" s="445"/>
      <c r="M420" s="152"/>
      <c r="N420" s="152"/>
      <c r="O420" s="152"/>
      <c r="P420" s="152"/>
      <c r="Q420" s="152"/>
      <c r="R420" s="152"/>
      <c r="S420" s="152"/>
      <c r="T420" s="152"/>
      <c r="U420" s="152"/>
      <c r="V420" s="152"/>
      <c r="W420" s="152"/>
    </row>
    <row r="421">
      <c r="A421" s="152"/>
      <c r="B421" s="152"/>
      <c r="C421" s="152"/>
      <c r="D421" s="152"/>
      <c r="E421" s="152"/>
      <c r="F421" s="152"/>
      <c r="G421" s="152"/>
      <c r="H421" s="152"/>
      <c r="I421" s="152"/>
      <c r="J421" s="152"/>
      <c r="K421" s="445"/>
      <c r="L421" s="445"/>
      <c r="M421" s="152"/>
      <c r="N421" s="152"/>
      <c r="O421" s="152"/>
      <c r="P421" s="152"/>
      <c r="Q421" s="152"/>
      <c r="R421" s="152"/>
      <c r="S421" s="152"/>
      <c r="T421" s="152"/>
      <c r="U421" s="152"/>
      <c r="V421" s="152"/>
      <c r="W421" s="152"/>
    </row>
    <row r="422">
      <c r="A422" s="152"/>
      <c r="B422" s="152"/>
      <c r="C422" s="152"/>
      <c r="D422" s="152"/>
      <c r="E422" s="152"/>
      <c r="F422" s="152"/>
      <c r="G422" s="152"/>
      <c r="H422" s="152"/>
      <c r="I422" s="152"/>
      <c r="J422" s="152"/>
      <c r="K422" s="445"/>
      <c r="L422" s="445"/>
      <c r="M422" s="152"/>
      <c r="N422" s="152"/>
      <c r="O422" s="152"/>
      <c r="P422" s="152"/>
      <c r="Q422" s="152"/>
      <c r="R422" s="152"/>
      <c r="S422" s="152"/>
      <c r="T422" s="152"/>
      <c r="U422" s="152"/>
      <c r="V422" s="152"/>
      <c r="W422" s="152"/>
    </row>
    <row r="423">
      <c r="A423" s="152"/>
      <c r="B423" s="152"/>
      <c r="C423" s="152"/>
      <c r="D423" s="152"/>
      <c r="E423" s="152"/>
      <c r="F423" s="152"/>
      <c r="G423" s="152"/>
      <c r="H423" s="152"/>
      <c r="I423" s="152"/>
      <c r="J423" s="152"/>
      <c r="K423" s="445"/>
      <c r="L423" s="445"/>
      <c r="M423" s="152"/>
      <c r="N423" s="152"/>
      <c r="O423" s="152"/>
      <c r="P423" s="152"/>
      <c r="Q423" s="152"/>
      <c r="R423" s="152"/>
      <c r="S423" s="152"/>
      <c r="T423" s="152"/>
      <c r="U423" s="152"/>
      <c r="V423" s="152"/>
      <c r="W423" s="152"/>
    </row>
    <row r="424">
      <c r="A424" s="152"/>
      <c r="B424" s="152"/>
      <c r="C424" s="152"/>
      <c r="D424" s="152"/>
      <c r="E424" s="152"/>
      <c r="F424" s="152"/>
      <c r="G424" s="152"/>
      <c r="H424" s="152"/>
      <c r="I424" s="152"/>
      <c r="J424" s="152"/>
      <c r="K424" s="445"/>
      <c r="L424" s="445"/>
      <c r="M424" s="152"/>
      <c r="N424" s="152"/>
      <c r="O424" s="152"/>
      <c r="P424" s="152"/>
      <c r="Q424" s="152"/>
      <c r="R424" s="152"/>
      <c r="S424" s="152"/>
      <c r="T424" s="152"/>
      <c r="U424" s="152"/>
      <c r="V424" s="152"/>
      <c r="W424" s="152"/>
    </row>
    <row r="425">
      <c r="A425" s="152"/>
      <c r="B425" s="152"/>
      <c r="C425" s="152"/>
      <c r="D425" s="152"/>
      <c r="E425" s="152"/>
      <c r="F425" s="152"/>
      <c r="G425" s="152"/>
      <c r="H425" s="152"/>
      <c r="I425" s="152"/>
      <c r="J425" s="152"/>
      <c r="K425" s="445"/>
      <c r="L425" s="445"/>
      <c r="M425" s="152"/>
      <c r="N425" s="152"/>
      <c r="O425" s="152"/>
      <c r="P425" s="152"/>
      <c r="Q425" s="152"/>
      <c r="R425" s="152"/>
      <c r="S425" s="152"/>
      <c r="T425" s="152"/>
      <c r="U425" s="152"/>
      <c r="V425" s="152"/>
      <c r="W425" s="152"/>
    </row>
    <row r="426">
      <c r="A426" s="152"/>
      <c r="B426" s="152"/>
      <c r="C426" s="152"/>
      <c r="D426" s="152"/>
      <c r="E426" s="152"/>
      <c r="F426" s="152"/>
      <c r="G426" s="152"/>
      <c r="H426" s="152"/>
      <c r="I426" s="152"/>
      <c r="J426" s="152"/>
      <c r="K426" s="445"/>
      <c r="L426" s="445"/>
      <c r="M426" s="152"/>
      <c r="N426" s="152"/>
      <c r="O426" s="152"/>
      <c r="P426" s="152"/>
      <c r="Q426" s="152"/>
      <c r="R426" s="152"/>
      <c r="S426" s="152"/>
      <c r="T426" s="152"/>
      <c r="U426" s="152"/>
      <c r="V426" s="152"/>
      <c r="W426" s="152"/>
    </row>
    <row r="427">
      <c r="A427" s="152"/>
      <c r="B427" s="152"/>
      <c r="C427" s="152"/>
      <c r="D427" s="152"/>
      <c r="E427" s="152"/>
      <c r="F427" s="152"/>
      <c r="G427" s="152"/>
      <c r="H427" s="152"/>
      <c r="I427" s="152"/>
      <c r="J427" s="152"/>
      <c r="K427" s="445"/>
      <c r="L427" s="445"/>
      <c r="M427" s="152"/>
      <c r="N427" s="152"/>
      <c r="O427" s="152"/>
      <c r="P427" s="152"/>
      <c r="Q427" s="152"/>
      <c r="R427" s="152"/>
      <c r="S427" s="152"/>
      <c r="T427" s="152"/>
      <c r="U427" s="152"/>
      <c r="V427" s="152"/>
      <c r="W427" s="152"/>
    </row>
    <row r="428">
      <c r="A428" s="152"/>
      <c r="B428" s="152"/>
      <c r="C428" s="152"/>
      <c r="D428" s="152"/>
      <c r="E428" s="152"/>
      <c r="F428" s="152"/>
      <c r="G428" s="152"/>
      <c r="H428" s="152"/>
      <c r="I428" s="152"/>
      <c r="J428" s="152"/>
      <c r="K428" s="445"/>
      <c r="L428" s="445"/>
      <c r="M428" s="152"/>
      <c r="N428" s="152"/>
      <c r="O428" s="152"/>
      <c r="P428" s="152"/>
      <c r="Q428" s="152"/>
      <c r="R428" s="152"/>
      <c r="S428" s="152"/>
      <c r="T428" s="152"/>
      <c r="U428" s="152"/>
      <c r="V428" s="152"/>
      <c r="W428" s="152"/>
    </row>
    <row r="429">
      <c r="A429" s="152"/>
      <c r="B429" s="152"/>
      <c r="C429" s="152"/>
      <c r="D429" s="152"/>
      <c r="E429" s="152"/>
      <c r="F429" s="152"/>
      <c r="G429" s="152"/>
      <c r="H429" s="152"/>
      <c r="I429" s="152"/>
      <c r="J429" s="152"/>
      <c r="K429" s="445"/>
      <c r="L429" s="445"/>
      <c r="M429" s="152"/>
      <c r="N429" s="152"/>
      <c r="O429" s="152"/>
      <c r="P429" s="152"/>
      <c r="Q429" s="152"/>
      <c r="R429" s="152"/>
      <c r="S429" s="152"/>
      <c r="T429" s="152"/>
      <c r="U429" s="152"/>
      <c r="V429" s="152"/>
      <c r="W429" s="152"/>
    </row>
    <row r="430">
      <c r="A430" s="152"/>
      <c r="B430" s="152"/>
      <c r="C430" s="152"/>
      <c r="D430" s="152"/>
      <c r="E430" s="152"/>
      <c r="F430" s="152"/>
      <c r="G430" s="152"/>
      <c r="H430" s="152"/>
      <c r="I430" s="152"/>
      <c r="J430" s="152"/>
      <c r="K430" s="445"/>
      <c r="L430" s="445"/>
      <c r="M430" s="152"/>
      <c r="N430" s="152"/>
      <c r="O430" s="152"/>
      <c r="P430" s="152"/>
      <c r="Q430" s="152"/>
      <c r="R430" s="152"/>
      <c r="S430" s="152"/>
      <c r="T430" s="152"/>
      <c r="U430" s="152"/>
      <c r="V430" s="152"/>
      <c r="W430" s="152"/>
    </row>
    <row r="431">
      <c r="A431" s="152"/>
      <c r="B431" s="152"/>
      <c r="C431" s="152"/>
      <c r="D431" s="152"/>
      <c r="E431" s="152"/>
      <c r="F431" s="152"/>
      <c r="G431" s="152"/>
      <c r="H431" s="152"/>
      <c r="I431" s="152"/>
      <c r="J431" s="152"/>
      <c r="K431" s="445"/>
      <c r="L431" s="445"/>
      <c r="M431" s="152"/>
      <c r="N431" s="152"/>
      <c r="O431" s="152"/>
      <c r="P431" s="152"/>
      <c r="Q431" s="152"/>
      <c r="R431" s="152"/>
      <c r="S431" s="152"/>
      <c r="T431" s="152"/>
      <c r="U431" s="152"/>
      <c r="V431" s="152"/>
      <c r="W431" s="152"/>
    </row>
    <row r="432">
      <c r="A432" s="152"/>
      <c r="B432" s="152"/>
      <c r="C432" s="152"/>
      <c r="D432" s="152"/>
      <c r="E432" s="152"/>
      <c r="F432" s="152"/>
      <c r="G432" s="152"/>
      <c r="H432" s="152"/>
      <c r="I432" s="152"/>
      <c r="J432" s="152"/>
      <c r="K432" s="445"/>
      <c r="L432" s="445"/>
      <c r="M432" s="152"/>
      <c r="N432" s="152"/>
      <c r="O432" s="152"/>
      <c r="P432" s="152"/>
      <c r="Q432" s="152"/>
      <c r="R432" s="152"/>
      <c r="S432" s="152"/>
      <c r="T432" s="152"/>
      <c r="U432" s="152"/>
      <c r="V432" s="152"/>
      <c r="W432" s="152"/>
    </row>
    <row r="433">
      <c r="A433" s="152"/>
      <c r="B433" s="152"/>
      <c r="C433" s="152"/>
      <c r="D433" s="152"/>
      <c r="E433" s="152"/>
      <c r="F433" s="152"/>
      <c r="G433" s="152"/>
      <c r="H433" s="152"/>
      <c r="I433" s="152"/>
      <c r="J433" s="152"/>
      <c r="K433" s="445"/>
      <c r="L433" s="445"/>
      <c r="M433" s="152"/>
      <c r="N433" s="152"/>
      <c r="O433" s="152"/>
      <c r="P433" s="152"/>
      <c r="Q433" s="152"/>
      <c r="R433" s="152"/>
      <c r="S433" s="152"/>
      <c r="T433" s="152"/>
      <c r="U433" s="152"/>
      <c r="V433" s="152"/>
      <c r="W433" s="152"/>
    </row>
    <row r="434">
      <c r="A434" s="152"/>
      <c r="B434" s="152"/>
      <c r="C434" s="152"/>
      <c r="D434" s="152"/>
      <c r="E434" s="152"/>
      <c r="F434" s="152"/>
      <c r="G434" s="152"/>
      <c r="H434" s="152"/>
      <c r="I434" s="152"/>
      <c r="J434" s="152"/>
      <c r="K434" s="445"/>
      <c r="L434" s="445"/>
      <c r="M434" s="152"/>
      <c r="N434" s="152"/>
      <c r="O434" s="152"/>
      <c r="P434" s="152"/>
      <c r="Q434" s="152"/>
      <c r="R434" s="152"/>
      <c r="S434" s="152"/>
      <c r="T434" s="152"/>
      <c r="U434" s="152"/>
      <c r="V434" s="152"/>
      <c r="W434" s="152"/>
    </row>
    <row r="435">
      <c r="A435" s="152"/>
      <c r="B435" s="152"/>
      <c r="C435" s="152"/>
      <c r="D435" s="152"/>
      <c r="E435" s="152"/>
      <c r="F435" s="152"/>
      <c r="G435" s="152"/>
      <c r="H435" s="152"/>
      <c r="I435" s="152"/>
      <c r="J435" s="152"/>
      <c r="K435" s="445"/>
      <c r="L435" s="445"/>
      <c r="M435" s="152"/>
      <c r="N435" s="152"/>
      <c r="O435" s="152"/>
      <c r="P435" s="152"/>
      <c r="Q435" s="152"/>
      <c r="R435" s="152"/>
      <c r="S435" s="152"/>
      <c r="T435" s="152"/>
      <c r="U435" s="152"/>
      <c r="V435" s="152"/>
      <c r="W435" s="152"/>
    </row>
    <row r="436">
      <c r="A436" s="152"/>
      <c r="B436" s="152"/>
      <c r="C436" s="152"/>
      <c r="D436" s="152"/>
      <c r="E436" s="152"/>
      <c r="F436" s="152"/>
      <c r="G436" s="152"/>
      <c r="H436" s="152"/>
      <c r="I436" s="152"/>
      <c r="J436" s="152"/>
      <c r="K436" s="445"/>
      <c r="L436" s="445"/>
      <c r="M436" s="152"/>
      <c r="N436" s="152"/>
      <c r="O436" s="152"/>
      <c r="P436" s="152"/>
      <c r="Q436" s="152"/>
      <c r="R436" s="152"/>
      <c r="S436" s="152"/>
      <c r="T436" s="152"/>
      <c r="U436" s="152"/>
      <c r="V436" s="152"/>
      <c r="W436" s="152"/>
    </row>
    <row r="437">
      <c r="A437" s="152"/>
      <c r="B437" s="152"/>
      <c r="C437" s="152"/>
      <c r="D437" s="152"/>
      <c r="E437" s="152"/>
      <c r="F437" s="152"/>
      <c r="G437" s="152"/>
      <c r="H437" s="152"/>
      <c r="I437" s="152"/>
      <c r="J437" s="152"/>
      <c r="K437" s="445"/>
      <c r="L437" s="445"/>
      <c r="M437" s="152"/>
      <c r="N437" s="152"/>
      <c r="O437" s="152"/>
      <c r="P437" s="152"/>
      <c r="Q437" s="152"/>
      <c r="R437" s="152"/>
      <c r="S437" s="152"/>
      <c r="T437" s="152"/>
      <c r="U437" s="152"/>
      <c r="V437" s="152"/>
      <c r="W437" s="152"/>
    </row>
    <row r="438">
      <c r="A438" s="152"/>
      <c r="B438" s="152"/>
      <c r="C438" s="152"/>
      <c r="D438" s="152"/>
      <c r="E438" s="152"/>
      <c r="F438" s="152"/>
      <c r="G438" s="152"/>
      <c r="H438" s="152"/>
      <c r="I438" s="152"/>
      <c r="J438" s="152"/>
      <c r="K438" s="445"/>
      <c r="L438" s="445"/>
      <c r="M438" s="152"/>
      <c r="N438" s="152"/>
      <c r="O438" s="152"/>
      <c r="P438" s="152"/>
      <c r="Q438" s="152"/>
      <c r="R438" s="152"/>
      <c r="S438" s="152"/>
      <c r="T438" s="152"/>
      <c r="U438" s="152"/>
      <c r="V438" s="152"/>
      <c r="W438" s="152"/>
    </row>
    <row r="439">
      <c r="A439" s="152"/>
      <c r="B439" s="152"/>
      <c r="C439" s="152"/>
      <c r="D439" s="152"/>
      <c r="E439" s="152"/>
      <c r="F439" s="152"/>
      <c r="G439" s="152"/>
      <c r="H439" s="152"/>
      <c r="I439" s="152"/>
      <c r="J439" s="152"/>
      <c r="K439" s="445"/>
      <c r="L439" s="445"/>
      <c r="M439" s="152"/>
      <c r="N439" s="152"/>
      <c r="O439" s="152"/>
      <c r="P439" s="152"/>
      <c r="Q439" s="152"/>
      <c r="R439" s="152"/>
      <c r="S439" s="152"/>
      <c r="T439" s="152"/>
      <c r="U439" s="152"/>
      <c r="V439" s="152"/>
      <c r="W439" s="152"/>
    </row>
    <row r="440">
      <c r="A440" s="152"/>
      <c r="B440" s="152"/>
      <c r="C440" s="152"/>
      <c r="D440" s="152"/>
      <c r="E440" s="152"/>
      <c r="F440" s="152"/>
      <c r="G440" s="152"/>
      <c r="H440" s="152"/>
      <c r="I440" s="152"/>
      <c r="J440" s="152"/>
      <c r="K440" s="445"/>
      <c r="L440" s="445"/>
      <c r="M440" s="152"/>
      <c r="N440" s="152"/>
      <c r="O440" s="152"/>
      <c r="P440" s="152"/>
      <c r="Q440" s="152"/>
      <c r="R440" s="152"/>
      <c r="S440" s="152"/>
      <c r="T440" s="152"/>
      <c r="U440" s="152"/>
      <c r="V440" s="152"/>
      <c r="W440" s="152"/>
    </row>
    <row r="441">
      <c r="A441" s="152"/>
      <c r="B441" s="152"/>
      <c r="C441" s="152"/>
      <c r="D441" s="152"/>
      <c r="E441" s="152"/>
      <c r="F441" s="152"/>
      <c r="G441" s="152"/>
      <c r="H441" s="152"/>
      <c r="I441" s="152"/>
      <c r="J441" s="152"/>
      <c r="K441" s="445"/>
      <c r="L441" s="445"/>
      <c r="M441" s="152"/>
      <c r="N441" s="152"/>
      <c r="O441" s="152"/>
      <c r="P441" s="152"/>
      <c r="Q441" s="152"/>
      <c r="R441" s="152"/>
      <c r="S441" s="152"/>
      <c r="T441" s="152"/>
      <c r="U441" s="152"/>
      <c r="V441" s="152"/>
      <c r="W441" s="152"/>
    </row>
    <row r="442">
      <c r="A442" s="152"/>
      <c r="B442" s="152"/>
      <c r="C442" s="152"/>
      <c r="D442" s="152"/>
      <c r="E442" s="152"/>
      <c r="F442" s="152"/>
      <c r="G442" s="152"/>
      <c r="H442" s="152"/>
      <c r="I442" s="152"/>
      <c r="J442" s="152"/>
      <c r="K442" s="445"/>
      <c r="L442" s="445"/>
      <c r="M442" s="152"/>
      <c r="N442" s="152"/>
      <c r="O442" s="152"/>
      <c r="P442" s="152"/>
      <c r="Q442" s="152"/>
      <c r="R442" s="152"/>
      <c r="S442" s="152"/>
      <c r="T442" s="152"/>
      <c r="U442" s="152"/>
      <c r="V442" s="152"/>
      <c r="W442" s="152"/>
    </row>
    <row r="443">
      <c r="A443" s="152"/>
      <c r="B443" s="152"/>
      <c r="C443" s="152"/>
      <c r="D443" s="152"/>
      <c r="E443" s="152"/>
      <c r="F443" s="152"/>
      <c r="G443" s="152"/>
      <c r="H443" s="152"/>
      <c r="I443" s="152"/>
      <c r="J443" s="152"/>
      <c r="K443" s="445"/>
      <c r="L443" s="445"/>
      <c r="M443" s="152"/>
      <c r="N443" s="152"/>
      <c r="O443" s="152"/>
      <c r="P443" s="152"/>
      <c r="Q443" s="152"/>
      <c r="R443" s="152"/>
      <c r="S443" s="152"/>
      <c r="T443" s="152"/>
      <c r="U443" s="152"/>
      <c r="V443" s="152"/>
      <c r="W443" s="152"/>
    </row>
    <row r="444">
      <c r="A444" s="152"/>
      <c r="B444" s="152"/>
      <c r="C444" s="152"/>
      <c r="D444" s="152"/>
      <c r="E444" s="152"/>
      <c r="F444" s="152"/>
      <c r="G444" s="152"/>
      <c r="H444" s="152"/>
      <c r="I444" s="152"/>
      <c r="J444" s="152"/>
      <c r="K444" s="445"/>
      <c r="L444" s="445"/>
      <c r="M444" s="152"/>
      <c r="N444" s="152"/>
      <c r="O444" s="152"/>
      <c r="P444" s="152"/>
      <c r="Q444" s="152"/>
      <c r="R444" s="152"/>
      <c r="S444" s="152"/>
      <c r="T444" s="152"/>
      <c r="U444" s="152"/>
      <c r="V444" s="152"/>
      <c r="W444" s="152"/>
    </row>
    <row r="445">
      <c r="A445" s="152"/>
      <c r="B445" s="152"/>
      <c r="C445" s="152"/>
      <c r="D445" s="152"/>
      <c r="E445" s="152"/>
      <c r="F445" s="152"/>
      <c r="G445" s="152"/>
      <c r="H445" s="152"/>
      <c r="I445" s="152"/>
      <c r="J445" s="152"/>
      <c r="K445" s="445"/>
      <c r="L445" s="445"/>
      <c r="M445" s="152"/>
      <c r="N445" s="152"/>
      <c r="O445" s="152"/>
      <c r="P445" s="152"/>
      <c r="Q445" s="152"/>
      <c r="R445" s="152"/>
      <c r="S445" s="152"/>
      <c r="T445" s="152"/>
      <c r="U445" s="152"/>
      <c r="V445" s="152"/>
      <c r="W445" s="152"/>
    </row>
    <row r="446">
      <c r="A446" s="152"/>
      <c r="B446" s="152"/>
      <c r="C446" s="152"/>
      <c r="D446" s="152"/>
      <c r="E446" s="152"/>
      <c r="F446" s="152"/>
      <c r="G446" s="152"/>
      <c r="H446" s="152"/>
      <c r="I446" s="152"/>
      <c r="J446" s="152"/>
      <c r="K446" s="445"/>
      <c r="L446" s="445"/>
      <c r="M446" s="152"/>
      <c r="N446" s="152"/>
      <c r="O446" s="152"/>
      <c r="P446" s="152"/>
      <c r="Q446" s="152"/>
      <c r="R446" s="152"/>
      <c r="S446" s="152"/>
      <c r="T446" s="152"/>
      <c r="U446" s="152"/>
      <c r="V446" s="152"/>
      <c r="W446" s="152"/>
    </row>
    <row r="447">
      <c r="A447" s="152"/>
      <c r="B447" s="152"/>
      <c r="C447" s="152"/>
      <c r="D447" s="152"/>
      <c r="E447" s="152"/>
      <c r="F447" s="152"/>
      <c r="G447" s="152"/>
      <c r="H447" s="152"/>
      <c r="I447" s="152"/>
      <c r="J447" s="152"/>
      <c r="K447" s="445"/>
      <c r="L447" s="445"/>
      <c r="M447" s="152"/>
      <c r="N447" s="152"/>
      <c r="O447" s="152"/>
      <c r="P447" s="152"/>
      <c r="Q447" s="152"/>
      <c r="R447" s="152"/>
      <c r="S447" s="152"/>
      <c r="T447" s="152"/>
      <c r="U447" s="152"/>
      <c r="V447" s="152"/>
      <c r="W447" s="152"/>
    </row>
    <row r="448">
      <c r="A448" s="152"/>
      <c r="B448" s="152"/>
      <c r="C448" s="152"/>
      <c r="D448" s="152"/>
      <c r="E448" s="152"/>
      <c r="F448" s="152"/>
      <c r="G448" s="152"/>
      <c r="H448" s="152"/>
      <c r="I448" s="152"/>
      <c r="J448" s="152"/>
      <c r="K448" s="445"/>
      <c r="L448" s="445"/>
      <c r="M448" s="152"/>
      <c r="N448" s="152"/>
      <c r="O448" s="152"/>
      <c r="P448" s="152"/>
      <c r="Q448" s="152"/>
      <c r="R448" s="152"/>
      <c r="S448" s="152"/>
      <c r="T448" s="152"/>
      <c r="U448" s="152"/>
      <c r="V448" s="152"/>
      <c r="W448" s="152"/>
    </row>
    <row r="449">
      <c r="A449" s="152"/>
      <c r="B449" s="152"/>
      <c r="C449" s="152"/>
      <c r="D449" s="152"/>
      <c r="E449" s="152"/>
      <c r="F449" s="152"/>
      <c r="G449" s="152"/>
      <c r="H449" s="152"/>
      <c r="I449" s="152"/>
      <c r="J449" s="152"/>
      <c r="K449" s="445"/>
      <c r="L449" s="445"/>
      <c r="M449" s="152"/>
      <c r="N449" s="152"/>
      <c r="O449" s="152"/>
      <c r="P449" s="152"/>
      <c r="Q449" s="152"/>
      <c r="R449" s="152"/>
      <c r="S449" s="152"/>
      <c r="T449" s="152"/>
      <c r="U449" s="152"/>
      <c r="V449" s="152"/>
      <c r="W449" s="152"/>
    </row>
    <row r="450">
      <c r="A450" s="152"/>
      <c r="B450" s="152"/>
      <c r="C450" s="152"/>
      <c r="D450" s="152"/>
      <c r="E450" s="152"/>
      <c r="F450" s="152"/>
      <c r="G450" s="152"/>
      <c r="H450" s="152"/>
      <c r="I450" s="152"/>
      <c r="J450" s="152"/>
      <c r="K450" s="445"/>
      <c r="L450" s="445"/>
      <c r="M450" s="152"/>
      <c r="N450" s="152"/>
      <c r="O450" s="152"/>
      <c r="P450" s="152"/>
      <c r="Q450" s="152"/>
      <c r="R450" s="152"/>
      <c r="S450" s="152"/>
      <c r="T450" s="152"/>
      <c r="U450" s="152"/>
      <c r="V450" s="152"/>
      <c r="W450" s="152"/>
    </row>
    <row r="451">
      <c r="A451" s="152"/>
      <c r="B451" s="152"/>
      <c r="C451" s="152"/>
      <c r="D451" s="152"/>
      <c r="E451" s="152"/>
      <c r="F451" s="152"/>
      <c r="G451" s="152"/>
      <c r="H451" s="152"/>
      <c r="I451" s="152"/>
      <c r="J451" s="152"/>
      <c r="K451" s="445"/>
      <c r="L451" s="445"/>
      <c r="M451" s="152"/>
      <c r="N451" s="152"/>
      <c r="O451" s="152"/>
      <c r="P451" s="152"/>
      <c r="Q451" s="152"/>
      <c r="R451" s="152"/>
      <c r="S451" s="152"/>
      <c r="T451" s="152"/>
      <c r="U451" s="152"/>
      <c r="V451" s="152"/>
      <c r="W451" s="152"/>
    </row>
    <row r="452">
      <c r="A452" s="152"/>
      <c r="B452" s="152"/>
      <c r="C452" s="152"/>
      <c r="D452" s="152"/>
      <c r="E452" s="152"/>
      <c r="F452" s="152"/>
      <c r="G452" s="152"/>
      <c r="H452" s="152"/>
      <c r="I452" s="152"/>
      <c r="J452" s="152"/>
      <c r="K452" s="445"/>
      <c r="L452" s="445"/>
      <c r="M452" s="152"/>
      <c r="N452" s="152"/>
      <c r="O452" s="152"/>
      <c r="P452" s="152"/>
      <c r="Q452" s="152"/>
      <c r="R452" s="152"/>
      <c r="S452" s="152"/>
      <c r="T452" s="152"/>
      <c r="U452" s="152"/>
      <c r="V452" s="152"/>
      <c r="W452" s="152"/>
    </row>
    <row r="453">
      <c r="A453" s="152"/>
      <c r="B453" s="152"/>
      <c r="C453" s="152"/>
      <c r="D453" s="152"/>
      <c r="E453" s="152"/>
      <c r="F453" s="152"/>
      <c r="G453" s="152"/>
      <c r="H453" s="152"/>
      <c r="I453" s="152"/>
      <c r="J453" s="152"/>
      <c r="K453" s="445"/>
      <c r="L453" s="445"/>
      <c r="M453" s="152"/>
      <c r="N453" s="152"/>
      <c r="O453" s="152"/>
      <c r="P453" s="152"/>
      <c r="Q453" s="152"/>
      <c r="R453" s="152"/>
      <c r="S453" s="152"/>
      <c r="T453" s="152"/>
      <c r="U453" s="152"/>
      <c r="V453" s="152"/>
      <c r="W453" s="152"/>
    </row>
    <row r="454">
      <c r="A454" s="152"/>
      <c r="B454" s="152"/>
      <c r="C454" s="152"/>
      <c r="D454" s="152"/>
      <c r="E454" s="152"/>
      <c r="F454" s="152"/>
      <c r="G454" s="152"/>
      <c r="H454" s="152"/>
      <c r="I454" s="152"/>
      <c r="J454" s="152"/>
      <c r="K454" s="445"/>
      <c r="L454" s="445"/>
      <c r="M454" s="152"/>
      <c r="N454" s="152"/>
      <c r="O454" s="152"/>
      <c r="P454" s="152"/>
      <c r="Q454" s="152"/>
      <c r="R454" s="152"/>
      <c r="S454" s="152"/>
      <c r="T454" s="152"/>
      <c r="U454" s="152"/>
      <c r="V454" s="152"/>
      <c r="W454" s="152"/>
    </row>
    <row r="455">
      <c r="A455" s="152"/>
      <c r="B455" s="152"/>
      <c r="C455" s="152"/>
      <c r="D455" s="152"/>
      <c r="E455" s="152"/>
      <c r="F455" s="152"/>
      <c r="G455" s="152"/>
      <c r="H455" s="152"/>
      <c r="I455" s="152"/>
      <c r="J455" s="152"/>
      <c r="K455" s="445"/>
      <c r="L455" s="445"/>
      <c r="M455" s="152"/>
      <c r="N455" s="152"/>
      <c r="O455" s="152"/>
      <c r="P455" s="152"/>
      <c r="Q455" s="152"/>
      <c r="R455" s="152"/>
      <c r="S455" s="152"/>
      <c r="T455" s="152"/>
      <c r="U455" s="152"/>
      <c r="V455" s="152"/>
      <c r="W455" s="152"/>
    </row>
    <row r="456">
      <c r="A456" s="152"/>
      <c r="B456" s="152"/>
      <c r="C456" s="152"/>
      <c r="D456" s="152"/>
      <c r="E456" s="152"/>
      <c r="F456" s="152"/>
      <c r="G456" s="152"/>
      <c r="H456" s="152"/>
      <c r="I456" s="152"/>
      <c r="J456" s="152"/>
      <c r="K456" s="445"/>
      <c r="L456" s="445"/>
      <c r="M456" s="152"/>
      <c r="N456" s="152"/>
      <c r="O456" s="152"/>
      <c r="P456" s="152"/>
      <c r="Q456" s="152"/>
      <c r="R456" s="152"/>
      <c r="S456" s="152"/>
      <c r="T456" s="152"/>
      <c r="U456" s="152"/>
      <c r="V456" s="152"/>
      <c r="W456" s="152"/>
    </row>
    <row r="457">
      <c r="A457" s="152"/>
      <c r="B457" s="152"/>
      <c r="C457" s="152"/>
      <c r="D457" s="152"/>
      <c r="E457" s="152"/>
      <c r="F457" s="152"/>
      <c r="G457" s="152"/>
      <c r="H457" s="152"/>
      <c r="I457" s="152"/>
      <c r="J457" s="152"/>
      <c r="K457" s="445"/>
      <c r="L457" s="445"/>
      <c r="M457" s="152"/>
      <c r="N457" s="152"/>
      <c r="O457" s="152"/>
      <c r="P457" s="152"/>
      <c r="Q457" s="152"/>
      <c r="R457" s="152"/>
      <c r="S457" s="152"/>
      <c r="T457" s="152"/>
      <c r="U457" s="152"/>
      <c r="V457" s="152"/>
      <c r="W457" s="152"/>
    </row>
    <row r="458">
      <c r="A458" s="152"/>
      <c r="B458" s="152"/>
      <c r="C458" s="152"/>
      <c r="D458" s="152"/>
      <c r="E458" s="152"/>
      <c r="F458" s="152"/>
      <c r="G458" s="152"/>
      <c r="H458" s="152"/>
      <c r="I458" s="152"/>
      <c r="J458" s="152"/>
      <c r="K458" s="445"/>
      <c r="L458" s="445"/>
      <c r="M458" s="152"/>
      <c r="N458" s="152"/>
      <c r="O458" s="152"/>
      <c r="P458" s="152"/>
      <c r="Q458" s="152"/>
      <c r="R458" s="152"/>
      <c r="S458" s="152"/>
      <c r="T458" s="152"/>
      <c r="U458" s="152"/>
      <c r="V458" s="152"/>
      <c r="W458" s="152"/>
    </row>
    <row r="459">
      <c r="A459" s="152"/>
      <c r="B459" s="152"/>
      <c r="C459" s="152"/>
      <c r="D459" s="152"/>
      <c r="E459" s="152"/>
      <c r="F459" s="152"/>
      <c r="G459" s="152"/>
      <c r="H459" s="152"/>
      <c r="I459" s="152"/>
      <c r="J459" s="152"/>
      <c r="K459" s="445"/>
      <c r="L459" s="445"/>
      <c r="M459" s="152"/>
      <c r="N459" s="152"/>
      <c r="O459" s="152"/>
      <c r="P459" s="152"/>
      <c r="Q459" s="152"/>
      <c r="R459" s="152"/>
      <c r="S459" s="152"/>
      <c r="T459" s="152"/>
      <c r="U459" s="152"/>
      <c r="V459" s="152"/>
      <c r="W459" s="152"/>
    </row>
    <row r="460">
      <c r="A460" s="152"/>
      <c r="B460" s="152"/>
      <c r="C460" s="152"/>
      <c r="D460" s="152"/>
      <c r="E460" s="152"/>
      <c r="F460" s="152"/>
      <c r="G460" s="152"/>
      <c r="H460" s="152"/>
      <c r="I460" s="152"/>
      <c r="J460" s="152"/>
      <c r="K460" s="445"/>
      <c r="L460" s="445"/>
      <c r="M460" s="152"/>
      <c r="N460" s="152"/>
      <c r="O460" s="152"/>
      <c r="P460" s="152"/>
      <c r="Q460" s="152"/>
      <c r="R460" s="152"/>
      <c r="S460" s="152"/>
      <c r="T460" s="152"/>
      <c r="U460" s="152"/>
      <c r="V460" s="152"/>
      <c r="W460" s="152"/>
    </row>
    <row r="461">
      <c r="A461" s="152"/>
      <c r="B461" s="152"/>
      <c r="C461" s="152"/>
      <c r="D461" s="152"/>
      <c r="E461" s="152"/>
      <c r="F461" s="152"/>
      <c r="G461" s="152"/>
      <c r="H461" s="152"/>
      <c r="I461" s="152"/>
      <c r="J461" s="152"/>
      <c r="K461" s="445"/>
      <c r="L461" s="445"/>
      <c r="M461" s="152"/>
      <c r="N461" s="152"/>
      <c r="O461" s="152"/>
      <c r="P461" s="152"/>
      <c r="Q461" s="152"/>
      <c r="R461" s="152"/>
      <c r="S461" s="152"/>
      <c r="T461" s="152"/>
      <c r="U461" s="152"/>
      <c r="V461" s="152"/>
      <c r="W461" s="152"/>
    </row>
    <row r="462">
      <c r="A462" s="152"/>
      <c r="B462" s="152"/>
      <c r="C462" s="152"/>
      <c r="D462" s="152"/>
      <c r="E462" s="152"/>
      <c r="F462" s="152"/>
      <c r="G462" s="152"/>
      <c r="H462" s="152"/>
      <c r="I462" s="152"/>
      <c r="J462" s="152"/>
      <c r="K462" s="445"/>
      <c r="L462" s="445"/>
      <c r="M462" s="152"/>
      <c r="N462" s="152"/>
      <c r="O462" s="152"/>
      <c r="P462" s="152"/>
      <c r="Q462" s="152"/>
      <c r="R462" s="152"/>
      <c r="S462" s="152"/>
      <c r="T462" s="152"/>
      <c r="U462" s="152"/>
      <c r="V462" s="152"/>
      <c r="W462" s="152"/>
    </row>
    <row r="463">
      <c r="A463" s="152"/>
      <c r="B463" s="152"/>
      <c r="C463" s="152"/>
      <c r="D463" s="152"/>
      <c r="E463" s="152"/>
      <c r="F463" s="152"/>
      <c r="G463" s="152"/>
      <c r="H463" s="152"/>
      <c r="I463" s="152"/>
      <c r="J463" s="152"/>
      <c r="K463" s="445"/>
      <c r="L463" s="445"/>
      <c r="M463" s="152"/>
      <c r="N463" s="152"/>
      <c r="O463" s="152"/>
      <c r="P463" s="152"/>
      <c r="Q463" s="152"/>
      <c r="R463" s="152"/>
      <c r="S463" s="152"/>
      <c r="T463" s="152"/>
      <c r="U463" s="152"/>
      <c r="V463" s="152"/>
      <c r="W463" s="152"/>
    </row>
    <row r="464">
      <c r="A464" s="152"/>
      <c r="B464" s="152"/>
      <c r="C464" s="152"/>
      <c r="D464" s="152"/>
      <c r="E464" s="152"/>
      <c r="F464" s="152"/>
      <c r="G464" s="152"/>
      <c r="H464" s="152"/>
      <c r="I464" s="152"/>
      <c r="J464" s="152"/>
      <c r="K464" s="445"/>
      <c r="L464" s="445"/>
      <c r="M464" s="152"/>
      <c r="N464" s="152"/>
      <c r="O464" s="152"/>
      <c r="P464" s="152"/>
      <c r="Q464" s="152"/>
      <c r="R464" s="152"/>
      <c r="S464" s="152"/>
      <c r="T464" s="152"/>
      <c r="U464" s="152"/>
      <c r="V464" s="152"/>
      <c r="W464" s="152"/>
    </row>
    <row r="465">
      <c r="A465" s="152"/>
      <c r="B465" s="152"/>
      <c r="C465" s="152"/>
      <c r="D465" s="152"/>
      <c r="E465" s="152"/>
      <c r="F465" s="152"/>
      <c r="G465" s="152"/>
      <c r="H465" s="152"/>
      <c r="I465" s="152"/>
      <c r="J465" s="152"/>
      <c r="K465" s="445"/>
      <c r="L465" s="445"/>
      <c r="M465" s="152"/>
      <c r="N465" s="152"/>
      <c r="O465" s="152"/>
      <c r="P465" s="152"/>
      <c r="Q465" s="152"/>
      <c r="R465" s="152"/>
      <c r="S465" s="152"/>
      <c r="T465" s="152"/>
      <c r="U465" s="152"/>
      <c r="V465" s="152"/>
      <c r="W465" s="152"/>
    </row>
    <row r="466">
      <c r="A466" s="152"/>
      <c r="B466" s="152"/>
      <c r="C466" s="152"/>
      <c r="D466" s="152"/>
      <c r="E466" s="152"/>
      <c r="F466" s="152"/>
      <c r="G466" s="152"/>
      <c r="H466" s="152"/>
      <c r="I466" s="152"/>
      <c r="J466" s="152"/>
      <c r="K466" s="445"/>
      <c r="L466" s="445"/>
      <c r="M466" s="152"/>
      <c r="N466" s="152"/>
      <c r="O466" s="152"/>
      <c r="P466" s="152"/>
      <c r="Q466" s="152"/>
      <c r="R466" s="152"/>
      <c r="S466" s="152"/>
      <c r="T466" s="152"/>
      <c r="U466" s="152"/>
      <c r="V466" s="152"/>
      <c r="W466" s="152"/>
    </row>
    <row r="467">
      <c r="A467" s="152"/>
      <c r="B467" s="152"/>
      <c r="C467" s="152"/>
      <c r="D467" s="152"/>
      <c r="E467" s="152"/>
      <c r="F467" s="152"/>
      <c r="G467" s="152"/>
      <c r="H467" s="152"/>
      <c r="I467" s="152"/>
      <c r="J467" s="152"/>
      <c r="K467" s="445"/>
      <c r="L467" s="445"/>
      <c r="M467" s="152"/>
      <c r="N467" s="152"/>
      <c r="O467" s="152"/>
      <c r="P467" s="152"/>
      <c r="Q467" s="152"/>
      <c r="R467" s="152"/>
      <c r="S467" s="152"/>
      <c r="T467" s="152"/>
      <c r="U467" s="152"/>
      <c r="V467" s="152"/>
      <c r="W467" s="152"/>
    </row>
    <row r="468">
      <c r="A468" s="152"/>
      <c r="B468" s="152"/>
      <c r="C468" s="152"/>
      <c r="D468" s="152"/>
      <c r="E468" s="152"/>
      <c r="F468" s="152"/>
      <c r="G468" s="152"/>
      <c r="H468" s="152"/>
      <c r="I468" s="152"/>
      <c r="J468" s="152"/>
      <c r="K468" s="445"/>
      <c r="L468" s="445"/>
      <c r="M468" s="152"/>
      <c r="N468" s="152"/>
      <c r="O468" s="152"/>
      <c r="P468" s="152"/>
      <c r="Q468" s="152"/>
      <c r="R468" s="152"/>
      <c r="S468" s="152"/>
      <c r="T468" s="152"/>
      <c r="U468" s="152"/>
      <c r="V468" s="152"/>
      <c r="W468" s="152"/>
    </row>
    <row r="469">
      <c r="A469" s="152"/>
      <c r="B469" s="152"/>
      <c r="C469" s="152"/>
      <c r="D469" s="152"/>
      <c r="E469" s="152"/>
      <c r="F469" s="152"/>
      <c r="G469" s="152"/>
      <c r="H469" s="152"/>
      <c r="I469" s="152"/>
      <c r="J469" s="152"/>
      <c r="K469" s="445"/>
      <c r="L469" s="445"/>
      <c r="M469" s="152"/>
      <c r="N469" s="152"/>
      <c r="O469" s="152"/>
      <c r="P469" s="152"/>
      <c r="Q469" s="152"/>
      <c r="R469" s="152"/>
      <c r="S469" s="152"/>
      <c r="T469" s="152"/>
      <c r="U469" s="152"/>
      <c r="V469" s="152"/>
      <c r="W469" s="152"/>
    </row>
    <row r="470">
      <c r="A470" s="152"/>
      <c r="B470" s="152"/>
      <c r="C470" s="152"/>
      <c r="D470" s="152"/>
      <c r="E470" s="152"/>
      <c r="F470" s="152"/>
      <c r="G470" s="152"/>
      <c r="H470" s="152"/>
      <c r="I470" s="152"/>
      <c r="J470" s="152"/>
      <c r="K470" s="445"/>
      <c r="L470" s="445"/>
      <c r="M470" s="152"/>
      <c r="N470" s="152"/>
      <c r="O470" s="152"/>
      <c r="P470" s="152"/>
      <c r="Q470" s="152"/>
      <c r="R470" s="152"/>
      <c r="S470" s="152"/>
      <c r="T470" s="152"/>
      <c r="U470" s="152"/>
      <c r="V470" s="152"/>
      <c r="W470" s="152"/>
    </row>
    <row r="471">
      <c r="A471" s="152"/>
      <c r="B471" s="152"/>
      <c r="C471" s="152"/>
      <c r="D471" s="152"/>
      <c r="E471" s="152"/>
      <c r="F471" s="152"/>
      <c r="G471" s="152"/>
      <c r="H471" s="152"/>
      <c r="I471" s="152"/>
      <c r="J471" s="152"/>
      <c r="K471" s="445"/>
      <c r="L471" s="445"/>
      <c r="M471" s="152"/>
      <c r="N471" s="152"/>
      <c r="O471" s="152"/>
      <c r="P471" s="152"/>
      <c r="Q471" s="152"/>
      <c r="R471" s="152"/>
      <c r="S471" s="152"/>
      <c r="T471" s="152"/>
      <c r="U471" s="152"/>
      <c r="V471" s="152"/>
      <c r="W471" s="152"/>
    </row>
    <row r="472">
      <c r="A472" s="152"/>
      <c r="B472" s="152"/>
      <c r="C472" s="152"/>
      <c r="D472" s="152"/>
      <c r="E472" s="152"/>
      <c r="F472" s="152"/>
      <c r="G472" s="152"/>
      <c r="H472" s="152"/>
      <c r="I472" s="152"/>
      <c r="J472" s="152"/>
      <c r="K472" s="445"/>
      <c r="L472" s="445"/>
      <c r="M472" s="152"/>
      <c r="N472" s="152"/>
      <c r="O472" s="152"/>
      <c r="P472" s="152"/>
      <c r="Q472" s="152"/>
      <c r="R472" s="152"/>
      <c r="S472" s="152"/>
      <c r="T472" s="152"/>
      <c r="U472" s="152"/>
      <c r="V472" s="152"/>
      <c r="W472" s="152"/>
    </row>
    <row r="473">
      <c r="A473" s="152"/>
      <c r="B473" s="152"/>
      <c r="C473" s="152"/>
      <c r="D473" s="152"/>
      <c r="E473" s="152"/>
      <c r="F473" s="152"/>
      <c r="G473" s="152"/>
      <c r="H473" s="152"/>
      <c r="I473" s="152"/>
      <c r="J473" s="152"/>
      <c r="K473" s="445"/>
      <c r="L473" s="445"/>
      <c r="M473" s="152"/>
      <c r="N473" s="152"/>
      <c r="O473" s="152"/>
      <c r="P473" s="152"/>
      <c r="Q473" s="152"/>
      <c r="R473" s="152"/>
      <c r="S473" s="152"/>
      <c r="T473" s="152"/>
      <c r="U473" s="152"/>
      <c r="V473" s="152"/>
      <c r="W473" s="152"/>
    </row>
    <row r="474">
      <c r="A474" s="152"/>
      <c r="B474" s="152"/>
      <c r="C474" s="152"/>
      <c r="D474" s="152"/>
      <c r="E474" s="152"/>
      <c r="F474" s="152"/>
      <c r="G474" s="152"/>
      <c r="H474" s="152"/>
      <c r="I474" s="152"/>
      <c r="J474" s="152"/>
      <c r="K474" s="445"/>
      <c r="L474" s="445"/>
      <c r="M474" s="152"/>
      <c r="N474" s="152"/>
      <c r="O474" s="152"/>
      <c r="P474" s="152"/>
      <c r="Q474" s="152"/>
      <c r="R474" s="152"/>
      <c r="S474" s="152"/>
      <c r="T474" s="152"/>
      <c r="U474" s="152"/>
      <c r="V474" s="152"/>
      <c r="W474" s="152"/>
    </row>
    <row r="475">
      <c r="A475" s="152"/>
      <c r="B475" s="152"/>
      <c r="C475" s="152"/>
      <c r="D475" s="152"/>
      <c r="E475" s="152"/>
      <c r="F475" s="152"/>
      <c r="G475" s="152"/>
      <c r="H475" s="152"/>
      <c r="I475" s="152"/>
      <c r="J475" s="152"/>
      <c r="K475" s="445"/>
      <c r="L475" s="445"/>
      <c r="M475" s="152"/>
      <c r="N475" s="152"/>
      <c r="O475" s="152"/>
      <c r="P475" s="152"/>
      <c r="Q475" s="152"/>
      <c r="R475" s="152"/>
      <c r="S475" s="152"/>
      <c r="T475" s="152"/>
      <c r="U475" s="152"/>
      <c r="V475" s="152"/>
      <c r="W475" s="152"/>
    </row>
    <row r="476">
      <c r="A476" s="152"/>
      <c r="B476" s="152"/>
      <c r="C476" s="152"/>
      <c r="D476" s="152"/>
      <c r="E476" s="152"/>
      <c r="F476" s="152"/>
      <c r="G476" s="152"/>
      <c r="H476" s="152"/>
      <c r="I476" s="152"/>
      <c r="J476" s="152"/>
      <c r="K476" s="445"/>
      <c r="L476" s="445"/>
      <c r="M476" s="152"/>
      <c r="N476" s="152"/>
      <c r="O476" s="152"/>
      <c r="P476" s="152"/>
      <c r="Q476" s="152"/>
      <c r="R476" s="152"/>
      <c r="S476" s="152"/>
      <c r="T476" s="152"/>
      <c r="U476" s="152"/>
      <c r="V476" s="152"/>
      <c r="W476" s="152"/>
    </row>
    <row r="477">
      <c r="A477" s="152"/>
      <c r="B477" s="152"/>
      <c r="C477" s="152"/>
      <c r="D477" s="152"/>
      <c r="E477" s="152"/>
      <c r="F477" s="152"/>
      <c r="G477" s="152"/>
      <c r="H477" s="152"/>
      <c r="I477" s="152"/>
      <c r="J477" s="152"/>
      <c r="K477" s="445"/>
      <c r="L477" s="445"/>
      <c r="M477" s="152"/>
      <c r="N477" s="152"/>
      <c r="O477" s="152"/>
      <c r="P477" s="152"/>
      <c r="Q477" s="152"/>
      <c r="R477" s="152"/>
      <c r="S477" s="152"/>
      <c r="T477" s="152"/>
      <c r="U477" s="152"/>
      <c r="V477" s="152"/>
      <c r="W477" s="152"/>
    </row>
    <row r="478">
      <c r="A478" s="152"/>
      <c r="B478" s="152"/>
      <c r="C478" s="152"/>
      <c r="D478" s="152"/>
      <c r="E478" s="152"/>
      <c r="F478" s="152"/>
      <c r="G478" s="152"/>
      <c r="H478" s="152"/>
      <c r="I478" s="152"/>
      <c r="J478" s="152"/>
      <c r="K478" s="445"/>
      <c r="L478" s="445"/>
      <c r="M478" s="152"/>
      <c r="N478" s="152"/>
      <c r="O478" s="152"/>
      <c r="P478" s="152"/>
      <c r="Q478" s="152"/>
      <c r="R478" s="152"/>
      <c r="S478" s="152"/>
      <c r="T478" s="152"/>
      <c r="U478" s="152"/>
      <c r="V478" s="152"/>
      <c r="W478" s="152"/>
    </row>
    <row r="479">
      <c r="A479" s="152"/>
      <c r="B479" s="152"/>
      <c r="C479" s="152"/>
      <c r="D479" s="152"/>
      <c r="E479" s="152"/>
      <c r="F479" s="152"/>
      <c r="G479" s="152"/>
      <c r="H479" s="152"/>
      <c r="I479" s="152"/>
      <c r="J479" s="152"/>
      <c r="K479" s="445"/>
      <c r="L479" s="445"/>
      <c r="M479" s="152"/>
      <c r="N479" s="152"/>
      <c r="O479" s="152"/>
      <c r="P479" s="152"/>
      <c r="Q479" s="152"/>
      <c r="R479" s="152"/>
      <c r="S479" s="152"/>
      <c r="T479" s="152"/>
      <c r="U479" s="152"/>
      <c r="V479" s="152"/>
      <c r="W479" s="152"/>
    </row>
    <row r="480">
      <c r="A480" s="152"/>
      <c r="B480" s="152"/>
      <c r="C480" s="152"/>
      <c r="D480" s="152"/>
      <c r="E480" s="152"/>
      <c r="F480" s="152"/>
      <c r="G480" s="152"/>
      <c r="H480" s="152"/>
      <c r="I480" s="152"/>
      <c r="J480" s="152"/>
      <c r="K480" s="445"/>
      <c r="L480" s="445"/>
      <c r="M480" s="152"/>
      <c r="N480" s="152"/>
      <c r="O480" s="152"/>
      <c r="P480" s="152"/>
      <c r="Q480" s="152"/>
      <c r="R480" s="152"/>
      <c r="S480" s="152"/>
      <c r="T480" s="152"/>
      <c r="U480" s="152"/>
      <c r="V480" s="152"/>
      <c r="W480" s="152"/>
    </row>
    <row r="481">
      <c r="A481" s="152"/>
      <c r="B481" s="152"/>
      <c r="C481" s="152"/>
      <c r="D481" s="152"/>
      <c r="E481" s="152"/>
      <c r="F481" s="152"/>
      <c r="G481" s="152"/>
      <c r="H481" s="152"/>
      <c r="I481" s="152"/>
      <c r="J481" s="152"/>
      <c r="K481" s="445"/>
      <c r="L481" s="445"/>
      <c r="M481" s="152"/>
      <c r="N481" s="152"/>
      <c r="O481" s="152"/>
      <c r="P481" s="152"/>
      <c r="Q481" s="152"/>
      <c r="R481" s="152"/>
      <c r="S481" s="152"/>
      <c r="T481" s="152"/>
      <c r="U481" s="152"/>
      <c r="V481" s="152"/>
      <c r="W481" s="152"/>
    </row>
    <row r="482">
      <c r="A482" s="152"/>
      <c r="B482" s="152"/>
      <c r="C482" s="152"/>
      <c r="D482" s="152"/>
      <c r="E482" s="152"/>
      <c r="F482" s="152"/>
      <c r="G482" s="152"/>
      <c r="H482" s="152"/>
      <c r="I482" s="152"/>
      <c r="J482" s="152"/>
      <c r="K482" s="445"/>
      <c r="L482" s="445"/>
      <c r="M482" s="152"/>
      <c r="N482" s="152"/>
      <c r="O482" s="152"/>
      <c r="P482" s="152"/>
      <c r="Q482" s="152"/>
      <c r="R482" s="152"/>
      <c r="S482" s="152"/>
      <c r="T482" s="152"/>
      <c r="U482" s="152"/>
      <c r="V482" s="152"/>
      <c r="W482" s="152"/>
    </row>
    <row r="483">
      <c r="A483" s="152"/>
      <c r="B483" s="152"/>
      <c r="C483" s="152"/>
      <c r="D483" s="152"/>
      <c r="E483" s="152"/>
      <c r="F483" s="152"/>
      <c r="G483" s="152"/>
      <c r="H483" s="152"/>
      <c r="I483" s="152"/>
      <c r="J483" s="152"/>
      <c r="K483" s="445"/>
      <c r="L483" s="445"/>
      <c r="M483" s="152"/>
      <c r="N483" s="152"/>
      <c r="O483" s="152"/>
      <c r="P483" s="152"/>
      <c r="Q483" s="152"/>
      <c r="R483" s="152"/>
      <c r="S483" s="152"/>
      <c r="T483" s="152"/>
      <c r="U483" s="152"/>
      <c r="V483" s="152"/>
      <c r="W483" s="152"/>
    </row>
    <row r="484">
      <c r="A484" s="152"/>
      <c r="B484" s="152"/>
      <c r="C484" s="152"/>
      <c r="D484" s="152"/>
      <c r="E484" s="152"/>
      <c r="F484" s="152"/>
      <c r="G484" s="152"/>
      <c r="H484" s="152"/>
      <c r="I484" s="152"/>
      <c r="J484" s="152"/>
      <c r="K484" s="445"/>
      <c r="L484" s="445"/>
      <c r="M484" s="152"/>
      <c r="N484" s="152"/>
      <c r="O484" s="152"/>
      <c r="P484" s="152"/>
      <c r="Q484" s="152"/>
      <c r="R484" s="152"/>
      <c r="S484" s="152"/>
      <c r="T484" s="152"/>
      <c r="U484" s="152"/>
      <c r="V484" s="152"/>
      <c r="W484" s="152"/>
    </row>
    <row r="485">
      <c r="A485" s="152"/>
      <c r="B485" s="152"/>
      <c r="C485" s="152"/>
      <c r="D485" s="152"/>
      <c r="E485" s="152"/>
      <c r="F485" s="152"/>
      <c r="G485" s="152"/>
      <c r="H485" s="152"/>
      <c r="I485" s="152"/>
      <c r="J485" s="152"/>
      <c r="K485" s="445"/>
      <c r="L485" s="445"/>
      <c r="M485" s="152"/>
      <c r="N485" s="152"/>
      <c r="O485" s="152"/>
      <c r="P485" s="152"/>
      <c r="Q485" s="152"/>
      <c r="R485" s="152"/>
      <c r="S485" s="152"/>
      <c r="T485" s="152"/>
      <c r="U485" s="152"/>
      <c r="V485" s="152"/>
      <c r="W485" s="152"/>
    </row>
    <row r="486">
      <c r="A486" s="152"/>
      <c r="B486" s="152"/>
      <c r="C486" s="152"/>
      <c r="D486" s="152"/>
      <c r="E486" s="152"/>
      <c r="F486" s="152"/>
      <c r="G486" s="152"/>
      <c r="H486" s="152"/>
      <c r="I486" s="152"/>
      <c r="J486" s="152"/>
      <c r="K486" s="445"/>
      <c r="L486" s="445"/>
      <c r="M486" s="152"/>
      <c r="N486" s="152"/>
      <c r="O486" s="152"/>
      <c r="P486" s="152"/>
      <c r="Q486" s="152"/>
      <c r="R486" s="152"/>
      <c r="S486" s="152"/>
      <c r="T486" s="152"/>
      <c r="U486" s="152"/>
      <c r="V486" s="152"/>
      <c r="W486" s="152"/>
    </row>
    <row r="487">
      <c r="A487" s="152"/>
      <c r="B487" s="152"/>
      <c r="C487" s="152"/>
      <c r="D487" s="152"/>
      <c r="E487" s="152"/>
      <c r="F487" s="152"/>
      <c r="G487" s="152"/>
      <c r="H487" s="152"/>
      <c r="I487" s="152"/>
      <c r="J487" s="152"/>
      <c r="K487" s="445"/>
      <c r="L487" s="445"/>
      <c r="M487" s="152"/>
      <c r="N487" s="152"/>
      <c r="O487" s="152"/>
      <c r="P487" s="152"/>
      <c r="Q487" s="152"/>
      <c r="R487" s="152"/>
      <c r="S487" s="152"/>
      <c r="T487" s="152"/>
      <c r="U487" s="152"/>
      <c r="V487" s="152"/>
      <c r="W487" s="152"/>
    </row>
    <row r="488">
      <c r="A488" s="152"/>
      <c r="B488" s="152"/>
      <c r="C488" s="152"/>
      <c r="D488" s="152"/>
      <c r="E488" s="152"/>
      <c r="F488" s="152"/>
      <c r="G488" s="152"/>
      <c r="H488" s="152"/>
      <c r="I488" s="152"/>
      <c r="J488" s="152"/>
      <c r="K488" s="445"/>
      <c r="L488" s="445"/>
      <c r="M488" s="152"/>
      <c r="N488" s="152"/>
      <c r="O488" s="152"/>
      <c r="P488" s="152"/>
      <c r="Q488" s="152"/>
      <c r="R488" s="152"/>
      <c r="S488" s="152"/>
      <c r="T488" s="152"/>
      <c r="U488" s="152"/>
      <c r="V488" s="152"/>
      <c r="W488" s="152"/>
    </row>
    <row r="489">
      <c r="A489" s="152"/>
      <c r="B489" s="152"/>
      <c r="C489" s="152"/>
      <c r="D489" s="152"/>
      <c r="E489" s="152"/>
      <c r="F489" s="152"/>
      <c r="G489" s="152"/>
      <c r="H489" s="152"/>
      <c r="I489" s="152"/>
      <c r="J489" s="152"/>
      <c r="K489" s="445"/>
      <c r="L489" s="445"/>
      <c r="M489" s="152"/>
      <c r="N489" s="152"/>
      <c r="O489" s="152"/>
      <c r="P489" s="152"/>
      <c r="Q489" s="152"/>
      <c r="R489" s="152"/>
      <c r="S489" s="152"/>
      <c r="T489" s="152"/>
      <c r="U489" s="152"/>
      <c r="V489" s="152"/>
      <c r="W489" s="152"/>
    </row>
    <row r="490">
      <c r="A490" s="152"/>
      <c r="B490" s="152"/>
      <c r="C490" s="152"/>
      <c r="D490" s="152"/>
      <c r="E490" s="152"/>
      <c r="F490" s="152"/>
      <c r="G490" s="152"/>
      <c r="H490" s="152"/>
      <c r="I490" s="152"/>
      <c r="J490" s="152"/>
      <c r="K490" s="445"/>
      <c r="L490" s="445"/>
      <c r="M490" s="152"/>
      <c r="N490" s="152"/>
      <c r="O490" s="152"/>
      <c r="P490" s="152"/>
      <c r="Q490" s="152"/>
      <c r="R490" s="152"/>
      <c r="S490" s="152"/>
      <c r="T490" s="152"/>
      <c r="U490" s="152"/>
      <c r="V490" s="152"/>
      <c r="W490" s="152"/>
    </row>
    <row r="491">
      <c r="A491" s="152"/>
      <c r="B491" s="152"/>
      <c r="C491" s="152"/>
      <c r="D491" s="152"/>
      <c r="E491" s="152"/>
      <c r="F491" s="152"/>
      <c r="G491" s="152"/>
      <c r="H491" s="152"/>
      <c r="I491" s="152"/>
      <c r="J491" s="152"/>
      <c r="K491" s="445"/>
      <c r="L491" s="445"/>
      <c r="M491" s="152"/>
      <c r="N491" s="152"/>
      <c r="O491" s="152"/>
      <c r="P491" s="152"/>
      <c r="Q491" s="152"/>
      <c r="R491" s="152"/>
      <c r="S491" s="152"/>
      <c r="T491" s="152"/>
      <c r="U491" s="152"/>
      <c r="V491" s="152"/>
      <c r="W491" s="152"/>
    </row>
    <row r="492">
      <c r="A492" s="152"/>
      <c r="B492" s="152"/>
      <c r="C492" s="152"/>
      <c r="D492" s="152"/>
      <c r="E492" s="152"/>
      <c r="F492" s="152"/>
      <c r="G492" s="152"/>
      <c r="H492" s="152"/>
      <c r="I492" s="152"/>
      <c r="J492" s="152"/>
      <c r="K492" s="445"/>
      <c r="L492" s="445"/>
      <c r="M492" s="152"/>
      <c r="N492" s="152"/>
      <c r="O492" s="152"/>
      <c r="P492" s="152"/>
      <c r="Q492" s="152"/>
      <c r="R492" s="152"/>
      <c r="S492" s="152"/>
      <c r="T492" s="152"/>
      <c r="U492" s="152"/>
      <c r="V492" s="152"/>
      <c r="W492" s="152"/>
    </row>
    <row r="493">
      <c r="A493" s="152"/>
      <c r="B493" s="152"/>
      <c r="C493" s="152"/>
      <c r="D493" s="152"/>
      <c r="E493" s="152"/>
      <c r="F493" s="152"/>
      <c r="G493" s="152"/>
      <c r="H493" s="152"/>
      <c r="I493" s="152"/>
      <c r="J493" s="152"/>
      <c r="K493" s="445"/>
      <c r="L493" s="445"/>
      <c r="M493" s="152"/>
      <c r="N493" s="152"/>
      <c r="O493" s="152"/>
      <c r="P493" s="152"/>
      <c r="Q493" s="152"/>
      <c r="R493" s="152"/>
      <c r="S493" s="152"/>
      <c r="T493" s="152"/>
      <c r="U493" s="152"/>
      <c r="V493" s="152"/>
      <c r="W493" s="152"/>
    </row>
    <row r="494">
      <c r="A494" s="152"/>
      <c r="B494" s="152"/>
      <c r="C494" s="152"/>
      <c r="D494" s="152"/>
      <c r="E494" s="152"/>
      <c r="F494" s="152"/>
      <c r="G494" s="152"/>
      <c r="H494" s="152"/>
      <c r="I494" s="152"/>
      <c r="J494" s="152"/>
      <c r="K494" s="445"/>
      <c r="L494" s="445"/>
      <c r="M494" s="152"/>
      <c r="N494" s="152"/>
      <c r="O494" s="152"/>
      <c r="P494" s="152"/>
      <c r="Q494" s="152"/>
      <c r="R494" s="152"/>
      <c r="S494" s="152"/>
      <c r="T494" s="152"/>
      <c r="U494" s="152"/>
      <c r="V494" s="152"/>
      <c r="W494" s="152"/>
    </row>
    <row r="495">
      <c r="A495" s="152"/>
      <c r="B495" s="152"/>
      <c r="C495" s="152"/>
      <c r="D495" s="152"/>
      <c r="E495" s="152"/>
      <c r="F495" s="152"/>
      <c r="G495" s="152"/>
      <c r="H495" s="152"/>
      <c r="I495" s="152"/>
      <c r="J495" s="152"/>
      <c r="K495" s="445"/>
      <c r="L495" s="445"/>
      <c r="M495" s="152"/>
      <c r="N495" s="152"/>
      <c r="O495" s="152"/>
      <c r="P495" s="152"/>
      <c r="Q495" s="152"/>
      <c r="R495" s="152"/>
      <c r="S495" s="152"/>
      <c r="T495" s="152"/>
      <c r="U495" s="152"/>
      <c r="V495" s="152"/>
      <c r="W495" s="152"/>
    </row>
    <row r="496">
      <c r="A496" s="152"/>
      <c r="B496" s="152"/>
      <c r="C496" s="152"/>
      <c r="D496" s="152"/>
      <c r="E496" s="152"/>
      <c r="F496" s="152"/>
      <c r="G496" s="152"/>
      <c r="H496" s="152"/>
      <c r="I496" s="152"/>
      <c r="J496" s="152"/>
      <c r="K496" s="445"/>
      <c r="L496" s="445"/>
      <c r="M496" s="152"/>
      <c r="N496" s="152"/>
      <c r="O496" s="152"/>
      <c r="P496" s="152"/>
      <c r="Q496" s="152"/>
      <c r="R496" s="152"/>
      <c r="S496" s="152"/>
      <c r="T496" s="152"/>
      <c r="U496" s="152"/>
      <c r="V496" s="152"/>
      <c r="W496" s="152"/>
    </row>
    <row r="497">
      <c r="A497" s="152"/>
      <c r="B497" s="152"/>
      <c r="C497" s="152"/>
      <c r="D497" s="152"/>
      <c r="E497" s="152"/>
      <c r="F497" s="152"/>
      <c r="G497" s="152"/>
      <c r="H497" s="152"/>
      <c r="I497" s="152"/>
      <c r="J497" s="152"/>
      <c r="K497" s="445"/>
      <c r="L497" s="445"/>
      <c r="M497" s="152"/>
      <c r="N497" s="152"/>
      <c r="O497" s="152"/>
      <c r="P497" s="152"/>
      <c r="Q497" s="152"/>
      <c r="R497" s="152"/>
      <c r="S497" s="152"/>
      <c r="T497" s="152"/>
      <c r="U497" s="152"/>
      <c r="V497" s="152"/>
      <c r="W497" s="152"/>
    </row>
    <row r="498">
      <c r="A498" s="152"/>
      <c r="B498" s="152"/>
      <c r="C498" s="152"/>
      <c r="D498" s="152"/>
      <c r="E498" s="152"/>
      <c r="F498" s="152"/>
      <c r="G498" s="152"/>
      <c r="H498" s="152"/>
      <c r="I498" s="152"/>
      <c r="J498" s="152"/>
      <c r="K498" s="445"/>
      <c r="L498" s="445"/>
      <c r="M498" s="152"/>
      <c r="N498" s="152"/>
      <c r="O498" s="152"/>
      <c r="P498" s="152"/>
      <c r="Q498" s="152"/>
      <c r="R498" s="152"/>
      <c r="S498" s="152"/>
      <c r="T498" s="152"/>
      <c r="U498" s="152"/>
      <c r="V498" s="152"/>
      <c r="W498" s="152"/>
    </row>
    <row r="499">
      <c r="A499" s="152"/>
      <c r="B499" s="152"/>
      <c r="C499" s="152"/>
      <c r="D499" s="152"/>
      <c r="E499" s="152"/>
      <c r="F499" s="152"/>
      <c r="G499" s="152"/>
      <c r="H499" s="152"/>
      <c r="I499" s="152"/>
      <c r="J499" s="152"/>
      <c r="K499" s="445"/>
      <c r="L499" s="445"/>
      <c r="M499" s="152"/>
      <c r="N499" s="152"/>
      <c r="O499" s="152"/>
      <c r="P499" s="152"/>
      <c r="Q499" s="152"/>
      <c r="R499" s="152"/>
      <c r="S499" s="152"/>
      <c r="T499" s="152"/>
      <c r="U499" s="152"/>
      <c r="V499" s="152"/>
      <c r="W499" s="152"/>
    </row>
    <row r="500">
      <c r="A500" s="152"/>
      <c r="B500" s="152"/>
      <c r="C500" s="152"/>
      <c r="D500" s="152"/>
      <c r="E500" s="152"/>
      <c r="F500" s="152"/>
      <c r="G500" s="152"/>
      <c r="H500" s="152"/>
      <c r="I500" s="152"/>
      <c r="J500" s="152"/>
      <c r="K500" s="445"/>
      <c r="L500" s="445"/>
      <c r="M500" s="152"/>
      <c r="N500" s="152"/>
      <c r="O500" s="152"/>
      <c r="P500" s="152"/>
      <c r="Q500" s="152"/>
      <c r="R500" s="152"/>
      <c r="S500" s="152"/>
      <c r="T500" s="152"/>
      <c r="U500" s="152"/>
      <c r="V500" s="152"/>
      <c r="W500" s="152"/>
    </row>
    <row r="501">
      <c r="A501" s="152"/>
      <c r="B501" s="152"/>
      <c r="C501" s="152"/>
      <c r="D501" s="152"/>
      <c r="E501" s="152"/>
      <c r="F501" s="152"/>
      <c r="G501" s="152"/>
      <c r="H501" s="152"/>
      <c r="I501" s="152"/>
      <c r="J501" s="152"/>
      <c r="K501" s="445"/>
      <c r="L501" s="445"/>
      <c r="M501" s="152"/>
      <c r="N501" s="152"/>
      <c r="O501" s="152"/>
      <c r="P501" s="152"/>
      <c r="Q501" s="152"/>
      <c r="R501" s="152"/>
      <c r="S501" s="152"/>
      <c r="T501" s="152"/>
      <c r="U501" s="152"/>
      <c r="V501" s="152"/>
      <c r="W501" s="152"/>
    </row>
    <row r="502">
      <c r="A502" s="152"/>
      <c r="B502" s="152"/>
      <c r="C502" s="152"/>
      <c r="D502" s="152"/>
      <c r="E502" s="152"/>
      <c r="F502" s="152"/>
      <c r="G502" s="152"/>
      <c r="H502" s="152"/>
      <c r="I502" s="152"/>
      <c r="J502" s="152"/>
      <c r="K502" s="445"/>
      <c r="L502" s="445"/>
      <c r="M502" s="152"/>
      <c r="N502" s="152"/>
      <c r="O502" s="152"/>
      <c r="P502" s="152"/>
      <c r="Q502" s="152"/>
      <c r="R502" s="152"/>
      <c r="S502" s="152"/>
      <c r="T502" s="152"/>
      <c r="U502" s="152"/>
      <c r="V502" s="152"/>
      <c r="W502" s="152"/>
    </row>
    <row r="503">
      <c r="A503" s="152"/>
      <c r="B503" s="152"/>
      <c r="C503" s="152"/>
      <c r="D503" s="152"/>
      <c r="E503" s="152"/>
      <c r="F503" s="152"/>
      <c r="G503" s="152"/>
      <c r="H503" s="152"/>
      <c r="I503" s="152"/>
      <c r="J503" s="152"/>
      <c r="K503" s="445"/>
      <c r="L503" s="445"/>
      <c r="M503" s="152"/>
      <c r="N503" s="152"/>
      <c r="O503" s="152"/>
      <c r="P503" s="152"/>
      <c r="Q503" s="152"/>
      <c r="R503" s="152"/>
      <c r="S503" s="152"/>
      <c r="T503" s="152"/>
      <c r="U503" s="152"/>
      <c r="V503" s="152"/>
      <c r="W503" s="152"/>
    </row>
    <row r="504">
      <c r="A504" s="152"/>
      <c r="B504" s="152"/>
      <c r="C504" s="152"/>
      <c r="D504" s="152"/>
      <c r="E504" s="152"/>
      <c r="F504" s="152"/>
      <c r="G504" s="152"/>
      <c r="H504" s="152"/>
      <c r="I504" s="152"/>
      <c r="J504" s="152"/>
      <c r="K504" s="445"/>
      <c r="L504" s="445"/>
      <c r="M504" s="152"/>
      <c r="N504" s="152"/>
      <c r="O504" s="152"/>
      <c r="P504" s="152"/>
      <c r="Q504" s="152"/>
      <c r="R504" s="152"/>
      <c r="S504" s="152"/>
      <c r="T504" s="152"/>
      <c r="U504" s="152"/>
      <c r="V504" s="152"/>
      <c r="W504" s="152"/>
    </row>
    <row r="505">
      <c r="A505" s="152"/>
      <c r="B505" s="152"/>
      <c r="C505" s="152"/>
      <c r="D505" s="152"/>
      <c r="E505" s="152"/>
      <c r="F505" s="152"/>
      <c r="G505" s="152"/>
      <c r="H505" s="152"/>
      <c r="I505" s="152"/>
      <c r="J505" s="152"/>
      <c r="K505" s="445"/>
      <c r="L505" s="445"/>
      <c r="M505" s="152"/>
      <c r="N505" s="152"/>
      <c r="O505" s="152"/>
      <c r="P505" s="152"/>
      <c r="Q505" s="152"/>
      <c r="R505" s="152"/>
      <c r="S505" s="152"/>
      <c r="T505" s="152"/>
      <c r="U505" s="152"/>
      <c r="V505" s="152"/>
      <c r="W505" s="152"/>
    </row>
    <row r="506">
      <c r="A506" s="152"/>
      <c r="B506" s="152"/>
      <c r="C506" s="152"/>
      <c r="D506" s="152"/>
      <c r="E506" s="152"/>
      <c r="F506" s="152"/>
      <c r="G506" s="152"/>
      <c r="H506" s="152"/>
      <c r="I506" s="152"/>
      <c r="J506" s="152"/>
      <c r="K506" s="445"/>
      <c r="L506" s="445"/>
      <c r="M506" s="152"/>
      <c r="N506" s="152"/>
      <c r="O506" s="152"/>
      <c r="P506" s="152"/>
      <c r="Q506" s="152"/>
      <c r="R506" s="152"/>
      <c r="S506" s="152"/>
      <c r="T506" s="152"/>
      <c r="U506" s="152"/>
      <c r="V506" s="152"/>
      <c r="W506" s="152"/>
    </row>
    <row r="507">
      <c r="A507" s="152"/>
      <c r="B507" s="152"/>
      <c r="C507" s="152"/>
      <c r="D507" s="152"/>
      <c r="E507" s="152"/>
      <c r="F507" s="152"/>
      <c r="G507" s="152"/>
      <c r="H507" s="152"/>
      <c r="I507" s="152"/>
      <c r="J507" s="152"/>
      <c r="K507" s="445"/>
      <c r="L507" s="445"/>
      <c r="M507" s="152"/>
      <c r="N507" s="152"/>
      <c r="O507" s="152"/>
      <c r="P507" s="152"/>
      <c r="Q507" s="152"/>
      <c r="R507" s="152"/>
      <c r="S507" s="152"/>
      <c r="T507" s="152"/>
      <c r="U507" s="152"/>
      <c r="V507" s="152"/>
      <c r="W507" s="152"/>
    </row>
    <row r="508">
      <c r="A508" s="152"/>
      <c r="B508" s="152"/>
      <c r="C508" s="152"/>
      <c r="D508" s="152"/>
      <c r="E508" s="152"/>
      <c r="F508" s="152"/>
      <c r="G508" s="152"/>
      <c r="H508" s="152"/>
      <c r="I508" s="152"/>
      <c r="J508" s="152"/>
      <c r="K508" s="445"/>
      <c r="L508" s="445"/>
      <c r="M508" s="152"/>
      <c r="N508" s="152"/>
      <c r="O508" s="152"/>
      <c r="P508" s="152"/>
      <c r="Q508" s="152"/>
      <c r="R508" s="152"/>
      <c r="S508" s="152"/>
      <c r="T508" s="152"/>
      <c r="U508" s="152"/>
      <c r="V508" s="152"/>
      <c r="W508" s="152"/>
    </row>
    <row r="509">
      <c r="A509" s="152"/>
      <c r="B509" s="152"/>
      <c r="C509" s="152"/>
      <c r="D509" s="152"/>
      <c r="E509" s="152"/>
      <c r="F509" s="152"/>
      <c r="G509" s="152"/>
      <c r="H509" s="152"/>
      <c r="I509" s="152"/>
      <c r="J509" s="152"/>
      <c r="K509" s="445"/>
      <c r="L509" s="445"/>
      <c r="M509" s="152"/>
      <c r="N509" s="152"/>
      <c r="O509" s="152"/>
      <c r="P509" s="152"/>
      <c r="Q509" s="152"/>
      <c r="R509" s="152"/>
      <c r="S509" s="152"/>
      <c r="T509" s="152"/>
      <c r="U509" s="152"/>
      <c r="V509" s="152"/>
      <c r="W509" s="152"/>
    </row>
    <row r="510">
      <c r="A510" s="152"/>
      <c r="B510" s="152"/>
      <c r="C510" s="152"/>
      <c r="D510" s="152"/>
      <c r="E510" s="152"/>
      <c r="F510" s="152"/>
      <c r="G510" s="152"/>
      <c r="H510" s="152"/>
      <c r="I510" s="152"/>
      <c r="J510" s="152"/>
      <c r="K510" s="445"/>
      <c r="L510" s="445"/>
      <c r="M510" s="152"/>
      <c r="N510" s="152"/>
      <c r="O510" s="152"/>
      <c r="P510" s="152"/>
      <c r="Q510" s="152"/>
      <c r="R510" s="152"/>
      <c r="S510" s="152"/>
      <c r="T510" s="152"/>
      <c r="U510" s="152"/>
      <c r="V510" s="152"/>
      <c r="W510" s="152"/>
    </row>
    <row r="511">
      <c r="A511" s="152"/>
      <c r="B511" s="152"/>
      <c r="C511" s="152"/>
      <c r="D511" s="152"/>
      <c r="E511" s="152"/>
      <c r="F511" s="152"/>
      <c r="G511" s="152"/>
      <c r="H511" s="152"/>
      <c r="I511" s="152"/>
      <c r="J511" s="152"/>
      <c r="K511" s="445"/>
      <c r="L511" s="445"/>
      <c r="M511" s="152"/>
      <c r="N511" s="152"/>
      <c r="O511" s="152"/>
      <c r="P511" s="152"/>
      <c r="Q511" s="152"/>
      <c r="R511" s="152"/>
      <c r="S511" s="152"/>
      <c r="T511" s="152"/>
      <c r="U511" s="152"/>
      <c r="V511" s="152"/>
      <c r="W511" s="152"/>
    </row>
    <row r="512">
      <c r="A512" s="152"/>
      <c r="B512" s="152"/>
      <c r="C512" s="152"/>
      <c r="D512" s="152"/>
      <c r="E512" s="152"/>
      <c r="F512" s="152"/>
      <c r="G512" s="152"/>
      <c r="H512" s="152"/>
      <c r="I512" s="152"/>
      <c r="J512" s="152"/>
      <c r="K512" s="445"/>
      <c r="L512" s="445"/>
      <c r="M512" s="152"/>
      <c r="N512" s="152"/>
      <c r="O512" s="152"/>
      <c r="P512" s="152"/>
      <c r="Q512" s="152"/>
      <c r="R512" s="152"/>
      <c r="S512" s="152"/>
      <c r="T512" s="152"/>
      <c r="U512" s="152"/>
      <c r="V512" s="152"/>
      <c r="W512" s="152"/>
    </row>
    <row r="513">
      <c r="A513" s="152"/>
      <c r="B513" s="152"/>
      <c r="C513" s="152"/>
      <c r="D513" s="152"/>
      <c r="E513" s="152"/>
      <c r="F513" s="152"/>
      <c r="G513" s="152"/>
      <c r="H513" s="152"/>
      <c r="I513" s="152"/>
      <c r="J513" s="152"/>
      <c r="K513" s="445"/>
      <c r="L513" s="445"/>
      <c r="M513" s="152"/>
      <c r="N513" s="152"/>
      <c r="O513" s="152"/>
      <c r="P513" s="152"/>
      <c r="Q513" s="152"/>
      <c r="R513" s="152"/>
      <c r="S513" s="152"/>
      <c r="T513" s="152"/>
      <c r="U513" s="152"/>
      <c r="V513" s="152"/>
      <c r="W513" s="152"/>
    </row>
    <row r="514">
      <c r="A514" s="152"/>
      <c r="B514" s="152"/>
      <c r="C514" s="152"/>
      <c r="D514" s="152"/>
      <c r="E514" s="152"/>
      <c r="F514" s="152"/>
      <c r="G514" s="152"/>
      <c r="H514" s="152"/>
      <c r="I514" s="152"/>
      <c r="J514" s="152"/>
      <c r="K514" s="445"/>
      <c r="L514" s="445"/>
      <c r="M514" s="152"/>
      <c r="N514" s="152"/>
      <c r="O514" s="152"/>
      <c r="P514" s="152"/>
      <c r="Q514" s="152"/>
      <c r="R514" s="152"/>
      <c r="S514" s="152"/>
      <c r="T514" s="152"/>
      <c r="U514" s="152"/>
      <c r="V514" s="152"/>
      <c r="W514" s="152"/>
    </row>
    <row r="515">
      <c r="A515" s="152"/>
      <c r="B515" s="152"/>
      <c r="C515" s="152"/>
      <c r="D515" s="152"/>
      <c r="E515" s="152"/>
      <c r="F515" s="152"/>
      <c r="G515" s="152"/>
      <c r="H515" s="152"/>
      <c r="I515" s="152"/>
      <c r="J515" s="152"/>
      <c r="K515" s="445"/>
      <c r="L515" s="445"/>
      <c r="M515" s="152"/>
      <c r="N515" s="152"/>
      <c r="O515" s="152"/>
      <c r="P515" s="152"/>
      <c r="Q515" s="152"/>
      <c r="R515" s="152"/>
      <c r="S515" s="152"/>
      <c r="T515" s="152"/>
      <c r="U515" s="152"/>
      <c r="V515" s="152"/>
      <c r="W515" s="152"/>
    </row>
    <row r="516">
      <c r="A516" s="152"/>
      <c r="B516" s="152"/>
      <c r="C516" s="152"/>
      <c r="D516" s="152"/>
      <c r="E516" s="152"/>
      <c r="F516" s="152"/>
      <c r="G516" s="152"/>
      <c r="H516" s="152"/>
      <c r="I516" s="152"/>
      <c r="J516" s="152"/>
      <c r="K516" s="445"/>
      <c r="L516" s="445"/>
      <c r="M516" s="152"/>
      <c r="N516" s="152"/>
      <c r="O516" s="152"/>
      <c r="P516" s="152"/>
      <c r="Q516" s="152"/>
      <c r="R516" s="152"/>
      <c r="S516" s="152"/>
      <c r="T516" s="152"/>
      <c r="U516" s="152"/>
      <c r="V516" s="152"/>
      <c r="W516" s="152"/>
    </row>
    <row r="517">
      <c r="A517" s="152"/>
      <c r="B517" s="152"/>
      <c r="C517" s="152"/>
      <c r="D517" s="152"/>
      <c r="E517" s="152"/>
      <c r="F517" s="152"/>
      <c r="G517" s="152"/>
      <c r="H517" s="152"/>
      <c r="I517" s="152"/>
      <c r="J517" s="152"/>
      <c r="K517" s="445"/>
      <c r="L517" s="445"/>
      <c r="M517" s="152"/>
      <c r="N517" s="152"/>
      <c r="O517" s="152"/>
      <c r="P517" s="152"/>
      <c r="Q517" s="152"/>
      <c r="R517" s="152"/>
      <c r="S517" s="152"/>
      <c r="T517" s="152"/>
      <c r="U517" s="152"/>
      <c r="V517" s="152"/>
      <c r="W517" s="152"/>
    </row>
    <row r="518">
      <c r="A518" s="152"/>
      <c r="B518" s="152"/>
      <c r="C518" s="152"/>
      <c r="D518" s="152"/>
      <c r="E518" s="152"/>
      <c r="F518" s="152"/>
      <c r="G518" s="152"/>
      <c r="H518" s="152"/>
      <c r="I518" s="152"/>
      <c r="J518" s="152"/>
      <c r="K518" s="445"/>
      <c r="L518" s="445"/>
      <c r="M518" s="152"/>
      <c r="N518" s="152"/>
      <c r="O518" s="152"/>
      <c r="P518" s="152"/>
      <c r="Q518" s="152"/>
      <c r="R518" s="152"/>
      <c r="S518" s="152"/>
      <c r="T518" s="152"/>
      <c r="U518" s="152"/>
      <c r="V518" s="152"/>
      <c r="W518" s="152"/>
    </row>
    <row r="519">
      <c r="A519" s="152"/>
      <c r="B519" s="152"/>
      <c r="C519" s="152"/>
      <c r="D519" s="152"/>
      <c r="E519" s="152"/>
      <c r="F519" s="152"/>
      <c r="G519" s="152"/>
      <c r="H519" s="152"/>
      <c r="I519" s="152"/>
      <c r="J519" s="152"/>
      <c r="K519" s="445"/>
      <c r="L519" s="445"/>
      <c r="M519" s="152"/>
      <c r="N519" s="152"/>
      <c r="O519" s="152"/>
      <c r="P519" s="152"/>
      <c r="Q519" s="152"/>
      <c r="R519" s="152"/>
      <c r="S519" s="152"/>
      <c r="T519" s="152"/>
      <c r="U519" s="152"/>
      <c r="V519" s="152"/>
      <c r="W519" s="152"/>
    </row>
    <row r="520">
      <c r="A520" s="152"/>
      <c r="B520" s="152"/>
      <c r="C520" s="152"/>
      <c r="D520" s="152"/>
      <c r="E520" s="152"/>
      <c r="F520" s="152"/>
      <c r="G520" s="152"/>
      <c r="H520" s="152"/>
      <c r="I520" s="152"/>
      <c r="J520" s="152"/>
      <c r="K520" s="445"/>
      <c r="L520" s="445"/>
      <c r="M520" s="152"/>
      <c r="N520" s="152"/>
      <c r="O520" s="152"/>
      <c r="P520" s="152"/>
      <c r="Q520" s="152"/>
      <c r="R520" s="152"/>
      <c r="S520" s="152"/>
      <c r="T520" s="152"/>
      <c r="U520" s="152"/>
      <c r="V520" s="152"/>
      <c r="W520" s="152"/>
    </row>
    <row r="521">
      <c r="A521" s="152"/>
      <c r="B521" s="152"/>
      <c r="C521" s="152"/>
      <c r="D521" s="152"/>
      <c r="E521" s="152"/>
      <c r="F521" s="152"/>
      <c r="G521" s="152"/>
      <c r="H521" s="152"/>
      <c r="I521" s="152"/>
      <c r="J521" s="152"/>
      <c r="K521" s="445"/>
      <c r="L521" s="445"/>
      <c r="M521" s="152"/>
      <c r="N521" s="152"/>
      <c r="O521" s="152"/>
      <c r="P521" s="152"/>
      <c r="Q521" s="152"/>
      <c r="R521" s="152"/>
      <c r="S521" s="152"/>
      <c r="T521" s="152"/>
      <c r="U521" s="152"/>
      <c r="V521" s="152"/>
      <c r="W521" s="152"/>
    </row>
    <row r="522">
      <c r="A522" s="152"/>
      <c r="B522" s="152"/>
      <c r="C522" s="152"/>
      <c r="D522" s="152"/>
      <c r="E522" s="152"/>
      <c r="F522" s="152"/>
      <c r="G522" s="152"/>
      <c r="H522" s="152"/>
      <c r="I522" s="152"/>
      <c r="J522" s="152"/>
      <c r="K522" s="445"/>
      <c r="L522" s="445"/>
      <c r="M522" s="152"/>
      <c r="N522" s="152"/>
      <c r="O522" s="152"/>
      <c r="P522" s="152"/>
      <c r="Q522" s="152"/>
      <c r="R522" s="152"/>
      <c r="S522" s="152"/>
      <c r="T522" s="152"/>
      <c r="U522" s="152"/>
      <c r="V522" s="152"/>
      <c r="W522" s="152"/>
    </row>
    <row r="523">
      <c r="A523" s="152"/>
      <c r="B523" s="152"/>
      <c r="C523" s="152"/>
      <c r="D523" s="152"/>
      <c r="E523" s="152"/>
      <c r="F523" s="152"/>
      <c r="G523" s="152"/>
      <c r="H523" s="152"/>
      <c r="I523" s="152"/>
      <c r="J523" s="152"/>
      <c r="K523" s="445"/>
      <c r="L523" s="445"/>
      <c r="M523" s="152"/>
      <c r="N523" s="152"/>
      <c r="O523" s="152"/>
      <c r="P523" s="152"/>
      <c r="Q523" s="152"/>
      <c r="R523" s="152"/>
      <c r="S523" s="152"/>
      <c r="T523" s="152"/>
      <c r="U523" s="152"/>
      <c r="V523" s="152"/>
      <c r="W523" s="152"/>
    </row>
    <row r="524">
      <c r="A524" s="152"/>
      <c r="B524" s="152"/>
      <c r="C524" s="152"/>
      <c r="D524" s="152"/>
      <c r="E524" s="152"/>
      <c r="F524" s="152"/>
      <c r="G524" s="152"/>
      <c r="H524" s="152"/>
      <c r="I524" s="152"/>
      <c r="J524" s="152"/>
      <c r="K524" s="445"/>
      <c r="L524" s="445"/>
      <c r="M524" s="152"/>
      <c r="N524" s="152"/>
      <c r="O524" s="152"/>
      <c r="P524" s="152"/>
      <c r="Q524" s="152"/>
      <c r="R524" s="152"/>
      <c r="S524" s="152"/>
      <c r="T524" s="152"/>
      <c r="U524" s="152"/>
      <c r="V524" s="152"/>
      <c r="W524" s="152"/>
    </row>
    <row r="525">
      <c r="A525" s="152"/>
      <c r="B525" s="152"/>
      <c r="C525" s="152"/>
      <c r="D525" s="152"/>
      <c r="E525" s="152"/>
      <c r="F525" s="152"/>
      <c r="G525" s="152"/>
      <c r="H525" s="152"/>
      <c r="I525" s="152"/>
      <c r="J525" s="152"/>
      <c r="K525" s="445"/>
      <c r="L525" s="445"/>
      <c r="M525" s="152"/>
      <c r="N525" s="152"/>
      <c r="O525" s="152"/>
      <c r="P525" s="152"/>
      <c r="Q525" s="152"/>
      <c r="R525" s="152"/>
      <c r="S525" s="152"/>
      <c r="T525" s="152"/>
      <c r="U525" s="152"/>
      <c r="V525" s="152"/>
      <c r="W525" s="152"/>
    </row>
    <row r="526">
      <c r="A526" s="152"/>
      <c r="B526" s="152"/>
      <c r="C526" s="152"/>
      <c r="D526" s="152"/>
      <c r="E526" s="152"/>
      <c r="F526" s="152"/>
      <c r="G526" s="152"/>
      <c r="H526" s="152"/>
      <c r="I526" s="152"/>
      <c r="J526" s="152"/>
      <c r="K526" s="445"/>
      <c r="L526" s="445"/>
      <c r="M526" s="152"/>
      <c r="N526" s="152"/>
      <c r="O526" s="152"/>
      <c r="P526" s="152"/>
      <c r="Q526" s="152"/>
      <c r="R526" s="152"/>
      <c r="S526" s="152"/>
      <c r="T526" s="152"/>
      <c r="U526" s="152"/>
      <c r="V526" s="152"/>
      <c r="W526" s="152"/>
    </row>
    <row r="527">
      <c r="A527" s="152"/>
      <c r="B527" s="152"/>
      <c r="C527" s="152"/>
      <c r="D527" s="152"/>
      <c r="E527" s="152"/>
      <c r="F527" s="152"/>
      <c r="G527" s="152"/>
      <c r="H527" s="152"/>
      <c r="I527" s="152"/>
      <c r="J527" s="152"/>
      <c r="K527" s="445"/>
      <c r="L527" s="445"/>
      <c r="M527" s="152"/>
      <c r="N527" s="152"/>
      <c r="O527" s="152"/>
      <c r="P527" s="152"/>
      <c r="Q527" s="152"/>
      <c r="R527" s="152"/>
      <c r="S527" s="152"/>
      <c r="T527" s="152"/>
      <c r="U527" s="152"/>
      <c r="V527" s="152"/>
      <c r="W527" s="152"/>
    </row>
    <row r="528">
      <c r="A528" s="152"/>
      <c r="B528" s="152"/>
      <c r="C528" s="152"/>
      <c r="D528" s="152"/>
      <c r="E528" s="152"/>
      <c r="F528" s="152"/>
      <c r="G528" s="152"/>
      <c r="H528" s="152"/>
      <c r="I528" s="152"/>
      <c r="J528" s="152"/>
      <c r="K528" s="445"/>
      <c r="L528" s="445"/>
      <c r="M528" s="152"/>
      <c r="N528" s="152"/>
      <c r="O528" s="152"/>
      <c r="P528" s="152"/>
      <c r="Q528" s="152"/>
      <c r="R528" s="152"/>
      <c r="S528" s="152"/>
      <c r="T528" s="152"/>
      <c r="U528" s="152"/>
      <c r="V528" s="152"/>
      <c r="W528" s="152"/>
    </row>
    <row r="529">
      <c r="A529" s="152"/>
      <c r="B529" s="152"/>
      <c r="C529" s="152"/>
      <c r="D529" s="152"/>
      <c r="E529" s="152"/>
      <c r="F529" s="152"/>
      <c r="G529" s="152"/>
      <c r="H529" s="152"/>
      <c r="I529" s="152"/>
      <c r="J529" s="152"/>
      <c r="K529" s="445"/>
      <c r="L529" s="445"/>
      <c r="M529" s="152"/>
      <c r="N529" s="152"/>
      <c r="O529" s="152"/>
      <c r="P529" s="152"/>
      <c r="Q529" s="152"/>
      <c r="R529" s="152"/>
      <c r="S529" s="152"/>
      <c r="T529" s="152"/>
      <c r="U529" s="152"/>
      <c r="V529" s="152"/>
      <c r="W529" s="152"/>
    </row>
    <row r="530">
      <c r="A530" s="152"/>
      <c r="B530" s="152"/>
      <c r="C530" s="152"/>
      <c r="D530" s="152"/>
      <c r="E530" s="152"/>
      <c r="F530" s="152"/>
      <c r="G530" s="152"/>
      <c r="H530" s="152"/>
      <c r="I530" s="152"/>
      <c r="J530" s="152"/>
      <c r="K530" s="445"/>
      <c r="L530" s="445"/>
      <c r="M530" s="152"/>
      <c r="N530" s="152"/>
      <c r="O530" s="152"/>
      <c r="P530" s="152"/>
      <c r="Q530" s="152"/>
      <c r="R530" s="152"/>
      <c r="S530" s="152"/>
      <c r="T530" s="152"/>
      <c r="U530" s="152"/>
      <c r="V530" s="152"/>
      <c r="W530" s="152"/>
    </row>
    <row r="531">
      <c r="A531" s="152"/>
      <c r="B531" s="152"/>
      <c r="C531" s="152"/>
      <c r="D531" s="152"/>
      <c r="E531" s="152"/>
      <c r="F531" s="152"/>
      <c r="G531" s="152"/>
      <c r="H531" s="152"/>
      <c r="I531" s="152"/>
      <c r="J531" s="152"/>
      <c r="K531" s="445"/>
      <c r="L531" s="445"/>
      <c r="M531" s="152"/>
      <c r="N531" s="152"/>
      <c r="O531" s="152"/>
      <c r="P531" s="152"/>
      <c r="Q531" s="152"/>
      <c r="R531" s="152"/>
      <c r="S531" s="152"/>
      <c r="T531" s="152"/>
      <c r="U531" s="152"/>
      <c r="V531" s="152"/>
      <c r="W531" s="152"/>
    </row>
    <row r="532">
      <c r="A532" s="152"/>
      <c r="B532" s="152"/>
      <c r="C532" s="152"/>
      <c r="D532" s="152"/>
      <c r="E532" s="152"/>
      <c r="F532" s="152"/>
      <c r="G532" s="152"/>
      <c r="H532" s="152"/>
      <c r="I532" s="152"/>
      <c r="J532" s="152"/>
      <c r="K532" s="445"/>
      <c r="L532" s="445"/>
      <c r="M532" s="152"/>
      <c r="N532" s="152"/>
      <c r="O532" s="152"/>
      <c r="P532" s="152"/>
      <c r="Q532" s="152"/>
      <c r="R532" s="152"/>
      <c r="S532" s="152"/>
      <c r="T532" s="152"/>
      <c r="U532" s="152"/>
      <c r="V532" s="152"/>
      <c r="W532" s="152"/>
    </row>
    <row r="533">
      <c r="A533" s="152"/>
      <c r="B533" s="152"/>
      <c r="C533" s="152"/>
      <c r="D533" s="152"/>
      <c r="E533" s="152"/>
      <c r="F533" s="152"/>
      <c r="G533" s="152"/>
      <c r="H533" s="152"/>
      <c r="I533" s="152"/>
      <c r="J533" s="152"/>
      <c r="K533" s="445"/>
      <c r="L533" s="445"/>
      <c r="M533" s="152"/>
      <c r="N533" s="152"/>
      <c r="O533" s="152"/>
      <c r="P533" s="152"/>
      <c r="Q533" s="152"/>
      <c r="R533" s="152"/>
      <c r="S533" s="152"/>
      <c r="T533" s="152"/>
      <c r="U533" s="152"/>
      <c r="V533" s="152"/>
      <c r="W533" s="152"/>
    </row>
    <row r="534">
      <c r="A534" s="152"/>
      <c r="B534" s="152"/>
      <c r="C534" s="152"/>
      <c r="D534" s="152"/>
      <c r="E534" s="152"/>
      <c r="F534" s="152"/>
      <c r="G534" s="152"/>
      <c r="H534" s="152"/>
      <c r="I534" s="152"/>
      <c r="J534" s="152"/>
      <c r="K534" s="445"/>
      <c r="L534" s="445"/>
      <c r="M534" s="152"/>
      <c r="N534" s="152"/>
      <c r="O534" s="152"/>
      <c r="P534" s="152"/>
      <c r="Q534" s="152"/>
      <c r="R534" s="152"/>
      <c r="S534" s="152"/>
      <c r="T534" s="152"/>
      <c r="U534" s="152"/>
      <c r="V534" s="152"/>
      <c r="W534" s="152"/>
    </row>
    <row r="535">
      <c r="A535" s="152"/>
      <c r="B535" s="152"/>
      <c r="C535" s="152"/>
      <c r="D535" s="152"/>
      <c r="E535" s="152"/>
      <c r="F535" s="152"/>
      <c r="G535" s="152"/>
      <c r="H535" s="152"/>
      <c r="I535" s="152"/>
      <c r="J535" s="152"/>
      <c r="K535" s="445"/>
      <c r="L535" s="445"/>
      <c r="M535" s="152"/>
      <c r="N535" s="152"/>
      <c r="O535" s="152"/>
      <c r="P535" s="152"/>
      <c r="Q535" s="152"/>
      <c r="R535" s="152"/>
      <c r="S535" s="152"/>
      <c r="T535" s="152"/>
      <c r="U535" s="152"/>
      <c r="V535" s="152"/>
      <c r="W535" s="152"/>
    </row>
    <row r="536">
      <c r="A536" s="152"/>
      <c r="B536" s="152"/>
      <c r="C536" s="152"/>
      <c r="D536" s="152"/>
      <c r="E536" s="152"/>
      <c r="F536" s="152"/>
      <c r="G536" s="152"/>
      <c r="H536" s="152"/>
      <c r="I536" s="152"/>
      <c r="J536" s="152"/>
      <c r="K536" s="445"/>
      <c r="L536" s="445"/>
      <c r="M536" s="152"/>
      <c r="N536" s="152"/>
      <c r="O536" s="152"/>
      <c r="P536" s="152"/>
      <c r="Q536" s="152"/>
      <c r="R536" s="152"/>
      <c r="S536" s="152"/>
      <c r="T536" s="152"/>
      <c r="U536" s="152"/>
      <c r="V536" s="152"/>
      <c r="W536" s="152"/>
    </row>
    <row r="537">
      <c r="A537" s="152"/>
      <c r="B537" s="152"/>
      <c r="C537" s="152"/>
      <c r="D537" s="152"/>
      <c r="E537" s="152"/>
      <c r="F537" s="152"/>
      <c r="G537" s="152"/>
      <c r="H537" s="152"/>
      <c r="I537" s="152"/>
      <c r="J537" s="152"/>
      <c r="K537" s="445"/>
      <c r="L537" s="445"/>
      <c r="M537" s="152"/>
      <c r="N537" s="152"/>
      <c r="O537" s="152"/>
      <c r="P537" s="152"/>
      <c r="Q537" s="152"/>
      <c r="R537" s="152"/>
      <c r="S537" s="152"/>
      <c r="T537" s="152"/>
      <c r="U537" s="152"/>
      <c r="V537" s="152"/>
      <c r="W537" s="152"/>
    </row>
    <row r="538">
      <c r="A538" s="152"/>
      <c r="B538" s="152"/>
      <c r="C538" s="152"/>
      <c r="D538" s="152"/>
      <c r="E538" s="152"/>
      <c r="F538" s="152"/>
      <c r="G538" s="152"/>
      <c r="H538" s="152"/>
      <c r="I538" s="152"/>
      <c r="J538" s="152"/>
      <c r="K538" s="445"/>
      <c r="L538" s="445"/>
      <c r="M538" s="152"/>
      <c r="N538" s="152"/>
      <c r="O538" s="152"/>
      <c r="P538" s="152"/>
      <c r="Q538" s="152"/>
      <c r="R538" s="152"/>
      <c r="S538" s="152"/>
      <c r="T538" s="152"/>
      <c r="U538" s="152"/>
      <c r="V538" s="152"/>
      <c r="W538" s="152"/>
    </row>
    <row r="539">
      <c r="A539" s="152"/>
      <c r="B539" s="152"/>
      <c r="C539" s="152"/>
      <c r="D539" s="152"/>
      <c r="E539" s="152"/>
      <c r="F539" s="152"/>
      <c r="G539" s="152"/>
      <c r="H539" s="152"/>
      <c r="I539" s="152"/>
      <c r="J539" s="152"/>
      <c r="K539" s="445"/>
      <c r="L539" s="445"/>
      <c r="M539" s="152"/>
      <c r="N539" s="152"/>
      <c r="O539" s="152"/>
      <c r="P539" s="152"/>
      <c r="Q539" s="152"/>
      <c r="R539" s="152"/>
      <c r="S539" s="152"/>
      <c r="T539" s="152"/>
      <c r="U539" s="152"/>
      <c r="V539" s="152"/>
      <c r="W539" s="152"/>
    </row>
    <row r="540">
      <c r="A540" s="152"/>
      <c r="B540" s="152"/>
      <c r="C540" s="152"/>
      <c r="D540" s="152"/>
      <c r="E540" s="152"/>
      <c r="F540" s="152"/>
      <c r="G540" s="152"/>
      <c r="H540" s="152"/>
      <c r="I540" s="152"/>
      <c r="J540" s="152"/>
      <c r="K540" s="445"/>
      <c r="L540" s="445"/>
      <c r="M540" s="152"/>
      <c r="N540" s="152"/>
      <c r="O540" s="152"/>
      <c r="P540" s="152"/>
      <c r="Q540" s="152"/>
      <c r="R540" s="152"/>
      <c r="S540" s="152"/>
      <c r="T540" s="152"/>
      <c r="U540" s="152"/>
      <c r="V540" s="152"/>
      <c r="W540" s="152"/>
    </row>
    <row r="541">
      <c r="A541" s="152"/>
      <c r="B541" s="152"/>
      <c r="C541" s="152"/>
      <c r="D541" s="152"/>
      <c r="E541" s="152"/>
      <c r="F541" s="152"/>
      <c r="G541" s="152"/>
      <c r="H541" s="152"/>
      <c r="I541" s="152"/>
      <c r="J541" s="152"/>
      <c r="K541" s="445"/>
      <c r="L541" s="445"/>
      <c r="M541" s="152"/>
      <c r="N541" s="152"/>
      <c r="O541" s="152"/>
      <c r="P541" s="152"/>
      <c r="Q541" s="152"/>
      <c r="R541" s="152"/>
      <c r="S541" s="152"/>
      <c r="T541" s="152"/>
      <c r="U541" s="152"/>
      <c r="V541" s="152"/>
      <c r="W541" s="152"/>
    </row>
    <row r="542">
      <c r="A542" s="152"/>
      <c r="B542" s="152"/>
      <c r="C542" s="152"/>
      <c r="D542" s="152"/>
      <c r="E542" s="152"/>
      <c r="F542" s="152"/>
      <c r="G542" s="152"/>
      <c r="H542" s="152"/>
      <c r="I542" s="152"/>
      <c r="J542" s="152"/>
      <c r="K542" s="445"/>
      <c r="L542" s="445"/>
      <c r="M542" s="152"/>
      <c r="N542" s="152"/>
      <c r="O542" s="152"/>
      <c r="P542" s="152"/>
      <c r="Q542" s="152"/>
      <c r="R542" s="152"/>
      <c r="S542" s="152"/>
      <c r="T542" s="152"/>
      <c r="U542" s="152"/>
      <c r="V542" s="152"/>
      <c r="W542" s="152"/>
    </row>
    <row r="543">
      <c r="A543" s="152"/>
      <c r="B543" s="152"/>
      <c r="C543" s="152"/>
      <c r="D543" s="152"/>
      <c r="E543" s="152"/>
      <c r="F543" s="152"/>
      <c r="G543" s="152"/>
      <c r="H543" s="152"/>
      <c r="I543" s="152"/>
      <c r="J543" s="152"/>
      <c r="K543" s="445"/>
      <c r="L543" s="445"/>
      <c r="M543" s="152"/>
      <c r="N543" s="152"/>
      <c r="O543" s="152"/>
      <c r="P543" s="152"/>
      <c r="Q543" s="152"/>
      <c r="R543" s="152"/>
      <c r="S543" s="152"/>
      <c r="T543" s="152"/>
      <c r="U543" s="152"/>
      <c r="V543" s="152"/>
      <c r="W543" s="152"/>
    </row>
    <row r="544">
      <c r="A544" s="152"/>
      <c r="B544" s="152"/>
      <c r="C544" s="152"/>
      <c r="D544" s="152"/>
      <c r="E544" s="152"/>
      <c r="F544" s="152"/>
      <c r="G544" s="152"/>
      <c r="H544" s="152"/>
      <c r="I544" s="152"/>
      <c r="J544" s="152"/>
      <c r="K544" s="445"/>
      <c r="L544" s="445"/>
      <c r="M544" s="152"/>
      <c r="N544" s="152"/>
      <c r="O544" s="152"/>
      <c r="P544" s="152"/>
      <c r="Q544" s="152"/>
      <c r="R544" s="152"/>
      <c r="S544" s="152"/>
      <c r="T544" s="152"/>
      <c r="U544" s="152"/>
      <c r="V544" s="152"/>
      <c r="W544" s="152"/>
    </row>
    <row r="545">
      <c r="A545" s="152"/>
      <c r="B545" s="152"/>
      <c r="C545" s="152"/>
      <c r="D545" s="152"/>
      <c r="E545" s="152"/>
      <c r="F545" s="152"/>
      <c r="G545" s="152"/>
      <c r="H545" s="152"/>
      <c r="I545" s="152"/>
      <c r="J545" s="152"/>
      <c r="K545" s="445"/>
      <c r="L545" s="445"/>
      <c r="M545" s="152"/>
      <c r="N545" s="152"/>
      <c r="O545" s="152"/>
      <c r="P545" s="152"/>
      <c r="Q545" s="152"/>
      <c r="R545" s="152"/>
      <c r="S545" s="152"/>
      <c r="T545" s="152"/>
      <c r="U545" s="152"/>
      <c r="V545" s="152"/>
      <c r="W545" s="152"/>
    </row>
    <row r="546">
      <c r="A546" s="152"/>
      <c r="B546" s="152"/>
      <c r="C546" s="152"/>
      <c r="D546" s="152"/>
      <c r="E546" s="152"/>
      <c r="F546" s="152"/>
      <c r="G546" s="152"/>
      <c r="H546" s="152"/>
      <c r="I546" s="152"/>
      <c r="J546" s="152"/>
      <c r="K546" s="445"/>
      <c r="L546" s="445"/>
      <c r="M546" s="152"/>
      <c r="N546" s="152"/>
      <c r="O546" s="152"/>
      <c r="P546" s="152"/>
      <c r="Q546" s="152"/>
      <c r="R546" s="152"/>
      <c r="S546" s="152"/>
      <c r="T546" s="152"/>
      <c r="U546" s="152"/>
      <c r="V546" s="152"/>
      <c r="W546" s="152"/>
    </row>
    <row r="547">
      <c r="A547" s="152"/>
      <c r="B547" s="152"/>
      <c r="C547" s="152"/>
      <c r="D547" s="152"/>
      <c r="E547" s="152"/>
      <c r="F547" s="152"/>
      <c r="G547" s="152"/>
      <c r="H547" s="152"/>
      <c r="I547" s="152"/>
      <c r="J547" s="152"/>
      <c r="K547" s="445"/>
      <c r="L547" s="445"/>
      <c r="M547" s="152"/>
      <c r="N547" s="152"/>
      <c r="O547" s="152"/>
      <c r="P547" s="152"/>
      <c r="Q547" s="152"/>
      <c r="R547" s="152"/>
      <c r="S547" s="152"/>
      <c r="T547" s="152"/>
      <c r="U547" s="152"/>
      <c r="V547" s="152"/>
      <c r="W547" s="152"/>
    </row>
    <row r="548">
      <c r="A548" s="152"/>
      <c r="B548" s="152"/>
      <c r="C548" s="152"/>
      <c r="D548" s="152"/>
      <c r="E548" s="152"/>
      <c r="F548" s="152"/>
      <c r="G548" s="152"/>
      <c r="H548" s="152"/>
      <c r="I548" s="152"/>
      <c r="J548" s="152"/>
      <c r="K548" s="445"/>
      <c r="L548" s="445"/>
      <c r="M548" s="152"/>
      <c r="N548" s="152"/>
      <c r="O548" s="152"/>
      <c r="P548" s="152"/>
      <c r="Q548" s="152"/>
      <c r="R548" s="152"/>
      <c r="S548" s="152"/>
      <c r="T548" s="152"/>
      <c r="U548" s="152"/>
      <c r="V548" s="152"/>
      <c r="W548" s="152"/>
    </row>
    <row r="549">
      <c r="A549" s="152"/>
      <c r="B549" s="152"/>
      <c r="C549" s="152"/>
      <c r="D549" s="152"/>
      <c r="E549" s="152"/>
      <c r="F549" s="152"/>
      <c r="G549" s="152"/>
      <c r="H549" s="152"/>
      <c r="I549" s="152"/>
      <c r="J549" s="152"/>
      <c r="K549" s="445"/>
      <c r="L549" s="445"/>
      <c r="M549" s="152"/>
      <c r="N549" s="152"/>
      <c r="O549" s="152"/>
      <c r="P549" s="152"/>
      <c r="Q549" s="152"/>
      <c r="R549" s="152"/>
      <c r="S549" s="152"/>
      <c r="T549" s="152"/>
      <c r="U549" s="152"/>
      <c r="V549" s="152"/>
      <c r="W549" s="152"/>
    </row>
    <row r="550">
      <c r="A550" s="152"/>
      <c r="B550" s="152"/>
      <c r="C550" s="152"/>
      <c r="D550" s="152"/>
      <c r="E550" s="152"/>
      <c r="F550" s="152"/>
      <c r="G550" s="152"/>
      <c r="H550" s="152"/>
      <c r="I550" s="152"/>
      <c r="J550" s="152"/>
      <c r="K550" s="445"/>
      <c r="L550" s="445"/>
      <c r="M550" s="152"/>
      <c r="N550" s="152"/>
      <c r="O550" s="152"/>
      <c r="P550" s="152"/>
      <c r="Q550" s="152"/>
      <c r="R550" s="152"/>
      <c r="S550" s="152"/>
      <c r="T550" s="152"/>
      <c r="U550" s="152"/>
      <c r="V550" s="152"/>
      <c r="W550" s="152"/>
    </row>
    <row r="551">
      <c r="A551" s="152"/>
      <c r="B551" s="152"/>
      <c r="C551" s="152"/>
      <c r="D551" s="152"/>
      <c r="E551" s="152"/>
      <c r="F551" s="152"/>
      <c r="G551" s="152"/>
      <c r="H551" s="152"/>
      <c r="I551" s="152"/>
      <c r="J551" s="152"/>
      <c r="K551" s="445"/>
      <c r="L551" s="445"/>
      <c r="M551" s="152"/>
      <c r="N551" s="152"/>
      <c r="O551" s="152"/>
      <c r="P551" s="152"/>
      <c r="Q551" s="152"/>
      <c r="R551" s="152"/>
      <c r="S551" s="152"/>
      <c r="T551" s="152"/>
      <c r="U551" s="152"/>
      <c r="V551" s="152"/>
      <c r="W551" s="152"/>
    </row>
    <row r="552">
      <c r="A552" s="152"/>
      <c r="B552" s="152"/>
      <c r="C552" s="152"/>
      <c r="D552" s="152"/>
      <c r="E552" s="152"/>
      <c r="F552" s="152"/>
      <c r="G552" s="152"/>
      <c r="H552" s="152"/>
      <c r="I552" s="152"/>
      <c r="J552" s="152"/>
      <c r="K552" s="445"/>
      <c r="L552" s="445"/>
      <c r="M552" s="152"/>
      <c r="N552" s="152"/>
      <c r="O552" s="152"/>
      <c r="P552" s="152"/>
      <c r="Q552" s="152"/>
      <c r="R552" s="152"/>
      <c r="S552" s="152"/>
      <c r="T552" s="152"/>
      <c r="U552" s="152"/>
      <c r="V552" s="152"/>
      <c r="W552" s="152"/>
    </row>
    <row r="553">
      <c r="A553" s="152"/>
      <c r="B553" s="152"/>
      <c r="C553" s="152"/>
      <c r="D553" s="152"/>
      <c r="E553" s="152"/>
      <c r="F553" s="152"/>
      <c r="G553" s="152"/>
      <c r="H553" s="152"/>
      <c r="I553" s="152"/>
      <c r="J553" s="152"/>
      <c r="K553" s="445"/>
      <c r="L553" s="445"/>
      <c r="M553" s="152"/>
      <c r="N553" s="152"/>
      <c r="O553" s="152"/>
      <c r="P553" s="152"/>
      <c r="Q553" s="152"/>
      <c r="R553" s="152"/>
      <c r="S553" s="152"/>
      <c r="T553" s="152"/>
      <c r="U553" s="152"/>
      <c r="V553" s="152"/>
      <c r="W553" s="152"/>
    </row>
    <row r="554">
      <c r="A554" s="152"/>
      <c r="B554" s="152"/>
      <c r="C554" s="152"/>
      <c r="D554" s="152"/>
      <c r="E554" s="152"/>
      <c r="F554" s="152"/>
      <c r="G554" s="152"/>
      <c r="H554" s="152"/>
      <c r="I554" s="152"/>
      <c r="J554" s="152"/>
      <c r="K554" s="445"/>
      <c r="L554" s="445"/>
      <c r="M554" s="152"/>
      <c r="N554" s="152"/>
      <c r="O554" s="152"/>
      <c r="P554" s="152"/>
      <c r="Q554" s="152"/>
      <c r="R554" s="152"/>
      <c r="S554" s="152"/>
      <c r="T554" s="152"/>
      <c r="U554" s="152"/>
      <c r="V554" s="152"/>
      <c r="W554" s="152"/>
    </row>
    <row r="555">
      <c r="A555" s="152"/>
      <c r="B555" s="152"/>
      <c r="C555" s="152"/>
      <c r="D555" s="152"/>
      <c r="E555" s="152"/>
      <c r="F555" s="152"/>
      <c r="G555" s="152"/>
      <c r="H555" s="152"/>
      <c r="I555" s="152"/>
      <c r="J555" s="152"/>
      <c r="K555" s="445"/>
      <c r="L555" s="445"/>
      <c r="M555" s="152"/>
      <c r="N555" s="152"/>
      <c r="O555" s="152"/>
      <c r="P555" s="152"/>
      <c r="Q555" s="152"/>
      <c r="R555" s="152"/>
      <c r="S555" s="152"/>
      <c r="T555" s="152"/>
      <c r="U555" s="152"/>
      <c r="V555" s="152"/>
      <c r="W555" s="152"/>
    </row>
    <row r="556">
      <c r="A556" s="152"/>
      <c r="B556" s="152"/>
      <c r="C556" s="152"/>
      <c r="D556" s="152"/>
      <c r="E556" s="152"/>
      <c r="F556" s="152"/>
      <c r="G556" s="152"/>
      <c r="H556" s="152"/>
      <c r="I556" s="152"/>
      <c r="J556" s="152"/>
      <c r="K556" s="445"/>
      <c r="L556" s="445"/>
      <c r="M556" s="152"/>
      <c r="N556" s="152"/>
      <c r="O556" s="152"/>
      <c r="P556" s="152"/>
      <c r="Q556" s="152"/>
      <c r="R556" s="152"/>
      <c r="S556" s="152"/>
      <c r="T556" s="152"/>
      <c r="U556" s="152"/>
      <c r="V556" s="152"/>
      <c r="W556" s="152"/>
    </row>
    <row r="557">
      <c r="A557" s="152"/>
      <c r="B557" s="152"/>
      <c r="C557" s="152"/>
      <c r="D557" s="152"/>
      <c r="E557" s="152"/>
      <c r="F557" s="152"/>
      <c r="G557" s="152"/>
      <c r="H557" s="152"/>
      <c r="I557" s="152"/>
      <c r="J557" s="152"/>
      <c r="K557" s="445"/>
      <c r="L557" s="445"/>
      <c r="M557" s="152"/>
      <c r="N557" s="152"/>
      <c r="O557" s="152"/>
      <c r="P557" s="152"/>
      <c r="Q557" s="152"/>
      <c r="R557" s="152"/>
      <c r="S557" s="152"/>
      <c r="T557" s="152"/>
      <c r="U557" s="152"/>
      <c r="V557" s="152"/>
      <c r="W557" s="152"/>
    </row>
    <row r="558">
      <c r="A558" s="152"/>
      <c r="B558" s="152"/>
      <c r="C558" s="152"/>
      <c r="D558" s="152"/>
      <c r="E558" s="152"/>
      <c r="F558" s="152"/>
      <c r="G558" s="152"/>
      <c r="H558" s="152"/>
      <c r="I558" s="152"/>
      <c r="J558" s="152"/>
      <c r="K558" s="445"/>
      <c r="L558" s="445"/>
      <c r="M558" s="152"/>
      <c r="N558" s="152"/>
      <c r="O558" s="152"/>
      <c r="P558" s="152"/>
      <c r="Q558" s="152"/>
      <c r="R558" s="152"/>
      <c r="S558" s="152"/>
      <c r="T558" s="152"/>
      <c r="U558" s="152"/>
      <c r="V558" s="152"/>
      <c r="W558" s="152"/>
    </row>
    <row r="559">
      <c r="A559" s="152"/>
      <c r="B559" s="152"/>
      <c r="C559" s="152"/>
      <c r="D559" s="152"/>
      <c r="E559" s="152"/>
      <c r="F559" s="152"/>
      <c r="G559" s="152"/>
      <c r="H559" s="152"/>
      <c r="I559" s="152"/>
      <c r="J559" s="152"/>
      <c r="K559" s="445"/>
      <c r="L559" s="445"/>
      <c r="M559" s="152"/>
      <c r="N559" s="152"/>
      <c r="O559" s="152"/>
      <c r="P559" s="152"/>
      <c r="Q559" s="152"/>
      <c r="R559" s="152"/>
      <c r="S559" s="152"/>
      <c r="T559" s="152"/>
      <c r="U559" s="152"/>
      <c r="V559" s="152"/>
      <c r="W559" s="152"/>
    </row>
    <row r="560">
      <c r="A560" s="152"/>
      <c r="B560" s="152"/>
      <c r="C560" s="152"/>
      <c r="D560" s="152"/>
      <c r="E560" s="152"/>
      <c r="F560" s="152"/>
      <c r="G560" s="152"/>
      <c r="H560" s="152"/>
      <c r="I560" s="152"/>
      <c r="J560" s="152"/>
      <c r="K560" s="445"/>
      <c r="L560" s="445"/>
      <c r="M560" s="152"/>
      <c r="N560" s="152"/>
      <c r="O560" s="152"/>
      <c r="P560" s="152"/>
      <c r="Q560" s="152"/>
      <c r="R560" s="152"/>
      <c r="S560" s="152"/>
      <c r="T560" s="152"/>
      <c r="U560" s="152"/>
      <c r="V560" s="152"/>
      <c r="W560" s="152"/>
    </row>
    <row r="561">
      <c r="A561" s="152"/>
      <c r="B561" s="152"/>
      <c r="C561" s="152"/>
      <c r="D561" s="152"/>
      <c r="E561" s="152"/>
      <c r="F561" s="152"/>
      <c r="G561" s="152"/>
      <c r="H561" s="152"/>
      <c r="I561" s="152"/>
      <c r="J561" s="152"/>
      <c r="K561" s="445"/>
      <c r="L561" s="445"/>
      <c r="M561" s="152"/>
      <c r="N561" s="152"/>
      <c r="O561" s="152"/>
      <c r="P561" s="152"/>
      <c r="Q561" s="152"/>
      <c r="R561" s="152"/>
      <c r="S561" s="152"/>
      <c r="T561" s="152"/>
      <c r="U561" s="152"/>
      <c r="V561" s="152"/>
      <c r="W561" s="152"/>
    </row>
    <row r="562">
      <c r="A562" s="152"/>
      <c r="B562" s="152"/>
      <c r="C562" s="152"/>
      <c r="D562" s="152"/>
      <c r="E562" s="152"/>
      <c r="F562" s="152"/>
      <c r="G562" s="152"/>
      <c r="H562" s="152"/>
      <c r="I562" s="152"/>
      <c r="J562" s="152"/>
      <c r="K562" s="445"/>
      <c r="L562" s="445"/>
      <c r="M562" s="152"/>
      <c r="N562" s="152"/>
      <c r="O562" s="152"/>
      <c r="P562" s="152"/>
      <c r="Q562" s="152"/>
      <c r="R562" s="152"/>
      <c r="S562" s="152"/>
      <c r="T562" s="152"/>
      <c r="U562" s="152"/>
      <c r="V562" s="152"/>
      <c r="W562" s="152"/>
    </row>
    <row r="563">
      <c r="A563" s="152"/>
      <c r="B563" s="152"/>
      <c r="C563" s="152"/>
      <c r="D563" s="152"/>
      <c r="E563" s="152"/>
      <c r="F563" s="152"/>
      <c r="G563" s="152"/>
      <c r="H563" s="152"/>
      <c r="I563" s="152"/>
      <c r="J563" s="152"/>
      <c r="K563" s="445"/>
      <c r="L563" s="445"/>
      <c r="M563" s="152"/>
      <c r="N563" s="152"/>
      <c r="O563" s="152"/>
      <c r="P563" s="152"/>
      <c r="Q563" s="152"/>
      <c r="R563" s="152"/>
      <c r="S563" s="152"/>
      <c r="T563" s="152"/>
      <c r="U563" s="152"/>
      <c r="V563" s="152"/>
      <c r="W563" s="152"/>
    </row>
    <row r="564">
      <c r="A564" s="152"/>
      <c r="B564" s="152"/>
      <c r="C564" s="152"/>
      <c r="D564" s="152"/>
      <c r="E564" s="152"/>
      <c r="F564" s="152"/>
      <c r="G564" s="152"/>
      <c r="H564" s="152"/>
      <c r="I564" s="152"/>
      <c r="J564" s="152"/>
      <c r="K564" s="445"/>
      <c r="L564" s="445"/>
      <c r="M564" s="152"/>
      <c r="N564" s="152"/>
      <c r="O564" s="152"/>
      <c r="P564" s="152"/>
      <c r="Q564" s="152"/>
      <c r="R564" s="152"/>
      <c r="S564" s="152"/>
      <c r="T564" s="152"/>
      <c r="U564" s="152"/>
      <c r="V564" s="152"/>
      <c r="W564" s="152"/>
    </row>
    <row r="565">
      <c r="A565" s="152"/>
      <c r="B565" s="152"/>
      <c r="C565" s="152"/>
      <c r="D565" s="152"/>
      <c r="E565" s="152"/>
      <c r="F565" s="152"/>
      <c r="G565" s="152"/>
      <c r="H565" s="152"/>
      <c r="I565" s="152"/>
      <c r="J565" s="152"/>
      <c r="K565" s="445"/>
      <c r="L565" s="445"/>
      <c r="M565" s="152"/>
      <c r="N565" s="152"/>
      <c r="O565" s="152"/>
      <c r="P565" s="152"/>
      <c r="Q565" s="152"/>
      <c r="R565" s="152"/>
      <c r="S565" s="152"/>
      <c r="T565" s="152"/>
      <c r="U565" s="152"/>
      <c r="V565" s="152"/>
      <c r="W565" s="152"/>
    </row>
    <row r="566">
      <c r="A566" s="152"/>
      <c r="B566" s="152"/>
      <c r="C566" s="152"/>
      <c r="D566" s="152"/>
      <c r="E566" s="152"/>
      <c r="F566" s="152"/>
      <c r="G566" s="152"/>
      <c r="H566" s="152"/>
      <c r="I566" s="152"/>
      <c r="J566" s="152"/>
      <c r="K566" s="445"/>
      <c r="L566" s="445"/>
      <c r="M566" s="152"/>
      <c r="N566" s="152"/>
      <c r="O566" s="152"/>
      <c r="P566" s="152"/>
      <c r="Q566" s="152"/>
      <c r="R566" s="152"/>
      <c r="S566" s="152"/>
      <c r="T566" s="152"/>
      <c r="U566" s="152"/>
      <c r="V566" s="152"/>
      <c r="W566" s="152"/>
    </row>
    <row r="567">
      <c r="A567" s="152"/>
      <c r="B567" s="152"/>
      <c r="C567" s="152"/>
      <c r="D567" s="152"/>
      <c r="E567" s="152"/>
      <c r="F567" s="152"/>
      <c r="G567" s="152"/>
      <c r="H567" s="152"/>
      <c r="I567" s="152"/>
      <c r="J567" s="152"/>
      <c r="K567" s="445"/>
      <c r="L567" s="445"/>
      <c r="M567" s="152"/>
      <c r="N567" s="152"/>
      <c r="O567" s="152"/>
      <c r="P567" s="152"/>
      <c r="Q567" s="152"/>
      <c r="R567" s="152"/>
      <c r="S567" s="152"/>
      <c r="T567" s="152"/>
      <c r="U567" s="152"/>
      <c r="V567" s="152"/>
      <c r="W567" s="152"/>
    </row>
    <row r="568">
      <c r="A568" s="152"/>
      <c r="B568" s="152"/>
      <c r="C568" s="152"/>
      <c r="D568" s="152"/>
      <c r="E568" s="152"/>
      <c r="F568" s="152"/>
      <c r="G568" s="152"/>
      <c r="H568" s="152"/>
      <c r="I568" s="152"/>
      <c r="J568" s="152"/>
      <c r="K568" s="445"/>
      <c r="L568" s="445"/>
      <c r="M568" s="152"/>
      <c r="N568" s="152"/>
      <c r="O568" s="152"/>
      <c r="P568" s="152"/>
      <c r="Q568" s="152"/>
      <c r="R568" s="152"/>
      <c r="S568" s="152"/>
      <c r="T568" s="152"/>
      <c r="U568" s="152"/>
      <c r="V568" s="152"/>
      <c r="W568" s="152"/>
    </row>
    <row r="569">
      <c r="A569" s="152"/>
      <c r="B569" s="152"/>
      <c r="C569" s="152"/>
      <c r="D569" s="152"/>
      <c r="E569" s="152"/>
      <c r="F569" s="152"/>
      <c r="G569" s="152"/>
      <c r="H569" s="152"/>
      <c r="I569" s="152"/>
      <c r="J569" s="152"/>
      <c r="K569" s="445"/>
      <c r="L569" s="445"/>
      <c r="M569" s="152"/>
      <c r="N569" s="152"/>
      <c r="O569" s="152"/>
      <c r="P569" s="152"/>
      <c r="Q569" s="152"/>
      <c r="R569" s="152"/>
      <c r="S569" s="152"/>
      <c r="T569" s="152"/>
      <c r="U569" s="152"/>
      <c r="V569" s="152"/>
      <c r="W569" s="152"/>
    </row>
    <row r="570">
      <c r="A570" s="152"/>
      <c r="B570" s="152"/>
      <c r="C570" s="152"/>
      <c r="D570" s="152"/>
      <c r="E570" s="152"/>
      <c r="F570" s="152"/>
      <c r="G570" s="152"/>
      <c r="H570" s="152"/>
      <c r="I570" s="152"/>
      <c r="J570" s="152"/>
      <c r="K570" s="445"/>
      <c r="L570" s="445"/>
      <c r="M570" s="152"/>
      <c r="N570" s="152"/>
      <c r="O570" s="152"/>
      <c r="P570" s="152"/>
      <c r="Q570" s="152"/>
      <c r="R570" s="152"/>
      <c r="S570" s="152"/>
      <c r="T570" s="152"/>
      <c r="U570" s="152"/>
      <c r="V570" s="152"/>
      <c r="W570" s="152"/>
    </row>
    <row r="571">
      <c r="A571" s="152"/>
      <c r="B571" s="152"/>
      <c r="C571" s="152"/>
      <c r="D571" s="152"/>
      <c r="E571" s="152"/>
      <c r="F571" s="152"/>
      <c r="G571" s="152"/>
      <c r="H571" s="152"/>
      <c r="I571" s="152"/>
      <c r="J571" s="152"/>
      <c r="K571" s="445"/>
      <c r="L571" s="445"/>
      <c r="M571" s="152"/>
      <c r="N571" s="152"/>
      <c r="O571" s="152"/>
      <c r="P571" s="152"/>
      <c r="Q571" s="152"/>
      <c r="R571" s="152"/>
      <c r="S571" s="152"/>
      <c r="T571" s="152"/>
      <c r="U571" s="152"/>
      <c r="V571" s="152"/>
      <c r="W571" s="152"/>
    </row>
    <row r="572">
      <c r="A572" s="152"/>
      <c r="B572" s="152"/>
      <c r="C572" s="152"/>
      <c r="D572" s="152"/>
      <c r="E572" s="152"/>
      <c r="F572" s="152"/>
      <c r="G572" s="152"/>
      <c r="H572" s="152"/>
      <c r="I572" s="152"/>
      <c r="J572" s="152"/>
      <c r="K572" s="445"/>
      <c r="L572" s="445"/>
      <c r="M572" s="152"/>
      <c r="N572" s="152"/>
      <c r="O572" s="152"/>
      <c r="P572" s="152"/>
      <c r="Q572" s="152"/>
      <c r="R572" s="152"/>
      <c r="S572" s="152"/>
      <c r="T572" s="152"/>
      <c r="U572" s="152"/>
      <c r="V572" s="152"/>
      <c r="W572" s="152"/>
    </row>
    <row r="573">
      <c r="A573" s="152"/>
      <c r="B573" s="152"/>
      <c r="C573" s="152"/>
      <c r="D573" s="152"/>
      <c r="E573" s="152"/>
      <c r="F573" s="152"/>
      <c r="G573" s="152"/>
      <c r="H573" s="152"/>
      <c r="I573" s="152"/>
      <c r="J573" s="152"/>
      <c r="K573" s="445"/>
      <c r="L573" s="445"/>
      <c r="M573" s="152"/>
      <c r="N573" s="152"/>
      <c r="O573" s="152"/>
      <c r="P573" s="152"/>
      <c r="Q573" s="152"/>
      <c r="R573" s="152"/>
      <c r="S573" s="152"/>
      <c r="T573" s="152"/>
      <c r="U573" s="152"/>
      <c r="V573" s="152"/>
      <c r="W573" s="152"/>
    </row>
    <row r="574">
      <c r="A574" s="152"/>
      <c r="B574" s="152"/>
      <c r="C574" s="152"/>
      <c r="D574" s="152"/>
      <c r="E574" s="152"/>
      <c r="F574" s="152"/>
      <c r="G574" s="152"/>
      <c r="H574" s="152"/>
      <c r="I574" s="152"/>
      <c r="J574" s="152"/>
      <c r="K574" s="445"/>
      <c r="L574" s="445"/>
      <c r="M574" s="152"/>
      <c r="N574" s="152"/>
      <c r="O574" s="152"/>
      <c r="P574" s="152"/>
      <c r="Q574" s="152"/>
      <c r="R574" s="152"/>
      <c r="S574" s="152"/>
      <c r="T574" s="152"/>
      <c r="U574" s="152"/>
      <c r="V574" s="152"/>
      <c r="W574" s="152"/>
    </row>
    <row r="575">
      <c r="A575" s="152"/>
      <c r="B575" s="152"/>
      <c r="C575" s="152"/>
      <c r="D575" s="152"/>
      <c r="E575" s="152"/>
      <c r="F575" s="152"/>
      <c r="G575" s="152"/>
      <c r="H575" s="152"/>
      <c r="I575" s="152"/>
      <c r="J575" s="152"/>
      <c r="K575" s="445"/>
      <c r="L575" s="445"/>
      <c r="M575" s="152"/>
      <c r="N575" s="152"/>
      <c r="O575" s="152"/>
      <c r="P575" s="152"/>
      <c r="Q575" s="152"/>
      <c r="R575" s="152"/>
      <c r="S575" s="152"/>
      <c r="T575" s="152"/>
      <c r="U575" s="152"/>
      <c r="V575" s="152"/>
      <c r="W575" s="152"/>
    </row>
    <row r="576">
      <c r="A576" s="152"/>
      <c r="B576" s="152"/>
      <c r="C576" s="152"/>
      <c r="D576" s="152"/>
      <c r="E576" s="152"/>
      <c r="F576" s="152"/>
      <c r="G576" s="152"/>
      <c r="H576" s="152"/>
      <c r="I576" s="152"/>
      <c r="J576" s="152"/>
      <c r="K576" s="445"/>
      <c r="L576" s="445"/>
      <c r="M576" s="152"/>
      <c r="N576" s="152"/>
      <c r="O576" s="152"/>
      <c r="P576" s="152"/>
      <c r="Q576" s="152"/>
      <c r="R576" s="152"/>
      <c r="S576" s="152"/>
      <c r="T576" s="152"/>
      <c r="U576" s="152"/>
      <c r="V576" s="152"/>
      <c r="W576" s="152"/>
    </row>
    <row r="577">
      <c r="A577" s="152"/>
      <c r="B577" s="152"/>
      <c r="C577" s="152"/>
      <c r="D577" s="152"/>
      <c r="E577" s="152"/>
      <c r="F577" s="152"/>
      <c r="G577" s="152"/>
      <c r="H577" s="152"/>
      <c r="I577" s="152"/>
      <c r="J577" s="152"/>
      <c r="K577" s="445"/>
      <c r="L577" s="445"/>
      <c r="M577" s="152"/>
      <c r="N577" s="152"/>
      <c r="O577" s="152"/>
      <c r="P577" s="152"/>
      <c r="Q577" s="152"/>
      <c r="R577" s="152"/>
      <c r="S577" s="152"/>
      <c r="T577" s="152"/>
      <c r="U577" s="152"/>
      <c r="V577" s="152"/>
      <c r="W577" s="152"/>
    </row>
    <row r="578">
      <c r="A578" s="152"/>
      <c r="B578" s="152"/>
      <c r="C578" s="152"/>
      <c r="D578" s="152"/>
      <c r="E578" s="152"/>
      <c r="F578" s="152"/>
      <c r="G578" s="152"/>
      <c r="H578" s="152"/>
      <c r="I578" s="152"/>
      <c r="J578" s="152"/>
      <c r="K578" s="445"/>
      <c r="L578" s="445"/>
      <c r="M578" s="152"/>
      <c r="N578" s="152"/>
      <c r="O578" s="152"/>
      <c r="P578" s="152"/>
      <c r="Q578" s="152"/>
      <c r="R578" s="152"/>
      <c r="S578" s="152"/>
      <c r="T578" s="152"/>
      <c r="U578" s="152"/>
      <c r="V578" s="152"/>
      <c r="W578" s="152"/>
    </row>
    <row r="579">
      <c r="A579" s="152"/>
      <c r="B579" s="152"/>
      <c r="C579" s="152"/>
      <c r="D579" s="152"/>
      <c r="E579" s="152"/>
      <c r="F579" s="152"/>
      <c r="G579" s="152"/>
      <c r="H579" s="152"/>
      <c r="I579" s="152"/>
      <c r="J579" s="152"/>
      <c r="K579" s="445"/>
      <c r="L579" s="445"/>
      <c r="M579" s="152"/>
      <c r="N579" s="152"/>
      <c r="O579" s="152"/>
      <c r="P579" s="152"/>
      <c r="Q579" s="152"/>
      <c r="R579" s="152"/>
      <c r="S579" s="152"/>
      <c r="T579" s="152"/>
      <c r="U579" s="152"/>
      <c r="V579" s="152"/>
      <c r="W579" s="152"/>
    </row>
    <row r="580">
      <c r="A580" s="152"/>
      <c r="B580" s="152"/>
      <c r="C580" s="152"/>
      <c r="D580" s="152"/>
      <c r="E580" s="152"/>
      <c r="F580" s="152"/>
      <c r="G580" s="152"/>
      <c r="H580" s="152"/>
      <c r="I580" s="152"/>
      <c r="J580" s="152"/>
      <c r="K580" s="445"/>
      <c r="L580" s="445"/>
      <c r="M580" s="152"/>
      <c r="N580" s="152"/>
      <c r="O580" s="152"/>
      <c r="P580" s="152"/>
      <c r="Q580" s="152"/>
      <c r="R580" s="152"/>
      <c r="S580" s="152"/>
      <c r="T580" s="152"/>
      <c r="U580" s="152"/>
      <c r="V580" s="152"/>
      <c r="W580" s="152"/>
    </row>
    <row r="581">
      <c r="A581" s="152"/>
      <c r="B581" s="152"/>
      <c r="C581" s="152"/>
      <c r="D581" s="152"/>
      <c r="E581" s="152"/>
      <c r="F581" s="152"/>
      <c r="G581" s="152"/>
      <c r="H581" s="152"/>
      <c r="I581" s="152"/>
      <c r="J581" s="152"/>
      <c r="K581" s="445"/>
      <c r="L581" s="445"/>
      <c r="M581" s="152"/>
      <c r="N581" s="152"/>
      <c r="O581" s="152"/>
      <c r="P581" s="152"/>
      <c r="Q581" s="152"/>
      <c r="R581" s="152"/>
      <c r="S581" s="152"/>
      <c r="T581" s="152"/>
      <c r="U581" s="152"/>
      <c r="V581" s="152"/>
      <c r="W581" s="152"/>
    </row>
    <row r="582">
      <c r="A582" s="152"/>
      <c r="B582" s="152"/>
      <c r="C582" s="152"/>
      <c r="D582" s="152"/>
      <c r="E582" s="152"/>
      <c r="F582" s="152"/>
      <c r="G582" s="152"/>
      <c r="H582" s="152"/>
      <c r="I582" s="152"/>
      <c r="J582" s="152"/>
      <c r="K582" s="445"/>
      <c r="L582" s="445"/>
      <c r="M582" s="152"/>
      <c r="N582" s="152"/>
      <c r="O582" s="152"/>
      <c r="P582" s="152"/>
      <c r="Q582" s="152"/>
      <c r="R582" s="152"/>
      <c r="S582" s="152"/>
      <c r="T582" s="152"/>
      <c r="U582" s="152"/>
      <c r="V582" s="152"/>
      <c r="W582" s="152"/>
    </row>
    <row r="583">
      <c r="A583" s="152"/>
      <c r="B583" s="152"/>
      <c r="C583" s="152"/>
      <c r="D583" s="152"/>
      <c r="E583" s="152"/>
      <c r="F583" s="152"/>
      <c r="G583" s="152"/>
      <c r="H583" s="152"/>
      <c r="I583" s="152"/>
      <c r="J583" s="152"/>
      <c r="K583" s="445"/>
      <c r="L583" s="445"/>
      <c r="M583" s="152"/>
      <c r="N583" s="152"/>
      <c r="O583" s="152"/>
      <c r="P583" s="152"/>
      <c r="Q583" s="152"/>
      <c r="R583" s="152"/>
      <c r="S583" s="152"/>
      <c r="T583" s="152"/>
      <c r="U583" s="152"/>
      <c r="V583" s="152"/>
      <c r="W583" s="152"/>
    </row>
    <row r="584">
      <c r="A584" s="152"/>
      <c r="B584" s="152"/>
      <c r="C584" s="152"/>
      <c r="D584" s="152"/>
      <c r="E584" s="152"/>
      <c r="F584" s="152"/>
      <c r="G584" s="152"/>
      <c r="H584" s="152"/>
      <c r="I584" s="152"/>
      <c r="J584" s="152"/>
      <c r="K584" s="445"/>
      <c r="L584" s="445"/>
      <c r="M584" s="152"/>
      <c r="N584" s="152"/>
      <c r="O584" s="152"/>
      <c r="P584" s="152"/>
      <c r="Q584" s="152"/>
      <c r="R584" s="152"/>
      <c r="S584" s="152"/>
      <c r="T584" s="152"/>
      <c r="U584" s="152"/>
      <c r="V584" s="152"/>
      <c r="W584" s="152"/>
    </row>
    <row r="585">
      <c r="A585" s="152"/>
      <c r="B585" s="152"/>
      <c r="C585" s="152"/>
      <c r="D585" s="152"/>
      <c r="E585" s="152"/>
      <c r="F585" s="152"/>
      <c r="G585" s="152"/>
      <c r="H585" s="152"/>
      <c r="I585" s="152"/>
      <c r="J585" s="152"/>
      <c r="K585" s="445"/>
      <c r="L585" s="445"/>
      <c r="M585" s="152"/>
      <c r="N585" s="152"/>
      <c r="O585" s="152"/>
      <c r="P585" s="152"/>
      <c r="Q585" s="152"/>
      <c r="R585" s="152"/>
      <c r="S585" s="152"/>
      <c r="T585" s="152"/>
      <c r="U585" s="152"/>
      <c r="V585" s="152"/>
      <c r="W585" s="152"/>
    </row>
    <row r="586">
      <c r="A586" s="152"/>
      <c r="B586" s="152"/>
      <c r="C586" s="152"/>
      <c r="D586" s="152"/>
      <c r="E586" s="152"/>
      <c r="F586" s="152"/>
      <c r="G586" s="152"/>
      <c r="H586" s="152"/>
      <c r="I586" s="152"/>
      <c r="J586" s="152"/>
      <c r="K586" s="445"/>
      <c r="L586" s="445"/>
      <c r="M586" s="152"/>
      <c r="N586" s="152"/>
      <c r="O586" s="152"/>
      <c r="P586" s="152"/>
      <c r="Q586" s="152"/>
      <c r="R586" s="152"/>
      <c r="S586" s="152"/>
      <c r="T586" s="152"/>
      <c r="U586" s="152"/>
      <c r="V586" s="152"/>
      <c r="W586" s="152"/>
    </row>
    <row r="587">
      <c r="A587" s="152"/>
      <c r="B587" s="152"/>
      <c r="C587" s="152"/>
      <c r="D587" s="152"/>
      <c r="E587" s="152"/>
      <c r="F587" s="152"/>
      <c r="G587" s="152"/>
      <c r="H587" s="152"/>
      <c r="I587" s="152"/>
      <c r="J587" s="152"/>
      <c r="K587" s="445"/>
      <c r="L587" s="445"/>
      <c r="M587" s="152"/>
      <c r="N587" s="152"/>
      <c r="O587" s="152"/>
      <c r="P587" s="152"/>
      <c r="Q587" s="152"/>
      <c r="R587" s="152"/>
      <c r="S587" s="152"/>
      <c r="T587" s="152"/>
      <c r="U587" s="152"/>
      <c r="V587" s="152"/>
      <c r="W587" s="152"/>
    </row>
    <row r="588">
      <c r="A588" s="152"/>
      <c r="B588" s="152"/>
      <c r="C588" s="152"/>
      <c r="D588" s="152"/>
      <c r="E588" s="152"/>
      <c r="F588" s="152"/>
      <c r="G588" s="152"/>
      <c r="H588" s="152"/>
      <c r="I588" s="152"/>
      <c r="J588" s="152"/>
      <c r="K588" s="445"/>
      <c r="L588" s="445"/>
      <c r="M588" s="152"/>
      <c r="N588" s="152"/>
      <c r="O588" s="152"/>
      <c r="P588" s="152"/>
      <c r="Q588" s="152"/>
      <c r="R588" s="152"/>
      <c r="S588" s="152"/>
      <c r="T588" s="152"/>
      <c r="U588" s="152"/>
      <c r="V588" s="152"/>
      <c r="W588" s="152"/>
    </row>
    <row r="589">
      <c r="A589" s="152"/>
      <c r="B589" s="152"/>
      <c r="C589" s="152"/>
      <c r="D589" s="152"/>
      <c r="E589" s="152"/>
      <c r="F589" s="152"/>
      <c r="G589" s="152"/>
      <c r="H589" s="152"/>
      <c r="I589" s="152"/>
      <c r="J589" s="152"/>
      <c r="K589" s="445"/>
      <c r="L589" s="445"/>
      <c r="M589" s="152"/>
      <c r="N589" s="152"/>
      <c r="O589" s="152"/>
      <c r="P589" s="152"/>
      <c r="Q589" s="152"/>
      <c r="R589" s="152"/>
      <c r="S589" s="152"/>
      <c r="T589" s="152"/>
      <c r="U589" s="152"/>
      <c r="V589" s="152"/>
      <c r="W589" s="152"/>
    </row>
    <row r="590">
      <c r="A590" s="152"/>
      <c r="B590" s="152"/>
      <c r="C590" s="152"/>
      <c r="D590" s="152"/>
      <c r="E590" s="152"/>
      <c r="F590" s="152"/>
      <c r="G590" s="152"/>
      <c r="H590" s="152"/>
      <c r="I590" s="152"/>
      <c r="J590" s="152"/>
      <c r="K590" s="445"/>
      <c r="L590" s="445"/>
      <c r="M590" s="152"/>
      <c r="N590" s="152"/>
      <c r="O590" s="152"/>
      <c r="P590" s="152"/>
      <c r="Q590" s="152"/>
      <c r="R590" s="152"/>
      <c r="S590" s="152"/>
      <c r="T590" s="152"/>
      <c r="U590" s="152"/>
      <c r="V590" s="152"/>
      <c r="W590" s="152"/>
    </row>
    <row r="591">
      <c r="A591" s="152"/>
      <c r="B591" s="152"/>
      <c r="C591" s="152"/>
      <c r="D591" s="152"/>
      <c r="E591" s="152"/>
      <c r="F591" s="152"/>
      <c r="G591" s="152"/>
      <c r="H591" s="152"/>
      <c r="I591" s="152"/>
      <c r="J591" s="152"/>
      <c r="K591" s="445"/>
      <c r="L591" s="445"/>
      <c r="M591" s="152"/>
      <c r="N591" s="152"/>
      <c r="O591" s="152"/>
      <c r="P591" s="152"/>
      <c r="Q591" s="152"/>
      <c r="R591" s="152"/>
      <c r="S591" s="152"/>
      <c r="T591" s="152"/>
      <c r="U591" s="152"/>
      <c r="V591" s="152"/>
      <c r="W591" s="152"/>
    </row>
    <row r="592">
      <c r="A592" s="152"/>
      <c r="B592" s="152"/>
      <c r="C592" s="152"/>
      <c r="D592" s="152"/>
      <c r="E592" s="152"/>
      <c r="F592" s="152"/>
      <c r="G592" s="152"/>
      <c r="H592" s="152"/>
      <c r="I592" s="152"/>
      <c r="J592" s="152"/>
      <c r="K592" s="445"/>
      <c r="L592" s="445"/>
      <c r="M592" s="152"/>
      <c r="N592" s="152"/>
      <c r="O592" s="152"/>
      <c r="P592" s="152"/>
      <c r="Q592" s="152"/>
      <c r="R592" s="152"/>
      <c r="S592" s="152"/>
      <c r="T592" s="152"/>
      <c r="U592" s="152"/>
      <c r="V592" s="152"/>
      <c r="W592" s="152"/>
    </row>
    <row r="593">
      <c r="A593" s="152"/>
      <c r="B593" s="152"/>
      <c r="C593" s="152"/>
      <c r="D593" s="152"/>
      <c r="E593" s="152"/>
      <c r="F593" s="152"/>
      <c r="G593" s="152"/>
      <c r="H593" s="152"/>
      <c r="I593" s="152"/>
      <c r="J593" s="152"/>
      <c r="K593" s="445"/>
      <c r="L593" s="445"/>
      <c r="M593" s="152"/>
      <c r="N593" s="152"/>
      <c r="O593" s="152"/>
      <c r="P593" s="152"/>
      <c r="Q593" s="152"/>
      <c r="R593" s="152"/>
      <c r="S593" s="152"/>
      <c r="T593" s="152"/>
      <c r="U593" s="152"/>
      <c r="V593" s="152"/>
      <c r="W593" s="152"/>
    </row>
    <row r="594">
      <c r="A594" s="152"/>
      <c r="B594" s="152"/>
      <c r="C594" s="152"/>
      <c r="D594" s="152"/>
      <c r="E594" s="152"/>
      <c r="F594" s="152"/>
      <c r="G594" s="152"/>
      <c r="H594" s="152"/>
      <c r="I594" s="152"/>
      <c r="J594" s="152"/>
      <c r="K594" s="445"/>
      <c r="L594" s="445"/>
      <c r="M594" s="152"/>
      <c r="N594" s="152"/>
      <c r="O594" s="152"/>
      <c r="P594" s="152"/>
      <c r="Q594" s="152"/>
      <c r="R594" s="152"/>
      <c r="S594" s="152"/>
      <c r="T594" s="152"/>
      <c r="U594" s="152"/>
      <c r="V594" s="152"/>
      <c r="W594" s="152"/>
    </row>
    <row r="595">
      <c r="A595" s="152"/>
      <c r="B595" s="152"/>
      <c r="C595" s="152"/>
      <c r="D595" s="152"/>
      <c r="E595" s="152"/>
      <c r="F595" s="152"/>
      <c r="G595" s="152"/>
      <c r="H595" s="152"/>
      <c r="I595" s="152"/>
      <c r="J595" s="152"/>
      <c r="K595" s="445"/>
      <c r="L595" s="445"/>
      <c r="M595" s="152"/>
      <c r="N595" s="152"/>
      <c r="O595" s="152"/>
      <c r="P595" s="152"/>
      <c r="Q595" s="152"/>
      <c r="R595" s="152"/>
      <c r="S595" s="152"/>
      <c r="T595" s="152"/>
      <c r="U595" s="152"/>
      <c r="V595" s="152"/>
      <c r="W595" s="152"/>
    </row>
    <row r="596">
      <c r="A596" s="152"/>
      <c r="B596" s="152"/>
      <c r="C596" s="152"/>
      <c r="D596" s="152"/>
      <c r="E596" s="152"/>
      <c r="F596" s="152"/>
      <c r="G596" s="152"/>
      <c r="H596" s="152"/>
      <c r="I596" s="152"/>
      <c r="J596" s="152"/>
      <c r="K596" s="445"/>
      <c r="L596" s="445"/>
      <c r="M596" s="152"/>
      <c r="N596" s="152"/>
      <c r="O596" s="152"/>
      <c r="P596" s="152"/>
      <c r="Q596" s="152"/>
      <c r="R596" s="152"/>
      <c r="S596" s="152"/>
      <c r="T596" s="152"/>
      <c r="U596" s="152"/>
      <c r="V596" s="152"/>
      <c r="W596" s="152"/>
    </row>
    <row r="597">
      <c r="A597" s="152"/>
      <c r="B597" s="152"/>
      <c r="C597" s="152"/>
      <c r="D597" s="152"/>
      <c r="E597" s="152"/>
      <c r="F597" s="152"/>
      <c r="G597" s="152"/>
      <c r="H597" s="152"/>
      <c r="I597" s="152"/>
      <c r="J597" s="152"/>
      <c r="K597" s="445"/>
      <c r="L597" s="445"/>
      <c r="M597" s="152"/>
      <c r="N597" s="152"/>
      <c r="O597" s="152"/>
      <c r="P597" s="152"/>
      <c r="Q597" s="152"/>
      <c r="R597" s="152"/>
      <c r="S597" s="152"/>
      <c r="T597" s="152"/>
      <c r="U597" s="152"/>
      <c r="V597" s="152"/>
      <c r="W597" s="152"/>
    </row>
    <row r="598">
      <c r="A598" s="152"/>
      <c r="B598" s="152"/>
      <c r="C598" s="152"/>
      <c r="D598" s="152"/>
      <c r="E598" s="152"/>
      <c r="F598" s="152"/>
      <c r="G598" s="152"/>
      <c r="H598" s="152"/>
      <c r="I598" s="152"/>
      <c r="J598" s="152"/>
      <c r="K598" s="445"/>
      <c r="L598" s="445"/>
      <c r="M598" s="152"/>
      <c r="N598" s="152"/>
      <c r="O598" s="152"/>
      <c r="P598" s="152"/>
      <c r="Q598" s="152"/>
      <c r="R598" s="152"/>
      <c r="S598" s="152"/>
      <c r="T598" s="152"/>
      <c r="U598" s="152"/>
      <c r="V598" s="152"/>
      <c r="W598" s="152"/>
    </row>
    <row r="599">
      <c r="A599" s="152"/>
      <c r="B599" s="152"/>
      <c r="C599" s="152"/>
      <c r="D599" s="152"/>
      <c r="E599" s="152"/>
      <c r="F599" s="152"/>
      <c r="G599" s="152"/>
      <c r="H599" s="152"/>
      <c r="I599" s="152"/>
      <c r="J599" s="152"/>
      <c r="K599" s="445"/>
      <c r="L599" s="445"/>
      <c r="M599" s="152"/>
      <c r="N599" s="152"/>
      <c r="O599" s="152"/>
      <c r="P599" s="152"/>
      <c r="Q599" s="152"/>
      <c r="R599" s="152"/>
      <c r="S599" s="152"/>
      <c r="T599" s="152"/>
      <c r="U599" s="152"/>
      <c r="V599" s="152"/>
      <c r="W599" s="152"/>
    </row>
    <row r="600">
      <c r="A600" s="152"/>
      <c r="B600" s="152"/>
      <c r="C600" s="152"/>
      <c r="D600" s="152"/>
      <c r="E600" s="152"/>
      <c r="F600" s="152"/>
      <c r="G600" s="152"/>
      <c r="H600" s="152"/>
      <c r="I600" s="152"/>
      <c r="J600" s="152"/>
      <c r="K600" s="445"/>
      <c r="L600" s="445"/>
      <c r="M600" s="152"/>
      <c r="N600" s="152"/>
      <c r="O600" s="152"/>
      <c r="P600" s="152"/>
      <c r="Q600" s="152"/>
      <c r="R600" s="152"/>
      <c r="S600" s="152"/>
      <c r="T600" s="152"/>
      <c r="U600" s="152"/>
      <c r="V600" s="152"/>
      <c r="W600" s="152"/>
    </row>
    <row r="601">
      <c r="A601" s="152"/>
      <c r="B601" s="152"/>
      <c r="C601" s="152"/>
      <c r="D601" s="152"/>
      <c r="E601" s="152"/>
      <c r="F601" s="152"/>
      <c r="G601" s="152"/>
      <c r="H601" s="152"/>
      <c r="I601" s="152"/>
      <c r="J601" s="152"/>
      <c r="K601" s="445"/>
      <c r="L601" s="445"/>
      <c r="M601" s="152"/>
      <c r="N601" s="152"/>
      <c r="O601" s="152"/>
      <c r="P601" s="152"/>
      <c r="Q601" s="152"/>
      <c r="R601" s="152"/>
      <c r="S601" s="152"/>
      <c r="T601" s="152"/>
      <c r="U601" s="152"/>
      <c r="V601" s="152"/>
      <c r="W601" s="152"/>
    </row>
    <row r="602">
      <c r="A602" s="152"/>
      <c r="B602" s="152"/>
      <c r="C602" s="152"/>
      <c r="D602" s="152"/>
      <c r="E602" s="152"/>
      <c r="F602" s="152"/>
      <c r="G602" s="152"/>
      <c r="H602" s="152"/>
      <c r="I602" s="152"/>
      <c r="J602" s="152"/>
      <c r="K602" s="445"/>
      <c r="L602" s="445"/>
      <c r="M602" s="152"/>
      <c r="N602" s="152"/>
      <c r="O602" s="152"/>
      <c r="P602" s="152"/>
      <c r="Q602" s="152"/>
      <c r="R602" s="152"/>
      <c r="S602" s="152"/>
      <c r="T602" s="152"/>
      <c r="U602" s="152"/>
      <c r="V602" s="152"/>
      <c r="W602" s="152"/>
    </row>
    <row r="603">
      <c r="A603" s="152"/>
      <c r="B603" s="152"/>
      <c r="C603" s="152"/>
      <c r="D603" s="152"/>
      <c r="E603" s="152"/>
      <c r="F603" s="152"/>
      <c r="G603" s="152"/>
      <c r="H603" s="152"/>
      <c r="I603" s="152"/>
      <c r="J603" s="152"/>
      <c r="K603" s="445"/>
      <c r="L603" s="445"/>
      <c r="M603" s="152"/>
      <c r="N603" s="152"/>
      <c r="O603" s="152"/>
      <c r="P603" s="152"/>
      <c r="Q603" s="152"/>
      <c r="R603" s="152"/>
      <c r="S603" s="152"/>
      <c r="T603" s="152"/>
      <c r="U603" s="152"/>
      <c r="V603" s="152"/>
      <c r="W603" s="152"/>
    </row>
    <row r="604">
      <c r="A604" s="152"/>
      <c r="B604" s="152"/>
      <c r="C604" s="152"/>
      <c r="D604" s="152"/>
      <c r="E604" s="152"/>
      <c r="F604" s="152"/>
      <c r="G604" s="152"/>
      <c r="H604" s="152"/>
      <c r="I604" s="152"/>
      <c r="J604" s="152"/>
      <c r="K604" s="445"/>
      <c r="L604" s="445"/>
      <c r="M604" s="152"/>
      <c r="N604" s="152"/>
      <c r="O604" s="152"/>
      <c r="P604" s="152"/>
      <c r="Q604" s="152"/>
      <c r="R604" s="152"/>
      <c r="S604" s="152"/>
      <c r="T604" s="152"/>
      <c r="U604" s="152"/>
      <c r="V604" s="152"/>
      <c r="W604" s="152"/>
    </row>
    <row r="605">
      <c r="A605" s="152"/>
      <c r="B605" s="152"/>
      <c r="C605" s="152"/>
      <c r="D605" s="152"/>
      <c r="E605" s="152"/>
      <c r="F605" s="152"/>
      <c r="G605" s="152"/>
      <c r="H605" s="152"/>
      <c r="I605" s="152"/>
      <c r="J605" s="152"/>
      <c r="K605" s="445"/>
      <c r="L605" s="445"/>
      <c r="M605" s="152"/>
      <c r="N605" s="152"/>
      <c r="O605" s="152"/>
      <c r="P605" s="152"/>
      <c r="Q605" s="152"/>
      <c r="R605" s="152"/>
      <c r="S605" s="152"/>
      <c r="T605" s="152"/>
      <c r="U605" s="152"/>
      <c r="V605" s="152"/>
      <c r="W605" s="152"/>
    </row>
    <row r="606">
      <c r="A606" s="152"/>
      <c r="B606" s="152"/>
      <c r="C606" s="152"/>
      <c r="D606" s="152"/>
      <c r="E606" s="152"/>
      <c r="F606" s="152"/>
      <c r="G606" s="152"/>
      <c r="H606" s="152"/>
      <c r="I606" s="152"/>
      <c r="J606" s="152"/>
      <c r="K606" s="445"/>
      <c r="L606" s="445"/>
      <c r="M606" s="152"/>
      <c r="N606" s="152"/>
      <c r="O606" s="152"/>
      <c r="P606" s="152"/>
      <c r="Q606" s="152"/>
      <c r="R606" s="152"/>
      <c r="S606" s="152"/>
      <c r="T606" s="152"/>
      <c r="U606" s="152"/>
      <c r="V606" s="152"/>
      <c r="W606" s="152"/>
    </row>
    <row r="607">
      <c r="A607" s="152"/>
      <c r="B607" s="152"/>
      <c r="C607" s="152"/>
      <c r="D607" s="152"/>
      <c r="E607" s="152"/>
      <c r="F607" s="152"/>
      <c r="G607" s="152"/>
      <c r="H607" s="152"/>
      <c r="I607" s="152"/>
      <c r="J607" s="152"/>
      <c r="K607" s="445"/>
      <c r="L607" s="445"/>
      <c r="M607" s="152"/>
      <c r="N607" s="152"/>
      <c r="O607" s="152"/>
      <c r="P607" s="152"/>
      <c r="Q607" s="152"/>
      <c r="R607" s="152"/>
      <c r="S607" s="152"/>
      <c r="T607" s="152"/>
      <c r="U607" s="152"/>
      <c r="V607" s="152"/>
      <c r="W607" s="152"/>
    </row>
    <row r="608">
      <c r="A608" s="152"/>
      <c r="B608" s="152"/>
      <c r="C608" s="152"/>
      <c r="D608" s="152"/>
      <c r="E608" s="152"/>
      <c r="F608" s="152"/>
      <c r="G608" s="152"/>
      <c r="H608" s="152"/>
      <c r="I608" s="152"/>
      <c r="J608" s="152"/>
      <c r="K608" s="445"/>
      <c r="L608" s="445"/>
      <c r="M608" s="152"/>
      <c r="N608" s="152"/>
      <c r="O608" s="152"/>
      <c r="P608" s="152"/>
      <c r="Q608" s="152"/>
      <c r="R608" s="152"/>
      <c r="S608" s="152"/>
      <c r="T608" s="152"/>
      <c r="U608" s="152"/>
      <c r="V608" s="152"/>
      <c r="W608" s="152"/>
    </row>
    <row r="609">
      <c r="A609" s="152"/>
      <c r="B609" s="152"/>
      <c r="C609" s="152"/>
      <c r="D609" s="152"/>
      <c r="E609" s="152"/>
      <c r="F609" s="152"/>
      <c r="G609" s="152"/>
      <c r="H609" s="152"/>
      <c r="I609" s="152"/>
      <c r="J609" s="152"/>
      <c r="K609" s="445"/>
      <c r="L609" s="445"/>
      <c r="M609" s="152"/>
      <c r="N609" s="152"/>
      <c r="O609" s="152"/>
      <c r="P609" s="152"/>
      <c r="Q609" s="152"/>
      <c r="R609" s="152"/>
      <c r="S609" s="152"/>
      <c r="T609" s="152"/>
      <c r="U609" s="152"/>
      <c r="V609" s="152"/>
      <c r="W609" s="152"/>
    </row>
    <row r="610">
      <c r="A610" s="152"/>
      <c r="B610" s="152"/>
      <c r="C610" s="152"/>
      <c r="D610" s="152"/>
      <c r="E610" s="152"/>
      <c r="F610" s="152"/>
      <c r="G610" s="152"/>
      <c r="H610" s="152"/>
      <c r="I610" s="152"/>
      <c r="J610" s="152"/>
      <c r="K610" s="445"/>
      <c r="L610" s="445"/>
      <c r="M610" s="152"/>
      <c r="N610" s="152"/>
      <c r="O610" s="152"/>
      <c r="P610" s="152"/>
      <c r="Q610" s="152"/>
      <c r="R610" s="152"/>
      <c r="S610" s="152"/>
      <c r="T610" s="152"/>
      <c r="U610" s="152"/>
      <c r="V610" s="152"/>
      <c r="W610" s="152"/>
    </row>
    <row r="611">
      <c r="A611" s="152"/>
      <c r="B611" s="152"/>
      <c r="C611" s="152"/>
      <c r="D611" s="152"/>
      <c r="E611" s="152"/>
      <c r="F611" s="152"/>
      <c r="G611" s="152"/>
      <c r="H611" s="152"/>
      <c r="I611" s="152"/>
      <c r="J611" s="152"/>
      <c r="K611" s="445"/>
      <c r="L611" s="445"/>
      <c r="M611" s="152"/>
      <c r="N611" s="152"/>
      <c r="O611" s="152"/>
      <c r="P611" s="152"/>
      <c r="Q611" s="152"/>
      <c r="R611" s="152"/>
      <c r="S611" s="152"/>
      <c r="T611" s="152"/>
      <c r="U611" s="152"/>
      <c r="V611" s="152"/>
      <c r="W611" s="152"/>
    </row>
    <row r="612">
      <c r="A612" s="152"/>
      <c r="B612" s="152"/>
      <c r="C612" s="152"/>
      <c r="D612" s="152"/>
      <c r="E612" s="152"/>
      <c r="F612" s="152"/>
      <c r="G612" s="152"/>
      <c r="H612" s="152"/>
      <c r="I612" s="152"/>
      <c r="J612" s="152"/>
      <c r="K612" s="445"/>
      <c r="L612" s="445"/>
      <c r="M612" s="152"/>
      <c r="N612" s="152"/>
      <c r="O612" s="152"/>
      <c r="P612" s="152"/>
      <c r="Q612" s="152"/>
      <c r="R612" s="152"/>
      <c r="S612" s="152"/>
      <c r="T612" s="152"/>
      <c r="U612" s="152"/>
      <c r="V612" s="152"/>
      <c r="W612" s="152"/>
    </row>
    <row r="613">
      <c r="A613" s="152"/>
      <c r="B613" s="152"/>
      <c r="C613" s="152"/>
      <c r="D613" s="152"/>
      <c r="E613" s="152"/>
      <c r="F613" s="152"/>
      <c r="G613" s="152"/>
      <c r="H613" s="152"/>
      <c r="I613" s="152"/>
      <c r="J613" s="152"/>
      <c r="K613" s="445"/>
      <c r="L613" s="445"/>
      <c r="M613" s="152"/>
      <c r="N613" s="152"/>
      <c r="O613" s="152"/>
      <c r="P613" s="152"/>
      <c r="Q613" s="152"/>
      <c r="R613" s="152"/>
      <c r="S613" s="152"/>
      <c r="T613" s="152"/>
      <c r="U613" s="152"/>
      <c r="V613" s="152"/>
      <c r="W613" s="152"/>
    </row>
    <row r="614">
      <c r="A614" s="152"/>
      <c r="B614" s="152"/>
      <c r="C614" s="152"/>
      <c r="D614" s="152"/>
      <c r="E614" s="152"/>
      <c r="F614" s="152"/>
      <c r="G614" s="152"/>
      <c r="H614" s="152"/>
      <c r="I614" s="152"/>
      <c r="J614" s="152"/>
      <c r="K614" s="445"/>
      <c r="L614" s="445"/>
      <c r="M614" s="152"/>
      <c r="N614" s="152"/>
      <c r="O614" s="152"/>
      <c r="P614" s="152"/>
      <c r="Q614" s="152"/>
      <c r="R614" s="152"/>
      <c r="S614" s="152"/>
      <c r="T614" s="152"/>
      <c r="U614" s="152"/>
      <c r="V614" s="152"/>
      <c r="W614" s="152"/>
    </row>
    <row r="615">
      <c r="A615" s="152"/>
      <c r="B615" s="152"/>
      <c r="C615" s="152"/>
      <c r="D615" s="152"/>
      <c r="E615" s="152"/>
      <c r="F615" s="152"/>
      <c r="G615" s="152"/>
      <c r="H615" s="152"/>
      <c r="I615" s="152"/>
      <c r="J615" s="152"/>
      <c r="K615" s="445"/>
      <c r="L615" s="445"/>
      <c r="M615" s="152"/>
      <c r="N615" s="152"/>
      <c r="O615" s="152"/>
      <c r="P615" s="152"/>
      <c r="Q615" s="152"/>
      <c r="R615" s="152"/>
      <c r="S615" s="152"/>
      <c r="T615" s="152"/>
      <c r="U615" s="152"/>
      <c r="V615" s="152"/>
      <c r="W615" s="152"/>
    </row>
    <row r="616">
      <c r="A616" s="152"/>
      <c r="B616" s="152"/>
      <c r="C616" s="152"/>
      <c r="D616" s="152"/>
      <c r="E616" s="152"/>
      <c r="F616" s="152"/>
      <c r="G616" s="152"/>
      <c r="H616" s="152"/>
      <c r="I616" s="152"/>
      <c r="J616" s="152"/>
      <c r="K616" s="445"/>
      <c r="L616" s="445"/>
      <c r="M616" s="152"/>
      <c r="N616" s="152"/>
      <c r="O616" s="152"/>
      <c r="P616" s="152"/>
      <c r="Q616" s="152"/>
      <c r="R616" s="152"/>
      <c r="S616" s="152"/>
      <c r="T616" s="152"/>
      <c r="U616" s="152"/>
      <c r="V616" s="152"/>
      <c r="W616" s="152"/>
    </row>
    <row r="617">
      <c r="A617" s="152"/>
      <c r="B617" s="152"/>
      <c r="C617" s="152"/>
      <c r="D617" s="152"/>
      <c r="E617" s="152"/>
      <c r="F617" s="152"/>
      <c r="G617" s="152"/>
      <c r="H617" s="152"/>
      <c r="I617" s="152"/>
      <c r="J617" s="152"/>
      <c r="K617" s="445"/>
      <c r="L617" s="445"/>
      <c r="M617" s="152"/>
      <c r="N617" s="152"/>
      <c r="O617" s="152"/>
      <c r="P617" s="152"/>
      <c r="Q617" s="152"/>
      <c r="R617" s="152"/>
      <c r="S617" s="152"/>
      <c r="T617" s="152"/>
      <c r="U617" s="152"/>
      <c r="V617" s="152"/>
      <c r="W617" s="152"/>
    </row>
    <row r="618">
      <c r="A618" s="152"/>
      <c r="B618" s="152"/>
      <c r="C618" s="152"/>
      <c r="D618" s="152"/>
      <c r="E618" s="152"/>
      <c r="F618" s="152"/>
      <c r="G618" s="152"/>
      <c r="H618" s="152"/>
      <c r="I618" s="152"/>
      <c r="J618" s="152"/>
      <c r="K618" s="445"/>
      <c r="L618" s="445"/>
      <c r="M618" s="152"/>
      <c r="N618" s="152"/>
      <c r="O618" s="152"/>
      <c r="P618" s="152"/>
      <c r="Q618" s="152"/>
      <c r="R618" s="152"/>
      <c r="S618" s="152"/>
      <c r="T618" s="152"/>
      <c r="U618" s="152"/>
      <c r="V618" s="152"/>
      <c r="W618" s="152"/>
    </row>
    <row r="619">
      <c r="A619" s="152"/>
      <c r="B619" s="152"/>
      <c r="C619" s="152"/>
      <c r="D619" s="152"/>
      <c r="E619" s="152"/>
      <c r="F619" s="152"/>
      <c r="G619" s="152"/>
      <c r="H619" s="152"/>
      <c r="I619" s="152"/>
      <c r="J619" s="152"/>
      <c r="K619" s="445"/>
      <c r="L619" s="445"/>
      <c r="M619" s="152"/>
      <c r="N619" s="152"/>
      <c r="O619" s="152"/>
      <c r="P619" s="152"/>
      <c r="Q619" s="152"/>
      <c r="R619" s="152"/>
      <c r="S619" s="152"/>
      <c r="T619" s="152"/>
      <c r="U619" s="152"/>
      <c r="V619" s="152"/>
      <c r="W619" s="152"/>
    </row>
    <row r="620">
      <c r="A620" s="152"/>
      <c r="B620" s="152"/>
      <c r="C620" s="152"/>
      <c r="D620" s="152"/>
      <c r="E620" s="152"/>
      <c r="F620" s="152"/>
      <c r="G620" s="152"/>
      <c r="H620" s="152"/>
      <c r="I620" s="152"/>
      <c r="J620" s="152"/>
      <c r="K620" s="445"/>
      <c r="L620" s="445"/>
      <c r="M620" s="152"/>
      <c r="N620" s="152"/>
      <c r="O620" s="152"/>
      <c r="P620" s="152"/>
      <c r="Q620" s="152"/>
      <c r="R620" s="152"/>
      <c r="S620" s="152"/>
      <c r="T620" s="152"/>
      <c r="U620" s="152"/>
      <c r="V620" s="152"/>
      <c r="W620" s="152"/>
    </row>
    <row r="621">
      <c r="A621" s="152"/>
      <c r="B621" s="152"/>
      <c r="C621" s="152"/>
      <c r="D621" s="152"/>
      <c r="E621" s="152"/>
      <c r="F621" s="152"/>
      <c r="G621" s="152"/>
      <c r="H621" s="152"/>
      <c r="I621" s="152"/>
      <c r="J621" s="152"/>
      <c r="K621" s="445"/>
      <c r="L621" s="445"/>
      <c r="M621" s="152"/>
      <c r="N621" s="152"/>
      <c r="O621" s="152"/>
      <c r="P621" s="152"/>
      <c r="Q621" s="152"/>
      <c r="R621" s="152"/>
      <c r="S621" s="152"/>
      <c r="T621" s="152"/>
      <c r="U621" s="152"/>
      <c r="V621" s="152"/>
      <c r="W621" s="152"/>
    </row>
    <row r="622">
      <c r="A622" s="152"/>
      <c r="B622" s="152"/>
      <c r="C622" s="152"/>
      <c r="D622" s="152"/>
      <c r="E622" s="152"/>
      <c r="F622" s="152"/>
      <c r="G622" s="152"/>
      <c r="H622" s="152"/>
      <c r="I622" s="152"/>
      <c r="J622" s="152"/>
      <c r="K622" s="445"/>
      <c r="L622" s="445"/>
      <c r="M622" s="152"/>
      <c r="N622" s="152"/>
      <c r="O622" s="152"/>
      <c r="P622" s="152"/>
      <c r="Q622" s="152"/>
      <c r="R622" s="152"/>
      <c r="S622" s="152"/>
      <c r="T622" s="152"/>
      <c r="U622" s="152"/>
      <c r="V622" s="152"/>
      <c r="W622" s="152"/>
    </row>
    <row r="623">
      <c r="A623" s="152"/>
      <c r="B623" s="152"/>
      <c r="C623" s="152"/>
      <c r="D623" s="152"/>
      <c r="E623" s="152"/>
      <c r="F623" s="152"/>
      <c r="G623" s="152"/>
      <c r="H623" s="152"/>
      <c r="I623" s="152"/>
      <c r="J623" s="152"/>
      <c r="K623" s="445"/>
      <c r="L623" s="445"/>
      <c r="M623" s="152"/>
      <c r="N623" s="152"/>
      <c r="O623" s="152"/>
      <c r="P623" s="152"/>
      <c r="Q623" s="152"/>
      <c r="R623" s="152"/>
      <c r="S623" s="152"/>
      <c r="T623" s="152"/>
      <c r="U623" s="152"/>
      <c r="V623" s="152"/>
      <c r="W623" s="152"/>
    </row>
    <row r="624">
      <c r="A624" s="152"/>
      <c r="B624" s="152"/>
      <c r="C624" s="152"/>
      <c r="D624" s="152"/>
      <c r="E624" s="152"/>
      <c r="F624" s="152"/>
      <c r="G624" s="152"/>
      <c r="H624" s="152"/>
      <c r="I624" s="152"/>
      <c r="J624" s="152"/>
      <c r="K624" s="445"/>
      <c r="L624" s="445"/>
      <c r="M624" s="152"/>
      <c r="N624" s="152"/>
      <c r="O624" s="152"/>
      <c r="P624" s="152"/>
      <c r="Q624" s="152"/>
      <c r="R624" s="152"/>
      <c r="S624" s="152"/>
      <c r="T624" s="152"/>
      <c r="U624" s="152"/>
      <c r="V624" s="152"/>
      <c r="W624" s="152"/>
    </row>
    <row r="625">
      <c r="A625" s="152"/>
      <c r="B625" s="152"/>
      <c r="C625" s="152"/>
      <c r="D625" s="152"/>
      <c r="E625" s="152"/>
      <c r="F625" s="152"/>
      <c r="G625" s="152"/>
      <c r="H625" s="152"/>
      <c r="I625" s="152"/>
      <c r="J625" s="152"/>
      <c r="K625" s="445"/>
      <c r="L625" s="445"/>
      <c r="M625" s="152"/>
      <c r="N625" s="152"/>
      <c r="O625" s="152"/>
      <c r="P625" s="152"/>
      <c r="Q625" s="152"/>
      <c r="R625" s="152"/>
      <c r="S625" s="152"/>
      <c r="T625" s="152"/>
      <c r="U625" s="152"/>
      <c r="V625" s="152"/>
      <c r="W625" s="152"/>
    </row>
    <row r="626">
      <c r="A626" s="152"/>
      <c r="B626" s="152"/>
      <c r="C626" s="152"/>
      <c r="D626" s="152"/>
      <c r="E626" s="152"/>
      <c r="F626" s="152"/>
      <c r="G626" s="152"/>
      <c r="H626" s="152"/>
      <c r="I626" s="152"/>
      <c r="J626" s="152"/>
      <c r="K626" s="445"/>
      <c r="L626" s="445"/>
      <c r="M626" s="152"/>
      <c r="N626" s="152"/>
      <c r="O626" s="152"/>
      <c r="P626" s="152"/>
      <c r="Q626" s="152"/>
      <c r="R626" s="152"/>
      <c r="S626" s="152"/>
      <c r="T626" s="152"/>
      <c r="U626" s="152"/>
      <c r="V626" s="152"/>
      <c r="W626" s="152"/>
    </row>
    <row r="627">
      <c r="A627" s="152"/>
      <c r="B627" s="152"/>
      <c r="C627" s="152"/>
      <c r="D627" s="152"/>
      <c r="E627" s="152"/>
      <c r="F627" s="152"/>
      <c r="G627" s="152"/>
      <c r="H627" s="152"/>
      <c r="I627" s="152"/>
      <c r="J627" s="152"/>
      <c r="K627" s="445"/>
      <c r="L627" s="445"/>
      <c r="M627" s="152"/>
      <c r="N627" s="152"/>
      <c r="O627" s="152"/>
      <c r="P627" s="152"/>
      <c r="Q627" s="152"/>
      <c r="R627" s="152"/>
      <c r="S627" s="152"/>
      <c r="T627" s="152"/>
      <c r="U627" s="152"/>
      <c r="V627" s="152"/>
      <c r="W627" s="152"/>
    </row>
    <row r="628">
      <c r="A628" s="152"/>
      <c r="B628" s="152"/>
      <c r="C628" s="152"/>
      <c r="D628" s="152"/>
      <c r="E628" s="152"/>
      <c r="F628" s="152"/>
      <c r="G628" s="152"/>
      <c r="H628" s="152"/>
      <c r="I628" s="152"/>
      <c r="J628" s="152"/>
      <c r="K628" s="445"/>
      <c r="L628" s="445"/>
      <c r="M628" s="152"/>
      <c r="N628" s="152"/>
      <c r="O628" s="152"/>
      <c r="P628" s="152"/>
      <c r="Q628" s="152"/>
      <c r="R628" s="152"/>
      <c r="S628" s="152"/>
      <c r="T628" s="152"/>
      <c r="U628" s="152"/>
      <c r="V628" s="152"/>
      <c r="W628" s="152"/>
    </row>
    <row r="629">
      <c r="A629" s="152"/>
      <c r="B629" s="152"/>
      <c r="C629" s="152"/>
      <c r="D629" s="152"/>
      <c r="E629" s="152"/>
      <c r="F629" s="152"/>
      <c r="G629" s="152"/>
      <c r="H629" s="152"/>
      <c r="I629" s="152"/>
      <c r="J629" s="152"/>
      <c r="K629" s="445"/>
      <c r="L629" s="445"/>
      <c r="M629" s="152"/>
      <c r="N629" s="152"/>
      <c r="O629" s="152"/>
      <c r="P629" s="152"/>
      <c r="Q629" s="152"/>
      <c r="R629" s="152"/>
      <c r="S629" s="152"/>
      <c r="T629" s="152"/>
      <c r="U629" s="152"/>
      <c r="V629" s="152"/>
      <c r="W629" s="152"/>
    </row>
    <row r="630">
      <c r="A630" s="152"/>
      <c r="B630" s="152"/>
      <c r="C630" s="152"/>
      <c r="D630" s="152"/>
      <c r="E630" s="152"/>
      <c r="F630" s="152"/>
      <c r="G630" s="152"/>
      <c r="H630" s="152"/>
      <c r="I630" s="152"/>
      <c r="J630" s="152"/>
      <c r="K630" s="445"/>
      <c r="L630" s="445"/>
      <c r="M630" s="152"/>
      <c r="N630" s="152"/>
      <c r="O630" s="152"/>
      <c r="P630" s="152"/>
      <c r="Q630" s="152"/>
      <c r="R630" s="152"/>
      <c r="S630" s="152"/>
      <c r="T630" s="152"/>
      <c r="U630" s="152"/>
      <c r="V630" s="152"/>
      <c r="W630" s="152"/>
    </row>
    <row r="631">
      <c r="A631" s="152"/>
      <c r="B631" s="152"/>
      <c r="C631" s="152"/>
      <c r="D631" s="152"/>
      <c r="E631" s="152"/>
      <c r="F631" s="152"/>
      <c r="G631" s="152"/>
      <c r="H631" s="152"/>
      <c r="I631" s="152"/>
      <c r="J631" s="152"/>
      <c r="K631" s="445"/>
      <c r="L631" s="445"/>
      <c r="M631" s="152"/>
      <c r="N631" s="152"/>
      <c r="O631" s="152"/>
      <c r="P631" s="152"/>
      <c r="Q631" s="152"/>
      <c r="R631" s="152"/>
      <c r="S631" s="152"/>
      <c r="T631" s="152"/>
      <c r="U631" s="152"/>
      <c r="V631" s="152"/>
      <c r="W631" s="152"/>
    </row>
    <row r="632">
      <c r="A632" s="152"/>
      <c r="B632" s="152"/>
      <c r="C632" s="152"/>
      <c r="D632" s="152"/>
      <c r="E632" s="152"/>
      <c r="F632" s="152"/>
      <c r="G632" s="152"/>
      <c r="H632" s="152"/>
      <c r="I632" s="152"/>
      <c r="J632" s="152"/>
      <c r="K632" s="445"/>
      <c r="L632" s="445"/>
      <c r="M632" s="152"/>
      <c r="N632" s="152"/>
      <c r="O632" s="152"/>
      <c r="P632" s="152"/>
      <c r="Q632" s="152"/>
      <c r="R632" s="152"/>
      <c r="S632" s="152"/>
      <c r="T632" s="152"/>
      <c r="U632" s="152"/>
      <c r="V632" s="152"/>
      <c r="W632" s="152"/>
    </row>
    <row r="633">
      <c r="A633" s="152"/>
      <c r="B633" s="152"/>
      <c r="C633" s="152"/>
      <c r="D633" s="152"/>
      <c r="E633" s="152"/>
      <c r="F633" s="152"/>
      <c r="G633" s="152"/>
      <c r="H633" s="152"/>
      <c r="I633" s="152"/>
      <c r="J633" s="152"/>
      <c r="K633" s="445"/>
      <c r="L633" s="445"/>
      <c r="M633" s="152"/>
      <c r="N633" s="152"/>
      <c r="O633" s="152"/>
      <c r="P633" s="152"/>
      <c r="Q633" s="152"/>
      <c r="R633" s="152"/>
      <c r="S633" s="152"/>
      <c r="T633" s="152"/>
      <c r="U633" s="152"/>
      <c r="V633" s="152"/>
      <c r="W633" s="152"/>
    </row>
    <row r="634">
      <c r="A634" s="152"/>
      <c r="B634" s="152"/>
      <c r="C634" s="152"/>
      <c r="D634" s="152"/>
      <c r="E634" s="152"/>
      <c r="F634" s="152"/>
      <c r="G634" s="152"/>
      <c r="H634" s="152"/>
      <c r="I634" s="152"/>
      <c r="J634" s="152"/>
      <c r="K634" s="445"/>
      <c r="L634" s="445"/>
      <c r="M634" s="152"/>
      <c r="N634" s="152"/>
      <c r="O634" s="152"/>
      <c r="P634" s="152"/>
      <c r="Q634" s="152"/>
      <c r="R634" s="152"/>
      <c r="S634" s="152"/>
      <c r="T634" s="152"/>
      <c r="U634" s="152"/>
      <c r="V634" s="152"/>
      <c r="W634" s="152"/>
    </row>
    <row r="635">
      <c r="A635" s="152"/>
      <c r="B635" s="152"/>
      <c r="C635" s="152"/>
      <c r="D635" s="152"/>
      <c r="E635" s="152"/>
      <c r="F635" s="152"/>
      <c r="G635" s="152"/>
      <c r="H635" s="152"/>
      <c r="I635" s="152"/>
      <c r="J635" s="152"/>
      <c r="K635" s="445"/>
      <c r="L635" s="445"/>
      <c r="M635" s="152"/>
      <c r="N635" s="152"/>
      <c r="O635" s="152"/>
      <c r="P635" s="152"/>
      <c r="Q635" s="152"/>
      <c r="R635" s="152"/>
      <c r="S635" s="152"/>
      <c r="T635" s="152"/>
      <c r="U635" s="152"/>
      <c r="V635" s="152"/>
      <c r="W635" s="152"/>
    </row>
    <row r="636">
      <c r="A636" s="152"/>
      <c r="B636" s="152"/>
      <c r="C636" s="152"/>
      <c r="D636" s="152"/>
      <c r="E636" s="152"/>
      <c r="F636" s="152"/>
      <c r="G636" s="152"/>
      <c r="H636" s="152"/>
      <c r="I636" s="152"/>
      <c r="J636" s="152"/>
      <c r="K636" s="445"/>
      <c r="L636" s="445"/>
      <c r="M636" s="152"/>
      <c r="N636" s="152"/>
      <c r="O636" s="152"/>
      <c r="P636" s="152"/>
      <c r="Q636" s="152"/>
      <c r="R636" s="152"/>
      <c r="S636" s="152"/>
      <c r="T636" s="152"/>
      <c r="U636" s="152"/>
      <c r="V636" s="152"/>
      <c r="W636" s="152"/>
    </row>
    <row r="637">
      <c r="A637" s="152"/>
      <c r="B637" s="152"/>
      <c r="C637" s="152"/>
      <c r="D637" s="152"/>
      <c r="E637" s="152"/>
      <c r="F637" s="152"/>
      <c r="G637" s="152"/>
      <c r="H637" s="152"/>
      <c r="I637" s="152"/>
      <c r="J637" s="152"/>
      <c r="K637" s="445"/>
      <c r="L637" s="445"/>
      <c r="M637" s="152"/>
      <c r="N637" s="152"/>
      <c r="O637" s="152"/>
      <c r="P637" s="152"/>
      <c r="Q637" s="152"/>
      <c r="R637" s="152"/>
      <c r="S637" s="152"/>
      <c r="T637" s="152"/>
      <c r="U637" s="152"/>
      <c r="V637" s="152"/>
      <c r="W637" s="152"/>
    </row>
    <row r="638">
      <c r="A638" s="152"/>
      <c r="B638" s="152"/>
      <c r="C638" s="152"/>
      <c r="D638" s="152"/>
      <c r="E638" s="152"/>
      <c r="F638" s="152"/>
      <c r="G638" s="152"/>
      <c r="H638" s="152"/>
      <c r="I638" s="152"/>
      <c r="J638" s="152"/>
      <c r="K638" s="445"/>
      <c r="L638" s="445"/>
      <c r="M638" s="152"/>
      <c r="N638" s="152"/>
      <c r="O638" s="152"/>
      <c r="P638" s="152"/>
      <c r="Q638" s="152"/>
      <c r="R638" s="152"/>
      <c r="S638" s="152"/>
      <c r="T638" s="152"/>
      <c r="U638" s="152"/>
      <c r="V638" s="152"/>
      <c r="W638" s="152"/>
    </row>
    <row r="639">
      <c r="A639" s="152"/>
      <c r="B639" s="152"/>
      <c r="C639" s="152"/>
      <c r="D639" s="152"/>
      <c r="E639" s="152"/>
      <c r="F639" s="152"/>
      <c r="G639" s="152"/>
      <c r="H639" s="152"/>
      <c r="I639" s="152"/>
      <c r="J639" s="152"/>
      <c r="K639" s="445"/>
      <c r="L639" s="445"/>
      <c r="M639" s="152"/>
      <c r="N639" s="152"/>
      <c r="O639" s="152"/>
      <c r="P639" s="152"/>
      <c r="Q639" s="152"/>
      <c r="R639" s="152"/>
      <c r="S639" s="152"/>
      <c r="T639" s="152"/>
      <c r="U639" s="152"/>
      <c r="V639" s="152"/>
      <c r="W639" s="152"/>
    </row>
    <row r="640">
      <c r="A640" s="152"/>
      <c r="B640" s="152"/>
      <c r="C640" s="152"/>
      <c r="D640" s="152"/>
      <c r="E640" s="152"/>
      <c r="F640" s="152"/>
      <c r="G640" s="152"/>
      <c r="H640" s="152"/>
      <c r="I640" s="152"/>
      <c r="J640" s="152"/>
      <c r="K640" s="445"/>
      <c r="L640" s="445"/>
      <c r="M640" s="152"/>
      <c r="N640" s="152"/>
      <c r="O640" s="152"/>
      <c r="P640" s="152"/>
      <c r="Q640" s="152"/>
      <c r="R640" s="152"/>
      <c r="S640" s="152"/>
      <c r="T640" s="152"/>
      <c r="U640" s="152"/>
      <c r="V640" s="152"/>
      <c r="W640" s="152"/>
    </row>
    <row r="641">
      <c r="A641" s="152"/>
      <c r="B641" s="152"/>
      <c r="C641" s="152"/>
      <c r="D641" s="152"/>
      <c r="E641" s="152"/>
      <c r="F641" s="152"/>
      <c r="G641" s="152"/>
      <c r="H641" s="152"/>
      <c r="I641" s="152"/>
      <c r="J641" s="152"/>
      <c r="K641" s="445"/>
      <c r="L641" s="445"/>
      <c r="M641" s="152"/>
      <c r="N641" s="152"/>
      <c r="O641" s="152"/>
      <c r="P641" s="152"/>
      <c r="Q641" s="152"/>
      <c r="R641" s="152"/>
      <c r="S641" s="152"/>
      <c r="T641" s="152"/>
      <c r="U641" s="152"/>
      <c r="V641" s="152"/>
      <c r="W641" s="152"/>
    </row>
    <row r="642">
      <c r="A642" s="152"/>
      <c r="B642" s="152"/>
      <c r="C642" s="152"/>
      <c r="D642" s="152"/>
      <c r="E642" s="152"/>
      <c r="F642" s="152"/>
      <c r="G642" s="152"/>
      <c r="H642" s="152"/>
      <c r="I642" s="152"/>
      <c r="J642" s="152"/>
      <c r="K642" s="445"/>
      <c r="L642" s="445"/>
      <c r="M642" s="152"/>
      <c r="N642" s="152"/>
      <c r="O642" s="152"/>
      <c r="P642" s="152"/>
      <c r="Q642" s="152"/>
      <c r="R642" s="152"/>
      <c r="S642" s="152"/>
      <c r="T642" s="152"/>
      <c r="U642" s="152"/>
      <c r="V642" s="152"/>
      <c r="W642" s="152"/>
    </row>
    <row r="643">
      <c r="A643" s="152"/>
      <c r="B643" s="152"/>
      <c r="C643" s="152"/>
      <c r="D643" s="152"/>
      <c r="E643" s="152"/>
      <c r="F643" s="152"/>
      <c r="G643" s="152"/>
      <c r="H643" s="152"/>
      <c r="I643" s="152"/>
      <c r="J643" s="152"/>
      <c r="K643" s="445"/>
      <c r="L643" s="445"/>
      <c r="M643" s="152"/>
      <c r="N643" s="152"/>
      <c r="O643" s="152"/>
      <c r="P643" s="152"/>
      <c r="Q643" s="152"/>
      <c r="R643" s="152"/>
      <c r="S643" s="152"/>
      <c r="T643" s="152"/>
      <c r="U643" s="152"/>
      <c r="V643" s="152"/>
      <c r="W643" s="152"/>
    </row>
    <row r="644">
      <c r="A644" s="152"/>
      <c r="B644" s="152"/>
      <c r="C644" s="152"/>
      <c r="D644" s="152"/>
      <c r="E644" s="152"/>
      <c r="F644" s="152"/>
      <c r="G644" s="152"/>
      <c r="H644" s="152"/>
      <c r="I644" s="152"/>
      <c r="J644" s="152"/>
      <c r="K644" s="445"/>
      <c r="L644" s="445"/>
      <c r="M644" s="152"/>
      <c r="N644" s="152"/>
      <c r="O644" s="152"/>
      <c r="P644" s="152"/>
      <c r="Q644" s="152"/>
      <c r="R644" s="152"/>
      <c r="S644" s="152"/>
      <c r="T644" s="152"/>
      <c r="U644" s="152"/>
      <c r="V644" s="152"/>
      <c r="W644" s="152"/>
    </row>
    <row r="645">
      <c r="A645" s="152"/>
      <c r="B645" s="152"/>
      <c r="C645" s="152"/>
      <c r="D645" s="152"/>
      <c r="E645" s="152"/>
      <c r="F645" s="152"/>
      <c r="G645" s="152"/>
      <c r="H645" s="152"/>
      <c r="I645" s="152"/>
      <c r="J645" s="152"/>
      <c r="K645" s="445"/>
      <c r="L645" s="445"/>
      <c r="M645" s="152"/>
      <c r="N645" s="152"/>
      <c r="O645" s="152"/>
      <c r="P645" s="152"/>
      <c r="Q645" s="152"/>
      <c r="R645" s="152"/>
      <c r="S645" s="152"/>
      <c r="T645" s="152"/>
      <c r="U645" s="152"/>
      <c r="V645" s="152"/>
      <c r="W645" s="152"/>
    </row>
    <row r="646">
      <c r="A646" s="152"/>
      <c r="B646" s="152"/>
      <c r="C646" s="152"/>
      <c r="D646" s="152"/>
      <c r="E646" s="152"/>
      <c r="F646" s="152"/>
      <c r="G646" s="152"/>
      <c r="H646" s="152"/>
      <c r="I646" s="152"/>
      <c r="J646" s="152"/>
      <c r="K646" s="445"/>
      <c r="L646" s="445"/>
      <c r="M646" s="152"/>
      <c r="N646" s="152"/>
      <c r="O646" s="152"/>
      <c r="P646" s="152"/>
      <c r="Q646" s="152"/>
      <c r="R646" s="152"/>
      <c r="S646" s="152"/>
      <c r="T646" s="152"/>
      <c r="U646" s="152"/>
      <c r="V646" s="152"/>
      <c r="W646" s="152"/>
    </row>
    <row r="647">
      <c r="A647" s="152"/>
      <c r="B647" s="152"/>
      <c r="C647" s="152"/>
      <c r="D647" s="152"/>
      <c r="E647" s="152"/>
      <c r="F647" s="152"/>
      <c r="G647" s="152"/>
      <c r="H647" s="152"/>
      <c r="I647" s="152"/>
      <c r="J647" s="152"/>
      <c r="K647" s="445"/>
      <c r="L647" s="445"/>
      <c r="M647" s="152"/>
      <c r="N647" s="152"/>
      <c r="O647" s="152"/>
      <c r="P647" s="152"/>
      <c r="Q647" s="152"/>
      <c r="R647" s="152"/>
      <c r="S647" s="152"/>
      <c r="T647" s="152"/>
      <c r="U647" s="152"/>
      <c r="V647" s="152"/>
      <c r="W647" s="152"/>
    </row>
    <row r="648">
      <c r="A648" s="152"/>
      <c r="B648" s="152"/>
      <c r="C648" s="152"/>
      <c r="D648" s="152"/>
      <c r="E648" s="152"/>
      <c r="F648" s="152"/>
      <c r="G648" s="152"/>
      <c r="H648" s="152"/>
      <c r="I648" s="152"/>
      <c r="J648" s="152"/>
      <c r="K648" s="445"/>
      <c r="L648" s="445"/>
      <c r="M648" s="152"/>
      <c r="N648" s="152"/>
      <c r="O648" s="152"/>
      <c r="P648" s="152"/>
      <c r="Q648" s="152"/>
      <c r="R648" s="152"/>
      <c r="S648" s="152"/>
      <c r="T648" s="152"/>
      <c r="U648" s="152"/>
      <c r="V648" s="152"/>
      <c r="W648" s="152"/>
    </row>
    <row r="649">
      <c r="A649" s="152"/>
      <c r="B649" s="152"/>
      <c r="C649" s="152"/>
      <c r="D649" s="152"/>
      <c r="E649" s="152"/>
      <c r="F649" s="152"/>
      <c r="G649" s="152"/>
      <c r="H649" s="152"/>
      <c r="I649" s="152"/>
      <c r="J649" s="152"/>
      <c r="K649" s="445"/>
      <c r="L649" s="445"/>
      <c r="M649" s="152"/>
      <c r="N649" s="152"/>
      <c r="O649" s="152"/>
      <c r="P649" s="152"/>
      <c r="Q649" s="152"/>
      <c r="R649" s="152"/>
      <c r="S649" s="152"/>
      <c r="T649" s="152"/>
      <c r="U649" s="152"/>
      <c r="V649" s="152"/>
      <c r="W649" s="152"/>
    </row>
    <row r="650">
      <c r="A650" s="152"/>
      <c r="B650" s="152"/>
      <c r="C650" s="152"/>
      <c r="D650" s="152"/>
      <c r="E650" s="152"/>
      <c r="F650" s="152"/>
      <c r="G650" s="152"/>
      <c r="H650" s="152"/>
      <c r="I650" s="152"/>
      <c r="J650" s="152"/>
      <c r="K650" s="445"/>
      <c r="L650" s="445"/>
      <c r="M650" s="152"/>
      <c r="N650" s="152"/>
      <c r="O650" s="152"/>
      <c r="P650" s="152"/>
      <c r="Q650" s="152"/>
      <c r="R650" s="152"/>
      <c r="S650" s="152"/>
      <c r="T650" s="152"/>
      <c r="U650" s="152"/>
      <c r="V650" s="152"/>
      <c r="W650" s="152"/>
    </row>
    <row r="651">
      <c r="A651" s="152"/>
      <c r="B651" s="152"/>
      <c r="C651" s="152"/>
      <c r="D651" s="152"/>
      <c r="E651" s="152"/>
      <c r="F651" s="152"/>
      <c r="G651" s="152"/>
      <c r="H651" s="152"/>
      <c r="I651" s="152"/>
      <c r="J651" s="152"/>
      <c r="K651" s="445"/>
      <c r="L651" s="445"/>
      <c r="M651" s="152"/>
      <c r="N651" s="152"/>
      <c r="O651" s="152"/>
      <c r="P651" s="152"/>
      <c r="Q651" s="152"/>
      <c r="R651" s="152"/>
      <c r="S651" s="152"/>
      <c r="T651" s="152"/>
      <c r="U651" s="152"/>
      <c r="V651" s="152"/>
      <c r="W651" s="152"/>
    </row>
    <row r="652">
      <c r="A652" s="152"/>
      <c r="B652" s="152"/>
      <c r="C652" s="152"/>
      <c r="D652" s="152"/>
      <c r="E652" s="152"/>
      <c r="F652" s="152"/>
      <c r="G652" s="152"/>
      <c r="H652" s="152"/>
      <c r="I652" s="152"/>
      <c r="J652" s="152"/>
      <c r="K652" s="445"/>
      <c r="L652" s="445"/>
      <c r="M652" s="152"/>
      <c r="N652" s="152"/>
      <c r="O652" s="152"/>
      <c r="P652" s="152"/>
      <c r="Q652" s="152"/>
      <c r="R652" s="152"/>
      <c r="S652" s="152"/>
      <c r="T652" s="152"/>
      <c r="U652" s="152"/>
      <c r="V652" s="152"/>
      <c r="W652" s="152"/>
    </row>
    <row r="653">
      <c r="A653" s="152"/>
      <c r="B653" s="152"/>
      <c r="C653" s="152"/>
      <c r="D653" s="152"/>
      <c r="E653" s="152"/>
      <c r="F653" s="152"/>
      <c r="G653" s="152"/>
      <c r="H653" s="152"/>
      <c r="I653" s="152"/>
      <c r="J653" s="152"/>
      <c r="K653" s="445"/>
      <c r="L653" s="445"/>
      <c r="M653" s="152"/>
      <c r="N653" s="152"/>
      <c r="O653" s="152"/>
      <c r="P653" s="152"/>
      <c r="Q653" s="152"/>
      <c r="R653" s="152"/>
      <c r="S653" s="152"/>
      <c r="T653" s="152"/>
      <c r="U653" s="152"/>
      <c r="V653" s="152"/>
      <c r="W653" s="152"/>
    </row>
    <row r="654">
      <c r="A654" s="152"/>
      <c r="B654" s="152"/>
      <c r="C654" s="152"/>
      <c r="D654" s="152"/>
      <c r="E654" s="152"/>
      <c r="F654" s="152"/>
      <c r="G654" s="152"/>
      <c r="H654" s="152"/>
      <c r="I654" s="152"/>
      <c r="J654" s="152"/>
      <c r="K654" s="445"/>
      <c r="L654" s="445"/>
      <c r="M654" s="152"/>
      <c r="N654" s="152"/>
      <c r="O654" s="152"/>
      <c r="P654" s="152"/>
      <c r="Q654" s="152"/>
      <c r="R654" s="152"/>
      <c r="S654" s="152"/>
      <c r="T654" s="152"/>
      <c r="U654" s="152"/>
      <c r="V654" s="152"/>
      <c r="W654" s="152"/>
    </row>
    <row r="655">
      <c r="A655" s="152"/>
      <c r="B655" s="152"/>
      <c r="C655" s="152"/>
      <c r="D655" s="152"/>
      <c r="E655" s="152"/>
      <c r="F655" s="152"/>
      <c r="G655" s="152"/>
      <c r="H655" s="152"/>
      <c r="I655" s="152"/>
      <c r="J655" s="152"/>
      <c r="K655" s="445"/>
      <c r="L655" s="445"/>
      <c r="M655" s="152"/>
      <c r="N655" s="152"/>
      <c r="O655" s="152"/>
      <c r="P655" s="152"/>
      <c r="Q655" s="152"/>
      <c r="R655" s="152"/>
      <c r="S655" s="152"/>
      <c r="T655" s="152"/>
      <c r="U655" s="152"/>
      <c r="V655" s="152"/>
      <c r="W655" s="152"/>
    </row>
    <row r="656">
      <c r="A656" s="152"/>
      <c r="B656" s="152"/>
      <c r="C656" s="152"/>
      <c r="D656" s="152"/>
      <c r="E656" s="152"/>
      <c r="F656" s="152"/>
      <c r="G656" s="152"/>
      <c r="H656" s="152"/>
      <c r="I656" s="152"/>
      <c r="J656" s="152"/>
      <c r="K656" s="445"/>
      <c r="L656" s="445"/>
      <c r="M656" s="152"/>
      <c r="N656" s="152"/>
      <c r="O656" s="152"/>
      <c r="P656" s="152"/>
      <c r="Q656" s="152"/>
      <c r="R656" s="152"/>
      <c r="S656" s="152"/>
      <c r="T656" s="152"/>
      <c r="U656" s="152"/>
      <c r="V656" s="152"/>
      <c r="W656" s="152"/>
    </row>
    <row r="657">
      <c r="A657" s="152"/>
      <c r="B657" s="152"/>
      <c r="C657" s="152"/>
      <c r="D657" s="152"/>
      <c r="E657" s="152"/>
      <c r="F657" s="152"/>
      <c r="G657" s="152"/>
      <c r="H657" s="152"/>
      <c r="I657" s="152"/>
      <c r="J657" s="152"/>
      <c r="K657" s="445"/>
      <c r="L657" s="445"/>
      <c r="M657" s="152"/>
      <c r="N657" s="152"/>
      <c r="O657" s="152"/>
      <c r="P657" s="152"/>
      <c r="Q657" s="152"/>
      <c r="R657" s="152"/>
      <c r="S657" s="152"/>
      <c r="T657" s="152"/>
      <c r="U657" s="152"/>
      <c r="V657" s="152"/>
      <c r="W657" s="152"/>
    </row>
    <row r="658">
      <c r="A658" s="152"/>
      <c r="B658" s="152"/>
      <c r="C658" s="152"/>
      <c r="D658" s="152"/>
      <c r="E658" s="152"/>
      <c r="F658" s="152"/>
      <c r="G658" s="152"/>
      <c r="H658" s="152"/>
      <c r="I658" s="152"/>
      <c r="J658" s="152"/>
      <c r="K658" s="445"/>
      <c r="L658" s="445"/>
      <c r="M658" s="152"/>
      <c r="N658" s="152"/>
      <c r="O658" s="152"/>
      <c r="P658" s="152"/>
      <c r="Q658" s="152"/>
      <c r="R658" s="152"/>
      <c r="S658" s="152"/>
      <c r="T658" s="152"/>
      <c r="U658" s="152"/>
      <c r="V658" s="152"/>
      <c r="W658" s="152"/>
    </row>
    <row r="659">
      <c r="A659" s="152"/>
      <c r="B659" s="152"/>
      <c r="C659" s="152"/>
      <c r="D659" s="152"/>
      <c r="E659" s="152"/>
      <c r="F659" s="152"/>
      <c r="G659" s="152"/>
      <c r="H659" s="152"/>
      <c r="I659" s="152"/>
      <c r="J659" s="152"/>
      <c r="K659" s="445"/>
      <c r="L659" s="445"/>
      <c r="M659" s="152"/>
      <c r="N659" s="152"/>
      <c r="O659" s="152"/>
      <c r="P659" s="152"/>
      <c r="Q659" s="152"/>
      <c r="R659" s="152"/>
      <c r="S659" s="152"/>
      <c r="T659" s="152"/>
      <c r="U659" s="152"/>
      <c r="V659" s="152"/>
      <c r="W659" s="152"/>
    </row>
    <row r="660">
      <c r="A660" s="152"/>
      <c r="B660" s="152"/>
      <c r="C660" s="152"/>
      <c r="D660" s="152"/>
      <c r="E660" s="152"/>
      <c r="F660" s="152"/>
      <c r="G660" s="152"/>
      <c r="H660" s="152"/>
      <c r="I660" s="152"/>
      <c r="J660" s="152"/>
      <c r="K660" s="445"/>
      <c r="L660" s="445"/>
      <c r="M660" s="152"/>
      <c r="N660" s="152"/>
      <c r="O660" s="152"/>
      <c r="P660" s="152"/>
      <c r="Q660" s="152"/>
      <c r="R660" s="152"/>
      <c r="S660" s="152"/>
      <c r="T660" s="152"/>
      <c r="U660" s="152"/>
      <c r="V660" s="152"/>
      <c r="W660" s="152"/>
    </row>
    <row r="661">
      <c r="A661" s="152"/>
      <c r="B661" s="152"/>
      <c r="C661" s="152"/>
      <c r="D661" s="152"/>
      <c r="E661" s="152"/>
      <c r="F661" s="152"/>
      <c r="G661" s="152"/>
      <c r="H661" s="152"/>
      <c r="I661" s="152"/>
      <c r="J661" s="152"/>
      <c r="K661" s="445"/>
      <c r="L661" s="445"/>
      <c r="M661" s="152"/>
      <c r="N661" s="152"/>
      <c r="O661" s="152"/>
      <c r="P661" s="152"/>
      <c r="Q661" s="152"/>
      <c r="R661" s="152"/>
      <c r="S661" s="152"/>
      <c r="T661" s="152"/>
      <c r="U661" s="152"/>
      <c r="V661" s="152"/>
      <c r="W661" s="152"/>
    </row>
    <row r="662">
      <c r="A662" s="152"/>
      <c r="B662" s="152"/>
      <c r="C662" s="152"/>
      <c r="D662" s="152"/>
      <c r="E662" s="152"/>
      <c r="F662" s="152"/>
      <c r="G662" s="152"/>
      <c r="H662" s="152"/>
      <c r="I662" s="152"/>
      <c r="J662" s="152"/>
      <c r="K662" s="445"/>
      <c r="L662" s="445"/>
      <c r="M662" s="152"/>
      <c r="N662" s="152"/>
      <c r="O662" s="152"/>
      <c r="P662" s="152"/>
      <c r="Q662" s="152"/>
      <c r="R662" s="152"/>
      <c r="S662" s="152"/>
      <c r="T662" s="152"/>
      <c r="U662" s="152"/>
      <c r="V662" s="152"/>
      <c r="W662" s="152"/>
    </row>
    <row r="663">
      <c r="A663" s="152"/>
      <c r="B663" s="152"/>
      <c r="C663" s="152"/>
      <c r="D663" s="152"/>
      <c r="E663" s="152"/>
      <c r="F663" s="152"/>
      <c r="G663" s="152"/>
      <c r="H663" s="152"/>
      <c r="I663" s="152"/>
      <c r="J663" s="152"/>
      <c r="K663" s="445"/>
      <c r="L663" s="445"/>
      <c r="M663" s="152"/>
      <c r="N663" s="152"/>
      <c r="O663" s="152"/>
      <c r="P663" s="152"/>
      <c r="Q663" s="152"/>
      <c r="R663" s="152"/>
      <c r="S663" s="152"/>
      <c r="T663" s="152"/>
      <c r="U663" s="152"/>
      <c r="V663" s="152"/>
      <c r="W663" s="152"/>
    </row>
    <row r="664">
      <c r="A664" s="152"/>
      <c r="B664" s="152"/>
      <c r="C664" s="152"/>
      <c r="D664" s="152"/>
      <c r="E664" s="152"/>
      <c r="F664" s="152"/>
      <c r="G664" s="152"/>
      <c r="H664" s="152"/>
      <c r="I664" s="152"/>
      <c r="J664" s="152"/>
      <c r="K664" s="445"/>
      <c r="L664" s="445"/>
      <c r="M664" s="152"/>
      <c r="N664" s="152"/>
      <c r="O664" s="152"/>
      <c r="P664" s="152"/>
      <c r="Q664" s="152"/>
      <c r="R664" s="152"/>
      <c r="S664" s="152"/>
      <c r="T664" s="152"/>
      <c r="U664" s="152"/>
      <c r="V664" s="152"/>
      <c r="W664" s="152"/>
    </row>
    <row r="665">
      <c r="A665" s="152"/>
      <c r="B665" s="152"/>
      <c r="C665" s="152"/>
      <c r="D665" s="152"/>
      <c r="E665" s="152"/>
      <c r="F665" s="152"/>
      <c r="G665" s="152"/>
      <c r="H665" s="152"/>
      <c r="I665" s="152"/>
      <c r="J665" s="152"/>
      <c r="K665" s="445"/>
      <c r="L665" s="445"/>
      <c r="M665" s="152"/>
      <c r="N665" s="152"/>
      <c r="O665" s="152"/>
      <c r="P665" s="152"/>
      <c r="Q665" s="152"/>
      <c r="R665" s="152"/>
      <c r="S665" s="152"/>
      <c r="T665" s="152"/>
      <c r="U665" s="152"/>
      <c r="V665" s="152"/>
      <c r="W665" s="152"/>
    </row>
    <row r="666">
      <c r="A666" s="152"/>
      <c r="B666" s="152"/>
      <c r="C666" s="152"/>
      <c r="D666" s="152"/>
      <c r="E666" s="152"/>
      <c r="F666" s="152"/>
      <c r="G666" s="152"/>
      <c r="H666" s="152"/>
      <c r="I666" s="152"/>
      <c r="J666" s="152"/>
      <c r="K666" s="445"/>
      <c r="L666" s="445"/>
      <c r="M666" s="152"/>
      <c r="N666" s="152"/>
      <c r="O666" s="152"/>
      <c r="P666" s="152"/>
      <c r="Q666" s="152"/>
      <c r="R666" s="152"/>
      <c r="S666" s="152"/>
      <c r="T666" s="152"/>
      <c r="U666" s="152"/>
      <c r="V666" s="152"/>
      <c r="W666" s="152"/>
    </row>
    <row r="667">
      <c r="A667" s="152"/>
      <c r="B667" s="152"/>
      <c r="C667" s="152"/>
      <c r="D667" s="152"/>
      <c r="E667" s="152"/>
      <c r="F667" s="152"/>
      <c r="G667" s="152"/>
      <c r="H667" s="152"/>
      <c r="I667" s="152"/>
      <c r="J667" s="152"/>
      <c r="K667" s="445"/>
      <c r="L667" s="445"/>
      <c r="M667" s="152"/>
      <c r="N667" s="152"/>
      <c r="O667" s="152"/>
      <c r="P667" s="152"/>
      <c r="Q667" s="152"/>
      <c r="R667" s="152"/>
      <c r="S667" s="152"/>
      <c r="T667" s="152"/>
      <c r="U667" s="152"/>
      <c r="V667" s="152"/>
      <c r="W667" s="152"/>
    </row>
    <row r="668">
      <c r="A668" s="152"/>
      <c r="B668" s="152"/>
      <c r="C668" s="152"/>
      <c r="D668" s="152"/>
      <c r="E668" s="152"/>
      <c r="F668" s="152"/>
      <c r="G668" s="152"/>
      <c r="H668" s="152"/>
      <c r="I668" s="152"/>
      <c r="J668" s="152"/>
      <c r="K668" s="445"/>
      <c r="L668" s="445"/>
      <c r="M668" s="152"/>
      <c r="N668" s="152"/>
      <c r="O668" s="152"/>
      <c r="P668" s="152"/>
      <c r="Q668" s="152"/>
      <c r="R668" s="152"/>
      <c r="S668" s="152"/>
      <c r="T668" s="152"/>
      <c r="U668" s="152"/>
      <c r="V668" s="152"/>
      <c r="W668" s="152"/>
    </row>
    <row r="669">
      <c r="A669" s="152"/>
      <c r="B669" s="152"/>
      <c r="C669" s="152"/>
      <c r="D669" s="152"/>
      <c r="E669" s="152"/>
      <c r="F669" s="152"/>
      <c r="G669" s="152"/>
      <c r="H669" s="152"/>
      <c r="I669" s="152"/>
      <c r="J669" s="152"/>
      <c r="K669" s="445"/>
      <c r="L669" s="445"/>
      <c r="M669" s="152"/>
      <c r="N669" s="152"/>
      <c r="O669" s="152"/>
      <c r="P669" s="152"/>
      <c r="Q669" s="152"/>
      <c r="R669" s="152"/>
      <c r="S669" s="152"/>
      <c r="T669" s="152"/>
      <c r="U669" s="152"/>
      <c r="V669" s="152"/>
      <c r="W669" s="152"/>
    </row>
    <row r="670">
      <c r="A670" s="152"/>
      <c r="B670" s="152"/>
      <c r="C670" s="152"/>
      <c r="D670" s="152"/>
      <c r="E670" s="152"/>
      <c r="F670" s="152"/>
      <c r="G670" s="152"/>
      <c r="H670" s="152"/>
      <c r="I670" s="152"/>
      <c r="J670" s="152"/>
      <c r="K670" s="445"/>
      <c r="L670" s="445"/>
      <c r="M670" s="152"/>
      <c r="N670" s="152"/>
      <c r="O670" s="152"/>
      <c r="P670" s="152"/>
      <c r="Q670" s="152"/>
      <c r="R670" s="152"/>
      <c r="S670" s="152"/>
      <c r="T670" s="152"/>
      <c r="U670" s="152"/>
      <c r="V670" s="152"/>
      <c r="W670" s="152"/>
    </row>
    <row r="671">
      <c r="A671" s="152"/>
      <c r="B671" s="152"/>
      <c r="C671" s="152"/>
      <c r="D671" s="152"/>
      <c r="E671" s="152"/>
      <c r="F671" s="152"/>
      <c r="G671" s="152"/>
      <c r="H671" s="152"/>
      <c r="I671" s="152"/>
      <c r="J671" s="152"/>
      <c r="K671" s="445"/>
      <c r="L671" s="445"/>
      <c r="M671" s="152"/>
      <c r="N671" s="152"/>
      <c r="O671" s="152"/>
      <c r="P671" s="152"/>
      <c r="Q671" s="152"/>
      <c r="R671" s="152"/>
      <c r="S671" s="152"/>
      <c r="T671" s="152"/>
      <c r="U671" s="152"/>
      <c r="V671" s="152"/>
      <c r="W671" s="152"/>
    </row>
    <row r="672">
      <c r="A672" s="152"/>
      <c r="B672" s="152"/>
      <c r="C672" s="152"/>
      <c r="D672" s="152"/>
      <c r="E672" s="152"/>
      <c r="F672" s="152"/>
      <c r="G672" s="152"/>
      <c r="H672" s="152"/>
      <c r="I672" s="152"/>
      <c r="J672" s="152"/>
      <c r="K672" s="445"/>
      <c r="L672" s="445"/>
      <c r="M672" s="152"/>
      <c r="N672" s="152"/>
      <c r="O672" s="152"/>
      <c r="P672" s="152"/>
      <c r="Q672" s="152"/>
      <c r="R672" s="152"/>
      <c r="S672" s="152"/>
      <c r="T672" s="152"/>
      <c r="U672" s="152"/>
      <c r="V672" s="152"/>
      <c r="W672" s="152"/>
    </row>
    <row r="673">
      <c r="A673" s="152"/>
      <c r="B673" s="152"/>
      <c r="C673" s="152"/>
      <c r="D673" s="152"/>
      <c r="E673" s="152"/>
      <c r="F673" s="152"/>
      <c r="G673" s="152"/>
      <c r="H673" s="152"/>
      <c r="I673" s="152"/>
      <c r="J673" s="152"/>
      <c r="K673" s="445"/>
      <c r="L673" s="445"/>
      <c r="M673" s="152"/>
      <c r="N673" s="152"/>
      <c r="O673" s="152"/>
      <c r="P673" s="152"/>
      <c r="Q673" s="152"/>
      <c r="R673" s="152"/>
      <c r="S673" s="152"/>
      <c r="T673" s="152"/>
      <c r="U673" s="152"/>
      <c r="V673" s="152"/>
      <c r="W673" s="152"/>
    </row>
    <row r="674">
      <c r="A674" s="152"/>
      <c r="B674" s="152"/>
      <c r="C674" s="152"/>
      <c r="D674" s="152"/>
      <c r="E674" s="152"/>
      <c r="F674" s="152"/>
      <c r="G674" s="152"/>
      <c r="H674" s="152"/>
      <c r="I674" s="152"/>
      <c r="J674" s="152"/>
      <c r="K674" s="445"/>
      <c r="L674" s="445"/>
      <c r="M674" s="152"/>
      <c r="N674" s="152"/>
      <c r="O674" s="152"/>
      <c r="P674" s="152"/>
      <c r="Q674" s="152"/>
      <c r="R674" s="152"/>
      <c r="S674" s="152"/>
      <c r="T674" s="152"/>
      <c r="U674" s="152"/>
      <c r="V674" s="152"/>
      <c r="W674" s="152"/>
    </row>
    <row r="675">
      <c r="A675" s="152"/>
      <c r="B675" s="152"/>
      <c r="C675" s="152"/>
      <c r="D675" s="152"/>
      <c r="E675" s="152"/>
      <c r="F675" s="152"/>
      <c r="G675" s="152"/>
      <c r="H675" s="152"/>
      <c r="I675" s="152"/>
      <c r="J675" s="152"/>
      <c r="K675" s="445"/>
      <c r="L675" s="445"/>
      <c r="M675" s="152"/>
      <c r="N675" s="152"/>
      <c r="O675" s="152"/>
      <c r="P675" s="152"/>
      <c r="Q675" s="152"/>
      <c r="R675" s="152"/>
      <c r="S675" s="152"/>
      <c r="T675" s="152"/>
      <c r="U675" s="152"/>
      <c r="V675" s="152"/>
      <c r="W675" s="152"/>
    </row>
    <row r="676">
      <c r="A676" s="152"/>
      <c r="B676" s="152"/>
      <c r="C676" s="152"/>
      <c r="D676" s="152"/>
      <c r="E676" s="152"/>
      <c r="F676" s="152"/>
      <c r="G676" s="152"/>
      <c r="H676" s="152"/>
      <c r="I676" s="152"/>
      <c r="J676" s="152"/>
      <c r="K676" s="445"/>
      <c r="L676" s="445"/>
      <c r="M676" s="152"/>
      <c r="N676" s="152"/>
      <c r="O676" s="152"/>
      <c r="P676" s="152"/>
      <c r="Q676" s="152"/>
      <c r="R676" s="152"/>
      <c r="S676" s="152"/>
      <c r="T676" s="152"/>
      <c r="U676" s="152"/>
      <c r="V676" s="152"/>
      <c r="W676" s="152"/>
    </row>
    <row r="677">
      <c r="A677" s="152"/>
      <c r="B677" s="152"/>
      <c r="C677" s="152"/>
      <c r="D677" s="152"/>
      <c r="E677" s="152"/>
      <c r="F677" s="152"/>
      <c r="G677" s="152"/>
      <c r="H677" s="152"/>
      <c r="I677" s="152"/>
      <c r="J677" s="152"/>
      <c r="K677" s="445"/>
      <c r="L677" s="445"/>
      <c r="M677" s="152"/>
      <c r="N677" s="152"/>
      <c r="O677" s="152"/>
      <c r="P677" s="152"/>
      <c r="Q677" s="152"/>
      <c r="R677" s="152"/>
      <c r="S677" s="152"/>
      <c r="T677" s="152"/>
      <c r="U677" s="152"/>
      <c r="V677" s="152"/>
      <c r="W677" s="152"/>
    </row>
    <row r="678">
      <c r="A678" s="152"/>
      <c r="B678" s="152"/>
      <c r="C678" s="152"/>
      <c r="D678" s="152"/>
      <c r="E678" s="152"/>
      <c r="F678" s="152"/>
      <c r="G678" s="152"/>
      <c r="H678" s="152"/>
      <c r="I678" s="152"/>
      <c r="J678" s="152"/>
      <c r="K678" s="445"/>
      <c r="L678" s="445"/>
      <c r="M678" s="152"/>
      <c r="N678" s="152"/>
      <c r="O678" s="152"/>
      <c r="P678" s="152"/>
      <c r="Q678" s="152"/>
      <c r="R678" s="152"/>
      <c r="S678" s="152"/>
      <c r="T678" s="152"/>
      <c r="U678" s="152"/>
      <c r="V678" s="152"/>
      <c r="W678" s="152"/>
    </row>
    <row r="679">
      <c r="A679" s="152"/>
      <c r="B679" s="152"/>
      <c r="C679" s="152"/>
      <c r="D679" s="152"/>
      <c r="E679" s="152"/>
      <c r="F679" s="152"/>
      <c r="G679" s="152"/>
      <c r="H679" s="152"/>
      <c r="I679" s="152"/>
      <c r="J679" s="152"/>
      <c r="K679" s="445"/>
      <c r="L679" s="445"/>
      <c r="M679" s="152"/>
      <c r="N679" s="152"/>
      <c r="O679" s="152"/>
      <c r="P679" s="152"/>
      <c r="Q679" s="152"/>
      <c r="R679" s="152"/>
      <c r="S679" s="152"/>
      <c r="T679" s="152"/>
      <c r="U679" s="152"/>
      <c r="V679" s="152"/>
      <c r="W679" s="152"/>
    </row>
    <row r="680">
      <c r="A680" s="152"/>
      <c r="B680" s="152"/>
      <c r="C680" s="152"/>
      <c r="D680" s="152"/>
      <c r="E680" s="152"/>
      <c r="F680" s="152"/>
      <c r="G680" s="152"/>
      <c r="H680" s="152"/>
      <c r="I680" s="152"/>
      <c r="J680" s="152"/>
      <c r="K680" s="445"/>
      <c r="L680" s="445"/>
      <c r="M680" s="152"/>
      <c r="N680" s="152"/>
      <c r="O680" s="152"/>
      <c r="P680" s="152"/>
      <c r="Q680" s="152"/>
      <c r="R680" s="152"/>
      <c r="S680" s="152"/>
      <c r="T680" s="152"/>
      <c r="U680" s="152"/>
      <c r="V680" s="152"/>
      <c r="W680" s="152"/>
    </row>
    <row r="681">
      <c r="A681" s="152"/>
      <c r="B681" s="152"/>
      <c r="C681" s="152"/>
      <c r="D681" s="152"/>
      <c r="E681" s="152"/>
      <c r="F681" s="152"/>
      <c r="G681" s="152"/>
      <c r="H681" s="152"/>
      <c r="I681" s="152"/>
      <c r="J681" s="152"/>
      <c r="K681" s="445"/>
      <c r="L681" s="445"/>
      <c r="M681" s="152"/>
      <c r="N681" s="152"/>
      <c r="O681" s="152"/>
      <c r="P681" s="152"/>
      <c r="Q681" s="152"/>
      <c r="R681" s="152"/>
      <c r="S681" s="152"/>
      <c r="T681" s="152"/>
      <c r="U681" s="152"/>
      <c r="V681" s="152"/>
      <c r="W681" s="152"/>
    </row>
    <row r="682">
      <c r="A682" s="152"/>
      <c r="B682" s="152"/>
      <c r="C682" s="152"/>
      <c r="D682" s="152"/>
      <c r="E682" s="152"/>
      <c r="F682" s="152"/>
      <c r="G682" s="152"/>
      <c r="H682" s="152"/>
      <c r="I682" s="152"/>
      <c r="J682" s="152"/>
      <c r="K682" s="445"/>
      <c r="L682" s="445"/>
      <c r="M682" s="152"/>
      <c r="N682" s="152"/>
      <c r="O682" s="152"/>
      <c r="P682" s="152"/>
      <c r="Q682" s="152"/>
      <c r="R682" s="152"/>
      <c r="S682" s="152"/>
      <c r="T682" s="152"/>
      <c r="U682" s="152"/>
      <c r="V682" s="152"/>
      <c r="W682" s="152"/>
    </row>
    <row r="683">
      <c r="A683" s="152"/>
      <c r="B683" s="152"/>
      <c r="C683" s="152"/>
      <c r="D683" s="152"/>
      <c r="E683" s="152"/>
      <c r="F683" s="152"/>
      <c r="G683" s="152"/>
      <c r="H683" s="152"/>
      <c r="I683" s="152"/>
      <c r="J683" s="152"/>
      <c r="K683" s="445"/>
      <c r="L683" s="445"/>
      <c r="M683" s="152"/>
      <c r="N683" s="152"/>
      <c r="O683" s="152"/>
      <c r="P683" s="152"/>
      <c r="Q683" s="152"/>
      <c r="R683" s="152"/>
      <c r="S683" s="152"/>
      <c r="T683" s="152"/>
      <c r="U683" s="152"/>
      <c r="V683" s="152"/>
      <c r="W683" s="152"/>
    </row>
    <row r="684">
      <c r="A684" s="152"/>
      <c r="B684" s="152"/>
      <c r="C684" s="152"/>
      <c r="D684" s="152"/>
      <c r="E684" s="152"/>
      <c r="F684" s="152"/>
      <c r="G684" s="152"/>
      <c r="H684" s="152"/>
      <c r="I684" s="152"/>
      <c r="J684" s="152"/>
      <c r="K684" s="445"/>
      <c r="L684" s="445"/>
      <c r="M684" s="152"/>
      <c r="N684" s="152"/>
      <c r="O684" s="152"/>
      <c r="P684" s="152"/>
      <c r="Q684" s="152"/>
      <c r="R684" s="152"/>
      <c r="S684" s="152"/>
      <c r="T684" s="152"/>
      <c r="U684" s="152"/>
      <c r="V684" s="152"/>
      <c r="W684" s="152"/>
    </row>
    <row r="685">
      <c r="A685" s="152"/>
      <c r="B685" s="152"/>
      <c r="C685" s="152"/>
      <c r="D685" s="152"/>
      <c r="E685" s="152"/>
      <c r="F685" s="152"/>
      <c r="G685" s="152"/>
      <c r="H685" s="152"/>
      <c r="I685" s="152"/>
      <c r="J685" s="152"/>
      <c r="K685" s="445"/>
      <c r="L685" s="445"/>
      <c r="M685" s="152"/>
      <c r="N685" s="152"/>
      <c r="O685" s="152"/>
      <c r="P685" s="152"/>
      <c r="Q685" s="152"/>
      <c r="R685" s="152"/>
      <c r="S685" s="152"/>
      <c r="T685" s="152"/>
      <c r="U685" s="152"/>
      <c r="V685" s="152"/>
      <c r="W685" s="152"/>
    </row>
    <row r="686">
      <c r="A686" s="152"/>
      <c r="B686" s="152"/>
      <c r="C686" s="152"/>
      <c r="D686" s="152"/>
      <c r="E686" s="152"/>
      <c r="F686" s="152"/>
      <c r="G686" s="152"/>
      <c r="H686" s="152"/>
      <c r="I686" s="152"/>
      <c r="J686" s="152"/>
      <c r="K686" s="445"/>
      <c r="L686" s="445"/>
      <c r="M686" s="152"/>
      <c r="N686" s="152"/>
      <c r="O686" s="152"/>
      <c r="P686" s="152"/>
      <c r="Q686" s="152"/>
      <c r="R686" s="152"/>
      <c r="S686" s="152"/>
      <c r="T686" s="152"/>
      <c r="U686" s="152"/>
      <c r="V686" s="152"/>
      <c r="W686" s="152"/>
    </row>
    <row r="687">
      <c r="A687" s="152"/>
      <c r="B687" s="152"/>
      <c r="C687" s="152"/>
      <c r="D687" s="152"/>
      <c r="E687" s="152"/>
      <c r="F687" s="152"/>
      <c r="G687" s="152"/>
      <c r="H687" s="152"/>
      <c r="I687" s="152"/>
      <c r="J687" s="152"/>
      <c r="K687" s="445"/>
      <c r="L687" s="445"/>
      <c r="M687" s="152"/>
      <c r="N687" s="152"/>
      <c r="O687" s="152"/>
      <c r="P687" s="152"/>
      <c r="Q687" s="152"/>
      <c r="R687" s="152"/>
      <c r="S687" s="152"/>
      <c r="T687" s="152"/>
      <c r="U687" s="152"/>
      <c r="V687" s="152"/>
      <c r="W687" s="152"/>
    </row>
    <row r="688">
      <c r="A688" s="152"/>
      <c r="B688" s="152"/>
      <c r="C688" s="152"/>
      <c r="D688" s="152"/>
      <c r="E688" s="152"/>
      <c r="F688" s="152"/>
      <c r="G688" s="152"/>
      <c r="H688" s="152"/>
      <c r="I688" s="152"/>
      <c r="J688" s="152"/>
      <c r="K688" s="445"/>
      <c r="L688" s="445"/>
      <c r="M688" s="152"/>
      <c r="N688" s="152"/>
      <c r="O688" s="152"/>
      <c r="P688" s="152"/>
      <c r="Q688" s="152"/>
      <c r="R688" s="152"/>
      <c r="S688" s="152"/>
      <c r="T688" s="152"/>
      <c r="U688" s="152"/>
      <c r="V688" s="152"/>
      <c r="W688" s="152"/>
    </row>
    <row r="689">
      <c r="A689" s="152"/>
      <c r="B689" s="152"/>
      <c r="C689" s="152"/>
      <c r="D689" s="152"/>
      <c r="E689" s="152"/>
      <c r="F689" s="152"/>
      <c r="G689" s="152"/>
      <c r="H689" s="152"/>
      <c r="I689" s="152"/>
      <c r="J689" s="152"/>
      <c r="K689" s="445"/>
      <c r="L689" s="445"/>
      <c r="M689" s="152"/>
      <c r="N689" s="152"/>
      <c r="O689" s="152"/>
      <c r="P689" s="152"/>
      <c r="Q689" s="152"/>
      <c r="R689" s="152"/>
      <c r="S689" s="152"/>
      <c r="T689" s="152"/>
      <c r="U689" s="152"/>
      <c r="V689" s="152"/>
      <c r="W689" s="152"/>
    </row>
    <row r="690">
      <c r="A690" s="152"/>
      <c r="B690" s="152"/>
      <c r="C690" s="152"/>
      <c r="D690" s="152"/>
      <c r="E690" s="152"/>
      <c r="F690" s="152"/>
      <c r="G690" s="152"/>
      <c r="H690" s="152"/>
      <c r="I690" s="152"/>
      <c r="J690" s="152"/>
      <c r="K690" s="445"/>
      <c r="L690" s="445"/>
      <c r="M690" s="152"/>
      <c r="N690" s="152"/>
      <c r="O690" s="152"/>
      <c r="P690" s="152"/>
      <c r="Q690" s="152"/>
      <c r="R690" s="152"/>
      <c r="S690" s="152"/>
      <c r="T690" s="152"/>
      <c r="U690" s="152"/>
      <c r="V690" s="152"/>
      <c r="W690" s="152"/>
    </row>
    <row r="691">
      <c r="A691" s="152"/>
      <c r="B691" s="152"/>
      <c r="C691" s="152"/>
      <c r="D691" s="152"/>
      <c r="E691" s="152"/>
      <c r="F691" s="152"/>
      <c r="G691" s="152"/>
      <c r="H691" s="152"/>
      <c r="I691" s="152"/>
      <c r="J691" s="152"/>
      <c r="K691" s="445"/>
      <c r="L691" s="445"/>
      <c r="M691" s="152"/>
      <c r="N691" s="152"/>
      <c r="O691" s="152"/>
      <c r="P691" s="152"/>
      <c r="Q691" s="152"/>
      <c r="R691" s="152"/>
      <c r="S691" s="152"/>
      <c r="T691" s="152"/>
      <c r="U691" s="152"/>
      <c r="V691" s="152"/>
      <c r="W691" s="152"/>
    </row>
    <row r="692">
      <c r="A692" s="152"/>
      <c r="B692" s="152"/>
      <c r="C692" s="152"/>
      <c r="D692" s="152"/>
      <c r="E692" s="152"/>
      <c r="F692" s="152"/>
      <c r="G692" s="152"/>
      <c r="H692" s="152"/>
      <c r="I692" s="152"/>
      <c r="J692" s="152"/>
      <c r="K692" s="445"/>
      <c r="L692" s="445"/>
      <c r="M692" s="152"/>
      <c r="N692" s="152"/>
      <c r="O692" s="152"/>
      <c r="P692" s="152"/>
      <c r="Q692" s="152"/>
      <c r="R692" s="152"/>
      <c r="S692" s="152"/>
      <c r="T692" s="152"/>
      <c r="U692" s="152"/>
      <c r="V692" s="152"/>
      <c r="W692" s="152"/>
    </row>
    <row r="693">
      <c r="A693" s="152"/>
      <c r="B693" s="152"/>
      <c r="C693" s="152"/>
      <c r="D693" s="152"/>
      <c r="E693" s="152"/>
      <c r="F693" s="152"/>
      <c r="G693" s="152"/>
      <c r="H693" s="152"/>
      <c r="I693" s="152"/>
      <c r="J693" s="152"/>
      <c r="K693" s="445"/>
      <c r="L693" s="445"/>
      <c r="M693" s="152"/>
      <c r="N693" s="152"/>
      <c r="O693" s="152"/>
      <c r="P693" s="152"/>
      <c r="Q693" s="152"/>
      <c r="R693" s="152"/>
      <c r="S693" s="152"/>
      <c r="T693" s="152"/>
      <c r="U693" s="152"/>
      <c r="V693" s="152"/>
      <c r="W693" s="152"/>
    </row>
    <row r="694">
      <c r="A694" s="152"/>
      <c r="B694" s="152"/>
      <c r="C694" s="152"/>
      <c r="D694" s="152"/>
      <c r="E694" s="152"/>
      <c r="F694" s="152"/>
      <c r="G694" s="152"/>
      <c r="H694" s="152"/>
      <c r="I694" s="152"/>
      <c r="J694" s="152"/>
      <c r="K694" s="445"/>
      <c r="L694" s="445"/>
      <c r="M694" s="152"/>
      <c r="N694" s="152"/>
      <c r="O694" s="152"/>
      <c r="P694" s="152"/>
      <c r="Q694" s="152"/>
      <c r="R694" s="152"/>
      <c r="S694" s="152"/>
      <c r="T694" s="152"/>
      <c r="U694" s="152"/>
      <c r="V694" s="152"/>
      <c r="W694" s="152"/>
    </row>
    <row r="695">
      <c r="A695" s="152"/>
      <c r="B695" s="152"/>
      <c r="C695" s="152"/>
      <c r="D695" s="152"/>
      <c r="E695" s="152"/>
      <c r="F695" s="152"/>
      <c r="G695" s="152"/>
      <c r="H695" s="152"/>
      <c r="I695" s="152"/>
      <c r="J695" s="152"/>
      <c r="K695" s="445"/>
      <c r="L695" s="445"/>
      <c r="M695" s="152"/>
      <c r="N695" s="152"/>
      <c r="O695" s="152"/>
      <c r="P695" s="152"/>
      <c r="Q695" s="152"/>
      <c r="R695" s="152"/>
      <c r="S695" s="152"/>
      <c r="T695" s="152"/>
      <c r="U695" s="152"/>
      <c r="V695" s="152"/>
      <c r="W695" s="152"/>
    </row>
    <row r="696">
      <c r="A696" s="152"/>
      <c r="B696" s="152"/>
      <c r="C696" s="152"/>
      <c r="D696" s="152"/>
      <c r="E696" s="152"/>
      <c r="F696" s="152"/>
      <c r="G696" s="152"/>
      <c r="H696" s="152"/>
      <c r="I696" s="152"/>
      <c r="J696" s="152"/>
      <c r="K696" s="445"/>
      <c r="L696" s="445"/>
      <c r="M696" s="152"/>
      <c r="N696" s="152"/>
      <c r="O696" s="152"/>
      <c r="P696" s="152"/>
      <c r="Q696" s="152"/>
      <c r="R696" s="152"/>
      <c r="S696" s="152"/>
      <c r="T696" s="152"/>
      <c r="U696" s="152"/>
      <c r="V696" s="152"/>
      <c r="W696" s="152"/>
    </row>
    <row r="697">
      <c r="A697" s="152"/>
      <c r="B697" s="152"/>
      <c r="C697" s="152"/>
      <c r="D697" s="152"/>
      <c r="E697" s="152"/>
      <c r="F697" s="152"/>
      <c r="G697" s="152"/>
      <c r="H697" s="152"/>
      <c r="I697" s="152"/>
      <c r="J697" s="152"/>
      <c r="K697" s="445"/>
      <c r="L697" s="445"/>
      <c r="M697" s="152"/>
      <c r="N697" s="152"/>
      <c r="O697" s="152"/>
      <c r="P697" s="152"/>
      <c r="Q697" s="152"/>
      <c r="R697" s="152"/>
      <c r="S697" s="152"/>
      <c r="T697" s="152"/>
      <c r="U697" s="152"/>
      <c r="V697" s="152"/>
      <c r="W697" s="152"/>
    </row>
    <row r="698">
      <c r="A698" s="152"/>
      <c r="B698" s="152"/>
      <c r="C698" s="152"/>
      <c r="D698" s="152"/>
      <c r="E698" s="152"/>
      <c r="F698" s="152"/>
      <c r="G698" s="152"/>
      <c r="H698" s="152"/>
      <c r="I698" s="152"/>
      <c r="J698" s="152"/>
      <c r="K698" s="445"/>
      <c r="L698" s="445"/>
      <c r="M698" s="152"/>
      <c r="N698" s="152"/>
      <c r="O698" s="152"/>
      <c r="P698" s="152"/>
      <c r="Q698" s="152"/>
      <c r="R698" s="152"/>
      <c r="S698" s="152"/>
      <c r="T698" s="152"/>
      <c r="U698" s="152"/>
      <c r="V698" s="152"/>
      <c r="W698" s="152"/>
    </row>
    <row r="699">
      <c r="A699" s="152"/>
      <c r="B699" s="152"/>
      <c r="C699" s="152"/>
      <c r="D699" s="152"/>
      <c r="E699" s="152"/>
      <c r="F699" s="152"/>
      <c r="G699" s="152"/>
      <c r="H699" s="152"/>
      <c r="I699" s="152"/>
      <c r="J699" s="152"/>
      <c r="K699" s="445"/>
      <c r="L699" s="445"/>
      <c r="M699" s="152"/>
      <c r="N699" s="152"/>
      <c r="O699" s="152"/>
      <c r="P699" s="152"/>
      <c r="Q699" s="152"/>
      <c r="R699" s="152"/>
      <c r="S699" s="152"/>
      <c r="T699" s="152"/>
      <c r="U699" s="152"/>
      <c r="V699" s="152"/>
      <c r="W699" s="152"/>
    </row>
    <row r="700">
      <c r="A700" s="152"/>
      <c r="B700" s="152"/>
      <c r="C700" s="152"/>
      <c r="D700" s="152"/>
      <c r="E700" s="152"/>
      <c r="F700" s="152"/>
      <c r="G700" s="152"/>
      <c r="H700" s="152"/>
      <c r="I700" s="152"/>
      <c r="J700" s="152"/>
      <c r="K700" s="445"/>
      <c r="L700" s="445"/>
      <c r="M700" s="152"/>
      <c r="N700" s="152"/>
      <c r="O700" s="152"/>
      <c r="P700" s="152"/>
      <c r="Q700" s="152"/>
      <c r="R700" s="152"/>
      <c r="S700" s="152"/>
      <c r="T700" s="152"/>
      <c r="U700" s="152"/>
      <c r="V700" s="152"/>
      <c r="W700" s="152"/>
    </row>
    <row r="701">
      <c r="A701" s="152"/>
      <c r="B701" s="152"/>
      <c r="C701" s="152"/>
      <c r="D701" s="152"/>
      <c r="E701" s="152"/>
      <c r="F701" s="152"/>
      <c r="G701" s="152"/>
      <c r="H701" s="152"/>
      <c r="I701" s="152"/>
      <c r="J701" s="152"/>
      <c r="K701" s="445"/>
      <c r="L701" s="445"/>
      <c r="M701" s="152"/>
      <c r="N701" s="152"/>
      <c r="O701" s="152"/>
      <c r="P701" s="152"/>
      <c r="Q701" s="152"/>
      <c r="R701" s="152"/>
      <c r="S701" s="152"/>
      <c r="T701" s="152"/>
      <c r="U701" s="152"/>
      <c r="V701" s="152"/>
      <c r="W701" s="152"/>
    </row>
    <row r="702">
      <c r="A702" s="152"/>
      <c r="B702" s="152"/>
      <c r="C702" s="152"/>
      <c r="D702" s="152"/>
      <c r="E702" s="152"/>
      <c r="F702" s="152"/>
      <c r="G702" s="152"/>
      <c r="H702" s="152"/>
      <c r="I702" s="152"/>
      <c r="J702" s="152"/>
      <c r="K702" s="445"/>
      <c r="L702" s="445"/>
      <c r="M702" s="152"/>
      <c r="N702" s="152"/>
      <c r="O702" s="152"/>
      <c r="P702" s="152"/>
      <c r="Q702" s="152"/>
      <c r="R702" s="152"/>
      <c r="S702" s="152"/>
      <c r="T702" s="152"/>
      <c r="U702" s="152"/>
      <c r="V702" s="152"/>
      <c r="W702" s="152"/>
    </row>
    <row r="703">
      <c r="A703" s="152"/>
      <c r="B703" s="152"/>
      <c r="C703" s="152"/>
      <c r="D703" s="152"/>
      <c r="E703" s="152"/>
      <c r="F703" s="152"/>
      <c r="G703" s="152"/>
      <c r="H703" s="152"/>
      <c r="I703" s="152"/>
      <c r="J703" s="152"/>
      <c r="K703" s="445"/>
      <c r="L703" s="445"/>
      <c r="M703" s="152"/>
      <c r="N703" s="152"/>
      <c r="O703" s="152"/>
      <c r="P703" s="152"/>
      <c r="Q703" s="152"/>
      <c r="R703" s="152"/>
      <c r="S703" s="152"/>
      <c r="T703" s="152"/>
      <c r="U703" s="152"/>
      <c r="V703" s="152"/>
      <c r="W703" s="152"/>
    </row>
    <row r="704">
      <c r="A704" s="152"/>
      <c r="B704" s="152"/>
      <c r="C704" s="152"/>
      <c r="D704" s="152"/>
      <c r="E704" s="152"/>
      <c r="F704" s="152"/>
      <c r="G704" s="152"/>
      <c r="H704" s="152"/>
      <c r="I704" s="152"/>
      <c r="J704" s="152"/>
      <c r="K704" s="445"/>
      <c r="L704" s="445"/>
      <c r="M704" s="152"/>
      <c r="N704" s="152"/>
      <c r="O704" s="152"/>
      <c r="P704" s="152"/>
      <c r="Q704" s="152"/>
      <c r="R704" s="152"/>
      <c r="S704" s="152"/>
      <c r="T704" s="152"/>
      <c r="U704" s="152"/>
      <c r="V704" s="152"/>
      <c r="W704" s="152"/>
    </row>
    <row r="705">
      <c r="A705" s="152"/>
      <c r="B705" s="152"/>
      <c r="C705" s="152"/>
      <c r="D705" s="152"/>
      <c r="E705" s="152"/>
      <c r="F705" s="152"/>
      <c r="G705" s="152"/>
      <c r="H705" s="152"/>
      <c r="I705" s="152"/>
      <c r="J705" s="152"/>
      <c r="K705" s="445"/>
      <c r="L705" s="445"/>
      <c r="M705" s="152"/>
      <c r="N705" s="152"/>
      <c r="O705" s="152"/>
      <c r="P705" s="152"/>
      <c r="Q705" s="152"/>
      <c r="R705" s="152"/>
      <c r="S705" s="152"/>
      <c r="T705" s="152"/>
      <c r="U705" s="152"/>
      <c r="V705" s="152"/>
      <c r="W705" s="152"/>
    </row>
    <row r="706">
      <c r="A706" s="152"/>
      <c r="B706" s="152"/>
      <c r="C706" s="152"/>
      <c r="D706" s="152"/>
      <c r="E706" s="152"/>
      <c r="F706" s="152"/>
      <c r="G706" s="152"/>
      <c r="H706" s="152"/>
      <c r="I706" s="152"/>
      <c r="J706" s="152"/>
      <c r="K706" s="445"/>
      <c r="L706" s="445"/>
      <c r="M706" s="152"/>
      <c r="N706" s="152"/>
      <c r="O706" s="152"/>
      <c r="P706" s="152"/>
      <c r="Q706" s="152"/>
      <c r="R706" s="152"/>
      <c r="S706" s="152"/>
      <c r="T706" s="152"/>
      <c r="U706" s="152"/>
      <c r="V706" s="152"/>
      <c r="W706" s="152"/>
    </row>
    <row r="707">
      <c r="A707" s="152"/>
      <c r="B707" s="152"/>
      <c r="C707" s="152"/>
      <c r="D707" s="152"/>
      <c r="E707" s="152"/>
      <c r="F707" s="152"/>
      <c r="G707" s="152"/>
      <c r="H707" s="152"/>
      <c r="I707" s="152"/>
      <c r="J707" s="152"/>
      <c r="K707" s="445"/>
      <c r="L707" s="445"/>
      <c r="M707" s="152"/>
      <c r="N707" s="152"/>
      <c r="O707" s="152"/>
      <c r="P707" s="152"/>
      <c r="Q707" s="152"/>
      <c r="R707" s="152"/>
      <c r="S707" s="152"/>
      <c r="T707" s="152"/>
      <c r="U707" s="152"/>
      <c r="V707" s="152"/>
      <c r="W707" s="152"/>
    </row>
    <row r="708">
      <c r="A708" s="152"/>
      <c r="B708" s="152"/>
      <c r="C708" s="152"/>
      <c r="D708" s="152"/>
      <c r="E708" s="152"/>
      <c r="F708" s="152"/>
      <c r="G708" s="152"/>
      <c r="H708" s="152"/>
      <c r="I708" s="152"/>
      <c r="J708" s="152"/>
      <c r="K708" s="445"/>
      <c r="L708" s="445"/>
      <c r="M708" s="152"/>
      <c r="N708" s="152"/>
      <c r="O708" s="152"/>
      <c r="P708" s="152"/>
      <c r="Q708" s="152"/>
      <c r="R708" s="152"/>
      <c r="S708" s="152"/>
      <c r="T708" s="152"/>
      <c r="U708" s="152"/>
      <c r="V708" s="152"/>
      <c r="W708" s="152"/>
    </row>
    <row r="709">
      <c r="A709" s="152"/>
      <c r="B709" s="152"/>
      <c r="C709" s="152"/>
      <c r="D709" s="152"/>
      <c r="E709" s="152"/>
      <c r="F709" s="152"/>
      <c r="G709" s="152"/>
      <c r="H709" s="152"/>
      <c r="I709" s="152"/>
      <c r="J709" s="152"/>
      <c r="K709" s="445"/>
      <c r="L709" s="445"/>
      <c r="M709" s="152"/>
      <c r="N709" s="152"/>
      <c r="O709" s="152"/>
      <c r="P709" s="152"/>
      <c r="Q709" s="152"/>
      <c r="R709" s="152"/>
      <c r="S709" s="152"/>
      <c r="T709" s="152"/>
      <c r="U709" s="152"/>
      <c r="V709" s="152"/>
      <c r="W709" s="152"/>
    </row>
    <row r="710">
      <c r="A710" s="152"/>
      <c r="B710" s="152"/>
      <c r="C710" s="152"/>
      <c r="D710" s="152"/>
      <c r="E710" s="152"/>
      <c r="F710" s="152"/>
      <c r="G710" s="152"/>
      <c r="H710" s="152"/>
      <c r="I710" s="152"/>
      <c r="J710" s="152"/>
      <c r="K710" s="445"/>
      <c r="L710" s="445"/>
      <c r="M710" s="152"/>
      <c r="N710" s="152"/>
      <c r="O710" s="152"/>
      <c r="P710" s="152"/>
      <c r="Q710" s="152"/>
      <c r="R710" s="152"/>
      <c r="S710" s="152"/>
      <c r="T710" s="152"/>
      <c r="U710" s="152"/>
      <c r="V710" s="152"/>
      <c r="W710" s="152"/>
    </row>
    <row r="711">
      <c r="A711" s="152"/>
      <c r="B711" s="152"/>
      <c r="C711" s="152"/>
      <c r="D711" s="152"/>
      <c r="E711" s="152"/>
      <c r="F711" s="152"/>
      <c r="G711" s="152"/>
      <c r="H711" s="152"/>
      <c r="I711" s="152"/>
      <c r="J711" s="152"/>
      <c r="K711" s="445"/>
      <c r="L711" s="445"/>
      <c r="M711" s="152"/>
      <c r="N711" s="152"/>
      <c r="O711" s="152"/>
      <c r="P711" s="152"/>
      <c r="Q711" s="152"/>
      <c r="R711" s="152"/>
      <c r="S711" s="152"/>
      <c r="T711" s="152"/>
      <c r="U711" s="152"/>
      <c r="V711" s="152"/>
      <c r="W711" s="152"/>
    </row>
    <row r="712">
      <c r="A712" s="152"/>
      <c r="B712" s="152"/>
      <c r="C712" s="152"/>
      <c r="D712" s="152"/>
      <c r="E712" s="152"/>
      <c r="F712" s="152"/>
      <c r="G712" s="152"/>
      <c r="H712" s="152"/>
      <c r="I712" s="152"/>
      <c r="J712" s="152"/>
      <c r="K712" s="445"/>
      <c r="L712" s="445"/>
      <c r="M712" s="152"/>
      <c r="N712" s="152"/>
      <c r="O712" s="152"/>
      <c r="P712" s="152"/>
      <c r="Q712" s="152"/>
      <c r="R712" s="152"/>
      <c r="S712" s="152"/>
      <c r="T712" s="152"/>
      <c r="U712" s="152"/>
      <c r="V712" s="152"/>
      <c r="W712" s="152"/>
    </row>
    <row r="713">
      <c r="A713" s="152"/>
      <c r="B713" s="152"/>
      <c r="C713" s="152"/>
      <c r="D713" s="152"/>
      <c r="E713" s="152"/>
      <c r="F713" s="152"/>
      <c r="G713" s="152"/>
      <c r="H713" s="152"/>
      <c r="I713" s="152"/>
      <c r="J713" s="152"/>
      <c r="K713" s="445"/>
      <c r="L713" s="445"/>
      <c r="M713" s="152"/>
      <c r="N713" s="152"/>
      <c r="O713" s="152"/>
      <c r="P713" s="152"/>
      <c r="Q713" s="152"/>
      <c r="R713" s="152"/>
      <c r="S713" s="152"/>
      <c r="T713" s="152"/>
      <c r="U713" s="152"/>
      <c r="V713" s="152"/>
      <c r="W713" s="152"/>
    </row>
    <row r="714">
      <c r="A714" s="152"/>
      <c r="B714" s="152"/>
      <c r="C714" s="152"/>
      <c r="D714" s="152"/>
      <c r="E714" s="152"/>
      <c r="F714" s="152"/>
      <c r="G714" s="152"/>
      <c r="H714" s="152"/>
      <c r="I714" s="152"/>
      <c r="J714" s="152"/>
      <c r="K714" s="445"/>
      <c r="L714" s="445"/>
      <c r="M714" s="152"/>
      <c r="N714" s="152"/>
      <c r="O714" s="152"/>
      <c r="P714" s="152"/>
      <c r="Q714" s="152"/>
      <c r="R714" s="152"/>
      <c r="S714" s="152"/>
      <c r="T714" s="152"/>
      <c r="U714" s="152"/>
      <c r="V714" s="152"/>
      <c r="W714" s="152"/>
    </row>
    <row r="715">
      <c r="A715" s="152"/>
      <c r="B715" s="152"/>
      <c r="C715" s="152"/>
      <c r="D715" s="152"/>
      <c r="E715" s="152"/>
      <c r="F715" s="152"/>
      <c r="G715" s="152"/>
      <c r="H715" s="152"/>
      <c r="I715" s="152"/>
      <c r="J715" s="152"/>
      <c r="K715" s="445"/>
      <c r="L715" s="445"/>
      <c r="M715" s="152"/>
      <c r="N715" s="152"/>
      <c r="O715" s="152"/>
      <c r="P715" s="152"/>
      <c r="Q715" s="152"/>
      <c r="R715" s="152"/>
      <c r="S715" s="152"/>
      <c r="T715" s="152"/>
      <c r="U715" s="152"/>
      <c r="V715" s="152"/>
      <c r="W715" s="152"/>
    </row>
    <row r="716">
      <c r="A716" s="152"/>
      <c r="B716" s="152"/>
      <c r="C716" s="152"/>
      <c r="D716" s="152"/>
      <c r="E716" s="152"/>
      <c r="F716" s="152"/>
      <c r="G716" s="152"/>
      <c r="H716" s="152"/>
      <c r="I716" s="152"/>
      <c r="J716" s="152"/>
      <c r="K716" s="445"/>
      <c r="L716" s="445"/>
      <c r="M716" s="152"/>
      <c r="N716" s="152"/>
      <c r="O716" s="152"/>
      <c r="P716" s="152"/>
      <c r="Q716" s="152"/>
      <c r="R716" s="152"/>
      <c r="S716" s="152"/>
      <c r="T716" s="152"/>
      <c r="U716" s="152"/>
      <c r="V716" s="152"/>
      <c r="W716" s="152"/>
    </row>
    <row r="717">
      <c r="A717" s="152"/>
      <c r="B717" s="152"/>
      <c r="C717" s="152"/>
      <c r="D717" s="152"/>
      <c r="E717" s="152"/>
      <c r="F717" s="152"/>
      <c r="G717" s="152"/>
      <c r="H717" s="152"/>
      <c r="I717" s="152"/>
      <c r="J717" s="152"/>
      <c r="K717" s="445"/>
      <c r="L717" s="445"/>
      <c r="M717" s="152"/>
      <c r="N717" s="152"/>
      <c r="O717" s="152"/>
      <c r="P717" s="152"/>
      <c r="Q717" s="152"/>
      <c r="R717" s="152"/>
      <c r="S717" s="152"/>
      <c r="T717" s="152"/>
      <c r="U717" s="152"/>
      <c r="V717" s="152"/>
      <c r="W717" s="152"/>
    </row>
    <row r="718">
      <c r="A718" s="152"/>
      <c r="B718" s="152"/>
      <c r="C718" s="152"/>
      <c r="D718" s="152"/>
      <c r="E718" s="152"/>
      <c r="F718" s="152"/>
      <c r="G718" s="152"/>
      <c r="H718" s="152"/>
      <c r="I718" s="152"/>
      <c r="J718" s="152"/>
      <c r="K718" s="445"/>
      <c r="L718" s="445"/>
      <c r="M718" s="152"/>
      <c r="N718" s="152"/>
      <c r="O718" s="152"/>
      <c r="P718" s="152"/>
      <c r="Q718" s="152"/>
      <c r="R718" s="152"/>
      <c r="S718" s="152"/>
      <c r="T718" s="152"/>
      <c r="U718" s="152"/>
      <c r="V718" s="152"/>
      <c r="W718" s="152"/>
    </row>
    <row r="719">
      <c r="A719" s="152"/>
      <c r="B719" s="152"/>
      <c r="C719" s="152"/>
      <c r="D719" s="152"/>
      <c r="E719" s="152"/>
      <c r="F719" s="152"/>
      <c r="G719" s="152"/>
      <c r="H719" s="152"/>
      <c r="I719" s="152"/>
      <c r="J719" s="152"/>
      <c r="K719" s="445"/>
      <c r="L719" s="445"/>
      <c r="M719" s="152"/>
      <c r="N719" s="152"/>
      <c r="O719" s="152"/>
      <c r="P719" s="152"/>
      <c r="Q719" s="152"/>
      <c r="R719" s="152"/>
      <c r="S719" s="152"/>
      <c r="T719" s="152"/>
      <c r="U719" s="152"/>
      <c r="V719" s="152"/>
      <c r="W719" s="152"/>
    </row>
    <row r="720">
      <c r="A720" s="152"/>
      <c r="B720" s="152"/>
      <c r="C720" s="152"/>
      <c r="D720" s="152"/>
      <c r="E720" s="152"/>
      <c r="F720" s="152"/>
      <c r="G720" s="152"/>
      <c r="H720" s="152"/>
      <c r="I720" s="152"/>
      <c r="J720" s="152"/>
      <c r="K720" s="445"/>
      <c r="L720" s="445"/>
      <c r="M720" s="152"/>
      <c r="N720" s="152"/>
      <c r="O720" s="152"/>
      <c r="P720" s="152"/>
      <c r="Q720" s="152"/>
      <c r="R720" s="152"/>
      <c r="S720" s="152"/>
      <c r="T720" s="152"/>
      <c r="U720" s="152"/>
      <c r="V720" s="152"/>
      <c r="W720" s="152"/>
    </row>
    <row r="721">
      <c r="A721" s="152"/>
      <c r="B721" s="152"/>
      <c r="C721" s="152"/>
      <c r="D721" s="152"/>
      <c r="E721" s="152"/>
      <c r="F721" s="152"/>
      <c r="G721" s="152"/>
      <c r="H721" s="152"/>
      <c r="I721" s="152"/>
      <c r="J721" s="152"/>
      <c r="K721" s="445"/>
      <c r="L721" s="445"/>
      <c r="M721" s="152"/>
      <c r="N721" s="152"/>
      <c r="O721" s="152"/>
      <c r="P721" s="152"/>
      <c r="Q721" s="152"/>
      <c r="R721" s="152"/>
      <c r="S721" s="152"/>
      <c r="T721" s="152"/>
      <c r="U721" s="152"/>
      <c r="V721" s="152"/>
      <c r="W721" s="152"/>
    </row>
    <row r="722">
      <c r="A722" s="152"/>
      <c r="B722" s="152"/>
      <c r="C722" s="152"/>
      <c r="D722" s="152"/>
      <c r="E722" s="152"/>
      <c r="F722" s="152"/>
      <c r="G722" s="152"/>
      <c r="H722" s="152"/>
      <c r="I722" s="152"/>
      <c r="J722" s="152"/>
      <c r="K722" s="445"/>
      <c r="L722" s="445"/>
      <c r="M722" s="152"/>
      <c r="N722" s="152"/>
      <c r="O722" s="152"/>
      <c r="P722" s="152"/>
      <c r="Q722" s="152"/>
      <c r="R722" s="152"/>
      <c r="S722" s="152"/>
      <c r="T722" s="152"/>
      <c r="U722" s="152"/>
      <c r="V722" s="152"/>
      <c r="W722" s="152"/>
    </row>
    <row r="723">
      <c r="A723" s="152"/>
      <c r="B723" s="152"/>
      <c r="C723" s="152"/>
      <c r="D723" s="152"/>
      <c r="E723" s="152"/>
      <c r="F723" s="152"/>
      <c r="G723" s="152"/>
      <c r="H723" s="152"/>
      <c r="I723" s="152"/>
      <c r="J723" s="152"/>
      <c r="K723" s="445"/>
      <c r="L723" s="445"/>
      <c r="M723" s="152"/>
      <c r="N723" s="152"/>
      <c r="O723" s="152"/>
      <c r="P723" s="152"/>
      <c r="Q723" s="152"/>
      <c r="R723" s="152"/>
      <c r="S723" s="152"/>
      <c r="T723" s="152"/>
      <c r="U723" s="152"/>
      <c r="V723" s="152"/>
      <c r="W723" s="152"/>
    </row>
    <row r="724">
      <c r="A724" s="152"/>
      <c r="B724" s="152"/>
      <c r="C724" s="152"/>
      <c r="D724" s="152"/>
      <c r="E724" s="152"/>
      <c r="F724" s="152"/>
      <c r="G724" s="152"/>
      <c r="H724" s="152"/>
      <c r="I724" s="152"/>
      <c r="J724" s="152"/>
      <c r="K724" s="445"/>
      <c r="L724" s="445"/>
      <c r="M724" s="152"/>
      <c r="N724" s="152"/>
      <c r="O724" s="152"/>
      <c r="P724" s="152"/>
      <c r="Q724" s="152"/>
      <c r="R724" s="152"/>
      <c r="S724" s="152"/>
      <c r="T724" s="152"/>
      <c r="U724" s="152"/>
      <c r="V724" s="152"/>
      <c r="W724" s="152"/>
    </row>
    <row r="725">
      <c r="A725" s="152"/>
      <c r="B725" s="152"/>
      <c r="C725" s="152"/>
      <c r="D725" s="152"/>
      <c r="E725" s="152"/>
      <c r="F725" s="152"/>
      <c r="G725" s="152"/>
      <c r="H725" s="152"/>
      <c r="I725" s="152"/>
      <c r="J725" s="152"/>
      <c r="K725" s="445"/>
      <c r="L725" s="445"/>
      <c r="M725" s="152"/>
      <c r="N725" s="152"/>
      <c r="O725" s="152"/>
      <c r="P725" s="152"/>
      <c r="Q725" s="152"/>
      <c r="R725" s="152"/>
      <c r="S725" s="152"/>
      <c r="T725" s="152"/>
      <c r="U725" s="152"/>
      <c r="V725" s="152"/>
      <c r="W725" s="152"/>
    </row>
    <row r="726">
      <c r="A726" s="152"/>
      <c r="B726" s="152"/>
      <c r="C726" s="152"/>
      <c r="D726" s="152"/>
      <c r="E726" s="152"/>
      <c r="F726" s="152"/>
      <c r="G726" s="152"/>
      <c r="H726" s="152"/>
      <c r="I726" s="152"/>
      <c r="J726" s="152"/>
      <c r="K726" s="445"/>
      <c r="L726" s="445"/>
      <c r="M726" s="152"/>
      <c r="N726" s="152"/>
      <c r="O726" s="152"/>
      <c r="P726" s="152"/>
      <c r="Q726" s="152"/>
      <c r="R726" s="152"/>
      <c r="S726" s="152"/>
      <c r="T726" s="152"/>
      <c r="U726" s="152"/>
      <c r="V726" s="152"/>
      <c r="W726" s="152"/>
    </row>
    <row r="727">
      <c r="A727" s="152"/>
      <c r="B727" s="152"/>
      <c r="C727" s="152"/>
      <c r="D727" s="152"/>
      <c r="E727" s="152"/>
      <c r="F727" s="152"/>
      <c r="G727" s="152"/>
      <c r="H727" s="152"/>
      <c r="I727" s="152"/>
      <c r="J727" s="152"/>
      <c r="K727" s="445"/>
      <c r="L727" s="445"/>
      <c r="M727" s="152"/>
      <c r="N727" s="152"/>
      <c r="O727" s="152"/>
      <c r="P727" s="152"/>
      <c r="Q727" s="152"/>
      <c r="R727" s="152"/>
      <c r="S727" s="152"/>
      <c r="T727" s="152"/>
      <c r="U727" s="152"/>
      <c r="V727" s="152"/>
      <c r="W727" s="152"/>
    </row>
    <row r="728">
      <c r="A728" s="152"/>
      <c r="B728" s="152"/>
      <c r="C728" s="152"/>
      <c r="D728" s="152"/>
      <c r="E728" s="152"/>
      <c r="F728" s="152"/>
      <c r="G728" s="152"/>
      <c r="H728" s="152"/>
      <c r="I728" s="152"/>
      <c r="J728" s="152"/>
      <c r="K728" s="445"/>
      <c r="L728" s="445"/>
      <c r="M728" s="152"/>
      <c r="N728" s="152"/>
      <c r="O728" s="152"/>
      <c r="P728" s="152"/>
      <c r="Q728" s="152"/>
      <c r="R728" s="152"/>
      <c r="S728" s="152"/>
      <c r="T728" s="152"/>
      <c r="U728" s="152"/>
      <c r="V728" s="152"/>
      <c r="W728" s="152"/>
    </row>
    <row r="729">
      <c r="A729" s="152"/>
      <c r="B729" s="152"/>
      <c r="C729" s="152"/>
      <c r="D729" s="152"/>
      <c r="E729" s="152"/>
      <c r="F729" s="152"/>
      <c r="G729" s="152"/>
      <c r="H729" s="152"/>
      <c r="I729" s="152"/>
      <c r="J729" s="152"/>
      <c r="K729" s="445"/>
      <c r="L729" s="445"/>
      <c r="M729" s="152"/>
      <c r="N729" s="152"/>
      <c r="O729" s="152"/>
      <c r="P729" s="152"/>
      <c r="Q729" s="152"/>
      <c r="R729" s="152"/>
      <c r="S729" s="152"/>
      <c r="T729" s="152"/>
      <c r="U729" s="152"/>
      <c r="V729" s="152"/>
      <c r="W729" s="152"/>
    </row>
    <row r="730">
      <c r="A730" s="152"/>
      <c r="B730" s="152"/>
      <c r="C730" s="152"/>
      <c r="D730" s="152"/>
      <c r="E730" s="152"/>
      <c r="F730" s="152"/>
      <c r="G730" s="152"/>
      <c r="H730" s="152"/>
      <c r="I730" s="152"/>
      <c r="J730" s="152"/>
      <c r="K730" s="445"/>
      <c r="L730" s="445"/>
      <c r="M730" s="152"/>
      <c r="N730" s="152"/>
      <c r="O730" s="152"/>
      <c r="P730" s="152"/>
      <c r="Q730" s="152"/>
      <c r="R730" s="152"/>
      <c r="S730" s="152"/>
      <c r="T730" s="152"/>
      <c r="U730" s="152"/>
      <c r="V730" s="152"/>
      <c r="W730" s="152"/>
    </row>
    <row r="731">
      <c r="A731" s="152"/>
      <c r="B731" s="152"/>
      <c r="C731" s="152"/>
      <c r="D731" s="152"/>
      <c r="E731" s="152"/>
      <c r="F731" s="152"/>
      <c r="G731" s="152"/>
      <c r="H731" s="152"/>
      <c r="I731" s="152"/>
      <c r="J731" s="152"/>
      <c r="K731" s="445"/>
      <c r="L731" s="445"/>
      <c r="M731" s="152"/>
      <c r="N731" s="152"/>
      <c r="O731" s="152"/>
      <c r="P731" s="152"/>
      <c r="Q731" s="152"/>
      <c r="R731" s="152"/>
      <c r="S731" s="152"/>
      <c r="T731" s="152"/>
      <c r="U731" s="152"/>
      <c r="V731" s="152"/>
      <c r="W731" s="152"/>
    </row>
    <row r="732">
      <c r="A732" s="152"/>
      <c r="B732" s="152"/>
      <c r="C732" s="152"/>
      <c r="D732" s="152"/>
      <c r="E732" s="152"/>
      <c r="F732" s="152"/>
      <c r="G732" s="152"/>
      <c r="H732" s="152"/>
      <c r="I732" s="152"/>
      <c r="J732" s="152"/>
      <c r="K732" s="445"/>
      <c r="L732" s="445"/>
      <c r="M732" s="152"/>
      <c r="N732" s="152"/>
      <c r="O732" s="152"/>
      <c r="P732" s="152"/>
      <c r="Q732" s="152"/>
      <c r="R732" s="152"/>
      <c r="S732" s="152"/>
      <c r="T732" s="152"/>
      <c r="U732" s="152"/>
      <c r="V732" s="152"/>
      <c r="W732" s="152"/>
    </row>
    <row r="733">
      <c r="A733" s="152"/>
      <c r="B733" s="152"/>
      <c r="C733" s="152"/>
      <c r="D733" s="152"/>
      <c r="E733" s="152"/>
      <c r="F733" s="152"/>
      <c r="G733" s="152"/>
      <c r="H733" s="152"/>
      <c r="I733" s="152"/>
      <c r="J733" s="152"/>
      <c r="K733" s="445"/>
      <c r="L733" s="445"/>
      <c r="M733" s="152"/>
      <c r="N733" s="152"/>
      <c r="O733" s="152"/>
      <c r="P733" s="152"/>
      <c r="Q733" s="152"/>
      <c r="R733" s="152"/>
      <c r="S733" s="152"/>
      <c r="T733" s="152"/>
      <c r="U733" s="152"/>
      <c r="V733" s="152"/>
      <c r="W733" s="152"/>
    </row>
    <row r="734">
      <c r="A734" s="152"/>
      <c r="B734" s="152"/>
      <c r="C734" s="152"/>
      <c r="D734" s="152"/>
      <c r="E734" s="152"/>
      <c r="F734" s="152"/>
      <c r="G734" s="152"/>
      <c r="H734" s="152"/>
      <c r="I734" s="152"/>
      <c r="J734" s="152"/>
      <c r="K734" s="445"/>
      <c r="L734" s="445"/>
      <c r="M734" s="152"/>
      <c r="N734" s="152"/>
      <c r="O734" s="152"/>
      <c r="P734" s="152"/>
      <c r="Q734" s="152"/>
      <c r="R734" s="152"/>
      <c r="S734" s="152"/>
      <c r="T734" s="152"/>
      <c r="U734" s="152"/>
      <c r="V734" s="152"/>
      <c r="W734" s="152"/>
    </row>
    <row r="735">
      <c r="A735" s="152"/>
      <c r="B735" s="152"/>
      <c r="C735" s="152"/>
      <c r="D735" s="152"/>
      <c r="E735" s="152"/>
      <c r="F735" s="152"/>
      <c r="G735" s="152"/>
      <c r="H735" s="152"/>
      <c r="I735" s="152"/>
      <c r="J735" s="152"/>
      <c r="K735" s="445"/>
      <c r="L735" s="445"/>
      <c r="M735" s="152"/>
      <c r="N735" s="152"/>
      <c r="O735" s="152"/>
      <c r="P735" s="152"/>
      <c r="Q735" s="152"/>
      <c r="R735" s="152"/>
      <c r="S735" s="152"/>
      <c r="T735" s="152"/>
      <c r="U735" s="152"/>
      <c r="V735" s="152"/>
      <c r="W735" s="152"/>
    </row>
    <row r="736">
      <c r="A736" s="152"/>
      <c r="B736" s="152"/>
      <c r="C736" s="152"/>
      <c r="D736" s="152"/>
      <c r="E736" s="152"/>
      <c r="F736" s="152"/>
      <c r="G736" s="152"/>
      <c r="H736" s="152"/>
      <c r="I736" s="152"/>
      <c r="J736" s="152"/>
      <c r="K736" s="445"/>
      <c r="L736" s="445"/>
      <c r="M736" s="152"/>
      <c r="N736" s="152"/>
      <c r="O736" s="152"/>
      <c r="P736" s="152"/>
      <c r="Q736" s="152"/>
      <c r="R736" s="152"/>
      <c r="S736" s="152"/>
      <c r="T736" s="152"/>
      <c r="U736" s="152"/>
      <c r="V736" s="152"/>
      <c r="W736" s="152"/>
    </row>
    <row r="737">
      <c r="A737" s="152"/>
      <c r="B737" s="152"/>
      <c r="C737" s="152"/>
      <c r="D737" s="152"/>
      <c r="E737" s="152"/>
      <c r="F737" s="152"/>
      <c r="G737" s="152"/>
      <c r="H737" s="152"/>
      <c r="I737" s="152"/>
      <c r="J737" s="152"/>
      <c r="K737" s="445"/>
      <c r="L737" s="445"/>
      <c r="M737" s="152"/>
      <c r="N737" s="152"/>
      <c r="O737" s="152"/>
      <c r="P737" s="152"/>
      <c r="Q737" s="152"/>
      <c r="R737" s="152"/>
      <c r="S737" s="152"/>
      <c r="T737" s="152"/>
      <c r="U737" s="152"/>
      <c r="V737" s="152"/>
      <c r="W737" s="152"/>
    </row>
    <row r="738">
      <c r="A738" s="152"/>
      <c r="B738" s="152"/>
      <c r="C738" s="152"/>
      <c r="D738" s="152"/>
      <c r="E738" s="152"/>
      <c r="F738" s="152"/>
      <c r="G738" s="152"/>
      <c r="H738" s="152"/>
      <c r="I738" s="152"/>
      <c r="J738" s="152"/>
      <c r="K738" s="445"/>
      <c r="L738" s="445"/>
      <c r="M738" s="152"/>
      <c r="N738" s="152"/>
      <c r="O738" s="152"/>
      <c r="P738" s="152"/>
      <c r="Q738" s="152"/>
      <c r="R738" s="152"/>
      <c r="S738" s="152"/>
      <c r="T738" s="152"/>
      <c r="U738" s="152"/>
      <c r="V738" s="152"/>
      <c r="W738" s="152"/>
    </row>
    <row r="739">
      <c r="A739" s="152"/>
      <c r="B739" s="152"/>
      <c r="C739" s="152"/>
      <c r="D739" s="152"/>
      <c r="E739" s="152"/>
      <c r="F739" s="152"/>
      <c r="G739" s="152"/>
      <c r="H739" s="152"/>
      <c r="I739" s="152"/>
      <c r="J739" s="152"/>
      <c r="K739" s="445"/>
      <c r="L739" s="445"/>
      <c r="M739" s="152"/>
      <c r="N739" s="152"/>
      <c r="O739" s="152"/>
      <c r="P739" s="152"/>
      <c r="Q739" s="152"/>
      <c r="R739" s="152"/>
      <c r="S739" s="152"/>
      <c r="T739" s="152"/>
      <c r="U739" s="152"/>
      <c r="V739" s="152"/>
      <c r="W739" s="152"/>
    </row>
    <row r="740">
      <c r="A740" s="152"/>
      <c r="B740" s="152"/>
      <c r="C740" s="152"/>
      <c r="D740" s="152"/>
      <c r="E740" s="152"/>
      <c r="F740" s="152"/>
      <c r="G740" s="152"/>
      <c r="H740" s="152"/>
      <c r="I740" s="152"/>
      <c r="J740" s="152"/>
      <c r="K740" s="445"/>
      <c r="L740" s="445"/>
      <c r="M740" s="152"/>
      <c r="N740" s="152"/>
      <c r="O740" s="152"/>
      <c r="P740" s="152"/>
      <c r="Q740" s="152"/>
      <c r="R740" s="152"/>
      <c r="S740" s="152"/>
      <c r="T740" s="152"/>
      <c r="U740" s="152"/>
      <c r="V740" s="152"/>
      <c r="W740" s="152"/>
    </row>
    <row r="741">
      <c r="A741" s="152"/>
      <c r="B741" s="152"/>
      <c r="C741" s="152"/>
      <c r="D741" s="152"/>
      <c r="E741" s="152"/>
      <c r="F741" s="152"/>
      <c r="G741" s="152"/>
      <c r="H741" s="152"/>
      <c r="I741" s="152"/>
      <c r="J741" s="152"/>
      <c r="K741" s="445"/>
      <c r="L741" s="445"/>
      <c r="M741" s="152"/>
      <c r="N741" s="152"/>
      <c r="O741" s="152"/>
      <c r="P741" s="152"/>
      <c r="Q741" s="152"/>
      <c r="R741" s="152"/>
      <c r="S741" s="152"/>
      <c r="T741" s="152"/>
      <c r="U741" s="152"/>
      <c r="V741" s="152"/>
      <c r="W741" s="152"/>
    </row>
    <row r="742">
      <c r="A742" s="152"/>
      <c r="B742" s="152"/>
      <c r="C742" s="152"/>
      <c r="D742" s="152"/>
      <c r="E742" s="152"/>
      <c r="F742" s="152"/>
      <c r="G742" s="152"/>
      <c r="H742" s="152"/>
      <c r="I742" s="152"/>
      <c r="J742" s="152"/>
      <c r="K742" s="445"/>
      <c r="L742" s="445"/>
      <c r="M742" s="152"/>
      <c r="N742" s="152"/>
      <c r="O742" s="152"/>
      <c r="P742" s="152"/>
      <c r="Q742" s="152"/>
      <c r="R742" s="152"/>
      <c r="S742" s="152"/>
      <c r="T742" s="152"/>
      <c r="U742" s="152"/>
      <c r="V742" s="152"/>
      <c r="W742" s="152"/>
    </row>
    <row r="743">
      <c r="A743" s="152"/>
      <c r="B743" s="152"/>
      <c r="C743" s="152"/>
      <c r="D743" s="152"/>
      <c r="E743" s="152"/>
      <c r="F743" s="152"/>
      <c r="G743" s="152"/>
      <c r="H743" s="152"/>
      <c r="I743" s="152"/>
      <c r="J743" s="152"/>
      <c r="K743" s="445"/>
      <c r="L743" s="445"/>
      <c r="M743" s="152"/>
      <c r="N743" s="152"/>
      <c r="O743" s="152"/>
      <c r="P743" s="152"/>
      <c r="Q743" s="152"/>
      <c r="R743" s="152"/>
      <c r="S743" s="152"/>
      <c r="T743" s="152"/>
      <c r="U743" s="152"/>
      <c r="V743" s="152"/>
      <c r="W743" s="152"/>
    </row>
    <row r="744">
      <c r="A744" s="152"/>
      <c r="B744" s="152"/>
      <c r="C744" s="152"/>
      <c r="D744" s="152"/>
      <c r="E744" s="152"/>
      <c r="F744" s="152"/>
      <c r="G744" s="152"/>
      <c r="H744" s="152"/>
      <c r="I744" s="152"/>
      <c r="J744" s="152"/>
      <c r="K744" s="445"/>
      <c r="L744" s="445"/>
      <c r="M744" s="152"/>
      <c r="N744" s="152"/>
      <c r="O744" s="152"/>
      <c r="P744" s="152"/>
      <c r="Q744" s="152"/>
      <c r="R744" s="152"/>
      <c r="S744" s="152"/>
      <c r="T744" s="152"/>
      <c r="U744" s="152"/>
      <c r="V744" s="152"/>
      <c r="W744" s="152"/>
    </row>
    <row r="745">
      <c r="A745" s="152"/>
      <c r="B745" s="152"/>
      <c r="C745" s="152"/>
      <c r="D745" s="152"/>
      <c r="E745" s="152"/>
      <c r="F745" s="152"/>
      <c r="G745" s="152"/>
      <c r="H745" s="152"/>
      <c r="I745" s="152"/>
      <c r="J745" s="152"/>
      <c r="K745" s="445"/>
      <c r="L745" s="445"/>
      <c r="M745" s="152"/>
      <c r="N745" s="152"/>
      <c r="O745" s="152"/>
      <c r="P745" s="152"/>
      <c r="Q745" s="152"/>
      <c r="R745" s="152"/>
      <c r="S745" s="152"/>
      <c r="T745" s="152"/>
      <c r="U745" s="152"/>
      <c r="V745" s="152"/>
      <c r="W745" s="152"/>
    </row>
    <row r="746">
      <c r="A746" s="152"/>
      <c r="B746" s="152"/>
      <c r="C746" s="152"/>
      <c r="D746" s="152"/>
      <c r="E746" s="152"/>
      <c r="F746" s="152"/>
      <c r="G746" s="152"/>
      <c r="H746" s="152"/>
      <c r="I746" s="152"/>
      <c r="J746" s="152"/>
      <c r="K746" s="445"/>
      <c r="L746" s="445"/>
      <c r="M746" s="152"/>
      <c r="N746" s="152"/>
      <c r="O746" s="152"/>
      <c r="P746" s="152"/>
      <c r="Q746" s="152"/>
      <c r="R746" s="152"/>
      <c r="S746" s="152"/>
      <c r="T746" s="152"/>
      <c r="U746" s="152"/>
      <c r="V746" s="152"/>
      <c r="W746" s="152"/>
    </row>
    <row r="747">
      <c r="A747" s="152"/>
      <c r="B747" s="152"/>
      <c r="C747" s="152"/>
      <c r="D747" s="152"/>
      <c r="E747" s="152"/>
      <c r="F747" s="152"/>
      <c r="G747" s="152"/>
      <c r="H747" s="152"/>
      <c r="I747" s="152"/>
      <c r="J747" s="152"/>
      <c r="K747" s="445"/>
      <c r="L747" s="445"/>
      <c r="M747" s="152"/>
      <c r="N747" s="152"/>
      <c r="O747" s="152"/>
      <c r="P747" s="152"/>
      <c r="Q747" s="152"/>
      <c r="R747" s="152"/>
      <c r="S747" s="152"/>
      <c r="T747" s="152"/>
      <c r="U747" s="152"/>
      <c r="V747" s="152"/>
      <c r="W747" s="152"/>
    </row>
    <row r="748">
      <c r="A748" s="152"/>
      <c r="B748" s="152"/>
      <c r="C748" s="152"/>
      <c r="D748" s="152"/>
      <c r="E748" s="152"/>
      <c r="F748" s="152"/>
      <c r="G748" s="152"/>
      <c r="H748" s="152"/>
      <c r="I748" s="152"/>
      <c r="J748" s="152"/>
      <c r="K748" s="445"/>
      <c r="L748" s="445"/>
      <c r="M748" s="152"/>
      <c r="N748" s="152"/>
      <c r="O748" s="152"/>
      <c r="P748" s="152"/>
      <c r="Q748" s="152"/>
      <c r="R748" s="152"/>
      <c r="S748" s="152"/>
      <c r="T748" s="152"/>
      <c r="U748" s="152"/>
      <c r="V748" s="152"/>
      <c r="W748" s="152"/>
    </row>
    <row r="749">
      <c r="A749" s="152"/>
      <c r="B749" s="152"/>
      <c r="C749" s="152"/>
      <c r="D749" s="152"/>
      <c r="E749" s="152"/>
      <c r="F749" s="152"/>
      <c r="G749" s="152"/>
      <c r="H749" s="152"/>
      <c r="I749" s="152"/>
      <c r="J749" s="152"/>
      <c r="K749" s="445"/>
      <c r="L749" s="445"/>
      <c r="M749" s="152"/>
      <c r="N749" s="152"/>
      <c r="O749" s="152"/>
      <c r="P749" s="152"/>
      <c r="Q749" s="152"/>
      <c r="R749" s="152"/>
      <c r="S749" s="152"/>
      <c r="T749" s="152"/>
      <c r="U749" s="152"/>
      <c r="V749" s="152"/>
      <c r="W749" s="152"/>
    </row>
    <row r="750">
      <c r="A750" s="152"/>
      <c r="B750" s="152"/>
      <c r="C750" s="152"/>
      <c r="D750" s="152"/>
      <c r="E750" s="152"/>
      <c r="F750" s="152"/>
      <c r="G750" s="152"/>
      <c r="H750" s="152"/>
      <c r="I750" s="152"/>
      <c r="J750" s="152"/>
      <c r="K750" s="445"/>
      <c r="L750" s="445"/>
      <c r="M750" s="152"/>
      <c r="N750" s="152"/>
      <c r="O750" s="152"/>
      <c r="P750" s="152"/>
      <c r="Q750" s="152"/>
      <c r="R750" s="152"/>
      <c r="S750" s="152"/>
      <c r="T750" s="152"/>
      <c r="U750" s="152"/>
      <c r="V750" s="152"/>
      <c r="W750" s="152"/>
    </row>
    <row r="751">
      <c r="A751" s="152"/>
      <c r="B751" s="152"/>
      <c r="C751" s="152"/>
      <c r="D751" s="152"/>
      <c r="E751" s="152"/>
      <c r="F751" s="152"/>
      <c r="G751" s="152"/>
      <c r="H751" s="152"/>
      <c r="I751" s="152"/>
      <c r="J751" s="152"/>
      <c r="K751" s="445"/>
      <c r="L751" s="445"/>
      <c r="M751" s="152"/>
      <c r="N751" s="152"/>
      <c r="O751" s="152"/>
      <c r="P751" s="152"/>
      <c r="Q751" s="152"/>
      <c r="R751" s="152"/>
      <c r="S751" s="152"/>
      <c r="T751" s="152"/>
      <c r="U751" s="152"/>
      <c r="V751" s="152"/>
      <c r="W751" s="152"/>
    </row>
    <row r="752">
      <c r="A752" s="152"/>
      <c r="B752" s="152"/>
      <c r="C752" s="152"/>
      <c r="D752" s="152"/>
      <c r="E752" s="152"/>
      <c r="F752" s="152"/>
      <c r="G752" s="152"/>
      <c r="H752" s="152"/>
      <c r="I752" s="152"/>
      <c r="J752" s="152"/>
      <c r="K752" s="445"/>
      <c r="L752" s="445"/>
      <c r="M752" s="152"/>
      <c r="N752" s="152"/>
      <c r="O752" s="152"/>
      <c r="P752" s="152"/>
      <c r="Q752" s="152"/>
      <c r="R752" s="152"/>
      <c r="S752" s="152"/>
      <c r="T752" s="152"/>
      <c r="U752" s="152"/>
      <c r="V752" s="152"/>
      <c r="W752" s="152"/>
    </row>
    <row r="753">
      <c r="A753" s="152"/>
      <c r="B753" s="152"/>
      <c r="C753" s="152"/>
      <c r="D753" s="152"/>
      <c r="E753" s="152"/>
      <c r="F753" s="152"/>
      <c r="G753" s="152"/>
      <c r="H753" s="152"/>
      <c r="I753" s="152"/>
      <c r="J753" s="152"/>
      <c r="K753" s="445"/>
      <c r="L753" s="445"/>
      <c r="M753" s="152"/>
      <c r="N753" s="152"/>
      <c r="O753" s="152"/>
      <c r="P753" s="152"/>
      <c r="Q753" s="152"/>
      <c r="R753" s="152"/>
      <c r="S753" s="152"/>
      <c r="T753" s="152"/>
      <c r="U753" s="152"/>
      <c r="V753" s="152"/>
      <c r="W753" s="152"/>
    </row>
    <row r="754">
      <c r="A754" s="152"/>
      <c r="B754" s="152"/>
      <c r="C754" s="152"/>
      <c r="D754" s="152"/>
      <c r="E754" s="152"/>
      <c r="F754" s="152"/>
      <c r="G754" s="152"/>
      <c r="H754" s="152"/>
      <c r="I754" s="152"/>
      <c r="J754" s="152"/>
      <c r="K754" s="445"/>
      <c r="L754" s="445"/>
      <c r="M754" s="152"/>
      <c r="N754" s="152"/>
      <c r="O754" s="152"/>
      <c r="P754" s="152"/>
      <c r="Q754" s="152"/>
      <c r="R754" s="152"/>
      <c r="S754" s="152"/>
      <c r="T754" s="152"/>
      <c r="U754" s="152"/>
      <c r="V754" s="152"/>
      <c r="W754" s="152"/>
    </row>
    <row r="755">
      <c r="A755" s="152"/>
      <c r="B755" s="152"/>
      <c r="C755" s="152"/>
      <c r="D755" s="152"/>
      <c r="E755" s="152"/>
      <c r="F755" s="152"/>
      <c r="G755" s="152"/>
      <c r="H755" s="152"/>
      <c r="I755" s="152"/>
      <c r="J755" s="152"/>
      <c r="K755" s="445"/>
      <c r="L755" s="445"/>
      <c r="M755" s="152"/>
      <c r="N755" s="152"/>
      <c r="O755" s="152"/>
      <c r="P755" s="152"/>
      <c r="Q755" s="152"/>
      <c r="R755" s="152"/>
      <c r="S755" s="152"/>
      <c r="T755" s="152"/>
      <c r="U755" s="152"/>
      <c r="V755" s="152"/>
      <c r="W755" s="152"/>
    </row>
    <row r="756">
      <c r="A756" s="152"/>
      <c r="B756" s="152"/>
      <c r="C756" s="152"/>
      <c r="D756" s="152"/>
      <c r="E756" s="152"/>
      <c r="F756" s="152"/>
      <c r="G756" s="152"/>
      <c r="H756" s="152"/>
      <c r="I756" s="152"/>
      <c r="J756" s="152"/>
      <c r="K756" s="445"/>
      <c r="L756" s="445"/>
      <c r="M756" s="152"/>
      <c r="N756" s="152"/>
      <c r="O756" s="152"/>
      <c r="P756" s="152"/>
      <c r="Q756" s="152"/>
      <c r="R756" s="152"/>
      <c r="S756" s="152"/>
      <c r="T756" s="152"/>
      <c r="U756" s="152"/>
      <c r="V756" s="152"/>
      <c r="W756" s="152"/>
    </row>
    <row r="757">
      <c r="A757" s="152"/>
      <c r="B757" s="152"/>
      <c r="C757" s="152"/>
      <c r="D757" s="152"/>
      <c r="E757" s="152"/>
      <c r="F757" s="152"/>
      <c r="G757" s="152"/>
      <c r="H757" s="152"/>
      <c r="I757" s="152"/>
      <c r="J757" s="152"/>
      <c r="K757" s="445"/>
      <c r="L757" s="445"/>
      <c r="M757" s="152"/>
      <c r="N757" s="152"/>
      <c r="O757" s="152"/>
      <c r="P757" s="152"/>
      <c r="Q757" s="152"/>
      <c r="R757" s="152"/>
      <c r="S757" s="152"/>
      <c r="T757" s="152"/>
      <c r="U757" s="152"/>
      <c r="V757" s="152"/>
      <c r="W757" s="152"/>
    </row>
    <row r="758">
      <c r="A758" s="152"/>
      <c r="B758" s="152"/>
      <c r="C758" s="152"/>
      <c r="D758" s="152"/>
      <c r="E758" s="152"/>
      <c r="F758" s="152"/>
      <c r="G758" s="152"/>
      <c r="H758" s="152"/>
      <c r="I758" s="152"/>
      <c r="J758" s="152"/>
      <c r="K758" s="445"/>
      <c r="L758" s="445"/>
      <c r="M758" s="152"/>
      <c r="N758" s="152"/>
      <c r="O758" s="152"/>
      <c r="P758" s="152"/>
      <c r="Q758" s="152"/>
      <c r="R758" s="152"/>
      <c r="S758" s="152"/>
      <c r="T758" s="152"/>
      <c r="U758" s="152"/>
      <c r="V758" s="152"/>
      <c r="W758" s="152"/>
    </row>
    <row r="759">
      <c r="A759" s="152"/>
      <c r="B759" s="152"/>
      <c r="C759" s="152"/>
      <c r="D759" s="152"/>
      <c r="E759" s="152"/>
      <c r="F759" s="152"/>
      <c r="G759" s="152"/>
      <c r="H759" s="152"/>
      <c r="I759" s="152"/>
      <c r="J759" s="152"/>
      <c r="K759" s="445"/>
      <c r="L759" s="445"/>
      <c r="M759" s="152"/>
      <c r="N759" s="152"/>
      <c r="O759" s="152"/>
      <c r="P759" s="152"/>
      <c r="Q759" s="152"/>
      <c r="R759" s="152"/>
      <c r="S759" s="152"/>
      <c r="T759" s="152"/>
      <c r="U759" s="152"/>
      <c r="V759" s="152"/>
      <c r="W759" s="152"/>
    </row>
    <row r="760">
      <c r="A760" s="152"/>
      <c r="B760" s="152"/>
      <c r="C760" s="152"/>
      <c r="D760" s="152"/>
      <c r="E760" s="152"/>
      <c r="F760" s="152"/>
      <c r="G760" s="152"/>
      <c r="H760" s="152"/>
      <c r="I760" s="152"/>
      <c r="J760" s="152"/>
      <c r="K760" s="445"/>
      <c r="L760" s="445"/>
      <c r="M760" s="152"/>
      <c r="N760" s="152"/>
      <c r="O760" s="152"/>
      <c r="P760" s="152"/>
      <c r="Q760" s="152"/>
      <c r="R760" s="152"/>
      <c r="S760" s="152"/>
      <c r="T760" s="152"/>
      <c r="U760" s="152"/>
      <c r="V760" s="152"/>
      <c r="W760" s="152"/>
    </row>
    <row r="761">
      <c r="A761" s="152"/>
      <c r="B761" s="152"/>
      <c r="C761" s="152"/>
      <c r="D761" s="152"/>
      <c r="E761" s="152"/>
      <c r="F761" s="152"/>
      <c r="G761" s="152"/>
      <c r="H761" s="152"/>
      <c r="I761" s="152"/>
      <c r="J761" s="152"/>
      <c r="K761" s="445"/>
      <c r="L761" s="445"/>
      <c r="M761" s="152"/>
      <c r="N761" s="152"/>
      <c r="O761" s="152"/>
      <c r="P761" s="152"/>
      <c r="Q761" s="152"/>
      <c r="R761" s="152"/>
      <c r="S761" s="152"/>
      <c r="T761" s="152"/>
      <c r="U761" s="152"/>
      <c r="V761" s="152"/>
      <c r="W761" s="152"/>
    </row>
    <row r="762">
      <c r="A762" s="152"/>
      <c r="B762" s="152"/>
      <c r="C762" s="152"/>
      <c r="D762" s="152"/>
      <c r="E762" s="152"/>
      <c r="F762" s="152"/>
      <c r="G762" s="152"/>
      <c r="H762" s="152"/>
      <c r="I762" s="152"/>
      <c r="J762" s="152"/>
      <c r="K762" s="445"/>
      <c r="L762" s="445"/>
      <c r="M762" s="152"/>
      <c r="N762" s="152"/>
      <c r="O762" s="152"/>
      <c r="P762" s="152"/>
      <c r="Q762" s="152"/>
      <c r="R762" s="152"/>
      <c r="S762" s="152"/>
      <c r="T762" s="152"/>
      <c r="U762" s="152"/>
      <c r="V762" s="152"/>
      <c r="W762" s="152"/>
    </row>
    <row r="763">
      <c r="A763" s="152"/>
      <c r="B763" s="152"/>
      <c r="C763" s="152"/>
      <c r="D763" s="152"/>
      <c r="E763" s="152"/>
      <c r="F763" s="152"/>
      <c r="G763" s="152"/>
      <c r="H763" s="152"/>
      <c r="I763" s="152"/>
      <c r="J763" s="152"/>
      <c r="K763" s="445"/>
      <c r="L763" s="445"/>
      <c r="M763" s="152"/>
      <c r="N763" s="152"/>
      <c r="O763" s="152"/>
      <c r="P763" s="152"/>
      <c r="Q763" s="152"/>
      <c r="R763" s="152"/>
      <c r="S763" s="152"/>
      <c r="T763" s="152"/>
      <c r="U763" s="152"/>
      <c r="V763" s="152"/>
      <c r="W763" s="152"/>
    </row>
    <row r="764">
      <c r="A764" s="152"/>
      <c r="B764" s="152"/>
      <c r="C764" s="152"/>
      <c r="D764" s="152"/>
      <c r="E764" s="152"/>
      <c r="F764" s="152"/>
      <c r="G764" s="152"/>
      <c r="H764" s="152"/>
      <c r="I764" s="152"/>
      <c r="J764" s="152"/>
      <c r="K764" s="445"/>
      <c r="L764" s="445"/>
      <c r="M764" s="152"/>
      <c r="N764" s="152"/>
      <c r="O764" s="152"/>
      <c r="P764" s="152"/>
      <c r="Q764" s="152"/>
      <c r="R764" s="152"/>
      <c r="S764" s="152"/>
      <c r="T764" s="152"/>
      <c r="U764" s="152"/>
      <c r="V764" s="152"/>
      <c r="W764" s="152"/>
    </row>
    <row r="765">
      <c r="A765" s="152"/>
      <c r="B765" s="152"/>
      <c r="C765" s="152"/>
      <c r="D765" s="152"/>
      <c r="E765" s="152"/>
      <c r="F765" s="152"/>
      <c r="G765" s="152"/>
      <c r="H765" s="152"/>
      <c r="I765" s="152"/>
      <c r="J765" s="152"/>
      <c r="K765" s="445"/>
      <c r="L765" s="445"/>
      <c r="M765" s="152"/>
      <c r="N765" s="152"/>
      <c r="O765" s="152"/>
      <c r="P765" s="152"/>
      <c r="Q765" s="152"/>
      <c r="R765" s="152"/>
      <c r="S765" s="152"/>
      <c r="T765" s="152"/>
      <c r="U765" s="152"/>
      <c r="V765" s="152"/>
      <c r="W765" s="152"/>
    </row>
    <row r="766">
      <c r="A766" s="152"/>
      <c r="B766" s="152"/>
      <c r="C766" s="152"/>
      <c r="D766" s="152"/>
      <c r="E766" s="152"/>
      <c r="F766" s="152"/>
      <c r="G766" s="152"/>
      <c r="H766" s="152"/>
      <c r="I766" s="152"/>
      <c r="J766" s="152"/>
      <c r="K766" s="445"/>
      <c r="L766" s="445"/>
      <c r="M766" s="152"/>
      <c r="N766" s="152"/>
      <c r="O766" s="152"/>
      <c r="P766" s="152"/>
      <c r="Q766" s="152"/>
      <c r="R766" s="152"/>
      <c r="S766" s="152"/>
      <c r="T766" s="152"/>
      <c r="U766" s="152"/>
      <c r="V766" s="152"/>
      <c r="W766" s="152"/>
    </row>
    <row r="767">
      <c r="A767" s="152"/>
      <c r="B767" s="152"/>
      <c r="C767" s="152"/>
      <c r="D767" s="152"/>
      <c r="E767" s="152"/>
      <c r="F767" s="152"/>
      <c r="G767" s="152"/>
      <c r="H767" s="152"/>
      <c r="I767" s="152"/>
      <c r="J767" s="152"/>
      <c r="K767" s="445"/>
      <c r="L767" s="445"/>
      <c r="M767" s="152"/>
      <c r="N767" s="152"/>
      <c r="O767" s="152"/>
      <c r="P767" s="152"/>
      <c r="Q767" s="152"/>
      <c r="R767" s="152"/>
      <c r="S767" s="152"/>
      <c r="T767" s="152"/>
      <c r="U767" s="152"/>
      <c r="V767" s="152"/>
      <c r="W767" s="152"/>
    </row>
    <row r="768">
      <c r="A768" s="152"/>
      <c r="B768" s="152"/>
      <c r="C768" s="152"/>
      <c r="D768" s="152"/>
      <c r="E768" s="152"/>
      <c r="F768" s="152"/>
      <c r="G768" s="152"/>
      <c r="H768" s="152"/>
      <c r="I768" s="152"/>
      <c r="J768" s="152"/>
      <c r="K768" s="445"/>
      <c r="L768" s="445"/>
      <c r="M768" s="152"/>
      <c r="N768" s="152"/>
      <c r="O768" s="152"/>
      <c r="P768" s="152"/>
      <c r="Q768" s="152"/>
      <c r="R768" s="152"/>
      <c r="S768" s="152"/>
      <c r="T768" s="152"/>
      <c r="U768" s="152"/>
      <c r="V768" s="152"/>
      <c r="W768" s="152"/>
    </row>
    <row r="769">
      <c r="A769" s="152"/>
      <c r="B769" s="152"/>
      <c r="C769" s="152"/>
      <c r="D769" s="152"/>
      <c r="E769" s="152"/>
      <c r="F769" s="152"/>
      <c r="G769" s="152"/>
      <c r="H769" s="152"/>
      <c r="I769" s="152"/>
      <c r="J769" s="152"/>
      <c r="K769" s="445"/>
      <c r="L769" s="445"/>
      <c r="M769" s="152"/>
      <c r="N769" s="152"/>
      <c r="O769" s="152"/>
      <c r="P769" s="152"/>
      <c r="Q769" s="152"/>
      <c r="R769" s="152"/>
      <c r="S769" s="152"/>
      <c r="T769" s="152"/>
      <c r="U769" s="152"/>
      <c r="V769" s="152"/>
      <c r="W769" s="152"/>
    </row>
    <row r="770">
      <c r="A770" s="152"/>
      <c r="B770" s="152"/>
      <c r="C770" s="152"/>
      <c r="D770" s="152"/>
      <c r="E770" s="152"/>
      <c r="F770" s="152"/>
      <c r="G770" s="152"/>
      <c r="H770" s="152"/>
      <c r="I770" s="152"/>
      <c r="J770" s="152"/>
      <c r="K770" s="445"/>
      <c r="L770" s="445"/>
      <c r="M770" s="152"/>
      <c r="N770" s="152"/>
      <c r="O770" s="152"/>
      <c r="P770" s="152"/>
      <c r="Q770" s="152"/>
      <c r="R770" s="152"/>
      <c r="S770" s="152"/>
      <c r="T770" s="152"/>
      <c r="U770" s="152"/>
      <c r="V770" s="152"/>
      <c r="W770" s="152"/>
    </row>
    <row r="771">
      <c r="A771" s="152"/>
      <c r="B771" s="152"/>
      <c r="C771" s="152"/>
      <c r="D771" s="152"/>
      <c r="E771" s="152"/>
      <c r="F771" s="152"/>
      <c r="G771" s="152"/>
      <c r="H771" s="152"/>
      <c r="I771" s="152"/>
      <c r="J771" s="152"/>
      <c r="K771" s="445"/>
      <c r="L771" s="445"/>
      <c r="M771" s="152"/>
      <c r="N771" s="152"/>
      <c r="O771" s="152"/>
      <c r="P771" s="152"/>
      <c r="Q771" s="152"/>
      <c r="R771" s="152"/>
      <c r="S771" s="152"/>
      <c r="T771" s="152"/>
      <c r="U771" s="152"/>
      <c r="V771" s="152"/>
      <c r="W771" s="152"/>
    </row>
    <row r="772">
      <c r="A772" s="152"/>
      <c r="B772" s="152"/>
      <c r="C772" s="152"/>
      <c r="D772" s="152"/>
      <c r="E772" s="152"/>
      <c r="F772" s="152"/>
      <c r="G772" s="152"/>
      <c r="H772" s="152"/>
      <c r="I772" s="152"/>
      <c r="J772" s="152"/>
      <c r="K772" s="445"/>
      <c r="L772" s="445"/>
      <c r="M772" s="152"/>
      <c r="N772" s="152"/>
      <c r="O772" s="152"/>
      <c r="P772" s="152"/>
      <c r="Q772" s="152"/>
      <c r="R772" s="152"/>
      <c r="S772" s="152"/>
      <c r="T772" s="152"/>
      <c r="U772" s="152"/>
      <c r="V772" s="152"/>
      <c r="W772" s="152"/>
    </row>
    <row r="773">
      <c r="A773" s="152"/>
      <c r="B773" s="152"/>
      <c r="C773" s="152"/>
      <c r="D773" s="152"/>
      <c r="E773" s="152"/>
      <c r="F773" s="152"/>
      <c r="G773" s="152"/>
      <c r="H773" s="152"/>
      <c r="I773" s="152"/>
      <c r="J773" s="152"/>
      <c r="K773" s="445"/>
      <c r="L773" s="445"/>
      <c r="M773" s="152"/>
      <c r="N773" s="152"/>
      <c r="O773" s="152"/>
      <c r="P773" s="152"/>
      <c r="Q773" s="152"/>
      <c r="R773" s="152"/>
      <c r="S773" s="152"/>
      <c r="T773" s="152"/>
      <c r="U773" s="152"/>
      <c r="V773" s="152"/>
      <c r="W773" s="152"/>
    </row>
    <row r="774">
      <c r="A774" s="152"/>
      <c r="B774" s="152"/>
      <c r="C774" s="152"/>
      <c r="D774" s="152"/>
      <c r="E774" s="152"/>
      <c r="F774" s="152"/>
      <c r="G774" s="152"/>
      <c r="H774" s="152"/>
      <c r="I774" s="152"/>
      <c r="J774" s="152"/>
      <c r="K774" s="445"/>
      <c r="L774" s="445"/>
      <c r="M774" s="152"/>
      <c r="N774" s="152"/>
      <c r="O774" s="152"/>
      <c r="P774" s="152"/>
      <c r="Q774" s="152"/>
      <c r="R774" s="152"/>
      <c r="S774" s="152"/>
      <c r="T774" s="152"/>
      <c r="U774" s="152"/>
      <c r="V774" s="152"/>
      <c r="W774" s="152"/>
    </row>
    <row r="775">
      <c r="A775" s="152"/>
      <c r="B775" s="152"/>
      <c r="C775" s="152"/>
      <c r="D775" s="152"/>
      <c r="E775" s="152"/>
      <c r="F775" s="152"/>
      <c r="G775" s="152"/>
      <c r="H775" s="152"/>
      <c r="I775" s="152"/>
      <c r="J775" s="152"/>
      <c r="K775" s="445"/>
      <c r="L775" s="445"/>
      <c r="M775" s="152"/>
      <c r="N775" s="152"/>
      <c r="O775" s="152"/>
      <c r="P775" s="152"/>
      <c r="Q775" s="152"/>
      <c r="R775" s="152"/>
      <c r="S775" s="152"/>
      <c r="T775" s="152"/>
      <c r="U775" s="152"/>
      <c r="V775" s="152"/>
      <c r="W775" s="152"/>
    </row>
    <row r="776">
      <c r="A776" s="152"/>
      <c r="B776" s="152"/>
      <c r="C776" s="152"/>
      <c r="D776" s="152"/>
      <c r="E776" s="152"/>
      <c r="F776" s="152"/>
      <c r="G776" s="152"/>
      <c r="H776" s="152"/>
      <c r="I776" s="152"/>
      <c r="J776" s="152"/>
      <c r="K776" s="445"/>
      <c r="L776" s="445"/>
      <c r="M776" s="152"/>
      <c r="N776" s="152"/>
      <c r="O776" s="152"/>
      <c r="P776" s="152"/>
      <c r="Q776" s="152"/>
      <c r="R776" s="152"/>
      <c r="S776" s="152"/>
      <c r="T776" s="152"/>
      <c r="U776" s="152"/>
      <c r="V776" s="152"/>
      <c r="W776" s="152"/>
    </row>
    <row r="777">
      <c r="A777" s="152"/>
      <c r="B777" s="152"/>
      <c r="C777" s="152"/>
      <c r="D777" s="152"/>
      <c r="E777" s="152"/>
      <c r="F777" s="152"/>
      <c r="G777" s="152"/>
      <c r="H777" s="152"/>
      <c r="I777" s="152"/>
      <c r="J777" s="152"/>
      <c r="K777" s="445"/>
      <c r="L777" s="445"/>
      <c r="M777" s="152"/>
      <c r="N777" s="152"/>
      <c r="O777" s="152"/>
      <c r="P777" s="152"/>
      <c r="Q777" s="152"/>
      <c r="R777" s="152"/>
      <c r="S777" s="152"/>
      <c r="T777" s="152"/>
      <c r="U777" s="152"/>
      <c r="V777" s="152"/>
      <c r="W777" s="152"/>
    </row>
    <row r="778">
      <c r="A778" s="152"/>
      <c r="B778" s="152"/>
      <c r="C778" s="152"/>
      <c r="D778" s="152"/>
      <c r="E778" s="152"/>
      <c r="F778" s="152"/>
      <c r="G778" s="152"/>
      <c r="H778" s="152"/>
      <c r="I778" s="152"/>
      <c r="J778" s="152"/>
      <c r="K778" s="445"/>
      <c r="L778" s="445"/>
      <c r="M778" s="152"/>
      <c r="N778" s="152"/>
      <c r="O778" s="152"/>
      <c r="P778" s="152"/>
      <c r="Q778" s="152"/>
      <c r="R778" s="152"/>
      <c r="S778" s="152"/>
      <c r="T778" s="152"/>
      <c r="U778" s="152"/>
      <c r="V778" s="152"/>
      <c r="W778" s="152"/>
    </row>
    <row r="779">
      <c r="A779" s="152"/>
      <c r="B779" s="152"/>
      <c r="C779" s="152"/>
      <c r="D779" s="152"/>
      <c r="E779" s="152"/>
      <c r="F779" s="152"/>
      <c r="G779" s="152"/>
      <c r="H779" s="152"/>
      <c r="I779" s="152"/>
      <c r="J779" s="152"/>
      <c r="K779" s="445"/>
      <c r="L779" s="445"/>
      <c r="M779" s="152"/>
      <c r="N779" s="152"/>
      <c r="O779" s="152"/>
      <c r="P779" s="152"/>
      <c r="Q779" s="152"/>
      <c r="R779" s="152"/>
      <c r="S779" s="152"/>
      <c r="T779" s="152"/>
      <c r="U779" s="152"/>
      <c r="V779" s="152"/>
      <c r="W779" s="152"/>
    </row>
    <row r="780">
      <c r="A780" s="152"/>
      <c r="B780" s="152"/>
      <c r="C780" s="152"/>
      <c r="D780" s="152"/>
      <c r="E780" s="152"/>
      <c r="F780" s="152"/>
      <c r="G780" s="152"/>
      <c r="H780" s="152"/>
      <c r="I780" s="152"/>
      <c r="J780" s="152"/>
      <c r="K780" s="445"/>
      <c r="L780" s="445"/>
      <c r="M780" s="152"/>
      <c r="N780" s="152"/>
      <c r="O780" s="152"/>
      <c r="P780" s="152"/>
      <c r="Q780" s="152"/>
      <c r="R780" s="152"/>
      <c r="S780" s="152"/>
      <c r="T780" s="152"/>
      <c r="U780" s="152"/>
      <c r="V780" s="152"/>
      <c r="W780" s="152"/>
    </row>
    <row r="781">
      <c r="A781" s="152"/>
      <c r="B781" s="152"/>
      <c r="C781" s="152"/>
      <c r="D781" s="152"/>
      <c r="E781" s="152"/>
      <c r="F781" s="152"/>
      <c r="G781" s="152"/>
      <c r="H781" s="152"/>
      <c r="I781" s="152"/>
      <c r="J781" s="152"/>
      <c r="K781" s="445"/>
      <c r="L781" s="445"/>
      <c r="M781" s="152"/>
      <c r="N781" s="152"/>
      <c r="O781" s="152"/>
      <c r="P781" s="152"/>
      <c r="Q781" s="152"/>
      <c r="R781" s="152"/>
      <c r="S781" s="152"/>
      <c r="T781" s="152"/>
      <c r="U781" s="152"/>
      <c r="V781" s="152"/>
      <c r="W781" s="152"/>
    </row>
    <row r="782">
      <c r="A782" s="152"/>
      <c r="B782" s="152"/>
      <c r="C782" s="152"/>
      <c r="D782" s="152"/>
      <c r="E782" s="152"/>
      <c r="F782" s="152"/>
      <c r="G782" s="152"/>
      <c r="H782" s="152"/>
      <c r="I782" s="152"/>
      <c r="J782" s="152"/>
      <c r="K782" s="445"/>
      <c r="L782" s="445"/>
      <c r="M782" s="152"/>
      <c r="N782" s="152"/>
      <c r="O782" s="152"/>
      <c r="P782" s="152"/>
      <c r="Q782" s="152"/>
      <c r="R782" s="152"/>
      <c r="S782" s="152"/>
      <c r="T782" s="152"/>
      <c r="U782" s="152"/>
      <c r="V782" s="152"/>
      <c r="W782" s="152"/>
    </row>
    <row r="783">
      <c r="A783" s="152"/>
      <c r="B783" s="152"/>
      <c r="C783" s="152"/>
      <c r="D783" s="152"/>
      <c r="E783" s="152"/>
      <c r="F783" s="152"/>
      <c r="G783" s="152"/>
      <c r="H783" s="152"/>
      <c r="I783" s="152"/>
      <c r="J783" s="152"/>
      <c r="K783" s="445"/>
      <c r="L783" s="445"/>
      <c r="M783" s="152"/>
      <c r="N783" s="152"/>
      <c r="O783" s="152"/>
      <c r="P783" s="152"/>
      <c r="Q783" s="152"/>
      <c r="R783" s="152"/>
      <c r="S783" s="152"/>
      <c r="T783" s="152"/>
      <c r="U783" s="152"/>
      <c r="V783" s="152"/>
      <c r="W783" s="152"/>
    </row>
    <row r="784">
      <c r="A784" s="152"/>
      <c r="B784" s="152"/>
      <c r="C784" s="152"/>
      <c r="D784" s="152"/>
      <c r="E784" s="152"/>
      <c r="F784" s="152"/>
      <c r="G784" s="152"/>
      <c r="H784" s="152"/>
      <c r="I784" s="152"/>
      <c r="J784" s="152"/>
      <c r="K784" s="445"/>
      <c r="L784" s="445"/>
      <c r="M784" s="152"/>
      <c r="N784" s="152"/>
      <c r="O784" s="152"/>
      <c r="P784" s="152"/>
      <c r="Q784" s="152"/>
      <c r="R784" s="152"/>
      <c r="S784" s="152"/>
      <c r="T784" s="152"/>
      <c r="U784" s="152"/>
      <c r="V784" s="152"/>
      <c r="W784" s="152"/>
    </row>
    <row r="785">
      <c r="A785" s="152"/>
      <c r="B785" s="152"/>
      <c r="C785" s="152"/>
      <c r="D785" s="152"/>
      <c r="E785" s="152"/>
      <c r="F785" s="152"/>
      <c r="G785" s="152"/>
      <c r="H785" s="152"/>
      <c r="I785" s="152"/>
      <c r="J785" s="152"/>
      <c r="K785" s="445"/>
      <c r="L785" s="445"/>
      <c r="M785" s="152"/>
      <c r="N785" s="152"/>
      <c r="O785" s="152"/>
      <c r="P785" s="152"/>
      <c r="Q785" s="152"/>
      <c r="R785" s="152"/>
      <c r="S785" s="152"/>
      <c r="T785" s="152"/>
      <c r="U785" s="152"/>
      <c r="V785" s="152"/>
      <c r="W785" s="152"/>
    </row>
    <row r="786">
      <c r="A786" s="152"/>
      <c r="B786" s="152"/>
      <c r="C786" s="152"/>
      <c r="D786" s="152"/>
      <c r="E786" s="152"/>
      <c r="F786" s="152"/>
      <c r="G786" s="152"/>
      <c r="H786" s="152"/>
      <c r="I786" s="152"/>
      <c r="J786" s="152"/>
      <c r="K786" s="445"/>
      <c r="L786" s="445"/>
      <c r="M786" s="152"/>
      <c r="N786" s="152"/>
      <c r="O786" s="152"/>
      <c r="P786" s="152"/>
      <c r="Q786" s="152"/>
      <c r="R786" s="152"/>
      <c r="S786" s="152"/>
      <c r="T786" s="152"/>
      <c r="U786" s="152"/>
      <c r="V786" s="152"/>
      <c r="W786" s="152"/>
    </row>
    <row r="787">
      <c r="A787" s="152"/>
      <c r="B787" s="152"/>
      <c r="C787" s="152"/>
      <c r="D787" s="152"/>
      <c r="E787" s="152"/>
      <c r="F787" s="152"/>
      <c r="G787" s="152"/>
      <c r="H787" s="152"/>
      <c r="I787" s="152"/>
      <c r="J787" s="152"/>
      <c r="K787" s="445"/>
      <c r="L787" s="445"/>
      <c r="M787" s="152"/>
      <c r="N787" s="152"/>
      <c r="O787" s="152"/>
      <c r="P787" s="152"/>
      <c r="Q787" s="152"/>
      <c r="R787" s="152"/>
      <c r="S787" s="152"/>
      <c r="T787" s="152"/>
      <c r="U787" s="152"/>
      <c r="V787" s="152"/>
      <c r="W787" s="152"/>
    </row>
    <row r="788">
      <c r="A788" s="152"/>
      <c r="B788" s="152"/>
      <c r="C788" s="152"/>
      <c r="D788" s="152"/>
      <c r="E788" s="152"/>
      <c r="F788" s="152"/>
      <c r="G788" s="152"/>
      <c r="H788" s="152"/>
      <c r="I788" s="152"/>
      <c r="J788" s="152"/>
      <c r="K788" s="445"/>
      <c r="L788" s="445"/>
      <c r="M788" s="152"/>
      <c r="N788" s="152"/>
      <c r="O788" s="152"/>
      <c r="P788" s="152"/>
      <c r="Q788" s="152"/>
      <c r="R788" s="152"/>
      <c r="S788" s="152"/>
      <c r="T788" s="152"/>
      <c r="U788" s="152"/>
      <c r="V788" s="152"/>
      <c r="W788" s="152"/>
    </row>
    <row r="789">
      <c r="A789" s="152"/>
      <c r="B789" s="152"/>
      <c r="C789" s="152"/>
      <c r="D789" s="152"/>
      <c r="E789" s="152"/>
      <c r="F789" s="152"/>
      <c r="G789" s="152"/>
      <c r="H789" s="152"/>
      <c r="I789" s="152"/>
      <c r="J789" s="152"/>
      <c r="K789" s="445"/>
      <c r="L789" s="445"/>
      <c r="M789" s="152"/>
      <c r="N789" s="152"/>
      <c r="O789" s="152"/>
      <c r="P789" s="152"/>
      <c r="Q789" s="152"/>
      <c r="R789" s="152"/>
      <c r="S789" s="152"/>
      <c r="T789" s="152"/>
      <c r="U789" s="152"/>
      <c r="V789" s="152"/>
      <c r="W789" s="152"/>
    </row>
    <row r="790">
      <c r="A790" s="152"/>
      <c r="B790" s="152"/>
      <c r="C790" s="152"/>
      <c r="D790" s="152"/>
      <c r="E790" s="152"/>
      <c r="F790" s="152"/>
      <c r="G790" s="152"/>
      <c r="H790" s="152"/>
      <c r="I790" s="152"/>
      <c r="J790" s="152"/>
      <c r="K790" s="445"/>
      <c r="L790" s="445"/>
      <c r="M790" s="152"/>
      <c r="N790" s="152"/>
      <c r="O790" s="152"/>
      <c r="P790" s="152"/>
      <c r="Q790" s="152"/>
      <c r="R790" s="152"/>
      <c r="S790" s="152"/>
      <c r="T790" s="152"/>
      <c r="U790" s="152"/>
      <c r="V790" s="152"/>
      <c r="W790" s="152"/>
    </row>
    <row r="791">
      <c r="A791" s="152"/>
      <c r="B791" s="152"/>
      <c r="C791" s="152"/>
      <c r="D791" s="152"/>
      <c r="E791" s="152"/>
      <c r="F791" s="152"/>
      <c r="G791" s="152"/>
      <c r="H791" s="152"/>
      <c r="I791" s="152"/>
      <c r="J791" s="152"/>
      <c r="K791" s="445"/>
      <c r="L791" s="445"/>
      <c r="M791" s="152"/>
      <c r="N791" s="152"/>
      <c r="O791" s="152"/>
      <c r="P791" s="152"/>
      <c r="Q791" s="152"/>
      <c r="R791" s="152"/>
      <c r="S791" s="152"/>
      <c r="T791" s="152"/>
      <c r="U791" s="152"/>
      <c r="V791" s="152"/>
      <c r="W791" s="152"/>
    </row>
    <row r="792">
      <c r="A792" s="152"/>
      <c r="B792" s="152"/>
      <c r="C792" s="152"/>
      <c r="D792" s="152"/>
      <c r="E792" s="152"/>
      <c r="F792" s="152"/>
      <c r="G792" s="152"/>
      <c r="H792" s="152"/>
      <c r="I792" s="152"/>
      <c r="J792" s="152"/>
      <c r="K792" s="445"/>
      <c r="L792" s="445"/>
      <c r="M792" s="152"/>
      <c r="N792" s="152"/>
      <c r="O792" s="152"/>
      <c r="P792" s="152"/>
      <c r="Q792" s="152"/>
      <c r="R792" s="152"/>
      <c r="S792" s="152"/>
      <c r="T792" s="152"/>
      <c r="U792" s="152"/>
      <c r="V792" s="152"/>
      <c r="W792" s="152"/>
    </row>
    <row r="793">
      <c r="A793" s="152"/>
      <c r="B793" s="152"/>
      <c r="C793" s="152"/>
      <c r="D793" s="152"/>
      <c r="E793" s="152"/>
      <c r="F793" s="152"/>
      <c r="G793" s="152"/>
      <c r="H793" s="152"/>
      <c r="I793" s="152"/>
      <c r="J793" s="152"/>
      <c r="K793" s="445"/>
      <c r="L793" s="445"/>
      <c r="M793" s="152"/>
      <c r="N793" s="152"/>
      <c r="O793" s="152"/>
      <c r="P793" s="152"/>
      <c r="Q793" s="152"/>
      <c r="R793" s="152"/>
      <c r="S793" s="152"/>
      <c r="T793" s="152"/>
      <c r="U793" s="152"/>
      <c r="V793" s="152"/>
      <c r="W793" s="152"/>
    </row>
    <row r="794">
      <c r="A794" s="152"/>
      <c r="B794" s="152"/>
      <c r="C794" s="152"/>
      <c r="D794" s="152"/>
      <c r="E794" s="152"/>
      <c r="F794" s="152"/>
      <c r="G794" s="152"/>
      <c r="H794" s="152"/>
      <c r="I794" s="152"/>
      <c r="J794" s="152"/>
      <c r="K794" s="445"/>
      <c r="L794" s="445"/>
      <c r="M794" s="152"/>
      <c r="N794" s="152"/>
      <c r="O794" s="152"/>
      <c r="P794" s="152"/>
      <c r="Q794" s="152"/>
      <c r="R794" s="152"/>
      <c r="S794" s="152"/>
      <c r="T794" s="152"/>
      <c r="U794" s="152"/>
      <c r="V794" s="152"/>
      <c r="W794" s="152"/>
    </row>
    <row r="795">
      <c r="A795" s="152"/>
      <c r="B795" s="152"/>
      <c r="C795" s="152"/>
      <c r="D795" s="152"/>
      <c r="E795" s="152"/>
      <c r="F795" s="152"/>
      <c r="G795" s="152"/>
      <c r="H795" s="152"/>
      <c r="I795" s="152"/>
      <c r="J795" s="152"/>
      <c r="K795" s="445"/>
      <c r="L795" s="445"/>
      <c r="M795" s="152"/>
      <c r="N795" s="152"/>
      <c r="O795" s="152"/>
      <c r="P795" s="152"/>
      <c r="Q795" s="152"/>
      <c r="R795" s="152"/>
      <c r="S795" s="152"/>
      <c r="T795" s="152"/>
      <c r="U795" s="152"/>
      <c r="V795" s="152"/>
      <c r="W795" s="152"/>
    </row>
    <row r="796">
      <c r="A796" s="152"/>
      <c r="B796" s="152"/>
      <c r="C796" s="152"/>
      <c r="D796" s="152"/>
      <c r="E796" s="152"/>
      <c r="F796" s="152"/>
      <c r="G796" s="152"/>
      <c r="H796" s="152"/>
      <c r="I796" s="152"/>
      <c r="J796" s="152"/>
      <c r="K796" s="445"/>
      <c r="L796" s="445"/>
      <c r="M796" s="152"/>
      <c r="N796" s="152"/>
      <c r="O796" s="152"/>
      <c r="P796" s="152"/>
      <c r="Q796" s="152"/>
      <c r="R796" s="152"/>
      <c r="S796" s="152"/>
      <c r="T796" s="152"/>
      <c r="U796" s="152"/>
      <c r="V796" s="152"/>
      <c r="W796" s="152"/>
    </row>
    <row r="797">
      <c r="A797" s="152"/>
      <c r="B797" s="152"/>
      <c r="C797" s="152"/>
      <c r="D797" s="152"/>
      <c r="E797" s="152"/>
      <c r="F797" s="152"/>
      <c r="G797" s="152"/>
      <c r="H797" s="152"/>
      <c r="I797" s="152"/>
      <c r="J797" s="152"/>
      <c r="K797" s="445"/>
      <c r="L797" s="445"/>
      <c r="M797" s="152"/>
      <c r="N797" s="152"/>
      <c r="O797" s="152"/>
      <c r="P797" s="152"/>
      <c r="Q797" s="152"/>
      <c r="R797" s="152"/>
      <c r="S797" s="152"/>
      <c r="T797" s="152"/>
      <c r="U797" s="152"/>
      <c r="V797" s="152"/>
      <c r="W797" s="152"/>
    </row>
    <row r="798">
      <c r="A798" s="152"/>
      <c r="B798" s="152"/>
      <c r="C798" s="152"/>
      <c r="D798" s="152"/>
      <c r="E798" s="152"/>
      <c r="F798" s="152"/>
      <c r="G798" s="152"/>
      <c r="H798" s="152"/>
      <c r="I798" s="152"/>
      <c r="J798" s="152"/>
      <c r="K798" s="445"/>
      <c r="L798" s="445"/>
      <c r="M798" s="152"/>
      <c r="N798" s="152"/>
      <c r="O798" s="152"/>
      <c r="P798" s="152"/>
      <c r="Q798" s="152"/>
      <c r="R798" s="152"/>
      <c r="S798" s="152"/>
      <c r="T798" s="152"/>
      <c r="U798" s="152"/>
      <c r="V798" s="152"/>
      <c r="W798" s="152"/>
    </row>
    <row r="799">
      <c r="A799" s="152"/>
      <c r="B799" s="152"/>
      <c r="C799" s="152"/>
      <c r="D799" s="152"/>
      <c r="E799" s="152"/>
      <c r="F799" s="152"/>
      <c r="G799" s="152"/>
      <c r="H799" s="152"/>
      <c r="I799" s="152"/>
      <c r="J799" s="152"/>
      <c r="K799" s="445"/>
      <c r="L799" s="445"/>
      <c r="M799" s="152"/>
      <c r="N799" s="152"/>
      <c r="O799" s="152"/>
      <c r="P799" s="152"/>
      <c r="Q799" s="152"/>
      <c r="R799" s="152"/>
      <c r="S799" s="152"/>
      <c r="T799" s="152"/>
      <c r="U799" s="152"/>
      <c r="V799" s="152"/>
      <c r="W799" s="152"/>
    </row>
    <row r="800">
      <c r="A800" s="152"/>
      <c r="B800" s="152"/>
      <c r="C800" s="152"/>
      <c r="D800" s="152"/>
      <c r="E800" s="152"/>
      <c r="F800" s="152"/>
      <c r="G800" s="152"/>
      <c r="H800" s="152"/>
      <c r="I800" s="152"/>
      <c r="J800" s="152"/>
      <c r="K800" s="445"/>
      <c r="L800" s="445"/>
      <c r="M800" s="152"/>
      <c r="N800" s="152"/>
      <c r="O800" s="152"/>
      <c r="P800" s="152"/>
      <c r="Q800" s="152"/>
      <c r="R800" s="152"/>
      <c r="S800" s="152"/>
      <c r="T800" s="152"/>
      <c r="U800" s="152"/>
      <c r="V800" s="152"/>
      <c r="W800" s="152"/>
    </row>
    <row r="801">
      <c r="A801" s="152"/>
      <c r="B801" s="152"/>
      <c r="C801" s="152"/>
      <c r="D801" s="152"/>
      <c r="E801" s="152"/>
      <c r="F801" s="152"/>
      <c r="G801" s="152"/>
      <c r="H801" s="152"/>
      <c r="I801" s="152"/>
      <c r="J801" s="152"/>
      <c r="K801" s="445"/>
      <c r="L801" s="445"/>
      <c r="M801" s="152"/>
      <c r="N801" s="152"/>
      <c r="O801" s="152"/>
      <c r="P801" s="152"/>
      <c r="Q801" s="152"/>
      <c r="R801" s="152"/>
      <c r="S801" s="152"/>
      <c r="T801" s="152"/>
      <c r="U801" s="152"/>
      <c r="V801" s="152"/>
      <c r="W801" s="152"/>
    </row>
    <row r="802">
      <c r="A802" s="152"/>
      <c r="B802" s="152"/>
      <c r="C802" s="152"/>
      <c r="D802" s="152"/>
      <c r="E802" s="152"/>
      <c r="F802" s="152"/>
      <c r="G802" s="152"/>
      <c r="H802" s="152"/>
      <c r="I802" s="152"/>
      <c r="J802" s="152"/>
      <c r="K802" s="445"/>
      <c r="L802" s="445"/>
      <c r="M802" s="152"/>
      <c r="N802" s="152"/>
      <c r="O802" s="152"/>
      <c r="P802" s="152"/>
      <c r="Q802" s="152"/>
      <c r="R802" s="152"/>
      <c r="S802" s="152"/>
      <c r="T802" s="152"/>
      <c r="U802" s="152"/>
      <c r="V802" s="152"/>
      <c r="W802" s="152"/>
    </row>
    <row r="803">
      <c r="A803" s="152"/>
      <c r="B803" s="152"/>
      <c r="C803" s="152"/>
      <c r="D803" s="152"/>
      <c r="E803" s="152"/>
      <c r="F803" s="152"/>
      <c r="G803" s="152"/>
      <c r="H803" s="152"/>
      <c r="I803" s="152"/>
      <c r="J803" s="152"/>
      <c r="K803" s="445"/>
      <c r="L803" s="445"/>
      <c r="M803" s="152"/>
      <c r="N803" s="152"/>
      <c r="O803" s="152"/>
      <c r="P803" s="152"/>
      <c r="Q803" s="152"/>
      <c r="R803" s="152"/>
      <c r="S803" s="152"/>
      <c r="T803" s="152"/>
      <c r="U803" s="152"/>
      <c r="V803" s="152"/>
      <c r="W803" s="152"/>
    </row>
    <row r="804">
      <c r="A804" s="152"/>
      <c r="B804" s="152"/>
      <c r="C804" s="152"/>
      <c r="D804" s="152"/>
      <c r="E804" s="152"/>
      <c r="F804" s="152"/>
      <c r="G804" s="152"/>
      <c r="H804" s="152"/>
      <c r="I804" s="152"/>
      <c r="J804" s="152"/>
      <c r="K804" s="445"/>
      <c r="L804" s="445"/>
      <c r="M804" s="152"/>
      <c r="N804" s="152"/>
      <c r="O804" s="152"/>
      <c r="P804" s="152"/>
      <c r="Q804" s="152"/>
      <c r="R804" s="152"/>
      <c r="S804" s="152"/>
      <c r="T804" s="152"/>
      <c r="U804" s="152"/>
      <c r="V804" s="152"/>
      <c r="W804" s="152"/>
    </row>
    <row r="805">
      <c r="A805" s="152"/>
      <c r="B805" s="152"/>
      <c r="C805" s="152"/>
      <c r="D805" s="152"/>
      <c r="E805" s="152"/>
      <c r="F805" s="152"/>
      <c r="G805" s="152"/>
      <c r="H805" s="152"/>
      <c r="I805" s="152"/>
      <c r="J805" s="152"/>
      <c r="K805" s="445"/>
      <c r="L805" s="445"/>
      <c r="M805" s="152"/>
      <c r="N805" s="152"/>
      <c r="O805" s="152"/>
      <c r="P805" s="152"/>
      <c r="Q805" s="152"/>
      <c r="R805" s="152"/>
      <c r="S805" s="152"/>
      <c r="T805" s="152"/>
      <c r="U805" s="152"/>
      <c r="V805" s="152"/>
      <c r="W805" s="152"/>
    </row>
    <row r="806">
      <c r="A806" s="152"/>
      <c r="B806" s="152"/>
      <c r="C806" s="152"/>
      <c r="D806" s="152"/>
      <c r="E806" s="152"/>
      <c r="F806" s="152"/>
      <c r="G806" s="152"/>
      <c r="H806" s="152"/>
      <c r="I806" s="152"/>
      <c r="J806" s="152"/>
      <c r="K806" s="445"/>
      <c r="L806" s="445"/>
      <c r="M806" s="152"/>
      <c r="N806" s="152"/>
      <c r="O806" s="152"/>
      <c r="P806" s="152"/>
      <c r="Q806" s="152"/>
      <c r="R806" s="152"/>
      <c r="S806" s="152"/>
      <c r="T806" s="152"/>
      <c r="U806" s="152"/>
      <c r="V806" s="152"/>
      <c r="W806" s="152"/>
    </row>
    <row r="807">
      <c r="A807" s="152"/>
      <c r="B807" s="152"/>
      <c r="C807" s="152"/>
      <c r="D807" s="152"/>
      <c r="E807" s="152"/>
      <c r="F807" s="152"/>
      <c r="G807" s="152"/>
      <c r="H807" s="152"/>
      <c r="I807" s="152"/>
      <c r="J807" s="152"/>
      <c r="K807" s="445"/>
      <c r="L807" s="445"/>
      <c r="M807" s="152"/>
      <c r="N807" s="152"/>
      <c r="O807" s="152"/>
      <c r="P807" s="152"/>
      <c r="Q807" s="152"/>
      <c r="R807" s="152"/>
      <c r="S807" s="152"/>
      <c r="T807" s="152"/>
      <c r="U807" s="152"/>
      <c r="V807" s="152"/>
      <c r="W807" s="152"/>
    </row>
    <row r="808">
      <c r="A808" s="152"/>
      <c r="B808" s="152"/>
      <c r="C808" s="152"/>
      <c r="D808" s="152"/>
      <c r="E808" s="152"/>
      <c r="F808" s="152"/>
      <c r="G808" s="152"/>
      <c r="H808" s="152"/>
      <c r="I808" s="152"/>
      <c r="J808" s="152"/>
      <c r="K808" s="445"/>
      <c r="L808" s="445"/>
      <c r="M808" s="152"/>
      <c r="N808" s="152"/>
      <c r="O808" s="152"/>
      <c r="P808" s="152"/>
      <c r="Q808" s="152"/>
      <c r="R808" s="152"/>
      <c r="S808" s="152"/>
      <c r="T808" s="152"/>
      <c r="U808" s="152"/>
      <c r="V808" s="152"/>
      <c r="W808" s="152"/>
    </row>
    <row r="809">
      <c r="A809" s="152"/>
      <c r="B809" s="152"/>
      <c r="C809" s="152"/>
      <c r="D809" s="152"/>
      <c r="E809" s="152"/>
      <c r="F809" s="152"/>
      <c r="G809" s="152"/>
      <c r="H809" s="152"/>
      <c r="I809" s="152"/>
      <c r="J809" s="152"/>
      <c r="K809" s="445"/>
      <c r="L809" s="445"/>
      <c r="M809" s="152"/>
      <c r="N809" s="152"/>
      <c r="O809" s="152"/>
      <c r="P809" s="152"/>
      <c r="Q809" s="152"/>
      <c r="R809" s="152"/>
      <c r="S809" s="152"/>
      <c r="T809" s="152"/>
      <c r="U809" s="152"/>
      <c r="V809" s="152"/>
      <c r="W809" s="152"/>
    </row>
    <row r="810">
      <c r="A810" s="152"/>
      <c r="B810" s="152"/>
      <c r="C810" s="152"/>
      <c r="D810" s="152"/>
      <c r="E810" s="152"/>
      <c r="F810" s="152"/>
      <c r="G810" s="152"/>
      <c r="H810" s="152"/>
      <c r="I810" s="152"/>
      <c r="J810" s="152"/>
      <c r="K810" s="445"/>
      <c r="L810" s="445"/>
      <c r="M810" s="152"/>
      <c r="N810" s="152"/>
      <c r="O810" s="152"/>
      <c r="P810" s="152"/>
      <c r="Q810" s="152"/>
      <c r="R810" s="152"/>
      <c r="S810" s="152"/>
      <c r="T810" s="152"/>
      <c r="U810" s="152"/>
      <c r="V810" s="152"/>
      <c r="W810" s="152"/>
    </row>
    <row r="811">
      <c r="A811" s="152"/>
      <c r="B811" s="152"/>
      <c r="C811" s="152"/>
      <c r="D811" s="152"/>
      <c r="E811" s="152"/>
      <c r="F811" s="152"/>
      <c r="G811" s="152"/>
      <c r="H811" s="152"/>
      <c r="I811" s="152"/>
      <c r="J811" s="152"/>
      <c r="K811" s="445"/>
      <c r="L811" s="445"/>
      <c r="M811" s="152"/>
      <c r="N811" s="152"/>
      <c r="O811" s="152"/>
      <c r="P811" s="152"/>
      <c r="Q811" s="152"/>
      <c r="R811" s="152"/>
      <c r="S811" s="152"/>
      <c r="T811" s="152"/>
      <c r="U811" s="152"/>
      <c r="V811" s="152"/>
      <c r="W811" s="152"/>
    </row>
    <row r="812">
      <c r="A812" s="152"/>
      <c r="B812" s="152"/>
      <c r="C812" s="152"/>
      <c r="D812" s="152"/>
      <c r="E812" s="152"/>
      <c r="F812" s="152"/>
      <c r="G812" s="152"/>
      <c r="H812" s="152"/>
      <c r="I812" s="152"/>
      <c r="J812" s="152"/>
      <c r="K812" s="445"/>
      <c r="L812" s="445"/>
      <c r="M812" s="152"/>
      <c r="N812" s="152"/>
      <c r="O812" s="152"/>
      <c r="P812" s="152"/>
      <c r="Q812" s="152"/>
      <c r="R812" s="152"/>
      <c r="S812" s="152"/>
      <c r="T812" s="152"/>
      <c r="U812" s="152"/>
      <c r="V812" s="152"/>
      <c r="W812" s="152"/>
    </row>
    <row r="813">
      <c r="A813" s="152"/>
      <c r="B813" s="152"/>
      <c r="C813" s="152"/>
      <c r="D813" s="152"/>
      <c r="E813" s="152"/>
      <c r="F813" s="152"/>
      <c r="G813" s="152"/>
      <c r="H813" s="152"/>
      <c r="I813" s="152"/>
      <c r="J813" s="152"/>
      <c r="K813" s="445"/>
      <c r="L813" s="445"/>
      <c r="M813" s="152"/>
      <c r="N813" s="152"/>
      <c r="O813" s="152"/>
      <c r="P813" s="152"/>
      <c r="Q813" s="152"/>
      <c r="R813" s="152"/>
      <c r="S813" s="152"/>
      <c r="T813" s="152"/>
      <c r="U813" s="152"/>
      <c r="V813" s="152"/>
      <c r="W813" s="152"/>
    </row>
    <row r="814">
      <c r="A814" s="152"/>
      <c r="B814" s="152"/>
      <c r="C814" s="152"/>
      <c r="D814" s="152"/>
      <c r="E814" s="152"/>
      <c r="F814" s="152"/>
      <c r="G814" s="152"/>
      <c r="H814" s="152"/>
      <c r="I814" s="152"/>
      <c r="J814" s="152"/>
      <c r="K814" s="445"/>
      <c r="L814" s="445"/>
      <c r="M814" s="152"/>
      <c r="N814" s="152"/>
      <c r="O814" s="152"/>
      <c r="P814" s="152"/>
      <c r="Q814" s="152"/>
      <c r="R814" s="152"/>
      <c r="S814" s="152"/>
      <c r="T814" s="152"/>
      <c r="U814" s="152"/>
      <c r="V814" s="152"/>
      <c r="W814" s="152"/>
    </row>
    <row r="815">
      <c r="A815" s="152"/>
      <c r="B815" s="152"/>
      <c r="C815" s="152"/>
      <c r="D815" s="152"/>
      <c r="E815" s="152"/>
      <c r="F815" s="152"/>
      <c r="G815" s="152"/>
      <c r="H815" s="152"/>
      <c r="I815" s="152"/>
      <c r="J815" s="152"/>
      <c r="K815" s="445"/>
      <c r="L815" s="445"/>
      <c r="M815" s="152"/>
      <c r="N815" s="152"/>
      <c r="O815" s="152"/>
      <c r="P815" s="152"/>
      <c r="Q815" s="152"/>
      <c r="R815" s="152"/>
      <c r="S815" s="152"/>
      <c r="T815" s="152"/>
      <c r="U815" s="152"/>
      <c r="V815" s="152"/>
      <c r="W815" s="152"/>
    </row>
    <row r="816">
      <c r="A816" s="152"/>
      <c r="B816" s="152"/>
      <c r="C816" s="152"/>
      <c r="D816" s="152"/>
      <c r="E816" s="152"/>
      <c r="F816" s="152"/>
      <c r="G816" s="152"/>
      <c r="H816" s="152"/>
      <c r="I816" s="152"/>
      <c r="J816" s="152"/>
      <c r="K816" s="445"/>
      <c r="L816" s="445"/>
      <c r="M816" s="152"/>
      <c r="N816" s="152"/>
      <c r="O816" s="152"/>
      <c r="P816" s="152"/>
      <c r="Q816" s="152"/>
      <c r="R816" s="152"/>
      <c r="S816" s="152"/>
      <c r="T816" s="152"/>
      <c r="U816" s="152"/>
      <c r="V816" s="152"/>
      <c r="W816" s="152"/>
    </row>
    <row r="817">
      <c r="A817" s="152"/>
      <c r="B817" s="152"/>
      <c r="C817" s="152"/>
      <c r="D817" s="152"/>
      <c r="E817" s="152"/>
      <c r="F817" s="152"/>
      <c r="G817" s="152"/>
      <c r="H817" s="152"/>
      <c r="I817" s="152"/>
      <c r="J817" s="152"/>
      <c r="K817" s="445"/>
      <c r="L817" s="445"/>
      <c r="M817" s="152"/>
      <c r="N817" s="152"/>
      <c r="O817" s="152"/>
      <c r="P817" s="152"/>
      <c r="Q817" s="152"/>
      <c r="R817" s="152"/>
      <c r="S817" s="152"/>
      <c r="T817" s="152"/>
      <c r="U817" s="152"/>
      <c r="V817" s="152"/>
      <c r="W817" s="152"/>
    </row>
    <row r="818">
      <c r="A818" s="152"/>
      <c r="B818" s="152"/>
      <c r="C818" s="152"/>
      <c r="D818" s="152"/>
      <c r="E818" s="152"/>
      <c r="F818" s="152"/>
      <c r="G818" s="152"/>
      <c r="H818" s="152"/>
      <c r="I818" s="152"/>
      <c r="J818" s="152"/>
      <c r="K818" s="445"/>
      <c r="L818" s="445"/>
      <c r="M818" s="152"/>
      <c r="N818" s="152"/>
      <c r="O818" s="152"/>
      <c r="P818" s="152"/>
      <c r="Q818" s="152"/>
      <c r="R818" s="152"/>
      <c r="S818" s="152"/>
      <c r="T818" s="152"/>
      <c r="U818" s="152"/>
      <c r="V818" s="152"/>
      <c r="W818" s="152"/>
    </row>
    <row r="819">
      <c r="A819" s="152"/>
      <c r="B819" s="152"/>
      <c r="C819" s="152"/>
      <c r="D819" s="152"/>
      <c r="E819" s="152"/>
      <c r="F819" s="152"/>
      <c r="G819" s="152"/>
      <c r="H819" s="152"/>
      <c r="I819" s="152"/>
      <c r="J819" s="152"/>
      <c r="K819" s="445"/>
      <c r="L819" s="445"/>
      <c r="M819" s="152"/>
      <c r="N819" s="152"/>
      <c r="O819" s="152"/>
      <c r="P819" s="152"/>
      <c r="Q819" s="152"/>
      <c r="R819" s="152"/>
      <c r="S819" s="152"/>
      <c r="T819" s="152"/>
      <c r="U819" s="152"/>
      <c r="V819" s="152"/>
      <c r="W819" s="152"/>
    </row>
    <row r="820">
      <c r="A820" s="152"/>
      <c r="B820" s="152"/>
      <c r="C820" s="152"/>
      <c r="D820" s="152"/>
      <c r="E820" s="152"/>
      <c r="F820" s="152"/>
      <c r="G820" s="152"/>
      <c r="H820" s="152"/>
      <c r="I820" s="152"/>
      <c r="J820" s="152"/>
      <c r="K820" s="445"/>
      <c r="L820" s="445"/>
      <c r="M820" s="152"/>
      <c r="N820" s="152"/>
      <c r="O820" s="152"/>
      <c r="P820" s="152"/>
      <c r="Q820" s="152"/>
      <c r="R820" s="152"/>
      <c r="S820" s="152"/>
      <c r="T820" s="152"/>
      <c r="U820" s="152"/>
      <c r="V820" s="152"/>
      <c r="W820" s="152"/>
    </row>
    <row r="821">
      <c r="A821" s="152"/>
      <c r="B821" s="152"/>
      <c r="C821" s="152"/>
      <c r="D821" s="152"/>
      <c r="E821" s="152"/>
      <c r="F821" s="152"/>
      <c r="G821" s="152"/>
      <c r="H821" s="152"/>
      <c r="I821" s="152"/>
      <c r="J821" s="152"/>
      <c r="K821" s="445"/>
      <c r="L821" s="445"/>
      <c r="M821" s="152"/>
      <c r="N821" s="152"/>
      <c r="O821" s="152"/>
      <c r="P821" s="152"/>
      <c r="Q821" s="152"/>
      <c r="R821" s="152"/>
      <c r="S821" s="152"/>
      <c r="T821" s="152"/>
      <c r="U821" s="152"/>
      <c r="V821" s="152"/>
      <c r="W821" s="152"/>
    </row>
    <row r="822">
      <c r="A822" s="152"/>
      <c r="B822" s="152"/>
      <c r="C822" s="152"/>
      <c r="D822" s="152"/>
      <c r="E822" s="152"/>
      <c r="F822" s="152"/>
      <c r="G822" s="152"/>
      <c r="H822" s="152"/>
      <c r="I822" s="152"/>
      <c r="J822" s="152"/>
      <c r="K822" s="445"/>
      <c r="L822" s="445"/>
      <c r="M822" s="152"/>
      <c r="N822" s="152"/>
      <c r="O822" s="152"/>
      <c r="P822" s="152"/>
      <c r="Q822" s="152"/>
      <c r="R822" s="152"/>
      <c r="S822" s="152"/>
      <c r="T822" s="152"/>
      <c r="U822" s="152"/>
      <c r="V822" s="152"/>
      <c r="W822" s="152"/>
    </row>
    <row r="823">
      <c r="A823" s="152"/>
      <c r="B823" s="152"/>
      <c r="C823" s="152"/>
      <c r="D823" s="152"/>
      <c r="E823" s="152"/>
      <c r="F823" s="152"/>
      <c r="G823" s="152"/>
      <c r="H823" s="152"/>
      <c r="I823" s="152"/>
      <c r="J823" s="152"/>
      <c r="K823" s="445"/>
      <c r="L823" s="445"/>
      <c r="M823" s="152"/>
      <c r="N823" s="152"/>
      <c r="O823" s="152"/>
      <c r="P823" s="152"/>
      <c r="Q823" s="152"/>
      <c r="R823" s="152"/>
      <c r="S823" s="152"/>
      <c r="T823" s="152"/>
      <c r="U823" s="152"/>
      <c r="V823" s="152"/>
      <c r="W823" s="152"/>
    </row>
    <row r="824">
      <c r="A824" s="152"/>
      <c r="B824" s="152"/>
      <c r="C824" s="152"/>
      <c r="D824" s="152"/>
      <c r="E824" s="152"/>
      <c r="F824" s="152"/>
      <c r="G824" s="152"/>
      <c r="H824" s="152"/>
      <c r="I824" s="152"/>
      <c r="J824" s="152"/>
      <c r="K824" s="445"/>
      <c r="L824" s="445"/>
      <c r="M824" s="152"/>
      <c r="N824" s="152"/>
      <c r="O824" s="152"/>
      <c r="P824" s="152"/>
      <c r="Q824" s="152"/>
      <c r="R824" s="152"/>
      <c r="S824" s="152"/>
      <c r="T824" s="152"/>
      <c r="U824" s="152"/>
      <c r="V824" s="152"/>
      <c r="W824" s="152"/>
    </row>
    <row r="825">
      <c r="A825" s="152"/>
      <c r="B825" s="152"/>
      <c r="C825" s="152"/>
      <c r="D825" s="152"/>
      <c r="E825" s="152"/>
      <c r="F825" s="152"/>
      <c r="G825" s="152"/>
      <c r="H825" s="152"/>
      <c r="I825" s="152"/>
      <c r="J825" s="152"/>
      <c r="K825" s="445"/>
      <c r="L825" s="445"/>
      <c r="M825" s="152"/>
      <c r="N825" s="152"/>
      <c r="O825" s="152"/>
      <c r="P825" s="152"/>
      <c r="Q825" s="152"/>
      <c r="R825" s="152"/>
      <c r="S825" s="152"/>
      <c r="T825" s="152"/>
      <c r="U825" s="152"/>
      <c r="V825" s="152"/>
      <c r="W825" s="152"/>
    </row>
    <row r="826">
      <c r="A826" s="152"/>
      <c r="B826" s="152"/>
      <c r="C826" s="152"/>
      <c r="D826" s="152"/>
      <c r="E826" s="152"/>
      <c r="F826" s="152"/>
      <c r="G826" s="152"/>
      <c r="H826" s="152"/>
      <c r="I826" s="152"/>
      <c r="J826" s="152"/>
      <c r="K826" s="445"/>
      <c r="L826" s="445"/>
      <c r="M826" s="152"/>
      <c r="N826" s="152"/>
      <c r="O826" s="152"/>
      <c r="P826" s="152"/>
      <c r="Q826" s="152"/>
      <c r="R826" s="152"/>
      <c r="S826" s="152"/>
      <c r="T826" s="152"/>
      <c r="U826" s="152"/>
      <c r="V826" s="152"/>
      <c r="W826" s="152"/>
    </row>
    <row r="827">
      <c r="A827" s="152"/>
      <c r="B827" s="152"/>
      <c r="C827" s="152"/>
      <c r="D827" s="152"/>
      <c r="E827" s="152"/>
      <c r="F827" s="152"/>
      <c r="G827" s="152"/>
      <c r="H827" s="152"/>
      <c r="I827" s="152"/>
      <c r="J827" s="152"/>
      <c r="K827" s="445"/>
      <c r="L827" s="445"/>
      <c r="M827" s="152"/>
      <c r="N827" s="152"/>
      <c r="O827" s="152"/>
      <c r="P827" s="152"/>
      <c r="Q827" s="152"/>
      <c r="R827" s="152"/>
      <c r="S827" s="152"/>
      <c r="T827" s="152"/>
      <c r="U827" s="152"/>
      <c r="V827" s="152"/>
      <c r="W827" s="152"/>
    </row>
    <row r="828">
      <c r="A828" s="152"/>
      <c r="B828" s="152"/>
      <c r="C828" s="152"/>
      <c r="D828" s="152"/>
      <c r="E828" s="152"/>
      <c r="F828" s="152"/>
      <c r="G828" s="152"/>
      <c r="H828" s="152"/>
      <c r="I828" s="152"/>
      <c r="J828" s="152"/>
      <c r="K828" s="445"/>
      <c r="L828" s="445"/>
      <c r="M828" s="152"/>
      <c r="N828" s="152"/>
      <c r="O828" s="152"/>
      <c r="P828" s="152"/>
      <c r="Q828" s="152"/>
      <c r="R828" s="152"/>
      <c r="S828" s="152"/>
      <c r="T828" s="152"/>
      <c r="U828" s="152"/>
      <c r="V828" s="152"/>
      <c r="W828" s="152"/>
    </row>
    <row r="829">
      <c r="A829" s="152"/>
      <c r="B829" s="152"/>
      <c r="C829" s="152"/>
      <c r="D829" s="152"/>
      <c r="E829" s="152"/>
      <c r="F829" s="152"/>
      <c r="G829" s="152"/>
      <c r="H829" s="152"/>
      <c r="I829" s="152"/>
      <c r="J829" s="152"/>
      <c r="K829" s="445"/>
      <c r="L829" s="445"/>
      <c r="M829" s="152"/>
      <c r="N829" s="152"/>
      <c r="O829" s="152"/>
      <c r="P829" s="152"/>
      <c r="Q829" s="152"/>
      <c r="R829" s="152"/>
      <c r="S829" s="152"/>
      <c r="T829" s="152"/>
      <c r="U829" s="152"/>
      <c r="V829" s="152"/>
      <c r="W829" s="152"/>
    </row>
    <row r="830">
      <c r="A830" s="152"/>
      <c r="B830" s="152"/>
      <c r="C830" s="152"/>
      <c r="D830" s="152"/>
      <c r="E830" s="152"/>
      <c r="F830" s="152"/>
      <c r="G830" s="152"/>
      <c r="H830" s="152"/>
      <c r="I830" s="152"/>
      <c r="J830" s="152"/>
      <c r="K830" s="445"/>
      <c r="L830" s="445"/>
      <c r="M830" s="152"/>
      <c r="N830" s="152"/>
      <c r="O830" s="152"/>
      <c r="P830" s="152"/>
      <c r="Q830" s="152"/>
      <c r="R830" s="152"/>
      <c r="S830" s="152"/>
      <c r="T830" s="152"/>
      <c r="U830" s="152"/>
      <c r="V830" s="152"/>
      <c r="W830" s="152"/>
    </row>
    <row r="831">
      <c r="A831" s="152"/>
      <c r="B831" s="152"/>
      <c r="C831" s="152"/>
      <c r="D831" s="152"/>
      <c r="E831" s="152"/>
      <c r="F831" s="152"/>
      <c r="G831" s="152"/>
      <c r="H831" s="152"/>
      <c r="I831" s="152"/>
      <c r="J831" s="152"/>
      <c r="K831" s="445"/>
      <c r="L831" s="445"/>
      <c r="M831" s="152"/>
      <c r="N831" s="152"/>
      <c r="O831" s="152"/>
      <c r="P831" s="152"/>
      <c r="Q831" s="152"/>
      <c r="R831" s="152"/>
      <c r="S831" s="152"/>
      <c r="T831" s="152"/>
      <c r="U831" s="152"/>
      <c r="V831" s="152"/>
      <c r="W831" s="152"/>
    </row>
    <row r="832">
      <c r="A832" s="152"/>
      <c r="B832" s="152"/>
      <c r="C832" s="152"/>
      <c r="D832" s="152"/>
      <c r="E832" s="152"/>
      <c r="F832" s="152"/>
      <c r="G832" s="152"/>
      <c r="H832" s="152"/>
      <c r="I832" s="152"/>
      <c r="J832" s="152"/>
      <c r="K832" s="445"/>
      <c r="L832" s="445"/>
      <c r="M832" s="152"/>
      <c r="N832" s="152"/>
      <c r="O832" s="152"/>
      <c r="P832" s="152"/>
      <c r="Q832" s="152"/>
      <c r="R832" s="152"/>
      <c r="S832" s="152"/>
      <c r="T832" s="152"/>
      <c r="U832" s="152"/>
      <c r="V832" s="152"/>
      <c r="W832" s="152"/>
    </row>
    <row r="833">
      <c r="A833" s="152"/>
      <c r="B833" s="152"/>
      <c r="C833" s="152"/>
      <c r="D833" s="152"/>
      <c r="E833" s="152"/>
      <c r="F833" s="152"/>
      <c r="G833" s="152"/>
      <c r="H833" s="152"/>
      <c r="I833" s="152"/>
      <c r="J833" s="152"/>
      <c r="K833" s="445"/>
      <c r="L833" s="445"/>
      <c r="M833" s="152"/>
      <c r="N833" s="152"/>
      <c r="O833" s="152"/>
      <c r="P833" s="152"/>
      <c r="Q833" s="152"/>
      <c r="R833" s="152"/>
      <c r="S833" s="152"/>
      <c r="T833" s="152"/>
      <c r="U833" s="152"/>
      <c r="V833" s="152"/>
      <c r="W833" s="152"/>
    </row>
    <row r="834">
      <c r="A834" s="152"/>
      <c r="B834" s="152"/>
      <c r="C834" s="152"/>
      <c r="D834" s="152"/>
      <c r="E834" s="152"/>
      <c r="F834" s="152"/>
      <c r="G834" s="152"/>
      <c r="H834" s="152"/>
      <c r="I834" s="152"/>
      <c r="J834" s="152"/>
      <c r="K834" s="445"/>
      <c r="L834" s="445"/>
      <c r="M834" s="152"/>
      <c r="N834" s="152"/>
      <c r="O834" s="152"/>
      <c r="P834" s="152"/>
      <c r="Q834" s="152"/>
      <c r="R834" s="152"/>
      <c r="S834" s="152"/>
      <c r="T834" s="152"/>
      <c r="U834" s="152"/>
      <c r="V834" s="152"/>
      <c r="W834" s="152"/>
    </row>
    <row r="835">
      <c r="A835" s="152"/>
      <c r="B835" s="152"/>
      <c r="C835" s="152"/>
      <c r="D835" s="152"/>
      <c r="E835" s="152"/>
      <c r="F835" s="152"/>
      <c r="G835" s="152"/>
      <c r="H835" s="152"/>
      <c r="I835" s="152"/>
      <c r="J835" s="152"/>
      <c r="K835" s="445"/>
      <c r="L835" s="445"/>
      <c r="M835" s="152"/>
      <c r="N835" s="152"/>
      <c r="O835" s="152"/>
      <c r="P835" s="152"/>
      <c r="Q835" s="152"/>
      <c r="R835" s="152"/>
      <c r="S835" s="152"/>
      <c r="T835" s="152"/>
      <c r="U835" s="152"/>
      <c r="V835" s="152"/>
      <c r="W835" s="152"/>
    </row>
    <row r="836">
      <c r="A836" s="152"/>
      <c r="B836" s="152"/>
      <c r="C836" s="152"/>
      <c r="D836" s="152"/>
      <c r="E836" s="152"/>
      <c r="F836" s="152"/>
      <c r="G836" s="152"/>
      <c r="H836" s="152"/>
      <c r="I836" s="152"/>
      <c r="J836" s="152"/>
      <c r="K836" s="445"/>
      <c r="L836" s="445"/>
      <c r="M836" s="152"/>
      <c r="N836" s="152"/>
      <c r="O836" s="152"/>
      <c r="P836" s="152"/>
      <c r="Q836" s="152"/>
      <c r="R836" s="152"/>
      <c r="S836" s="152"/>
      <c r="T836" s="152"/>
      <c r="U836" s="152"/>
      <c r="V836" s="152"/>
      <c r="W836" s="152"/>
    </row>
    <row r="837">
      <c r="A837" s="152"/>
      <c r="B837" s="152"/>
      <c r="C837" s="152"/>
      <c r="D837" s="152"/>
      <c r="E837" s="152"/>
      <c r="F837" s="152"/>
      <c r="G837" s="152"/>
      <c r="H837" s="152"/>
      <c r="I837" s="152"/>
      <c r="J837" s="152"/>
      <c r="K837" s="445"/>
      <c r="L837" s="445"/>
      <c r="M837" s="152"/>
      <c r="N837" s="152"/>
      <c r="O837" s="152"/>
      <c r="P837" s="152"/>
      <c r="Q837" s="152"/>
      <c r="R837" s="152"/>
      <c r="S837" s="152"/>
      <c r="T837" s="152"/>
      <c r="U837" s="152"/>
      <c r="V837" s="152"/>
      <c r="W837" s="152"/>
    </row>
    <row r="838">
      <c r="A838" s="152"/>
      <c r="B838" s="152"/>
      <c r="C838" s="152"/>
      <c r="D838" s="152"/>
      <c r="E838" s="152"/>
      <c r="F838" s="152"/>
      <c r="G838" s="152"/>
      <c r="H838" s="152"/>
      <c r="I838" s="152"/>
      <c r="J838" s="152"/>
      <c r="K838" s="445"/>
      <c r="L838" s="445"/>
      <c r="M838" s="152"/>
      <c r="N838" s="152"/>
      <c r="O838" s="152"/>
      <c r="P838" s="152"/>
      <c r="Q838" s="152"/>
      <c r="R838" s="152"/>
      <c r="S838" s="152"/>
      <c r="T838" s="152"/>
      <c r="U838" s="152"/>
      <c r="V838" s="152"/>
      <c r="W838" s="152"/>
    </row>
    <row r="839">
      <c r="A839" s="152"/>
      <c r="B839" s="152"/>
      <c r="C839" s="152"/>
      <c r="D839" s="152"/>
      <c r="E839" s="152"/>
      <c r="F839" s="152"/>
      <c r="G839" s="152"/>
      <c r="H839" s="152"/>
      <c r="I839" s="152"/>
      <c r="J839" s="152"/>
      <c r="K839" s="445"/>
      <c r="L839" s="445"/>
      <c r="M839" s="152"/>
      <c r="N839" s="152"/>
      <c r="O839" s="152"/>
      <c r="P839" s="152"/>
      <c r="Q839" s="152"/>
      <c r="R839" s="152"/>
      <c r="S839" s="152"/>
      <c r="T839" s="152"/>
      <c r="U839" s="152"/>
      <c r="V839" s="152"/>
      <c r="W839" s="152"/>
    </row>
    <row r="840">
      <c r="A840" s="152"/>
      <c r="B840" s="152"/>
      <c r="C840" s="152"/>
      <c r="D840" s="152"/>
      <c r="E840" s="152"/>
      <c r="F840" s="152"/>
      <c r="G840" s="152"/>
      <c r="H840" s="152"/>
      <c r="I840" s="152"/>
      <c r="J840" s="152"/>
      <c r="K840" s="445"/>
      <c r="L840" s="445"/>
      <c r="M840" s="152"/>
      <c r="N840" s="152"/>
      <c r="O840" s="152"/>
      <c r="P840" s="152"/>
      <c r="Q840" s="152"/>
      <c r="R840" s="152"/>
      <c r="S840" s="152"/>
      <c r="T840" s="152"/>
      <c r="U840" s="152"/>
      <c r="V840" s="152"/>
      <c r="W840" s="152"/>
    </row>
    <row r="841">
      <c r="A841" s="152"/>
      <c r="B841" s="152"/>
      <c r="C841" s="152"/>
      <c r="D841" s="152"/>
      <c r="E841" s="152"/>
      <c r="F841" s="152"/>
      <c r="G841" s="152"/>
      <c r="H841" s="152"/>
      <c r="I841" s="152"/>
      <c r="J841" s="152"/>
      <c r="K841" s="445"/>
      <c r="L841" s="445"/>
      <c r="M841" s="152"/>
      <c r="N841" s="152"/>
      <c r="O841" s="152"/>
      <c r="P841" s="152"/>
      <c r="Q841" s="152"/>
      <c r="R841" s="152"/>
      <c r="S841" s="152"/>
      <c r="T841" s="152"/>
      <c r="U841" s="152"/>
      <c r="V841" s="152"/>
      <c r="W841" s="152"/>
    </row>
    <row r="842">
      <c r="A842" s="152"/>
      <c r="B842" s="152"/>
      <c r="C842" s="152"/>
      <c r="D842" s="152"/>
      <c r="E842" s="152"/>
      <c r="F842" s="152"/>
      <c r="G842" s="152"/>
      <c r="H842" s="152"/>
      <c r="I842" s="152"/>
      <c r="J842" s="152"/>
      <c r="K842" s="445"/>
      <c r="L842" s="445"/>
      <c r="M842" s="152"/>
      <c r="N842" s="152"/>
      <c r="O842" s="152"/>
      <c r="P842" s="152"/>
      <c r="Q842" s="152"/>
      <c r="R842" s="152"/>
      <c r="S842" s="152"/>
      <c r="T842" s="152"/>
      <c r="U842" s="152"/>
      <c r="V842" s="152"/>
      <c r="W842" s="152"/>
    </row>
    <row r="843">
      <c r="A843" s="152"/>
      <c r="B843" s="152"/>
      <c r="C843" s="152"/>
      <c r="D843" s="152"/>
      <c r="E843" s="152"/>
      <c r="F843" s="152"/>
      <c r="G843" s="152"/>
      <c r="H843" s="152"/>
      <c r="I843" s="152"/>
      <c r="J843" s="152"/>
      <c r="K843" s="445"/>
      <c r="L843" s="445"/>
      <c r="M843" s="152"/>
      <c r="N843" s="152"/>
      <c r="O843" s="152"/>
      <c r="P843" s="152"/>
      <c r="Q843" s="152"/>
      <c r="R843" s="152"/>
      <c r="S843" s="152"/>
      <c r="T843" s="152"/>
      <c r="U843" s="152"/>
      <c r="V843" s="152"/>
      <c r="W843" s="152"/>
    </row>
    <row r="844">
      <c r="A844" s="152"/>
      <c r="B844" s="152"/>
      <c r="C844" s="152"/>
      <c r="D844" s="152"/>
      <c r="E844" s="152"/>
      <c r="F844" s="152"/>
      <c r="G844" s="152"/>
      <c r="H844" s="152"/>
      <c r="I844" s="152"/>
      <c r="J844" s="152"/>
      <c r="K844" s="445"/>
      <c r="L844" s="445"/>
      <c r="M844" s="152"/>
      <c r="N844" s="152"/>
      <c r="O844" s="152"/>
      <c r="P844" s="152"/>
      <c r="Q844" s="152"/>
      <c r="R844" s="152"/>
      <c r="S844" s="152"/>
      <c r="T844" s="152"/>
      <c r="U844" s="152"/>
      <c r="V844" s="152"/>
      <c r="W844" s="152"/>
    </row>
    <row r="845">
      <c r="A845" s="152"/>
      <c r="B845" s="152"/>
      <c r="C845" s="152"/>
      <c r="D845" s="152"/>
      <c r="E845" s="152"/>
      <c r="F845" s="152"/>
      <c r="G845" s="152"/>
      <c r="H845" s="152"/>
      <c r="I845" s="152"/>
      <c r="J845" s="152"/>
      <c r="K845" s="445"/>
      <c r="L845" s="445"/>
      <c r="M845" s="152"/>
      <c r="N845" s="152"/>
      <c r="O845" s="152"/>
      <c r="P845" s="152"/>
      <c r="Q845" s="152"/>
      <c r="R845" s="152"/>
      <c r="S845" s="152"/>
      <c r="T845" s="152"/>
      <c r="U845" s="152"/>
      <c r="V845" s="152"/>
      <c r="W845" s="152"/>
    </row>
    <row r="846">
      <c r="A846" s="152"/>
      <c r="B846" s="152"/>
      <c r="C846" s="152"/>
      <c r="D846" s="152"/>
      <c r="E846" s="152"/>
      <c r="F846" s="152"/>
      <c r="G846" s="152"/>
      <c r="H846" s="152"/>
      <c r="I846" s="152"/>
      <c r="J846" s="152"/>
      <c r="K846" s="445"/>
      <c r="L846" s="445"/>
      <c r="M846" s="152"/>
      <c r="N846" s="152"/>
      <c r="O846" s="152"/>
      <c r="P846" s="152"/>
      <c r="Q846" s="152"/>
      <c r="R846" s="152"/>
      <c r="S846" s="152"/>
      <c r="T846" s="152"/>
      <c r="U846" s="152"/>
      <c r="V846" s="152"/>
      <c r="W846" s="152"/>
    </row>
    <row r="847">
      <c r="A847" s="152"/>
      <c r="B847" s="152"/>
      <c r="C847" s="152"/>
      <c r="D847" s="152"/>
      <c r="E847" s="152"/>
      <c r="F847" s="152"/>
      <c r="G847" s="152"/>
      <c r="H847" s="152"/>
      <c r="I847" s="152"/>
      <c r="J847" s="152"/>
      <c r="K847" s="445"/>
      <c r="L847" s="445"/>
      <c r="M847" s="152"/>
      <c r="N847" s="152"/>
      <c r="O847" s="152"/>
      <c r="P847" s="152"/>
      <c r="Q847" s="152"/>
      <c r="R847" s="152"/>
      <c r="S847" s="152"/>
      <c r="T847" s="152"/>
      <c r="U847" s="152"/>
      <c r="V847" s="152"/>
      <c r="W847" s="152"/>
    </row>
    <row r="848">
      <c r="A848" s="152"/>
      <c r="B848" s="152"/>
      <c r="C848" s="152"/>
      <c r="D848" s="152"/>
      <c r="E848" s="152"/>
      <c r="F848" s="152"/>
      <c r="G848" s="152"/>
      <c r="H848" s="152"/>
      <c r="I848" s="152"/>
      <c r="J848" s="152"/>
      <c r="K848" s="445"/>
      <c r="L848" s="445"/>
      <c r="M848" s="152"/>
      <c r="N848" s="152"/>
      <c r="O848" s="152"/>
      <c r="P848" s="152"/>
      <c r="Q848" s="152"/>
      <c r="R848" s="152"/>
      <c r="S848" s="152"/>
      <c r="T848" s="152"/>
      <c r="U848" s="152"/>
      <c r="V848" s="152"/>
      <c r="W848" s="152"/>
    </row>
    <row r="849">
      <c r="A849" s="152"/>
      <c r="B849" s="152"/>
      <c r="C849" s="152"/>
      <c r="D849" s="152"/>
      <c r="E849" s="152"/>
      <c r="F849" s="152"/>
      <c r="G849" s="152"/>
      <c r="H849" s="152"/>
      <c r="I849" s="152"/>
      <c r="J849" s="152"/>
      <c r="K849" s="445"/>
      <c r="L849" s="445"/>
      <c r="M849" s="152"/>
      <c r="N849" s="152"/>
      <c r="O849" s="152"/>
      <c r="P849" s="152"/>
      <c r="Q849" s="152"/>
      <c r="R849" s="152"/>
      <c r="S849" s="152"/>
      <c r="T849" s="152"/>
      <c r="U849" s="152"/>
      <c r="V849" s="152"/>
      <c r="W849" s="152"/>
    </row>
    <row r="850">
      <c r="A850" s="152"/>
      <c r="B850" s="152"/>
      <c r="C850" s="152"/>
      <c r="D850" s="152"/>
      <c r="E850" s="152"/>
      <c r="F850" s="152"/>
      <c r="G850" s="152"/>
      <c r="H850" s="152"/>
      <c r="I850" s="152"/>
      <c r="J850" s="152"/>
      <c r="K850" s="445"/>
      <c r="L850" s="445"/>
      <c r="M850" s="152"/>
      <c r="N850" s="152"/>
      <c r="O850" s="152"/>
      <c r="P850" s="152"/>
      <c r="Q850" s="152"/>
      <c r="R850" s="152"/>
      <c r="S850" s="152"/>
      <c r="T850" s="152"/>
      <c r="U850" s="152"/>
      <c r="V850" s="152"/>
      <c r="W850" s="152"/>
    </row>
    <row r="851">
      <c r="A851" s="152"/>
      <c r="B851" s="152"/>
      <c r="C851" s="152"/>
      <c r="D851" s="152"/>
      <c r="E851" s="152"/>
      <c r="F851" s="152"/>
      <c r="G851" s="152"/>
      <c r="H851" s="152"/>
      <c r="I851" s="152"/>
      <c r="J851" s="152"/>
      <c r="K851" s="445"/>
      <c r="L851" s="445"/>
      <c r="M851" s="152"/>
      <c r="N851" s="152"/>
      <c r="O851" s="152"/>
      <c r="P851" s="152"/>
      <c r="Q851" s="152"/>
      <c r="R851" s="152"/>
      <c r="S851" s="152"/>
      <c r="T851" s="152"/>
      <c r="U851" s="152"/>
      <c r="V851" s="152"/>
      <c r="W851" s="152"/>
    </row>
    <row r="852">
      <c r="A852" s="152"/>
      <c r="B852" s="152"/>
      <c r="C852" s="152"/>
      <c r="D852" s="152"/>
      <c r="E852" s="152"/>
      <c r="F852" s="152"/>
      <c r="G852" s="152"/>
      <c r="H852" s="152"/>
      <c r="I852" s="152"/>
      <c r="J852" s="152"/>
      <c r="K852" s="445"/>
      <c r="L852" s="445"/>
      <c r="M852" s="152"/>
      <c r="N852" s="152"/>
      <c r="O852" s="152"/>
      <c r="P852" s="152"/>
      <c r="Q852" s="152"/>
      <c r="R852" s="152"/>
      <c r="S852" s="152"/>
      <c r="T852" s="152"/>
      <c r="U852" s="152"/>
      <c r="V852" s="152"/>
      <c r="W852" s="152"/>
    </row>
    <row r="853">
      <c r="A853" s="152"/>
      <c r="B853" s="152"/>
      <c r="C853" s="152"/>
      <c r="D853" s="152"/>
      <c r="E853" s="152"/>
      <c r="F853" s="152"/>
      <c r="G853" s="152"/>
      <c r="H853" s="152"/>
      <c r="I853" s="152"/>
      <c r="J853" s="152"/>
      <c r="K853" s="445"/>
      <c r="L853" s="445"/>
      <c r="M853" s="152"/>
      <c r="N853" s="152"/>
      <c r="O853" s="152"/>
      <c r="P853" s="152"/>
      <c r="Q853" s="152"/>
      <c r="R853" s="152"/>
      <c r="S853" s="152"/>
      <c r="T853" s="152"/>
      <c r="U853" s="152"/>
      <c r="V853" s="152"/>
      <c r="W853" s="152"/>
    </row>
    <row r="854">
      <c r="A854" s="152"/>
      <c r="B854" s="152"/>
      <c r="C854" s="152"/>
      <c r="D854" s="152"/>
      <c r="E854" s="152"/>
      <c r="F854" s="152"/>
      <c r="G854" s="152"/>
      <c r="H854" s="152"/>
      <c r="I854" s="152"/>
      <c r="J854" s="152"/>
      <c r="K854" s="445"/>
      <c r="L854" s="445"/>
      <c r="M854" s="152"/>
      <c r="N854" s="152"/>
      <c r="O854" s="152"/>
      <c r="P854" s="152"/>
      <c r="Q854" s="152"/>
      <c r="R854" s="152"/>
      <c r="S854" s="152"/>
      <c r="T854" s="152"/>
      <c r="U854" s="152"/>
      <c r="V854" s="152"/>
      <c r="W854" s="152"/>
    </row>
    <row r="855">
      <c r="A855" s="152"/>
      <c r="B855" s="152"/>
      <c r="C855" s="152"/>
      <c r="D855" s="152"/>
      <c r="E855" s="152"/>
      <c r="F855" s="152"/>
      <c r="G855" s="152"/>
      <c r="H855" s="152"/>
      <c r="I855" s="152"/>
      <c r="J855" s="152"/>
      <c r="K855" s="445"/>
      <c r="L855" s="445"/>
      <c r="M855" s="152"/>
      <c r="N855" s="152"/>
      <c r="O855" s="152"/>
      <c r="P855" s="152"/>
      <c r="Q855" s="152"/>
      <c r="R855" s="152"/>
      <c r="S855" s="152"/>
      <c r="T855" s="152"/>
      <c r="U855" s="152"/>
      <c r="V855" s="152"/>
      <c r="W855" s="152"/>
    </row>
    <row r="856">
      <c r="A856" s="152"/>
      <c r="B856" s="152"/>
      <c r="C856" s="152"/>
      <c r="D856" s="152"/>
      <c r="E856" s="152"/>
      <c r="F856" s="152"/>
      <c r="G856" s="152"/>
      <c r="H856" s="152"/>
      <c r="I856" s="152"/>
      <c r="J856" s="152"/>
      <c r="K856" s="445"/>
      <c r="L856" s="445"/>
      <c r="M856" s="152"/>
      <c r="N856" s="152"/>
      <c r="O856" s="152"/>
      <c r="P856" s="152"/>
      <c r="Q856" s="152"/>
      <c r="R856" s="152"/>
      <c r="S856" s="152"/>
      <c r="T856" s="152"/>
      <c r="U856" s="152"/>
      <c r="V856" s="152"/>
      <c r="W856" s="152"/>
    </row>
    <row r="857">
      <c r="A857" s="152"/>
      <c r="B857" s="152"/>
      <c r="C857" s="152"/>
      <c r="D857" s="152"/>
      <c r="E857" s="152"/>
      <c r="F857" s="152"/>
      <c r="G857" s="152"/>
      <c r="H857" s="152"/>
      <c r="I857" s="152"/>
      <c r="J857" s="152"/>
      <c r="K857" s="445"/>
      <c r="L857" s="445"/>
      <c r="M857" s="152"/>
      <c r="N857" s="152"/>
      <c r="O857" s="152"/>
      <c r="P857" s="152"/>
      <c r="Q857" s="152"/>
      <c r="R857" s="152"/>
      <c r="S857" s="152"/>
      <c r="T857" s="152"/>
      <c r="U857" s="152"/>
      <c r="V857" s="152"/>
      <c r="W857" s="152"/>
    </row>
    <row r="858">
      <c r="A858" s="152"/>
      <c r="B858" s="152"/>
      <c r="C858" s="152"/>
      <c r="D858" s="152"/>
      <c r="E858" s="152"/>
      <c r="F858" s="152"/>
      <c r="G858" s="152"/>
      <c r="H858" s="152"/>
      <c r="I858" s="152"/>
      <c r="J858" s="152"/>
      <c r="K858" s="445"/>
      <c r="L858" s="445"/>
      <c r="M858" s="152"/>
      <c r="N858" s="152"/>
      <c r="O858" s="152"/>
      <c r="P858" s="152"/>
      <c r="Q858" s="152"/>
      <c r="R858" s="152"/>
      <c r="S858" s="152"/>
      <c r="T858" s="152"/>
      <c r="U858" s="152"/>
      <c r="V858" s="152"/>
      <c r="W858" s="152"/>
    </row>
    <row r="859">
      <c r="A859" s="152"/>
      <c r="B859" s="152"/>
      <c r="C859" s="152"/>
      <c r="D859" s="152"/>
      <c r="E859" s="152"/>
      <c r="F859" s="152"/>
      <c r="G859" s="152"/>
      <c r="H859" s="152"/>
      <c r="I859" s="152"/>
      <c r="J859" s="152"/>
      <c r="K859" s="445"/>
      <c r="L859" s="445"/>
      <c r="M859" s="152"/>
      <c r="N859" s="152"/>
      <c r="O859" s="152"/>
      <c r="P859" s="152"/>
      <c r="Q859" s="152"/>
      <c r="R859" s="152"/>
      <c r="S859" s="152"/>
      <c r="T859" s="152"/>
      <c r="U859" s="152"/>
      <c r="V859" s="152"/>
      <c r="W859" s="152"/>
    </row>
    <row r="860">
      <c r="A860" s="152"/>
      <c r="B860" s="152"/>
      <c r="C860" s="152"/>
      <c r="D860" s="152"/>
      <c r="E860" s="152"/>
      <c r="F860" s="152"/>
      <c r="G860" s="152"/>
      <c r="H860" s="152"/>
      <c r="I860" s="152"/>
      <c r="J860" s="152"/>
      <c r="K860" s="445"/>
      <c r="L860" s="445"/>
      <c r="M860" s="152"/>
      <c r="N860" s="152"/>
      <c r="O860" s="152"/>
      <c r="P860" s="152"/>
      <c r="Q860" s="152"/>
      <c r="R860" s="152"/>
      <c r="S860" s="152"/>
      <c r="T860" s="152"/>
      <c r="U860" s="152"/>
      <c r="V860" s="152"/>
      <c r="W860" s="152"/>
    </row>
    <row r="861">
      <c r="A861" s="152"/>
      <c r="B861" s="152"/>
      <c r="C861" s="152"/>
      <c r="D861" s="152"/>
      <c r="E861" s="152"/>
      <c r="F861" s="152"/>
      <c r="G861" s="152"/>
      <c r="H861" s="152"/>
      <c r="I861" s="152"/>
      <c r="J861" s="152"/>
      <c r="K861" s="445"/>
      <c r="L861" s="445"/>
      <c r="M861" s="152"/>
      <c r="N861" s="152"/>
      <c r="O861" s="152"/>
      <c r="P861" s="152"/>
      <c r="Q861" s="152"/>
      <c r="R861" s="152"/>
      <c r="S861" s="152"/>
      <c r="T861" s="152"/>
      <c r="U861" s="152"/>
      <c r="V861" s="152"/>
      <c r="W861" s="152"/>
    </row>
    <row r="862">
      <c r="A862" s="152"/>
      <c r="B862" s="152"/>
      <c r="C862" s="152"/>
      <c r="D862" s="152"/>
      <c r="E862" s="152"/>
      <c r="F862" s="152"/>
      <c r="G862" s="152"/>
      <c r="H862" s="152"/>
      <c r="I862" s="152"/>
      <c r="J862" s="152"/>
      <c r="K862" s="445"/>
      <c r="L862" s="445"/>
      <c r="M862" s="152"/>
      <c r="N862" s="152"/>
      <c r="O862" s="152"/>
      <c r="P862" s="152"/>
      <c r="Q862" s="152"/>
      <c r="R862" s="152"/>
      <c r="S862" s="152"/>
      <c r="T862" s="152"/>
      <c r="U862" s="152"/>
      <c r="V862" s="152"/>
      <c r="W862" s="152"/>
    </row>
    <row r="863">
      <c r="A863" s="152"/>
      <c r="B863" s="152"/>
      <c r="C863" s="152"/>
      <c r="D863" s="152"/>
      <c r="E863" s="152"/>
      <c r="F863" s="152"/>
      <c r="G863" s="152"/>
      <c r="H863" s="152"/>
      <c r="I863" s="152"/>
      <c r="J863" s="152"/>
      <c r="K863" s="445"/>
      <c r="L863" s="445"/>
      <c r="M863" s="152"/>
      <c r="N863" s="152"/>
      <c r="O863" s="152"/>
      <c r="P863" s="152"/>
      <c r="Q863" s="152"/>
      <c r="R863" s="152"/>
      <c r="S863" s="152"/>
      <c r="T863" s="152"/>
      <c r="U863" s="152"/>
      <c r="V863" s="152"/>
      <c r="W863" s="152"/>
    </row>
    <row r="864">
      <c r="A864" s="152"/>
      <c r="B864" s="152"/>
      <c r="C864" s="152"/>
      <c r="D864" s="152"/>
      <c r="E864" s="152"/>
      <c r="F864" s="152"/>
      <c r="G864" s="152"/>
      <c r="H864" s="152"/>
      <c r="I864" s="152"/>
      <c r="J864" s="152"/>
      <c r="K864" s="445"/>
      <c r="L864" s="445"/>
      <c r="M864" s="152"/>
      <c r="N864" s="152"/>
      <c r="O864" s="152"/>
      <c r="P864" s="152"/>
      <c r="Q864" s="152"/>
      <c r="R864" s="152"/>
      <c r="S864" s="152"/>
      <c r="T864" s="152"/>
      <c r="U864" s="152"/>
      <c r="V864" s="152"/>
      <c r="W864" s="152"/>
    </row>
    <row r="865">
      <c r="A865" s="152"/>
      <c r="B865" s="152"/>
      <c r="C865" s="152"/>
      <c r="D865" s="152"/>
      <c r="E865" s="152"/>
      <c r="F865" s="152"/>
      <c r="G865" s="152"/>
      <c r="H865" s="152"/>
      <c r="I865" s="152"/>
      <c r="J865" s="152"/>
      <c r="K865" s="445"/>
      <c r="L865" s="445"/>
      <c r="M865" s="152"/>
      <c r="N865" s="152"/>
      <c r="O865" s="152"/>
      <c r="P865" s="152"/>
      <c r="Q865" s="152"/>
      <c r="R865" s="152"/>
      <c r="S865" s="152"/>
      <c r="T865" s="152"/>
      <c r="U865" s="152"/>
      <c r="V865" s="152"/>
      <c r="W865" s="152"/>
    </row>
    <row r="866">
      <c r="A866" s="152"/>
      <c r="B866" s="152"/>
      <c r="C866" s="152"/>
      <c r="D866" s="152"/>
      <c r="E866" s="152"/>
      <c r="F866" s="152"/>
      <c r="G866" s="152"/>
      <c r="H866" s="152"/>
      <c r="I866" s="152"/>
      <c r="J866" s="152"/>
      <c r="K866" s="445"/>
      <c r="L866" s="445"/>
      <c r="M866" s="152"/>
      <c r="N866" s="152"/>
      <c r="O866" s="152"/>
      <c r="P866" s="152"/>
      <c r="Q866" s="152"/>
      <c r="R866" s="152"/>
      <c r="S866" s="152"/>
      <c r="T866" s="152"/>
      <c r="U866" s="152"/>
      <c r="V866" s="152"/>
      <c r="W866" s="152"/>
    </row>
    <row r="867">
      <c r="A867" s="152"/>
      <c r="B867" s="152"/>
      <c r="C867" s="152"/>
      <c r="D867" s="152"/>
      <c r="E867" s="152"/>
      <c r="F867" s="152"/>
      <c r="G867" s="152"/>
      <c r="H867" s="152"/>
      <c r="I867" s="152"/>
      <c r="J867" s="152"/>
      <c r="K867" s="445"/>
      <c r="L867" s="445"/>
      <c r="M867" s="152"/>
      <c r="N867" s="152"/>
      <c r="O867" s="152"/>
      <c r="P867" s="152"/>
      <c r="Q867" s="152"/>
      <c r="R867" s="152"/>
      <c r="S867" s="152"/>
      <c r="T867" s="152"/>
      <c r="U867" s="152"/>
      <c r="V867" s="152"/>
      <c r="W867" s="152"/>
    </row>
    <row r="868">
      <c r="A868" s="152"/>
      <c r="B868" s="152"/>
      <c r="C868" s="152"/>
      <c r="D868" s="152"/>
      <c r="E868" s="152"/>
      <c r="F868" s="152"/>
      <c r="G868" s="152"/>
      <c r="H868" s="152"/>
      <c r="I868" s="152"/>
      <c r="J868" s="152"/>
      <c r="K868" s="445"/>
      <c r="L868" s="445"/>
      <c r="M868" s="152"/>
      <c r="N868" s="152"/>
      <c r="O868" s="152"/>
      <c r="P868" s="152"/>
      <c r="Q868" s="152"/>
      <c r="R868" s="152"/>
      <c r="S868" s="152"/>
      <c r="T868" s="152"/>
      <c r="U868" s="152"/>
      <c r="V868" s="152"/>
      <c r="W868" s="152"/>
    </row>
    <row r="869">
      <c r="A869" s="152"/>
      <c r="B869" s="152"/>
      <c r="C869" s="152"/>
      <c r="D869" s="152"/>
      <c r="E869" s="152"/>
      <c r="F869" s="152"/>
      <c r="G869" s="152"/>
      <c r="H869" s="152"/>
      <c r="I869" s="152"/>
      <c r="J869" s="152"/>
      <c r="K869" s="445"/>
      <c r="L869" s="445"/>
      <c r="M869" s="152"/>
      <c r="N869" s="152"/>
      <c r="O869" s="152"/>
      <c r="P869" s="152"/>
      <c r="Q869" s="152"/>
      <c r="R869" s="152"/>
      <c r="S869" s="152"/>
      <c r="T869" s="152"/>
      <c r="U869" s="152"/>
      <c r="V869" s="152"/>
      <c r="W869" s="152"/>
    </row>
    <row r="870">
      <c r="A870" s="152"/>
      <c r="B870" s="152"/>
      <c r="C870" s="152"/>
      <c r="D870" s="152"/>
      <c r="E870" s="152"/>
      <c r="F870" s="152"/>
      <c r="G870" s="152"/>
      <c r="H870" s="152"/>
      <c r="I870" s="152"/>
      <c r="J870" s="152"/>
      <c r="K870" s="445"/>
      <c r="L870" s="445"/>
      <c r="M870" s="152"/>
      <c r="N870" s="152"/>
      <c r="O870" s="152"/>
      <c r="P870" s="152"/>
      <c r="Q870" s="152"/>
      <c r="R870" s="152"/>
      <c r="S870" s="152"/>
      <c r="T870" s="152"/>
      <c r="U870" s="152"/>
      <c r="V870" s="152"/>
      <c r="W870" s="152"/>
    </row>
    <row r="871">
      <c r="A871" s="152"/>
      <c r="B871" s="152"/>
      <c r="C871" s="152"/>
      <c r="D871" s="152"/>
      <c r="E871" s="152"/>
      <c r="F871" s="152"/>
      <c r="G871" s="152"/>
      <c r="H871" s="152"/>
      <c r="I871" s="152"/>
      <c r="J871" s="152"/>
      <c r="K871" s="445"/>
      <c r="L871" s="445"/>
      <c r="M871" s="152"/>
      <c r="N871" s="152"/>
      <c r="O871" s="152"/>
      <c r="P871" s="152"/>
      <c r="Q871" s="152"/>
      <c r="R871" s="152"/>
      <c r="S871" s="152"/>
      <c r="T871" s="152"/>
      <c r="U871" s="152"/>
      <c r="V871" s="152"/>
      <c r="W871" s="152"/>
    </row>
    <row r="872">
      <c r="A872" s="152"/>
      <c r="B872" s="152"/>
      <c r="C872" s="152"/>
      <c r="D872" s="152"/>
      <c r="E872" s="152"/>
      <c r="F872" s="152"/>
      <c r="G872" s="152"/>
      <c r="H872" s="152"/>
      <c r="I872" s="152"/>
      <c r="J872" s="152"/>
      <c r="K872" s="445"/>
      <c r="L872" s="445"/>
      <c r="M872" s="152"/>
      <c r="N872" s="152"/>
      <c r="O872" s="152"/>
      <c r="P872" s="152"/>
      <c r="Q872" s="152"/>
      <c r="R872" s="152"/>
      <c r="S872" s="152"/>
      <c r="T872" s="152"/>
      <c r="U872" s="152"/>
      <c r="V872" s="152"/>
      <c r="W872" s="152"/>
    </row>
    <row r="873">
      <c r="A873" s="152"/>
      <c r="B873" s="152"/>
      <c r="C873" s="152"/>
      <c r="D873" s="152"/>
      <c r="E873" s="152"/>
      <c r="F873" s="152"/>
      <c r="G873" s="152"/>
      <c r="H873" s="152"/>
      <c r="I873" s="152"/>
      <c r="J873" s="152"/>
      <c r="K873" s="445"/>
      <c r="L873" s="445"/>
      <c r="M873" s="152"/>
      <c r="N873" s="152"/>
      <c r="O873" s="152"/>
      <c r="P873" s="152"/>
      <c r="Q873" s="152"/>
      <c r="R873" s="152"/>
      <c r="S873" s="152"/>
      <c r="T873" s="152"/>
      <c r="U873" s="152"/>
      <c r="V873" s="152"/>
      <c r="W873" s="152"/>
    </row>
    <row r="874">
      <c r="A874" s="152"/>
      <c r="B874" s="152"/>
      <c r="C874" s="152"/>
      <c r="D874" s="152"/>
      <c r="E874" s="152"/>
      <c r="F874" s="152"/>
      <c r="G874" s="152"/>
      <c r="H874" s="152"/>
      <c r="I874" s="152"/>
      <c r="J874" s="152"/>
      <c r="K874" s="445"/>
      <c r="L874" s="445"/>
      <c r="M874" s="152"/>
      <c r="N874" s="152"/>
      <c r="O874" s="152"/>
      <c r="P874" s="152"/>
      <c r="Q874" s="152"/>
      <c r="R874" s="152"/>
      <c r="S874" s="152"/>
      <c r="T874" s="152"/>
      <c r="U874" s="152"/>
      <c r="V874" s="152"/>
      <c r="W874" s="152"/>
    </row>
    <row r="875">
      <c r="A875" s="152"/>
      <c r="B875" s="152"/>
      <c r="C875" s="152"/>
      <c r="D875" s="152"/>
      <c r="E875" s="152"/>
      <c r="F875" s="152"/>
      <c r="G875" s="152"/>
      <c r="H875" s="152"/>
      <c r="I875" s="152"/>
      <c r="J875" s="152"/>
      <c r="K875" s="445"/>
      <c r="L875" s="445"/>
      <c r="M875" s="152"/>
      <c r="N875" s="152"/>
      <c r="O875" s="152"/>
      <c r="P875" s="152"/>
      <c r="Q875" s="152"/>
      <c r="R875" s="152"/>
      <c r="S875" s="152"/>
      <c r="T875" s="152"/>
      <c r="U875" s="152"/>
      <c r="V875" s="152"/>
      <c r="W875" s="152"/>
    </row>
    <row r="876">
      <c r="A876" s="152"/>
      <c r="B876" s="152"/>
      <c r="C876" s="152"/>
      <c r="D876" s="152"/>
      <c r="E876" s="152"/>
      <c r="F876" s="152"/>
      <c r="G876" s="152"/>
      <c r="H876" s="152"/>
      <c r="I876" s="152"/>
      <c r="J876" s="152"/>
      <c r="K876" s="445"/>
      <c r="L876" s="445"/>
      <c r="M876" s="152"/>
      <c r="N876" s="152"/>
      <c r="O876" s="152"/>
      <c r="P876" s="152"/>
      <c r="Q876" s="152"/>
      <c r="R876" s="152"/>
      <c r="S876" s="152"/>
      <c r="T876" s="152"/>
      <c r="U876" s="152"/>
      <c r="V876" s="152"/>
      <c r="W876" s="152"/>
    </row>
    <row r="877">
      <c r="A877" s="152"/>
      <c r="B877" s="152"/>
      <c r="C877" s="152"/>
      <c r="D877" s="152"/>
      <c r="E877" s="152"/>
      <c r="F877" s="152"/>
      <c r="G877" s="152"/>
      <c r="H877" s="152"/>
      <c r="I877" s="152"/>
      <c r="J877" s="152"/>
      <c r="K877" s="445"/>
      <c r="L877" s="445"/>
      <c r="M877" s="152"/>
      <c r="N877" s="152"/>
      <c r="O877" s="152"/>
      <c r="P877" s="152"/>
      <c r="Q877" s="152"/>
      <c r="R877" s="152"/>
      <c r="S877" s="152"/>
      <c r="T877" s="152"/>
      <c r="U877" s="152"/>
      <c r="V877" s="152"/>
      <c r="W877" s="152"/>
    </row>
    <row r="878">
      <c r="A878" s="152"/>
      <c r="B878" s="152"/>
      <c r="C878" s="152"/>
      <c r="D878" s="152"/>
      <c r="E878" s="152"/>
      <c r="F878" s="152"/>
      <c r="G878" s="152"/>
      <c r="H878" s="152"/>
      <c r="I878" s="152"/>
      <c r="J878" s="152"/>
      <c r="K878" s="445"/>
      <c r="L878" s="445"/>
      <c r="M878" s="152"/>
      <c r="N878" s="152"/>
      <c r="O878" s="152"/>
      <c r="P878" s="152"/>
      <c r="Q878" s="152"/>
      <c r="R878" s="152"/>
      <c r="S878" s="152"/>
      <c r="T878" s="152"/>
      <c r="U878" s="152"/>
      <c r="V878" s="152"/>
      <c r="W878" s="152"/>
    </row>
    <row r="879">
      <c r="A879" s="152"/>
      <c r="B879" s="152"/>
      <c r="C879" s="152"/>
      <c r="D879" s="152"/>
      <c r="E879" s="152"/>
      <c r="F879" s="152"/>
      <c r="G879" s="152"/>
      <c r="H879" s="152"/>
      <c r="I879" s="152"/>
      <c r="J879" s="152"/>
      <c r="K879" s="445"/>
      <c r="L879" s="445"/>
      <c r="M879" s="152"/>
      <c r="N879" s="152"/>
      <c r="O879" s="152"/>
      <c r="P879" s="152"/>
      <c r="Q879" s="152"/>
      <c r="R879" s="152"/>
      <c r="S879" s="152"/>
      <c r="T879" s="152"/>
      <c r="U879" s="152"/>
      <c r="V879" s="152"/>
      <c r="W879" s="152"/>
    </row>
    <row r="880">
      <c r="A880" s="152"/>
      <c r="B880" s="152"/>
      <c r="C880" s="152"/>
      <c r="D880" s="152"/>
      <c r="E880" s="152"/>
      <c r="F880" s="152"/>
      <c r="G880" s="152"/>
      <c r="H880" s="152"/>
      <c r="I880" s="152"/>
      <c r="J880" s="152"/>
      <c r="K880" s="445"/>
      <c r="L880" s="445"/>
      <c r="M880" s="152"/>
      <c r="N880" s="152"/>
      <c r="O880" s="152"/>
      <c r="P880" s="152"/>
      <c r="Q880" s="152"/>
      <c r="R880" s="152"/>
      <c r="S880" s="152"/>
      <c r="T880" s="152"/>
      <c r="U880" s="152"/>
      <c r="V880" s="152"/>
      <c r="W880" s="152"/>
    </row>
    <row r="881">
      <c r="A881" s="152"/>
      <c r="B881" s="152"/>
      <c r="C881" s="152"/>
      <c r="D881" s="152"/>
      <c r="E881" s="152"/>
      <c r="F881" s="152"/>
      <c r="G881" s="152"/>
      <c r="H881" s="152"/>
      <c r="I881" s="152"/>
      <c r="J881" s="152"/>
      <c r="K881" s="445"/>
      <c r="L881" s="445"/>
      <c r="M881" s="152"/>
      <c r="N881" s="152"/>
      <c r="O881" s="152"/>
      <c r="P881" s="152"/>
      <c r="Q881" s="152"/>
      <c r="R881" s="152"/>
      <c r="S881" s="152"/>
      <c r="T881" s="152"/>
      <c r="U881" s="152"/>
      <c r="V881" s="152"/>
      <c r="W881" s="152"/>
    </row>
    <row r="882">
      <c r="A882" s="152"/>
      <c r="B882" s="152"/>
      <c r="C882" s="152"/>
      <c r="D882" s="152"/>
      <c r="E882" s="152"/>
      <c r="F882" s="152"/>
      <c r="G882" s="152"/>
      <c r="H882" s="152"/>
      <c r="I882" s="152"/>
      <c r="J882" s="152"/>
      <c r="K882" s="445"/>
      <c r="L882" s="445"/>
      <c r="M882" s="152"/>
      <c r="N882" s="152"/>
      <c r="O882" s="152"/>
      <c r="P882" s="152"/>
      <c r="Q882" s="152"/>
      <c r="R882" s="152"/>
      <c r="S882" s="152"/>
      <c r="T882" s="152"/>
      <c r="U882" s="152"/>
      <c r="V882" s="152"/>
      <c r="W882" s="152"/>
    </row>
    <row r="883">
      <c r="A883" s="152"/>
      <c r="B883" s="152"/>
      <c r="C883" s="152"/>
      <c r="D883" s="152"/>
      <c r="E883" s="152"/>
      <c r="F883" s="152"/>
      <c r="G883" s="152"/>
      <c r="H883" s="152"/>
      <c r="I883" s="152"/>
      <c r="J883" s="152"/>
      <c r="K883" s="445"/>
      <c r="L883" s="445"/>
      <c r="M883" s="152"/>
      <c r="N883" s="152"/>
      <c r="O883" s="152"/>
      <c r="P883" s="152"/>
      <c r="Q883" s="152"/>
      <c r="R883" s="152"/>
      <c r="S883" s="152"/>
      <c r="T883" s="152"/>
      <c r="U883" s="152"/>
      <c r="V883" s="152"/>
      <c r="W883" s="152"/>
    </row>
    <row r="884">
      <c r="A884" s="152"/>
      <c r="B884" s="152"/>
      <c r="C884" s="152"/>
      <c r="D884" s="152"/>
      <c r="E884" s="152"/>
      <c r="F884" s="152"/>
      <c r="G884" s="152"/>
      <c r="H884" s="152"/>
      <c r="I884" s="152"/>
      <c r="J884" s="152"/>
      <c r="K884" s="445"/>
      <c r="L884" s="445"/>
      <c r="M884" s="152"/>
      <c r="N884" s="152"/>
      <c r="O884" s="152"/>
      <c r="P884" s="152"/>
      <c r="Q884" s="152"/>
      <c r="R884" s="152"/>
      <c r="S884" s="152"/>
      <c r="T884" s="152"/>
      <c r="U884" s="152"/>
      <c r="V884" s="152"/>
      <c r="W884" s="152"/>
    </row>
    <row r="885">
      <c r="A885" s="152"/>
      <c r="B885" s="152"/>
      <c r="C885" s="152"/>
      <c r="D885" s="152"/>
      <c r="E885" s="152"/>
      <c r="F885" s="152"/>
      <c r="G885" s="152"/>
      <c r="H885" s="152"/>
      <c r="I885" s="152"/>
      <c r="J885" s="152"/>
      <c r="K885" s="445"/>
      <c r="L885" s="445"/>
      <c r="M885" s="152"/>
      <c r="N885" s="152"/>
      <c r="O885" s="152"/>
      <c r="P885" s="152"/>
      <c r="Q885" s="152"/>
      <c r="R885" s="152"/>
      <c r="S885" s="152"/>
      <c r="T885" s="152"/>
      <c r="U885" s="152"/>
      <c r="V885" s="152"/>
      <c r="W885" s="152"/>
    </row>
    <row r="886">
      <c r="A886" s="152"/>
      <c r="B886" s="152"/>
      <c r="C886" s="152"/>
      <c r="D886" s="152"/>
      <c r="E886" s="152"/>
      <c r="F886" s="152"/>
      <c r="G886" s="152"/>
      <c r="H886" s="152"/>
      <c r="I886" s="152"/>
      <c r="J886" s="152"/>
      <c r="K886" s="445"/>
      <c r="L886" s="445"/>
      <c r="M886" s="152"/>
      <c r="N886" s="152"/>
      <c r="O886" s="152"/>
      <c r="P886" s="152"/>
      <c r="Q886" s="152"/>
      <c r="R886" s="152"/>
      <c r="S886" s="152"/>
      <c r="T886" s="152"/>
      <c r="U886" s="152"/>
      <c r="V886" s="152"/>
      <c r="W886" s="152"/>
    </row>
    <row r="887">
      <c r="A887" s="152"/>
      <c r="B887" s="152"/>
      <c r="C887" s="152"/>
      <c r="D887" s="152"/>
      <c r="E887" s="152"/>
      <c r="F887" s="152"/>
      <c r="G887" s="152"/>
      <c r="H887" s="152"/>
      <c r="I887" s="152"/>
      <c r="J887" s="152"/>
      <c r="K887" s="445"/>
      <c r="L887" s="445"/>
      <c r="M887" s="152"/>
      <c r="N887" s="152"/>
      <c r="O887" s="152"/>
      <c r="P887" s="152"/>
      <c r="Q887" s="152"/>
      <c r="R887" s="152"/>
      <c r="S887" s="152"/>
      <c r="T887" s="152"/>
      <c r="U887" s="152"/>
      <c r="V887" s="152"/>
      <c r="W887" s="152"/>
    </row>
    <row r="888">
      <c r="A888" s="152"/>
      <c r="B888" s="152"/>
      <c r="C888" s="152"/>
      <c r="D888" s="152"/>
      <c r="E888" s="152"/>
      <c r="F888" s="152"/>
      <c r="G888" s="152"/>
      <c r="H888" s="152"/>
      <c r="I888" s="152"/>
      <c r="J888" s="152"/>
      <c r="K888" s="445"/>
      <c r="L888" s="445"/>
      <c r="M888" s="152"/>
      <c r="N888" s="152"/>
      <c r="O888" s="152"/>
      <c r="P888" s="152"/>
      <c r="Q888" s="152"/>
      <c r="R888" s="152"/>
      <c r="S888" s="152"/>
      <c r="T888" s="152"/>
      <c r="U888" s="152"/>
      <c r="V888" s="152"/>
      <c r="W888" s="152"/>
    </row>
    <row r="889">
      <c r="A889" s="152"/>
      <c r="B889" s="152"/>
      <c r="C889" s="152"/>
      <c r="D889" s="152"/>
      <c r="E889" s="152"/>
      <c r="F889" s="152"/>
      <c r="G889" s="152"/>
      <c r="H889" s="152"/>
      <c r="I889" s="152"/>
      <c r="J889" s="152"/>
      <c r="K889" s="445"/>
      <c r="L889" s="445"/>
      <c r="M889" s="152"/>
      <c r="N889" s="152"/>
      <c r="O889" s="152"/>
      <c r="P889" s="152"/>
      <c r="Q889" s="152"/>
      <c r="R889" s="152"/>
      <c r="S889" s="152"/>
      <c r="T889" s="152"/>
      <c r="U889" s="152"/>
      <c r="V889" s="152"/>
      <c r="W889" s="152"/>
    </row>
    <row r="890">
      <c r="A890" s="152"/>
      <c r="B890" s="152"/>
      <c r="C890" s="152"/>
      <c r="D890" s="152"/>
      <c r="E890" s="152"/>
      <c r="F890" s="152"/>
      <c r="G890" s="152"/>
      <c r="H890" s="152"/>
      <c r="I890" s="152"/>
      <c r="J890" s="152"/>
      <c r="K890" s="445"/>
      <c r="L890" s="445"/>
      <c r="M890" s="152"/>
      <c r="N890" s="152"/>
      <c r="O890" s="152"/>
      <c r="P890" s="152"/>
      <c r="Q890" s="152"/>
      <c r="R890" s="152"/>
      <c r="S890" s="152"/>
      <c r="T890" s="152"/>
      <c r="U890" s="152"/>
      <c r="V890" s="152"/>
      <c r="W890" s="152"/>
    </row>
    <row r="891">
      <c r="A891" s="152"/>
      <c r="B891" s="152"/>
      <c r="C891" s="152"/>
      <c r="D891" s="152"/>
      <c r="E891" s="152"/>
      <c r="F891" s="152"/>
      <c r="G891" s="152"/>
      <c r="H891" s="152"/>
      <c r="I891" s="152"/>
      <c r="J891" s="152"/>
      <c r="K891" s="445"/>
      <c r="L891" s="445"/>
      <c r="M891" s="152"/>
      <c r="N891" s="152"/>
      <c r="O891" s="152"/>
      <c r="P891" s="152"/>
      <c r="Q891" s="152"/>
      <c r="R891" s="152"/>
      <c r="S891" s="152"/>
      <c r="T891" s="152"/>
      <c r="U891" s="152"/>
      <c r="V891" s="152"/>
      <c r="W891" s="152"/>
    </row>
    <row r="892">
      <c r="A892" s="152"/>
      <c r="B892" s="152"/>
      <c r="C892" s="152"/>
      <c r="D892" s="152"/>
      <c r="E892" s="152"/>
      <c r="F892" s="152"/>
      <c r="G892" s="152"/>
      <c r="H892" s="152"/>
      <c r="I892" s="152"/>
      <c r="J892" s="152"/>
      <c r="K892" s="445"/>
      <c r="L892" s="445"/>
      <c r="M892" s="152"/>
      <c r="N892" s="152"/>
      <c r="O892" s="152"/>
      <c r="P892" s="152"/>
      <c r="Q892" s="152"/>
      <c r="R892" s="152"/>
      <c r="S892" s="152"/>
      <c r="T892" s="152"/>
      <c r="U892" s="152"/>
      <c r="V892" s="152"/>
      <c r="W892" s="152"/>
    </row>
    <row r="893">
      <c r="A893" s="152"/>
      <c r="B893" s="152"/>
      <c r="C893" s="152"/>
      <c r="D893" s="152"/>
      <c r="E893" s="152"/>
      <c r="F893" s="152"/>
      <c r="G893" s="152"/>
      <c r="H893" s="152"/>
      <c r="I893" s="152"/>
      <c r="J893" s="152"/>
      <c r="K893" s="445"/>
      <c r="L893" s="445"/>
      <c r="M893" s="152"/>
      <c r="N893" s="152"/>
      <c r="O893" s="152"/>
      <c r="P893" s="152"/>
      <c r="Q893" s="152"/>
      <c r="R893" s="152"/>
      <c r="S893" s="152"/>
      <c r="T893" s="152"/>
      <c r="U893" s="152"/>
      <c r="V893" s="152"/>
      <c r="W893" s="152"/>
    </row>
    <row r="894">
      <c r="A894" s="152"/>
      <c r="B894" s="152"/>
      <c r="C894" s="152"/>
      <c r="D894" s="152"/>
      <c r="E894" s="152"/>
      <c r="F894" s="152"/>
      <c r="G894" s="152"/>
      <c r="H894" s="152"/>
      <c r="I894" s="152"/>
      <c r="J894" s="152"/>
      <c r="K894" s="445"/>
      <c r="L894" s="445"/>
      <c r="M894" s="152"/>
      <c r="N894" s="152"/>
      <c r="O894" s="152"/>
      <c r="P894" s="152"/>
      <c r="Q894" s="152"/>
      <c r="R894" s="152"/>
      <c r="S894" s="152"/>
      <c r="T894" s="152"/>
      <c r="U894" s="152"/>
      <c r="V894" s="152"/>
      <c r="W894" s="152"/>
    </row>
    <row r="895">
      <c r="A895" s="152"/>
      <c r="B895" s="152"/>
      <c r="C895" s="152"/>
      <c r="D895" s="152"/>
      <c r="E895" s="152"/>
      <c r="F895" s="152"/>
      <c r="G895" s="152"/>
      <c r="H895" s="152"/>
      <c r="I895" s="152"/>
      <c r="J895" s="152"/>
      <c r="K895" s="445"/>
      <c r="L895" s="445"/>
      <c r="M895" s="152"/>
      <c r="N895" s="152"/>
      <c r="O895" s="152"/>
      <c r="P895" s="152"/>
      <c r="Q895" s="152"/>
      <c r="R895" s="152"/>
      <c r="S895" s="152"/>
      <c r="T895" s="152"/>
      <c r="U895" s="152"/>
      <c r="V895" s="152"/>
      <c r="W895" s="152"/>
    </row>
    <row r="896">
      <c r="A896" s="152"/>
      <c r="B896" s="152"/>
      <c r="C896" s="152"/>
      <c r="D896" s="152"/>
      <c r="E896" s="152"/>
      <c r="F896" s="152"/>
      <c r="G896" s="152"/>
      <c r="H896" s="152"/>
      <c r="I896" s="152"/>
      <c r="J896" s="152"/>
      <c r="K896" s="445"/>
      <c r="L896" s="445"/>
      <c r="M896" s="152"/>
      <c r="N896" s="152"/>
      <c r="O896" s="152"/>
      <c r="P896" s="152"/>
      <c r="Q896" s="152"/>
      <c r="R896" s="152"/>
      <c r="S896" s="152"/>
      <c r="T896" s="152"/>
      <c r="U896" s="152"/>
      <c r="V896" s="152"/>
      <c r="W896" s="152"/>
    </row>
    <row r="897">
      <c r="A897" s="152"/>
      <c r="B897" s="152"/>
      <c r="C897" s="152"/>
      <c r="D897" s="152"/>
      <c r="E897" s="152"/>
      <c r="F897" s="152"/>
      <c r="G897" s="152"/>
      <c r="H897" s="152"/>
      <c r="I897" s="152"/>
      <c r="J897" s="152"/>
      <c r="K897" s="445"/>
      <c r="L897" s="445"/>
      <c r="M897" s="152"/>
      <c r="N897" s="152"/>
      <c r="O897" s="152"/>
      <c r="P897" s="152"/>
      <c r="Q897" s="152"/>
      <c r="R897" s="152"/>
      <c r="S897" s="152"/>
      <c r="T897" s="152"/>
      <c r="U897" s="152"/>
      <c r="V897" s="152"/>
      <c r="W897" s="152"/>
    </row>
    <row r="898">
      <c r="A898" s="152"/>
      <c r="B898" s="152"/>
      <c r="C898" s="152"/>
      <c r="D898" s="152"/>
      <c r="E898" s="152"/>
      <c r="F898" s="152"/>
      <c r="G898" s="152"/>
      <c r="H898" s="152"/>
      <c r="I898" s="152"/>
      <c r="J898" s="152"/>
      <c r="K898" s="445"/>
      <c r="L898" s="445"/>
      <c r="M898" s="152"/>
      <c r="N898" s="152"/>
      <c r="O898" s="152"/>
      <c r="P898" s="152"/>
      <c r="Q898" s="152"/>
      <c r="R898" s="152"/>
      <c r="S898" s="152"/>
      <c r="T898" s="152"/>
      <c r="U898" s="152"/>
      <c r="V898" s="152"/>
      <c r="W898" s="152"/>
    </row>
    <row r="899">
      <c r="A899" s="152"/>
      <c r="B899" s="152"/>
      <c r="C899" s="152"/>
      <c r="D899" s="152"/>
      <c r="E899" s="152"/>
      <c r="F899" s="152"/>
      <c r="G899" s="152"/>
      <c r="H899" s="152"/>
      <c r="I899" s="152"/>
      <c r="J899" s="152"/>
      <c r="K899" s="445"/>
      <c r="L899" s="445"/>
      <c r="M899" s="152"/>
      <c r="N899" s="152"/>
      <c r="O899" s="152"/>
      <c r="P899" s="152"/>
      <c r="Q899" s="152"/>
      <c r="R899" s="152"/>
      <c r="S899" s="152"/>
      <c r="T899" s="152"/>
      <c r="U899" s="152"/>
      <c r="V899" s="152"/>
      <c r="W899" s="152"/>
    </row>
    <row r="900">
      <c r="A900" s="152"/>
      <c r="B900" s="152"/>
      <c r="C900" s="152"/>
      <c r="D900" s="152"/>
      <c r="E900" s="152"/>
      <c r="F900" s="152"/>
      <c r="G900" s="152"/>
      <c r="H900" s="152"/>
      <c r="I900" s="152"/>
      <c r="J900" s="152"/>
      <c r="K900" s="445"/>
      <c r="L900" s="445"/>
      <c r="M900" s="152"/>
      <c r="N900" s="152"/>
      <c r="O900" s="152"/>
      <c r="P900" s="152"/>
      <c r="Q900" s="152"/>
      <c r="R900" s="152"/>
      <c r="S900" s="152"/>
      <c r="T900" s="152"/>
      <c r="U900" s="152"/>
      <c r="V900" s="152"/>
      <c r="W900" s="152"/>
    </row>
    <row r="901">
      <c r="A901" s="152"/>
      <c r="B901" s="152"/>
      <c r="C901" s="152"/>
      <c r="D901" s="152"/>
      <c r="E901" s="152"/>
      <c r="F901" s="152"/>
      <c r="G901" s="152"/>
      <c r="H901" s="152"/>
      <c r="I901" s="152"/>
      <c r="J901" s="152"/>
      <c r="K901" s="445"/>
      <c r="L901" s="445"/>
      <c r="M901" s="152"/>
      <c r="N901" s="152"/>
      <c r="O901" s="152"/>
      <c r="P901" s="152"/>
      <c r="Q901" s="152"/>
      <c r="R901" s="152"/>
      <c r="S901" s="152"/>
      <c r="T901" s="152"/>
      <c r="U901" s="152"/>
      <c r="V901" s="152"/>
      <c r="W901" s="152"/>
    </row>
    <row r="902">
      <c r="A902" s="152"/>
      <c r="B902" s="152"/>
      <c r="C902" s="152"/>
      <c r="D902" s="152"/>
      <c r="E902" s="152"/>
      <c r="F902" s="152"/>
      <c r="G902" s="152"/>
      <c r="H902" s="152"/>
      <c r="I902" s="152"/>
      <c r="J902" s="152"/>
      <c r="K902" s="445"/>
      <c r="L902" s="445"/>
      <c r="M902" s="152"/>
      <c r="N902" s="152"/>
      <c r="O902" s="152"/>
      <c r="P902" s="152"/>
      <c r="Q902" s="152"/>
      <c r="R902" s="152"/>
      <c r="S902" s="152"/>
      <c r="T902" s="152"/>
      <c r="U902" s="152"/>
      <c r="V902" s="152"/>
      <c r="W902" s="152"/>
    </row>
    <row r="903">
      <c r="A903" s="152"/>
      <c r="B903" s="152"/>
      <c r="C903" s="152"/>
      <c r="D903" s="152"/>
      <c r="E903" s="152"/>
      <c r="F903" s="152"/>
      <c r="G903" s="152"/>
      <c r="H903" s="152"/>
      <c r="I903" s="152"/>
      <c r="J903" s="152"/>
      <c r="K903" s="445"/>
      <c r="L903" s="445"/>
      <c r="M903" s="152"/>
      <c r="N903" s="152"/>
      <c r="O903" s="152"/>
      <c r="P903" s="152"/>
      <c r="Q903" s="152"/>
      <c r="R903" s="152"/>
      <c r="S903" s="152"/>
      <c r="T903" s="152"/>
      <c r="U903" s="152"/>
      <c r="V903" s="152"/>
      <c r="W903" s="152"/>
    </row>
    <row r="904">
      <c r="A904" s="152"/>
      <c r="B904" s="152"/>
      <c r="C904" s="152"/>
      <c r="D904" s="152"/>
      <c r="E904" s="152"/>
      <c r="F904" s="152"/>
      <c r="G904" s="152"/>
      <c r="H904" s="152"/>
      <c r="I904" s="152"/>
      <c r="J904" s="152"/>
      <c r="K904" s="445"/>
      <c r="L904" s="445"/>
      <c r="M904" s="152"/>
      <c r="N904" s="152"/>
      <c r="O904" s="152"/>
      <c r="P904" s="152"/>
      <c r="Q904" s="152"/>
      <c r="R904" s="152"/>
      <c r="S904" s="152"/>
      <c r="T904" s="152"/>
      <c r="U904" s="152"/>
      <c r="V904" s="152"/>
      <c r="W904" s="152"/>
    </row>
    <row r="905">
      <c r="A905" s="152"/>
      <c r="B905" s="152"/>
      <c r="C905" s="152"/>
      <c r="D905" s="152"/>
      <c r="E905" s="152"/>
      <c r="F905" s="152"/>
      <c r="G905" s="152"/>
      <c r="H905" s="152"/>
      <c r="I905" s="152"/>
      <c r="J905" s="152"/>
      <c r="K905" s="445"/>
      <c r="L905" s="445"/>
      <c r="M905" s="152"/>
      <c r="N905" s="152"/>
      <c r="O905" s="152"/>
      <c r="P905" s="152"/>
      <c r="Q905" s="152"/>
      <c r="R905" s="152"/>
      <c r="S905" s="152"/>
      <c r="T905" s="152"/>
      <c r="U905" s="152"/>
      <c r="V905" s="152"/>
      <c r="W905" s="152"/>
    </row>
    <row r="906">
      <c r="A906" s="152"/>
      <c r="B906" s="152"/>
      <c r="C906" s="152"/>
      <c r="D906" s="152"/>
      <c r="E906" s="152"/>
      <c r="F906" s="152"/>
      <c r="G906" s="152"/>
      <c r="H906" s="152"/>
      <c r="I906" s="152"/>
      <c r="J906" s="152"/>
      <c r="K906" s="445"/>
      <c r="L906" s="445"/>
      <c r="M906" s="152"/>
      <c r="N906" s="152"/>
      <c r="O906" s="152"/>
      <c r="P906" s="152"/>
      <c r="Q906" s="152"/>
      <c r="R906" s="152"/>
      <c r="S906" s="152"/>
      <c r="T906" s="152"/>
      <c r="U906" s="152"/>
      <c r="V906" s="152"/>
      <c r="W906" s="152"/>
    </row>
    <row r="907">
      <c r="A907" s="152"/>
      <c r="B907" s="152"/>
      <c r="C907" s="152"/>
      <c r="D907" s="152"/>
      <c r="E907" s="152"/>
      <c r="F907" s="152"/>
      <c r="G907" s="152"/>
      <c r="H907" s="152"/>
      <c r="I907" s="152"/>
      <c r="J907" s="152"/>
      <c r="K907" s="445"/>
      <c r="L907" s="445"/>
      <c r="M907" s="152"/>
      <c r="N907" s="152"/>
      <c r="O907" s="152"/>
      <c r="P907" s="152"/>
      <c r="Q907" s="152"/>
      <c r="R907" s="152"/>
      <c r="S907" s="152"/>
      <c r="T907" s="152"/>
      <c r="U907" s="152"/>
      <c r="V907" s="152"/>
      <c r="W907" s="152"/>
    </row>
    <row r="908">
      <c r="A908" s="152"/>
      <c r="B908" s="152"/>
      <c r="C908" s="152"/>
      <c r="D908" s="152"/>
      <c r="E908" s="152"/>
      <c r="F908" s="152"/>
      <c r="G908" s="152"/>
      <c r="H908" s="152"/>
      <c r="I908" s="152"/>
      <c r="J908" s="152"/>
      <c r="K908" s="445"/>
      <c r="L908" s="445"/>
      <c r="M908" s="152"/>
      <c r="N908" s="152"/>
      <c r="O908" s="152"/>
      <c r="P908" s="152"/>
      <c r="Q908" s="152"/>
      <c r="R908" s="152"/>
      <c r="S908" s="152"/>
      <c r="T908" s="152"/>
      <c r="U908" s="152"/>
      <c r="V908" s="152"/>
      <c r="W908" s="152"/>
    </row>
    <row r="909">
      <c r="A909" s="152"/>
      <c r="B909" s="152"/>
      <c r="C909" s="152"/>
      <c r="D909" s="152"/>
      <c r="E909" s="152"/>
      <c r="F909" s="152"/>
      <c r="G909" s="152"/>
      <c r="H909" s="152"/>
      <c r="I909" s="152"/>
      <c r="J909" s="152"/>
      <c r="K909" s="445"/>
      <c r="L909" s="445"/>
      <c r="M909" s="152"/>
      <c r="N909" s="152"/>
      <c r="O909" s="152"/>
      <c r="P909" s="152"/>
      <c r="Q909" s="152"/>
      <c r="R909" s="152"/>
      <c r="S909" s="152"/>
      <c r="T909" s="152"/>
      <c r="U909" s="152"/>
      <c r="V909" s="152"/>
      <c r="W909" s="152"/>
    </row>
    <row r="910">
      <c r="A910" s="152"/>
      <c r="B910" s="152"/>
      <c r="C910" s="152"/>
      <c r="D910" s="152"/>
      <c r="E910" s="152"/>
      <c r="F910" s="152"/>
      <c r="G910" s="152"/>
      <c r="H910" s="152"/>
      <c r="I910" s="152"/>
      <c r="J910" s="152"/>
      <c r="K910" s="445"/>
      <c r="L910" s="445"/>
      <c r="M910" s="152"/>
      <c r="N910" s="152"/>
      <c r="O910" s="152"/>
      <c r="P910" s="152"/>
      <c r="Q910" s="152"/>
      <c r="R910" s="152"/>
      <c r="S910" s="152"/>
      <c r="T910" s="152"/>
      <c r="U910" s="152"/>
      <c r="V910" s="152"/>
      <c r="W910" s="152"/>
    </row>
    <row r="911">
      <c r="A911" s="152"/>
      <c r="B911" s="152"/>
      <c r="C911" s="152"/>
      <c r="D911" s="152"/>
      <c r="E911" s="152"/>
      <c r="F911" s="152"/>
      <c r="G911" s="152"/>
      <c r="H911" s="152"/>
      <c r="I911" s="152"/>
      <c r="J911" s="152"/>
      <c r="K911" s="445"/>
      <c r="L911" s="445"/>
      <c r="M911" s="152"/>
      <c r="N911" s="152"/>
      <c r="O911" s="152"/>
      <c r="P911" s="152"/>
      <c r="Q911" s="152"/>
      <c r="R911" s="152"/>
      <c r="S911" s="152"/>
      <c r="T911" s="152"/>
      <c r="U911" s="152"/>
      <c r="V911" s="152"/>
      <c r="W911" s="152"/>
    </row>
    <row r="912">
      <c r="A912" s="152"/>
      <c r="B912" s="152"/>
      <c r="C912" s="152"/>
      <c r="D912" s="152"/>
      <c r="E912" s="152"/>
      <c r="F912" s="152"/>
      <c r="G912" s="152"/>
      <c r="H912" s="152"/>
      <c r="I912" s="152"/>
      <c r="J912" s="152"/>
      <c r="K912" s="445"/>
      <c r="L912" s="445"/>
      <c r="M912" s="152"/>
      <c r="N912" s="152"/>
      <c r="O912" s="152"/>
      <c r="P912" s="152"/>
      <c r="Q912" s="152"/>
      <c r="R912" s="152"/>
      <c r="S912" s="152"/>
      <c r="T912" s="152"/>
      <c r="U912" s="152"/>
      <c r="V912" s="152"/>
      <c r="W912" s="152"/>
    </row>
    <row r="913">
      <c r="A913" s="152"/>
      <c r="B913" s="152"/>
      <c r="C913" s="152"/>
      <c r="D913" s="152"/>
      <c r="E913" s="152"/>
      <c r="F913" s="152"/>
      <c r="G913" s="152"/>
      <c r="H913" s="152"/>
      <c r="I913" s="152"/>
      <c r="J913" s="152"/>
      <c r="K913" s="445"/>
      <c r="L913" s="445"/>
      <c r="M913" s="152"/>
      <c r="N913" s="152"/>
      <c r="O913" s="152"/>
      <c r="P913" s="152"/>
      <c r="Q913" s="152"/>
      <c r="R913" s="152"/>
      <c r="S913" s="152"/>
      <c r="T913" s="152"/>
      <c r="U913" s="152"/>
      <c r="V913" s="152"/>
      <c r="W913" s="152"/>
    </row>
    <row r="914">
      <c r="A914" s="152"/>
      <c r="B914" s="152"/>
      <c r="C914" s="152"/>
      <c r="D914" s="152"/>
      <c r="E914" s="152"/>
      <c r="F914" s="152"/>
      <c r="G914" s="152"/>
      <c r="H914" s="152"/>
      <c r="I914" s="152"/>
      <c r="J914" s="152"/>
      <c r="K914" s="445"/>
      <c r="L914" s="445"/>
      <c r="M914" s="152"/>
      <c r="N914" s="152"/>
      <c r="O914" s="152"/>
      <c r="P914" s="152"/>
      <c r="Q914" s="152"/>
      <c r="R914" s="152"/>
      <c r="S914" s="152"/>
      <c r="T914" s="152"/>
      <c r="U914" s="152"/>
      <c r="V914" s="152"/>
      <c r="W914" s="152"/>
    </row>
    <row r="915">
      <c r="A915" s="152"/>
      <c r="B915" s="152"/>
      <c r="C915" s="152"/>
      <c r="D915" s="152"/>
      <c r="E915" s="152"/>
      <c r="F915" s="152"/>
      <c r="G915" s="152"/>
      <c r="H915" s="152"/>
      <c r="I915" s="152"/>
      <c r="J915" s="152"/>
      <c r="K915" s="445"/>
      <c r="L915" s="445"/>
      <c r="M915" s="152"/>
      <c r="N915" s="152"/>
      <c r="O915" s="152"/>
      <c r="P915" s="152"/>
      <c r="Q915" s="152"/>
      <c r="R915" s="152"/>
      <c r="S915" s="152"/>
      <c r="T915" s="152"/>
      <c r="U915" s="152"/>
      <c r="V915" s="152"/>
      <c r="W915" s="152"/>
    </row>
    <row r="916">
      <c r="A916" s="152"/>
      <c r="B916" s="152"/>
      <c r="C916" s="152"/>
      <c r="D916" s="152"/>
      <c r="E916" s="152"/>
      <c r="F916" s="152"/>
      <c r="G916" s="152"/>
      <c r="H916" s="152"/>
      <c r="I916" s="152"/>
      <c r="J916" s="152"/>
      <c r="K916" s="445"/>
      <c r="L916" s="445"/>
      <c r="M916" s="152"/>
      <c r="N916" s="152"/>
      <c r="O916" s="152"/>
      <c r="P916" s="152"/>
      <c r="Q916" s="152"/>
      <c r="R916" s="152"/>
      <c r="S916" s="152"/>
      <c r="T916" s="152"/>
      <c r="U916" s="152"/>
      <c r="V916" s="152"/>
      <c r="W916" s="152"/>
    </row>
    <row r="917">
      <c r="A917" s="152"/>
      <c r="B917" s="152"/>
      <c r="C917" s="152"/>
      <c r="D917" s="152"/>
      <c r="E917" s="152"/>
      <c r="F917" s="152"/>
      <c r="G917" s="152"/>
      <c r="H917" s="152"/>
      <c r="I917" s="152"/>
      <c r="J917" s="152"/>
      <c r="K917" s="445"/>
      <c r="L917" s="445"/>
      <c r="M917" s="152"/>
      <c r="N917" s="152"/>
      <c r="O917" s="152"/>
      <c r="P917" s="152"/>
      <c r="Q917" s="152"/>
      <c r="R917" s="152"/>
      <c r="S917" s="152"/>
      <c r="T917" s="152"/>
      <c r="U917" s="152"/>
      <c r="V917" s="152"/>
      <c r="W917" s="152"/>
    </row>
    <row r="918">
      <c r="A918" s="152"/>
      <c r="B918" s="152"/>
      <c r="C918" s="152"/>
      <c r="D918" s="152"/>
      <c r="E918" s="152"/>
      <c r="F918" s="152"/>
      <c r="G918" s="152"/>
      <c r="H918" s="152"/>
      <c r="I918" s="152"/>
      <c r="J918" s="152"/>
      <c r="K918" s="445"/>
      <c r="L918" s="445"/>
      <c r="M918" s="152"/>
      <c r="N918" s="152"/>
      <c r="O918" s="152"/>
      <c r="P918" s="152"/>
      <c r="Q918" s="152"/>
      <c r="R918" s="152"/>
      <c r="S918" s="152"/>
      <c r="T918" s="152"/>
      <c r="U918" s="152"/>
      <c r="V918" s="152"/>
      <c r="W918" s="152"/>
    </row>
    <row r="919">
      <c r="A919" s="152"/>
      <c r="B919" s="152"/>
      <c r="C919" s="152"/>
      <c r="D919" s="152"/>
      <c r="E919" s="152"/>
      <c r="F919" s="152"/>
      <c r="G919" s="152"/>
      <c r="H919" s="152"/>
      <c r="I919" s="152"/>
      <c r="J919" s="152"/>
      <c r="K919" s="445"/>
      <c r="L919" s="445"/>
      <c r="M919" s="152"/>
      <c r="N919" s="152"/>
      <c r="O919" s="152"/>
      <c r="P919" s="152"/>
      <c r="Q919" s="152"/>
      <c r="R919" s="152"/>
      <c r="S919" s="152"/>
      <c r="T919" s="152"/>
      <c r="U919" s="152"/>
      <c r="V919" s="152"/>
      <c r="W919" s="152"/>
    </row>
    <row r="920">
      <c r="A920" s="152"/>
      <c r="B920" s="152"/>
      <c r="C920" s="152"/>
      <c r="D920" s="152"/>
      <c r="E920" s="152"/>
      <c r="F920" s="152"/>
      <c r="G920" s="152"/>
      <c r="H920" s="152"/>
      <c r="I920" s="152"/>
      <c r="J920" s="152"/>
      <c r="K920" s="445"/>
      <c r="L920" s="445"/>
      <c r="M920" s="152"/>
      <c r="N920" s="152"/>
      <c r="O920" s="152"/>
      <c r="P920" s="152"/>
      <c r="Q920" s="152"/>
      <c r="R920" s="152"/>
      <c r="S920" s="152"/>
      <c r="T920" s="152"/>
      <c r="U920" s="152"/>
      <c r="V920" s="152"/>
      <c r="W920" s="152"/>
    </row>
    <row r="921">
      <c r="A921" s="152"/>
      <c r="B921" s="152"/>
      <c r="C921" s="152"/>
      <c r="D921" s="152"/>
      <c r="E921" s="152"/>
      <c r="F921" s="152"/>
      <c r="G921" s="152"/>
      <c r="H921" s="152"/>
      <c r="I921" s="152"/>
      <c r="J921" s="152"/>
      <c r="K921" s="445"/>
      <c r="L921" s="445"/>
      <c r="M921" s="152"/>
      <c r="N921" s="152"/>
      <c r="O921" s="152"/>
      <c r="P921" s="152"/>
      <c r="Q921" s="152"/>
      <c r="R921" s="152"/>
      <c r="S921" s="152"/>
      <c r="T921" s="152"/>
      <c r="U921" s="152"/>
      <c r="V921" s="152"/>
      <c r="W921" s="152"/>
    </row>
    <row r="922">
      <c r="A922" s="152"/>
      <c r="B922" s="152"/>
      <c r="C922" s="152"/>
      <c r="D922" s="152"/>
      <c r="E922" s="152"/>
      <c r="F922" s="152"/>
      <c r="G922" s="152"/>
      <c r="H922" s="152"/>
      <c r="I922" s="152"/>
      <c r="J922" s="152"/>
      <c r="K922" s="445"/>
      <c r="L922" s="445"/>
      <c r="M922" s="152"/>
      <c r="N922" s="152"/>
      <c r="O922" s="152"/>
      <c r="P922" s="152"/>
      <c r="Q922" s="152"/>
      <c r="R922" s="152"/>
      <c r="S922" s="152"/>
      <c r="T922" s="152"/>
      <c r="U922" s="152"/>
      <c r="V922" s="152"/>
      <c r="W922" s="152"/>
    </row>
    <row r="923">
      <c r="A923" s="152"/>
      <c r="B923" s="152"/>
      <c r="C923" s="152"/>
      <c r="D923" s="152"/>
      <c r="E923" s="152"/>
      <c r="F923" s="152"/>
      <c r="G923" s="152"/>
      <c r="H923" s="152"/>
      <c r="I923" s="152"/>
      <c r="J923" s="152"/>
      <c r="K923" s="445"/>
      <c r="L923" s="445"/>
      <c r="M923" s="152"/>
      <c r="N923" s="152"/>
      <c r="O923" s="152"/>
      <c r="P923" s="152"/>
      <c r="Q923" s="152"/>
      <c r="R923" s="152"/>
      <c r="S923" s="152"/>
      <c r="T923" s="152"/>
      <c r="U923" s="152"/>
      <c r="V923" s="152"/>
      <c r="W923" s="152"/>
    </row>
    <row r="924">
      <c r="A924" s="152"/>
      <c r="B924" s="152"/>
      <c r="C924" s="152"/>
      <c r="D924" s="152"/>
      <c r="E924" s="152"/>
      <c r="F924" s="152"/>
      <c r="G924" s="152"/>
      <c r="H924" s="152"/>
      <c r="I924" s="152"/>
      <c r="J924" s="152"/>
      <c r="K924" s="445"/>
      <c r="L924" s="445"/>
      <c r="M924" s="152"/>
      <c r="N924" s="152"/>
      <c r="O924" s="152"/>
      <c r="P924" s="152"/>
      <c r="Q924" s="152"/>
      <c r="R924" s="152"/>
      <c r="S924" s="152"/>
      <c r="T924" s="152"/>
      <c r="U924" s="152"/>
      <c r="V924" s="152"/>
      <c r="W924" s="152"/>
    </row>
    <row r="925">
      <c r="A925" s="152"/>
      <c r="B925" s="152"/>
      <c r="C925" s="152"/>
      <c r="D925" s="152"/>
      <c r="E925" s="152"/>
      <c r="F925" s="152"/>
      <c r="G925" s="152"/>
      <c r="H925" s="152"/>
      <c r="I925" s="152"/>
      <c r="J925" s="152"/>
      <c r="K925" s="445"/>
      <c r="L925" s="445"/>
      <c r="M925" s="152"/>
      <c r="N925" s="152"/>
      <c r="O925" s="152"/>
      <c r="P925" s="152"/>
      <c r="Q925" s="152"/>
      <c r="R925" s="152"/>
      <c r="S925" s="152"/>
      <c r="T925" s="152"/>
      <c r="U925" s="152"/>
      <c r="V925" s="152"/>
      <c r="W925" s="152"/>
    </row>
    <row r="926">
      <c r="A926" s="152"/>
      <c r="B926" s="152"/>
      <c r="C926" s="152"/>
      <c r="D926" s="152"/>
      <c r="E926" s="152"/>
      <c r="F926" s="152"/>
      <c r="G926" s="152"/>
      <c r="H926" s="152"/>
      <c r="I926" s="152"/>
      <c r="J926" s="152"/>
      <c r="K926" s="445"/>
      <c r="L926" s="445"/>
      <c r="M926" s="152"/>
      <c r="N926" s="152"/>
      <c r="O926" s="152"/>
      <c r="P926" s="152"/>
      <c r="Q926" s="152"/>
      <c r="R926" s="152"/>
      <c r="S926" s="152"/>
      <c r="T926" s="152"/>
      <c r="U926" s="152"/>
      <c r="V926" s="152"/>
      <c r="W926" s="152"/>
    </row>
    <row r="927">
      <c r="A927" s="152"/>
      <c r="B927" s="152"/>
      <c r="C927" s="152"/>
      <c r="D927" s="152"/>
      <c r="E927" s="152"/>
      <c r="F927" s="152"/>
      <c r="G927" s="152"/>
      <c r="H927" s="152"/>
      <c r="I927" s="152"/>
      <c r="J927" s="152"/>
      <c r="K927" s="445"/>
      <c r="L927" s="445"/>
      <c r="M927" s="152"/>
      <c r="N927" s="152"/>
      <c r="O927" s="152"/>
      <c r="P927" s="152"/>
      <c r="Q927" s="152"/>
      <c r="R927" s="152"/>
      <c r="S927" s="152"/>
      <c r="T927" s="152"/>
      <c r="U927" s="152"/>
      <c r="V927" s="152"/>
      <c r="W927" s="152"/>
    </row>
    <row r="928">
      <c r="A928" s="152"/>
      <c r="B928" s="152"/>
      <c r="C928" s="152"/>
      <c r="D928" s="152"/>
      <c r="E928" s="152"/>
      <c r="F928" s="152"/>
      <c r="G928" s="152"/>
      <c r="H928" s="152"/>
      <c r="I928" s="152"/>
      <c r="J928" s="152"/>
      <c r="K928" s="445"/>
      <c r="L928" s="445"/>
      <c r="M928" s="152"/>
      <c r="N928" s="152"/>
      <c r="O928" s="152"/>
      <c r="P928" s="152"/>
      <c r="Q928" s="152"/>
      <c r="R928" s="152"/>
      <c r="S928" s="152"/>
      <c r="T928" s="152"/>
      <c r="U928" s="152"/>
      <c r="V928" s="152"/>
      <c r="W928" s="152"/>
    </row>
    <row r="929">
      <c r="A929" s="152"/>
      <c r="B929" s="152"/>
      <c r="C929" s="152"/>
      <c r="D929" s="152"/>
      <c r="E929" s="152"/>
      <c r="F929" s="152"/>
      <c r="G929" s="152"/>
      <c r="H929" s="152"/>
      <c r="I929" s="152"/>
      <c r="J929" s="152"/>
      <c r="K929" s="445"/>
      <c r="L929" s="445"/>
      <c r="M929" s="152"/>
      <c r="N929" s="152"/>
      <c r="O929" s="152"/>
      <c r="P929" s="152"/>
      <c r="Q929" s="152"/>
      <c r="R929" s="152"/>
      <c r="S929" s="152"/>
      <c r="T929" s="152"/>
      <c r="U929" s="152"/>
      <c r="V929" s="152"/>
      <c r="W929" s="152"/>
    </row>
    <row r="930">
      <c r="A930" s="152"/>
      <c r="B930" s="152"/>
      <c r="C930" s="152"/>
      <c r="D930" s="152"/>
      <c r="E930" s="152"/>
      <c r="F930" s="152"/>
      <c r="G930" s="152"/>
      <c r="H930" s="152"/>
      <c r="I930" s="152"/>
      <c r="J930" s="152"/>
      <c r="K930" s="445"/>
      <c r="L930" s="445"/>
      <c r="M930" s="152"/>
      <c r="N930" s="152"/>
      <c r="O930" s="152"/>
      <c r="P930" s="152"/>
      <c r="Q930" s="152"/>
      <c r="R930" s="152"/>
      <c r="S930" s="152"/>
      <c r="T930" s="152"/>
      <c r="U930" s="152"/>
      <c r="V930" s="152"/>
      <c r="W930" s="152"/>
    </row>
    <row r="931">
      <c r="A931" s="152"/>
      <c r="B931" s="152"/>
      <c r="C931" s="152"/>
      <c r="D931" s="152"/>
      <c r="E931" s="152"/>
      <c r="F931" s="152"/>
      <c r="G931" s="152"/>
      <c r="H931" s="152"/>
      <c r="I931" s="152"/>
      <c r="J931" s="152"/>
      <c r="K931" s="445"/>
      <c r="L931" s="445"/>
      <c r="M931" s="152"/>
      <c r="N931" s="152"/>
      <c r="O931" s="152"/>
      <c r="P931" s="152"/>
      <c r="Q931" s="152"/>
      <c r="R931" s="152"/>
      <c r="S931" s="152"/>
      <c r="T931" s="152"/>
      <c r="U931" s="152"/>
      <c r="V931" s="152"/>
      <c r="W931" s="152"/>
    </row>
    <row r="932">
      <c r="A932" s="152"/>
      <c r="B932" s="152"/>
      <c r="C932" s="152"/>
      <c r="D932" s="152"/>
      <c r="E932" s="152"/>
      <c r="F932" s="152"/>
      <c r="G932" s="152"/>
      <c r="H932" s="152"/>
      <c r="I932" s="152"/>
      <c r="J932" s="152"/>
      <c r="K932" s="445"/>
      <c r="L932" s="445"/>
      <c r="M932" s="152"/>
      <c r="N932" s="152"/>
      <c r="O932" s="152"/>
      <c r="P932" s="152"/>
      <c r="Q932" s="152"/>
      <c r="R932" s="152"/>
      <c r="S932" s="152"/>
      <c r="T932" s="152"/>
      <c r="U932" s="152"/>
      <c r="V932" s="152"/>
      <c r="W932" s="152"/>
    </row>
    <row r="933">
      <c r="A933" s="152"/>
      <c r="B933" s="152"/>
      <c r="C933" s="152"/>
      <c r="D933" s="152"/>
      <c r="E933" s="152"/>
      <c r="F933" s="152"/>
      <c r="G933" s="152"/>
      <c r="H933" s="152"/>
      <c r="I933" s="152"/>
      <c r="J933" s="152"/>
      <c r="K933" s="445"/>
      <c r="L933" s="445"/>
      <c r="M933" s="152"/>
      <c r="N933" s="152"/>
      <c r="O933" s="152"/>
      <c r="P933" s="152"/>
      <c r="Q933" s="152"/>
      <c r="R933" s="152"/>
      <c r="S933" s="152"/>
      <c r="T933" s="152"/>
      <c r="U933" s="152"/>
      <c r="V933" s="152"/>
      <c r="W933" s="152"/>
    </row>
    <row r="934">
      <c r="A934" s="152"/>
      <c r="B934" s="152"/>
      <c r="C934" s="152"/>
      <c r="D934" s="152"/>
      <c r="E934" s="152"/>
      <c r="F934" s="152"/>
      <c r="G934" s="152"/>
      <c r="H934" s="152"/>
      <c r="I934" s="152"/>
      <c r="J934" s="152"/>
      <c r="K934" s="445"/>
      <c r="L934" s="445"/>
      <c r="M934" s="152"/>
      <c r="N934" s="152"/>
      <c r="O934" s="152"/>
      <c r="P934" s="152"/>
      <c r="Q934" s="152"/>
      <c r="R934" s="152"/>
      <c r="S934" s="152"/>
      <c r="T934" s="152"/>
      <c r="U934" s="152"/>
      <c r="V934" s="152"/>
      <c r="W934" s="152"/>
    </row>
    <row r="935">
      <c r="A935" s="152"/>
      <c r="B935" s="152"/>
      <c r="C935" s="152"/>
      <c r="D935" s="152"/>
      <c r="E935" s="152"/>
      <c r="F935" s="152"/>
      <c r="G935" s="152"/>
      <c r="H935" s="152"/>
      <c r="I935" s="152"/>
      <c r="J935" s="152"/>
      <c r="K935" s="445"/>
      <c r="L935" s="445"/>
      <c r="M935" s="152"/>
      <c r="N935" s="152"/>
      <c r="O935" s="152"/>
      <c r="P935" s="152"/>
      <c r="Q935" s="152"/>
      <c r="R935" s="152"/>
      <c r="S935" s="152"/>
      <c r="T935" s="152"/>
      <c r="U935" s="152"/>
      <c r="V935" s="152"/>
      <c r="W935" s="152"/>
    </row>
    <row r="936">
      <c r="A936" s="152"/>
      <c r="B936" s="152"/>
      <c r="C936" s="152"/>
      <c r="D936" s="152"/>
      <c r="E936" s="152"/>
      <c r="F936" s="152"/>
      <c r="G936" s="152"/>
      <c r="H936" s="152"/>
      <c r="I936" s="152"/>
      <c r="J936" s="152"/>
      <c r="K936" s="445"/>
      <c r="L936" s="445"/>
      <c r="M936" s="152"/>
      <c r="N936" s="152"/>
      <c r="O936" s="152"/>
      <c r="P936" s="152"/>
      <c r="Q936" s="152"/>
      <c r="R936" s="152"/>
      <c r="S936" s="152"/>
      <c r="T936" s="152"/>
      <c r="U936" s="152"/>
      <c r="V936" s="152"/>
      <c r="W936" s="152"/>
    </row>
    <row r="937">
      <c r="A937" s="152"/>
      <c r="B937" s="152"/>
      <c r="C937" s="152"/>
      <c r="D937" s="152"/>
      <c r="E937" s="152"/>
      <c r="F937" s="152"/>
      <c r="G937" s="152"/>
      <c r="H937" s="152"/>
      <c r="I937" s="152"/>
      <c r="J937" s="152"/>
      <c r="K937" s="445"/>
      <c r="L937" s="445"/>
      <c r="M937" s="152"/>
      <c r="N937" s="152"/>
      <c r="O937" s="152"/>
      <c r="P937" s="152"/>
      <c r="Q937" s="152"/>
      <c r="R937" s="152"/>
      <c r="S937" s="152"/>
      <c r="T937" s="152"/>
      <c r="U937" s="152"/>
      <c r="V937" s="152"/>
      <c r="W937" s="152"/>
    </row>
    <row r="938">
      <c r="A938" s="152"/>
      <c r="B938" s="152"/>
      <c r="C938" s="152"/>
      <c r="D938" s="152"/>
      <c r="E938" s="152"/>
      <c r="F938" s="152"/>
      <c r="G938" s="152"/>
      <c r="H938" s="152"/>
      <c r="I938" s="152"/>
      <c r="J938" s="152"/>
      <c r="K938" s="445"/>
      <c r="L938" s="445"/>
      <c r="M938" s="152"/>
      <c r="N938" s="152"/>
      <c r="O938" s="152"/>
      <c r="P938" s="152"/>
      <c r="Q938" s="152"/>
      <c r="R938" s="152"/>
      <c r="S938" s="152"/>
      <c r="T938" s="152"/>
      <c r="U938" s="152"/>
      <c r="V938" s="152"/>
      <c r="W938" s="152"/>
    </row>
    <row r="939">
      <c r="A939" s="152"/>
      <c r="B939" s="152"/>
      <c r="C939" s="152"/>
      <c r="D939" s="152"/>
      <c r="E939" s="152"/>
      <c r="F939" s="152"/>
      <c r="G939" s="152"/>
      <c r="H939" s="152"/>
      <c r="I939" s="152"/>
      <c r="J939" s="152"/>
      <c r="K939" s="445"/>
      <c r="L939" s="445"/>
      <c r="M939" s="152"/>
      <c r="N939" s="152"/>
      <c r="O939" s="152"/>
      <c r="P939" s="152"/>
      <c r="Q939" s="152"/>
      <c r="R939" s="152"/>
      <c r="S939" s="152"/>
      <c r="T939" s="152"/>
      <c r="U939" s="152"/>
      <c r="V939" s="152"/>
      <c r="W939" s="152"/>
    </row>
    <row r="940">
      <c r="A940" s="152"/>
      <c r="B940" s="152"/>
      <c r="C940" s="152"/>
      <c r="D940" s="152"/>
      <c r="E940" s="152"/>
      <c r="F940" s="152"/>
      <c r="G940" s="152"/>
      <c r="H940" s="152"/>
      <c r="I940" s="152"/>
      <c r="J940" s="152"/>
      <c r="K940" s="445"/>
      <c r="L940" s="445"/>
      <c r="M940" s="152"/>
      <c r="N940" s="152"/>
      <c r="O940" s="152"/>
      <c r="P940" s="152"/>
      <c r="Q940" s="152"/>
      <c r="R940" s="152"/>
      <c r="S940" s="152"/>
      <c r="T940" s="152"/>
      <c r="U940" s="152"/>
      <c r="V940" s="152"/>
      <c r="W940" s="152"/>
    </row>
    <row r="941">
      <c r="A941" s="152"/>
      <c r="B941" s="152"/>
      <c r="C941" s="152"/>
      <c r="D941" s="152"/>
      <c r="E941" s="152"/>
      <c r="F941" s="152"/>
      <c r="G941" s="152"/>
      <c r="H941" s="152"/>
      <c r="I941" s="152"/>
      <c r="J941" s="152"/>
      <c r="K941" s="445"/>
      <c r="L941" s="445"/>
      <c r="M941" s="152"/>
      <c r="N941" s="152"/>
      <c r="O941" s="152"/>
      <c r="P941" s="152"/>
      <c r="Q941" s="152"/>
      <c r="R941" s="152"/>
      <c r="S941" s="152"/>
      <c r="T941" s="152"/>
      <c r="U941" s="152"/>
      <c r="V941" s="152"/>
      <c r="W941" s="152"/>
    </row>
    <row r="942">
      <c r="A942" s="152"/>
      <c r="B942" s="152"/>
      <c r="C942" s="152"/>
      <c r="D942" s="152"/>
      <c r="E942" s="152"/>
      <c r="F942" s="152"/>
      <c r="G942" s="152"/>
      <c r="H942" s="152"/>
      <c r="I942" s="152"/>
      <c r="J942" s="152"/>
      <c r="K942" s="445"/>
      <c r="L942" s="445"/>
      <c r="M942" s="152"/>
      <c r="N942" s="152"/>
      <c r="O942" s="152"/>
      <c r="P942" s="152"/>
      <c r="Q942" s="152"/>
      <c r="R942" s="152"/>
      <c r="S942" s="152"/>
      <c r="T942" s="152"/>
      <c r="U942" s="152"/>
      <c r="V942" s="152"/>
      <c r="W942" s="152"/>
    </row>
    <row r="943">
      <c r="A943" s="152"/>
      <c r="B943" s="152"/>
      <c r="C943" s="152"/>
      <c r="D943" s="152"/>
      <c r="E943" s="152"/>
      <c r="F943" s="152"/>
      <c r="G943" s="152"/>
      <c r="H943" s="152"/>
      <c r="I943" s="152"/>
      <c r="J943" s="152"/>
      <c r="K943" s="445"/>
      <c r="L943" s="445"/>
      <c r="M943" s="152"/>
      <c r="N943" s="152"/>
      <c r="O943" s="152"/>
      <c r="P943" s="152"/>
      <c r="Q943" s="152"/>
      <c r="R943" s="152"/>
      <c r="S943" s="152"/>
      <c r="T943" s="152"/>
      <c r="U943" s="152"/>
      <c r="V943" s="152"/>
      <c r="W943" s="152"/>
    </row>
    <row r="944">
      <c r="A944" s="152"/>
      <c r="B944" s="152"/>
      <c r="C944" s="152"/>
      <c r="D944" s="152"/>
      <c r="E944" s="152"/>
      <c r="F944" s="152"/>
      <c r="G944" s="152"/>
      <c r="H944" s="152"/>
      <c r="I944" s="152"/>
      <c r="J944" s="152"/>
      <c r="K944" s="445"/>
      <c r="L944" s="445"/>
      <c r="M944" s="152"/>
      <c r="N944" s="152"/>
      <c r="O944" s="152"/>
      <c r="P944" s="152"/>
      <c r="Q944" s="152"/>
      <c r="R944" s="152"/>
      <c r="S944" s="152"/>
      <c r="T944" s="152"/>
      <c r="U944" s="152"/>
      <c r="V944" s="152"/>
      <c r="W944" s="152"/>
    </row>
    <row r="945">
      <c r="A945" s="152"/>
      <c r="B945" s="152"/>
      <c r="C945" s="152"/>
      <c r="D945" s="152"/>
      <c r="E945" s="152"/>
      <c r="F945" s="152"/>
      <c r="G945" s="152"/>
      <c r="H945" s="152"/>
      <c r="I945" s="152"/>
      <c r="J945" s="152"/>
      <c r="K945" s="445"/>
      <c r="L945" s="445"/>
      <c r="M945" s="152"/>
      <c r="N945" s="152"/>
      <c r="O945" s="152"/>
      <c r="P945" s="152"/>
      <c r="Q945" s="152"/>
      <c r="R945" s="152"/>
      <c r="S945" s="152"/>
      <c r="T945" s="152"/>
      <c r="U945" s="152"/>
      <c r="V945" s="152"/>
      <c r="W945" s="152"/>
    </row>
    <row r="946">
      <c r="A946" s="152"/>
      <c r="B946" s="152"/>
      <c r="C946" s="152"/>
      <c r="D946" s="152"/>
      <c r="E946" s="152"/>
      <c r="F946" s="152"/>
      <c r="G946" s="152"/>
      <c r="H946" s="152"/>
      <c r="I946" s="152"/>
      <c r="J946" s="152"/>
      <c r="K946" s="445"/>
      <c r="L946" s="445"/>
      <c r="M946" s="152"/>
      <c r="N946" s="152"/>
      <c r="O946" s="152"/>
      <c r="P946" s="152"/>
      <c r="Q946" s="152"/>
      <c r="R946" s="152"/>
      <c r="S946" s="152"/>
      <c r="T946" s="152"/>
      <c r="U946" s="152"/>
      <c r="V946" s="152"/>
      <c r="W946" s="152"/>
    </row>
    <row r="947">
      <c r="A947" s="152"/>
      <c r="B947" s="152"/>
      <c r="C947" s="152"/>
      <c r="D947" s="152"/>
      <c r="E947" s="152"/>
      <c r="F947" s="152"/>
      <c r="G947" s="152"/>
      <c r="H947" s="152"/>
      <c r="I947" s="152"/>
      <c r="J947" s="152"/>
      <c r="K947" s="445"/>
      <c r="L947" s="445"/>
      <c r="M947" s="152"/>
      <c r="N947" s="152"/>
      <c r="O947" s="152"/>
      <c r="P947" s="152"/>
      <c r="Q947" s="152"/>
      <c r="R947" s="152"/>
      <c r="S947" s="152"/>
      <c r="T947" s="152"/>
      <c r="U947" s="152"/>
      <c r="V947" s="152"/>
      <c r="W947" s="152"/>
    </row>
    <row r="948">
      <c r="A948" s="152"/>
      <c r="B948" s="152"/>
      <c r="C948" s="152"/>
      <c r="D948" s="152"/>
      <c r="E948" s="152"/>
      <c r="F948" s="152"/>
      <c r="G948" s="152"/>
      <c r="H948" s="152"/>
      <c r="I948" s="152"/>
      <c r="J948" s="152"/>
      <c r="K948" s="445"/>
      <c r="L948" s="445"/>
      <c r="M948" s="152"/>
      <c r="N948" s="152"/>
      <c r="O948" s="152"/>
      <c r="P948" s="152"/>
      <c r="Q948" s="152"/>
      <c r="R948" s="152"/>
      <c r="S948" s="152"/>
      <c r="T948" s="152"/>
      <c r="U948" s="152"/>
      <c r="V948" s="152"/>
      <c r="W948" s="152"/>
    </row>
    <row r="949">
      <c r="A949" s="152"/>
      <c r="B949" s="152"/>
      <c r="C949" s="152"/>
      <c r="D949" s="152"/>
      <c r="E949" s="152"/>
      <c r="F949" s="152"/>
      <c r="G949" s="152"/>
      <c r="H949" s="152"/>
      <c r="I949" s="152"/>
      <c r="J949" s="152"/>
      <c r="K949" s="445"/>
      <c r="L949" s="445"/>
      <c r="M949" s="152"/>
      <c r="N949" s="152"/>
      <c r="O949" s="152"/>
      <c r="P949" s="152"/>
      <c r="Q949" s="152"/>
      <c r="R949" s="152"/>
      <c r="S949" s="152"/>
      <c r="T949" s="152"/>
      <c r="U949" s="152"/>
      <c r="V949" s="152"/>
      <c r="W949" s="152"/>
    </row>
    <row r="950">
      <c r="A950" s="152"/>
      <c r="B950" s="152"/>
      <c r="C950" s="152"/>
      <c r="D950" s="152"/>
      <c r="E950" s="152"/>
      <c r="F950" s="152"/>
      <c r="G950" s="152"/>
      <c r="H950" s="152"/>
      <c r="I950" s="152"/>
      <c r="J950" s="152"/>
      <c r="K950" s="445"/>
      <c r="L950" s="445"/>
      <c r="M950" s="152"/>
      <c r="N950" s="152"/>
      <c r="O950" s="152"/>
      <c r="P950" s="152"/>
      <c r="Q950" s="152"/>
      <c r="R950" s="152"/>
      <c r="S950" s="152"/>
      <c r="T950" s="152"/>
      <c r="U950" s="152"/>
      <c r="V950" s="152"/>
      <c r="W950" s="152"/>
    </row>
    <row r="951">
      <c r="A951" s="152"/>
      <c r="B951" s="152"/>
      <c r="C951" s="152"/>
      <c r="D951" s="152"/>
      <c r="E951" s="152"/>
      <c r="F951" s="152"/>
      <c r="G951" s="152"/>
      <c r="H951" s="152"/>
      <c r="I951" s="152"/>
      <c r="J951" s="152"/>
      <c r="K951" s="445"/>
      <c r="L951" s="445"/>
      <c r="M951" s="152"/>
      <c r="N951" s="152"/>
      <c r="O951" s="152"/>
      <c r="P951" s="152"/>
      <c r="Q951" s="152"/>
      <c r="R951" s="152"/>
      <c r="S951" s="152"/>
      <c r="T951" s="152"/>
      <c r="U951" s="152"/>
      <c r="V951" s="152"/>
      <c r="W951" s="152"/>
    </row>
    <row r="952">
      <c r="A952" s="152"/>
      <c r="B952" s="152"/>
      <c r="C952" s="152"/>
      <c r="D952" s="152"/>
      <c r="E952" s="152"/>
      <c r="F952" s="152"/>
      <c r="G952" s="152"/>
      <c r="H952" s="152"/>
      <c r="I952" s="152"/>
      <c r="J952" s="152"/>
      <c r="K952" s="445"/>
      <c r="L952" s="445"/>
      <c r="M952" s="152"/>
      <c r="N952" s="152"/>
      <c r="O952" s="152"/>
      <c r="P952" s="152"/>
      <c r="Q952" s="152"/>
      <c r="R952" s="152"/>
      <c r="S952" s="152"/>
      <c r="T952" s="152"/>
      <c r="U952" s="152"/>
      <c r="V952" s="152"/>
      <c r="W952" s="152"/>
    </row>
    <row r="953">
      <c r="A953" s="152"/>
      <c r="B953" s="152"/>
      <c r="C953" s="152"/>
      <c r="D953" s="152"/>
      <c r="E953" s="152"/>
      <c r="F953" s="152"/>
      <c r="G953" s="152"/>
      <c r="H953" s="152"/>
      <c r="I953" s="152"/>
      <c r="J953" s="152"/>
      <c r="K953" s="445"/>
      <c r="L953" s="445"/>
      <c r="M953" s="152"/>
      <c r="N953" s="152"/>
      <c r="O953" s="152"/>
      <c r="P953" s="152"/>
      <c r="Q953" s="152"/>
      <c r="R953" s="152"/>
      <c r="S953" s="152"/>
      <c r="T953" s="152"/>
      <c r="U953" s="152"/>
      <c r="V953" s="152"/>
      <c r="W953" s="152"/>
    </row>
    <row r="954">
      <c r="A954" s="152"/>
      <c r="B954" s="152"/>
      <c r="C954" s="152"/>
      <c r="D954" s="152"/>
      <c r="E954" s="152"/>
      <c r="F954" s="152"/>
      <c r="G954" s="152"/>
      <c r="H954" s="152"/>
      <c r="I954" s="152"/>
      <c r="J954" s="152"/>
      <c r="K954" s="445"/>
      <c r="L954" s="445"/>
      <c r="M954" s="152"/>
      <c r="N954" s="152"/>
      <c r="O954" s="152"/>
      <c r="P954" s="152"/>
      <c r="Q954" s="152"/>
      <c r="R954" s="152"/>
      <c r="S954" s="152"/>
      <c r="T954" s="152"/>
      <c r="U954" s="152"/>
      <c r="V954" s="152"/>
      <c r="W954" s="152"/>
    </row>
    <row r="955">
      <c r="A955" s="152"/>
      <c r="B955" s="152"/>
      <c r="C955" s="152"/>
      <c r="D955" s="152"/>
      <c r="E955" s="152"/>
      <c r="F955" s="152"/>
      <c r="G955" s="152"/>
      <c r="H955" s="152"/>
      <c r="I955" s="152"/>
      <c r="J955" s="152"/>
      <c r="K955" s="445"/>
      <c r="L955" s="445"/>
      <c r="M955" s="152"/>
      <c r="N955" s="152"/>
      <c r="O955" s="152"/>
      <c r="P955" s="152"/>
      <c r="Q955" s="152"/>
      <c r="R955" s="152"/>
      <c r="S955" s="152"/>
      <c r="T955" s="152"/>
      <c r="U955" s="152"/>
      <c r="V955" s="152"/>
      <c r="W955" s="152"/>
    </row>
    <row r="956">
      <c r="A956" s="152"/>
      <c r="B956" s="152"/>
      <c r="C956" s="152"/>
      <c r="D956" s="152"/>
      <c r="E956" s="152"/>
      <c r="F956" s="152"/>
      <c r="G956" s="152"/>
      <c r="H956" s="152"/>
      <c r="I956" s="152"/>
      <c r="J956" s="152"/>
      <c r="K956" s="445"/>
      <c r="L956" s="445"/>
      <c r="M956" s="152"/>
      <c r="N956" s="152"/>
      <c r="O956" s="152"/>
      <c r="P956" s="152"/>
      <c r="Q956" s="152"/>
      <c r="R956" s="152"/>
      <c r="S956" s="152"/>
      <c r="T956" s="152"/>
      <c r="U956" s="152"/>
      <c r="V956" s="152"/>
      <c r="W956" s="152"/>
    </row>
    <row r="957">
      <c r="A957" s="152"/>
      <c r="B957" s="152"/>
      <c r="C957" s="152"/>
      <c r="D957" s="152"/>
      <c r="E957" s="152"/>
      <c r="F957" s="152"/>
      <c r="G957" s="152"/>
      <c r="H957" s="152"/>
      <c r="I957" s="152"/>
      <c r="J957" s="152"/>
      <c r="K957" s="445"/>
      <c r="L957" s="445"/>
      <c r="M957" s="152"/>
      <c r="N957" s="152"/>
      <c r="O957" s="152"/>
      <c r="P957" s="152"/>
      <c r="Q957" s="152"/>
      <c r="R957" s="152"/>
      <c r="S957" s="152"/>
      <c r="T957" s="152"/>
      <c r="U957" s="152"/>
      <c r="V957" s="152"/>
      <c r="W957" s="152"/>
    </row>
    <row r="958">
      <c r="A958" s="152"/>
      <c r="B958" s="152"/>
      <c r="C958" s="152"/>
      <c r="D958" s="152"/>
      <c r="E958" s="152"/>
      <c r="F958" s="152"/>
      <c r="G958" s="152"/>
      <c r="H958" s="152"/>
      <c r="I958" s="152"/>
      <c r="J958" s="152"/>
      <c r="K958" s="445"/>
      <c r="L958" s="445"/>
      <c r="M958" s="152"/>
      <c r="N958" s="152"/>
      <c r="O958" s="152"/>
      <c r="P958" s="152"/>
      <c r="Q958" s="152"/>
      <c r="R958" s="152"/>
      <c r="S958" s="152"/>
      <c r="T958" s="152"/>
      <c r="U958" s="152"/>
      <c r="V958" s="152"/>
      <c r="W958" s="152"/>
    </row>
    <row r="959">
      <c r="A959" s="152"/>
      <c r="B959" s="152"/>
      <c r="C959" s="152"/>
      <c r="D959" s="152"/>
      <c r="E959" s="152"/>
      <c r="F959" s="152"/>
      <c r="G959" s="152"/>
      <c r="H959" s="152"/>
      <c r="I959" s="152"/>
      <c r="J959" s="152"/>
      <c r="K959" s="445"/>
      <c r="L959" s="445"/>
      <c r="M959" s="152"/>
      <c r="N959" s="152"/>
      <c r="O959" s="152"/>
      <c r="P959" s="152"/>
      <c r="Q959" s="152"/>
      <c r="R959" s="152"/>
      <c r="S959" s="152"/>
      <c r="T959" s="152"/>
      <c r="U959" s="152"/>
      <c r="V959" s="152"/>
      <c r="W959" s="152"/>
    </row>
    <row r="960">
      <c r="A960" s="152"/>
      <c r="B960" s="152"/>
      <c r="C960" s="152"/>
      <c r="D960" s="152"/>
      <c r="E960" s="152"/>
      <c r="F960" s="152"/>
      <c r="G960" s="152"/>
      <c r="H960" s="152"/>
      <c r="I960" s="152"/>
      <c r="J960" s="152"/>
      <c r="K960" s="445"/>
      <c r="L960" s="445"/>
      <c r="M960" s="152"/>
      <c r="N960" s="152"/>
      <c r="O960" s="152"/>
      <c r="P960" s="152"/>
      <c r="Q960" s="152"/>
      <c r="R960" s="152"/>
      <c r="S960" s="152"/>
      <c r="T960" s="152"/>
      <c r="U960" s="152"/>
      <c r="V960" s="152"/>
      <c r="W960" s="152"/>
    </row>
    <row r="961">
      <c r="A961" s="152"/>
      <c r="B961" s="152"/>
      <c r="C961" s="152"/>
      <c r="D961" s="152"/>
      <c r="E961" s="152"/>
      <c r="F961" s="152"/>
      <c r="G961" s="152"/>
      <c r="H961" s="152"/>
      <c r="I961" s="152"/>
      <c r="J961" s="152"/>
      <c r="K961" s="445"/>
      <c r="L961" s="445"/>
      <c r="M961" s="152"/>
      <c r="N961" s="152"/>
      <c r="O961" s="152"/>
      <c r="P961" s="152"/>
      <c r="Q961" s="152"/>
      <c r="R961" s="152"/>
      <c r="S961" s="152"/>
      <c r="T961" s="152"/>
      <c r="U961" s="152"/>
      <c r="V961" s="152"/>
      <c r="W961" s="152"/>
    </row>
    <row r="962">
      <c r="A962" s="152"/>
      <c r="B962" s="152"/>
      <c r="C962" s="152"/>
      <c r="D962" s="152"/>
      <c r="E962" s="152"/>
      <c r="F962" s="152"/>
      <c r="G962" s="152"/>
      <c r="H962" s="152"/>
      <c r="I962" s="152"/>
      <c r="J962" s="152"/>
      <c r="K962" s="445"/>
      <c r="L962" s="445"/>
      <c r="M962" s="152"/>
      <c r="N962" s="152"/>
      <c r="O962" s="152"/>
      <c r="P962" s="152"/>
      <c r="Q962" s="152"/>
      <c r="R962" s="152"/>
      <c r="S962" s="152"/>
      <c r="T962" s="152"/>
      <c r="U962" s="152"/>
      <c r="V962" s="152"/>
      <c r="W962" s="152"/>
    </row>
    <row r="963">
      <c r="A963" s="152"/>
      <c r="B963" s="152"/>
      <c r="C963" s="152"/>
      <c r="D963" s="152"/>
      <c r="E963" s="152"/>
      <c r="F963" s="152"/>
      <c r="G963" s="152"/>
      <c r="H963" s="152"/>
      <c r="I963" s="152"/>
      <c r="J963" s="152"/>
      <c r="K963" s="445"/>
      <c r="L963" s="445"/>
      <c r="M963" s="152"/>
      <c r="N963" s="152"/>
      <c r="O963" s="152"/>
      <c r="P963" s="152"/>
      <c r="Q963" s="152"/>
      <c r="R963" s="152"/>
      <c r="S963" s="152"/>
      <c r="T963" s="152"/>
      <c r="U963" s="152"/>
      <c r="V963" s="152"/>
      <c r="W963" s="152"/>
    </row>
    <row r="964">
      <c r="A964" s="152"/>
      <c r="B964" s="152"/>
      <c r="C964" s="152"/>
      <c r="D964" s="152"/>
      <c r="E964" s="152"/>
      <c r="F964" s="152"/>
      <c r="G964" s="152"/>
      <c r="H964" s="152"/>
      <c r="I964" s="152"/>
      <c r="J964" s="152"/>
      <c r="K964" s="445"/>
      <c r="L964" s="445"/>
      <c r="M964" s="152"/>
      <c r="N964" s="152"/>
      <c r="O964" s="152"/>
      <c r="P964" s="152"/>
      <c r="Q964" s="152"/>
      <c r="R964" s="152"/>
      <c r="S964" s="152"/>
      <c r="T964" s="152"/>
      <c r="U964" s="152"/>
      <c r="V964" s="152"/>
      <c r="W964" s="152"/>
    </row>
    <row r="965">
      <c r="A965" s="152"/>
      <c r="B965" s="152"/>
      <c r="C965" s="152"/>
      <c r="D965" s="152"/>
      <c r="E965" s="152"/>
      <c r="F965" s="152"/>
      <c r="G965" s="152"/>
      <c r="H965" s="152"/>
      <c r="I965" s="152"/>
      <c r="J965" s="152"/>
      <c r="K965" s="445"/>
      <c r="L965" s="445"/>
      <c r="M965" s="152"/>
      <c r="N965" s="152"/>
      <c r="O965" s="152"/>
      <c r="P965" s="152"/>
      <c r="Q965" s="152"/>
      <c r="R965" s="152"/>
      <c r="S965" s="152"/>
      <c r="T965" s="152"/>
      <c r="U965" s="152"/>
      <c r="V965" s="152"/>
      <c r="W965" s="152"/>
    </row>
    <row r="966">
      <c r="A966" s="152"/>
      <c r="B966" s="152"/>
      <c r="C966" s="152"/>
      <c r="D966" s="152"/>
      <c r="E966" s="152"/>
      <c r="F966" s="152"/>
      <c r="G966" s="152"/>
      <c r="H966" s="152"/>
      <c r="I966" s="152"/>
      <c r="J966" s="152"/>
      <c r="K966" s="445"/>
      <c r="L966" s="445"/>
      <c r="M966" s="152"/>
      <c r="N966" s="152"/>
      <c r="O966" s="152"/>
      <c r="P966" s="152"/>
      <c r="Q966" s="152"/>
      <c r="R966" s="152"/>
      <c r="S966" s="152"/>
      <c r="T966" s="152"/>
      <c r="U966" s="152"/>
      <c r="V966" s="152"/>
      <c r="W966" s="152"/>
    </row>
    <row r="967">
      <c r="A967" s="152"/>
      <c r="B967" s="152"/>
      <c r="C967" s="152"/>
      <c r="D967" s="152"/>
      <c r="E967" s="152"/>
      <c r="F967" s="152"/>
      <c r="G967" s="152"/>
      <c r="H967" s="152"/>
      <c r="I967" s="152"/>
      <c r="J967" s="152"/>
      <c r="K967" s="445"/>
      <c r="L967" s="445"/>
      <c r="M967" s="152"/>
      <c r="N967" s="152"/>
      <c r="O967" s="152"/>
      <c r="P967" s="152"/>
      <c r="Q967" s="152"/>
      <c r="R967" s="152"/>
      <c r="S967" s="152"/>
      <c r="T967" s="152"/>
      <c r="U967" s="152"/>
      <c r="V967" s="152"/>
      <c r="W967" s="152"/>
    </row>
    <row r="968">
      <c r="A968" s="152"/>
      <c r="B968" s="152"/>
      <c r="C968" s="152"/>
      <c r="D968" s="152"/>
      <c r="E968" s="152"/>
      <c r="F968" s="152"/>
      <c r="G968" s="152"/>
      <c r="H968" s="152"/>
      <c r="I968" s="152"/>
      <c r="J968" s="152"/>
      <c r="K968" s="445"/>
      <c r="L968" s="445"/>
      <c r="M968" s="152"/>
      <c r="N968" s="152"/>
      <c r="O968" s="152"/>
      <c r="P968" s="152"/>
      <c r="Q968" s="152"/>
      <c r="R968" s="152"/>
      <c r="S968" s="152"/>
      <c r="T968" s="152"/>
      <c r="U968" s="152"/>
      <c r="V968" s="152"/>
      <c r="W968" s="152"/>
    </row>
    <row r="969">
      <c r="A969" s="152"/>
      <c r="B969" s="152"/>
      <c r="C969" s="152"/>
      <c r="D969" s="152"/>
      <c r="E969" s="152"/>
      <c r="F969" s="152"/>
      <c r="G969" s="152"/>
      <c r="H969" s="152"/>
      <c r="I969" s="152"/>
      <c r="J969" s="152"/>
      <c r="K969" s="445"/>
      <c r="L969" s="445"/>
      <c r="M969" s="152"/>
      <c r="N969" s="152"/>
      <c r="O969" s="152"/>
      <c r="P969" s="152"/>
      <c r="Q969" s="152"/>
      <c r="R969" s="152"/>
      <c r="S969" s="152"/>
      <c r="T969" s="152"/>
      <c r="U969" s="152"/>
      <c r="V969" s="152"/>
      <c r="W969" s="152"/>
    </row>
    <row r="970">
      <c r="A970" s="152"/>
      <c r="B970" s="152"/>
      <c r="C970" s="152"/>
      <c r="D970" s="152"/>
      <c r="E970" s="152"/>
      <c r="F970" s="152"/>
      <c r="G970" s="152"/>
      <c r="H970" s="152"/>
      <c r="I970" s="152"/>
      <c r="J970" s="152"/>
      <c r="K970" s="445"/>
      <c r="L970" s="445"/>
      <c r="M970" s="152"/>
      <c r="N970" s="152"/>
      <c r="O970" s="152"/>
      <c r="P970" s="152"/>
      <c r="Q970" s="152"/>
      <c r="R970" s="152"/>
      <c r="S970" s="152"/>
      <c r="T970" s="152"/>
      <c r="U970" s="152"/>
      <c r="V970" s="152"/>
      <c r="W970" s="152"/>
    </row>
    <row r="971">
      <c r="A971" s="152"/>
      <c r="B971" s="152"/>
      <c r="C971" s="152"/>
      <c r="D971" s="152"/>
      <c r="E971" s="152"/>
      <c r="F971" s="152"/>
      <c r="G971" s="152"/>
      <c r="H971" s="152"/>
      <c r="I971" s="152"/>
      <c r="J971" s="152"/>
      <c r="K971" s="445"/>
      <c r="L971" s="445"/>
      <c r="M971" s="152"/>
      <c r="N971" s="152"/>
      <c r="O971" s="152"/>
      <c r="P971" s="152"/>
      <c r="Q971" s="152"/>
      <c r="R971" s="152"/>
      <c r="S971" s="152"/>
      <c r="T971" s="152"/>
      <c r="U971" s="152"/>
      <c r="V971" s="152"/>
      <c r="W971" s="152"/>
    </row>
    <row r="972">
      <c r="A972" s="152"/>
      <c r="B972" s="152"/>
      <c r="C972" s="152"/>
      <c r="D972" s="152"/>
      <c r="E972" s="152"/>
      <c r="F972" s="152"/>
      <c r="G972" s="152"/>
      <c r="H972" s="152"/>
      <c r="I972" s="152"/>
      <c r="J972" s="152"/>
      <c r="K972" s="445"/>
      <c r="L972" s="445"/>
      <c r="M972" s="152"/>
      <c r="N972" s="152"/>
      <c r="O972" s="152"/>
      <c r="P972" s="152"/>
      <c r="Q972" s="152"/>
      <c r="R972" s="152"/>
      <c r="S972" s="152"/>
      <c r="T972" s="152"/>
      <c r="U972" s="152"/>
      <c r="V972" s="152"/>
      <c r="W972" s="152"/>
    </row>
    <row r="973">
      <c r="A973" s="152"/>
      <c r="B973" s="152"/>
      <c r="C973" s="152"/>
      <c r="D973" s="152"/>
      <c r="E973" s="152"/>
      <c r="F973" s="152"/>
      <c r="G973" s="152"/>
      <c r="H973" s="152"/>
      <c r="I973" s="152"/>
      <c r="J973" s="152"/>
      <c r="K973" s="445"/>
      <c r="L973" s="445"/>
      <c r="M973" s="152"/>
      <c r="N973" s="152"/>
      <c r="O973" s="152"/>
      <c r="P973" s="152"/>
      <c r="Q973" s="152"/>
      <c r="R973" s="152"/>
      <c r="S973" s="152"/>
      <c r="T973" s="152"/>
      <c r="U973" s="152"/>
      <c r="V973" s="152"/>
      <c r="W973" s="152"/>
    </row>
    <row r="974">
      <c r="A974" s="152"/>
      <c r="B974" s="152"/>
      <c r="C974" s="152"/>
      <c r="D974" s="152"/>
      <c r="E974" s="152"/>
      <c r="F974" s="152"/>
      <c r="G974" s="152"/>
      <c r="H974" s="152"/>
      <c r="I974" s="152"/>
      <c r="J974" s="152"/>
      <c r="K974" s="445"/>
      <c r="L974" s="445"/>
      <c r="M974" s="152"/>
      <c r="N974" s="152"/>
      <c r="O974" s="152"/>
      <c r="P974" s="152"/>
      <c r="Q974" s="152"/>
      <c r="R974" s="152"/>
      <c r="S974" s="152"/>
      <c r="T974" s="152"/>
      <c r="U974" s="152"/>
      <c r="V974" s="152"/>
      <c r="W974" s="152"/>
    </row>
    <row r="975">
      <c r="A975" s="152"/>
      <c r="B975" s="152"/>
      <c r="C975" s="152"/>
      <c r="D975" s="152"/>
      <c r="E975" s="152"/>
      <c r="F975" s="152"/>
      <c r="G975" s="152"/>
      <c r="H975" s="152"/>
      <c r="I975" s="152"/>
      <c r="J975" s="152"/>
      <c r="K975" s="445"/>
      <c r="L975" s="445"/>
      <c r="M975" s="152"/>
      <c r="N975" s="152"/>
      <c r="O975" s="152"/>
      <c r="P975" s="152"/>
      <c r="Q975" s="152"/>
      <c r="R975" s="152"/>
      <c r="S975" s="152"/>
      <c r="T975" s="152"/>
      <c r="U975" s="152"/>
      <c r="V975" s="152"/>
      <c r="W975" s="152"/>
    </row>
    <row r="976">
      <c r="A976" s="152"/>
      <c r="B976" s="152"/>
      <c r="C976" s="152"/>
      <c r="D976" s="152"/>
      <c r="E976" s="152"/>
      <c r="F976" s="152"/>
      <c r="G976" s="152"/>
      <c r="H976" s="152"/>
      <c r="I976" s="152"/>
      <c r="J976" s="152"/>
      <c r="K976" s="445"/>
      <c r="L976" s="445"/>
      <c r="M976" s="152"/>
      <c r="N976" s="152"/>
      <c r="O976" s="152"/>
      <c r="P976" s="152"/>
      <c r="Q976" s="152"/>
      <c r="R976" s="152"/>
      <c r="S976" s="152"/>
      <c r="T976" s="152"/>
      <c r="U976" s="152"/>
      <c r="V976" s="152"/>
      <c r="W976" s="152"/>
    </row>
    <row r="977">
      <c r="A977" s="152"/>
      <c r="B977" s="152"/>
      <c r="C977" s="152"/>
      <c r="D977" s="152"/>
      <c r="E977" s="152"/>
      <c r="F977" s="152"/>
      <c r="G977" s="152"/>
      <c r="H977" s="152"/>
      <c r="I977" s="152"/>
      <c r="J977" s="152"/>
      <c r="K977" s="445"/>
      <c r="L977" s="445"/>
      <c r="M977" s="152"/>
      <c r="N977" s="152"/>
      <c r="O977" s="152"/>
      <c r="P977" s="152"/>
      <c r="Q977" s="152"/>
      <c r="R977" s="152"/>
      <c r="S977" s="152"/>
      <c r="T977" s="152"/>
      <c r="U977" s="152"/>
      <c r="V977" s="152"/>
      <c r="W977" s="152"/>
    </row>
    <row r="978">
      <c r="A978" s="152"/>
      <c r="B978" s="152"/>
      <c r="C978" s="152"/>
      <c r="D978" s="152"/>
      <c r="E978" s="152"/>
      <c r="F978" s="152"/>
      <c r="G978" s="152"/>
      <c r="H978" s="152"/>
      <c r="I978" s="152"/>
      <c r="J978" s="152"/>
      <c r="K978" s="445"/>
      <c r="L978" s="445"/>
      <c r="M978" s="152"/>
      <c r="N978" s="152"/>
      <c r="O978" s="152"/>
      <c r="P978" s="152"/>
      <c r="Q978" s="152"/>
      <c r="R978" s="152"/>
      <c r="S978" s="152"/>
      <c r="T978" s="152"/>
      <c r="U978" s="152"/>
      <c r="V978" s="152"/>
      <c r="W978" s="152"/>
    </row>
    <row r="979">
      <c r="A979" s="152"/>
      <c r="B979" s="152"/>
      <c r="C979" s="152"/>
      <c r="D979" s="152"/>
      <c r="E979" s="152"/>
      <c r="F979" s="152"/>
      <c r="G979" s="152"/>
      <c r="H979" s="152"/>
      <c r="I979" s="152"/>
      <c r="J979" s="152"/>
      <c r="K979" s="445"/>
      <c r="L979" s="445"/>
      <c r="M979" s="152"/>
      <c r="N979" s="152"/>
      <c r="O979" s="152"/>
      <c r="P979" s="152"/>
      <c r="Q979" s="152"/>
      <c r="R979" s="152"/>
      <c r="S979" s="152"/>
      <c r="T979" s="152"/>
      <c r="U979" s="152"/>
      <c r="V979" s="152"/>
      <c r="W979" s="152"/>
    </row>
    <row r="980">
      <c r="A980" s="152"/>
      <c r="B980" s="152"/>
      <c r="C980" s="152"/>
      <c r="D980" s="152"/>
      <c r="E980" s="152"/>
      <c r="F980" s="152"/>
      <c r="G980" s="152"/>
      <c r="H980" s="152"/>
      <c r="I980" s="152"/>
      <c r="J980" s="152"/>
      <c r="K980" s="445"/>
      <c r="L980" s="445"/>
      <c r="M980" s="152"/>
      <c r="N980" s="152"/>
      <c r="O980" s="152"/>
      <c r="P980" s="152"/>
      <c r="Q980" s="152"/>
      <c r="R980" s="152"/>
      <c r="S980" s="152"/>
      <c r="T980" s="152"/>
      <c r="U980" s="152"/>
      <c r="V980" s="152"/>
      <c r="W980" s="152"/>
    </row>
    <row r="981">
      <c r="A981" s="152"/>
      <c r="B981" s="152"/>
      <c r="C981" s="152"/>
      <c r="D981" s="152"/>
      <c r="E981" s="152"/>
      <c r="F981" s="152"/>
      <c r="G981" s="152"/>
      <c r="H981" s="152"/>
      <c r="I981" s="152"/>
      <c r="J981" s="152"/>
      <c r="K981" s="445"/>
      <c r="L981" s="445"/>
      <c r="M981" s="152"/>
      <c r="N981" s="152"/>
      <c r="O981" s="152"/>
      <c r="P981" s="152"/>
      <c r="Q981" s="152"/>
      <c r="R981" s="152"/>
      <c r="S981" s="152"/>
      <c r="T981" s="152"/>
      <c r="U981" s="152"/>
      <c r="V981" s="152"/>
      <c r="W981" s="152"/>
    </row>
    <row r="982">
      <c r="A982" s="152"/>
      <c r="B982" s="152"/>
      <c r="C982" s="152"/>
      <c r="D982" s="152"/>
      <c r="E982" s="152"/>
      <c r="F982" s="152"/>
      <c r="G982" s="152"/>
      <c r="H982" s="152"/>
      <c r="I982" s="152"/>
      <c r="J982" s="152"/>
      <c r="K982" s="445"/>
      <c r="L982" s="445"/>
      <c r="M982" s="152"/>
      <c r="N982" s="152"/>
      <c r="O982" s="152"/>
      <c r="P982" s="152"/>
      <c r="Q982" s="152"/>
      <c r="R982" s="152"/>
      <c r="S982" s="152"/>
      <c r="T982" s="152"/>
      <c r="U982" s="152"/>
      <c r="V982" s="152"/>
      <c r="W982" s="152"/>
    </row>
    <row r="983">
      <c r="A983" s="152"/>
      <c r="B983" s="152"/>
      <c r="C983" s="152"/>
      <c r="D983" s="152"/>
      <c r="E983" s="152"/>
      <c r="F983" s="152"/>
      <c r="G983" s="152"/>
      <c r="H983" s="152"/>
      <c r="I983" s="152"/>
      <c r="J983" s="152"/>
      <c r="K983" s="445"/>
      <c r="L983" s="445"/>
      <c r="M983" s="152"/>
      <c r="N983" s="152"/>
      <c r="O983" s="152"/>
      <c r="P983" s="152"/>
      <c r="Q983" s="152"/>
      <c r="R983" s="152"/>
      <c r="S983" s="152"/>
      <c r="T983" s="152"/>
      <c r="U983" s="152"/>
      <c r="V983" s="152"/>
      <c r="W983" s="152"/>
    </row>
    <row r="984">
      <c r="A984" s="152"/>
      <c r="B984" s="152"/>
      <c r="C984" s="152"/>
      <c r="D984" s="152"/>
      <c r="E984" s="152"/>
      <c r="F984" s="152"/>
      <c r="G984" s="152"/>
      <c r="H984" s="152"/>
      <c r="I984" s="152"/>
      <c r="J984" s="152"/>
      <c r="K984" s="445"/>
      <c r="L984" s="445"/>
      <c r="M984" s="152"/>
      <c r="N984" s="152"/>
      <c r="O984" s="152"/>
      <c r="P984" s="152"/>
      <c r="Q984" s="152"/>
      <c r="R984" s="152"/>
      <c r="S984" s="152"/>
      <c r="T984" s="152"/>
      <c r="U984" s="152"/>
      <c r="V984" s="152"/>
      <c r="W984" s="152"/>
    </row>
    <row r="985">
      <c r="A985" s="152"/>
      <c r="B985" s="152"/>
      <c r="C985" s="152"/>
      <c r="D985" s="152"/>
      <c r="E985" s="152"/>
      <c r="F985" s="152"/>
      <c r="G985" s="152"/>
      <c r="H985" s="152"/>
      <c r="I985" s="152"/>
      <c r="J985" s="152"/>
      <c r="K985" s="445"/>
      <c r="L985" s="445"/>
      <c r="M985" s="152"/>
      <c r="N985" s="152"/>
      <c r="O985" s="152"/>
      <c r="P985" s="152"/>
      <c r="Q985" s="152"/>
      <c r="R985" s="152"/>
      <c r="S985" s="152"/>
      <c r="T985" s="152"/>
      <c r="U985" s="152"/>
      <c r="V985" s="152"/>
      <c r="W985" s="152"/>
    </row>
    <row r="986">
      <c r="A986" s="152"/>
      <c r="B986" s="152"/>
      <c r="C986" s="152"/>
      <c r="D986" s="152"/>
      <c r="E986" s="152"/>
      <c r="F986" s="152"/>
      <c r="G986" s="152"/>
      <c r="H986" s="152"/>
      <c r="I986" s="152"/>
      <c r="J986" s="152"/>
      <c r="K986" s="445"/>
      <c r="L986" s="445"/>
      <c r="M986" s="152"/>
      <c r="N986" s="152"/>
      <c r="O986" s="152"/>
      <c r="P986" s="152"/>
      <c r="Q986" s="152"/>
      <c r="R986" s="152"/>
      <c r="S986" s="152"/>
      <c r="T986" s="152"/>
      <c r="U986" s="152"/>
      <c r="V986" s="152"/>
      <c r="W986" s="152"/>
    </row>
    <row r="987">
      <c r="A987" s="152"/>
      <c r="B987" s="152"/>
      <c r="C987" s="152"/>
      <c r="D987" s="152"/>
      <c r="E987" s="152"/>
      <c r="F987" s="152"/>
      <c r="G987" s="152"/>
      <c r="H987" s="152"/>
      <c r="I987" s="152"/>
      <c r="J987" s="152"/>
      <c r="K987" s="445"/>
      <c r="L987" s="445"/>
      <c r="M987" s="152"/>
      <c r="N987" s="152"/>
      <c r="O987" s="152"/>
      <c r="P987" s="152"/>
      <c r="Q987" s="152"/>
      <c r="R987" s="152"/>
      <c r="S987" s="152"/>
      <c r="T987" s="152"/>
      <c r="U987" s="152"/>
      <c r="V987" s="152"/>
      <c r="W987" s="152"/>
    </row>
    <row r="988">
      <c r="A988" s="152"/>
      <c r="B988" s="152"/>
      <c r="C988" s="152"/>
      <c r="D988" s="152"/>
      <c r="E988" s="152"/>
      <c r="F988" s="152"/>
      <c r="G988" s="152"/>
      <c r="H988" s="152"/>
      <c r="I988" s="152"/>
      <c r="J988" s="152"/>
      <c r="K988" s="445"/>
      <c r="L988" s="445"/>
      <c r="M988" s="152"/>
      <c r="N988" s="152"/>
      <c r="O988" s="152"/>
      <c r="P988" s="152"/>
      <c r="Q988" s="152"/>
      <c r="R988" s="152"/>
      <c r="S988" s="152"/>
      <c r="T988" s="152"/>
      <c r="U988" s="152"/>
      <c r="V988" s="152"/>
      <c r="W988" s="152"/>
    </row>
    <row r="989">
      <c r="A989" s="152"/>
      <c r="B989" s="152"/>
      <c r="C989" s="152"/>
      <c r="D989" s="152"/>
      <c r="E989" s="152"/>
      <c r="F989" s="152"/>
      <c r="G989" s="152"/>
      <c r="H989" s="152"/>
      <c r="I989" s="152"/>
      <c r="J989" s="152"/>
      <c r="K989" s="445"/>
      <c r="L989" s="445"/>
      <c r="M989" s="152"/>
      <c r="N989" s="152"/>
      <c r="O989" s="152"/>
      <c r="P989" s="152"/>
      <c r="Q989" s="152"/>
      <c r="R989" s="152"/>
      <c r="S989" s="152"/>
      <c r="T989" s="152"/>
      <c r="U989" s="152"/>
      <c r="V989" s="152"/>
      <c r="W989" s="152"/>
    </row>
    <row r="990">
      <c r="A990" s="152"/>
      <c r="B990" s="152"/>
      <c r="C990" s="152"/>
      <c r="D990" s="152"/>
      <c r="E990" s="152"/>
      <c r="F990" s="152"/>
      <c r="G990" s="152"/>
      <c r="H990" s="152"/>
      <c r="I990" s="152"/>
      <c r="J990" s="152"/>
      <c r="K990" s="445"/>
      <c r="L990" s="445"/>
      <c r="M990" s="152"/>
      <c r="N990" s="152"/>
      <c r="O990" s="152"/>
      <c r="P990" s="152"/>
      <c r="Q990" s="152"/>
      <c r="R990" s="152"/>
      <c r="S990" s="152"/>
      <c r="T990" s="152"/>
      <c r="U990" s="152"/>
      <c r="V990" s="152"/>
      <c r="W990" s="152"/>
    </row>
    <row r="991">
      <c r="A991" s="152"/>
      <c r="B991" s="152"/>
      <c r="C991" s="152"/>
      <c r="D991" s="152"/>
      <c r="E991" s="152"/>
      <c r="F991" s="152"/>
      <c r="G991" s="152"/>
      <c r="H991" s="152"/>
      <c r="I991" s="152"/>
      <c r="J991" s="152"/>
      <c r="K991" s="445"/>
      <c r="L991" s="445"/>
      <c r="M991" s="152"/>
      <c r="N991" s="152"/>
      <c r="O991" s="152"/>
      <c r="P991" s="152"/>
      <c r="Q991" s="152"/>
      <c r="R991" s="152"/>
      <c r="S991" s="152"/>
      <c r="T991" s="152"/>
      <c r="U991" s="152"/>
      <c r="V991" s="152"/>
      <c r="W991" s="152"/>
    </row>
    <row r="992">
      <c r="A992" s="152"/>
      <c r="B992" s="152"/>
      <c r="C992" s="152"/>
      <c r="D992" s="152"/>
      <c r="E992" s="152"/>
      <c r="F992" s="152"/>
      <c r="G992" s="152"/>
      <c r="H992" s="152"/>
      <c r="I992" s="152"/>
      <c r="J992" s="152"/>
      <c r="K992" s="445"/>
      <c r="L992" s="445"/>
      <c r="M992" s="152"/>
      <c r="N992" s="152"/>
      <c r="O992" s="152"/>
      <c r="P992" s="152"/>
      <c r="Q992" s="152"/>
      <c r="R992" s="152"/>
      <c r="S992" s="152"/>
      <c r="T992" s="152"/>
      <c r="U992" s="152"/>
      <c r="V992" s="152"/>
      <c r="W992" s="152"/>
    </row>
    <row r="993">
      <c r="A993" s="152"/>
      <c r="B993" s="152"/>
      <c r="C993" s="152"/>
      <c r="D993" s="152"/>
      <c r="E993" s="152"/>
      <c r="F993" s="152"/>
      <c r="G993" s="152"/>
      <c r="H993" s="152"/>
      <c r="I993" s="152"/>
      <c r="J993" s="152"/>
      <c r="K993" s="445"/>
      <c r="L993" s="445"/>
      <c r="M993" s="152"/>
      <c r="N993" s="152"/>
      <c r="O993" s="152"/>
      <c r="P993" s="152"/>
      <c r="Q993" s="152"/>
      <c r="R993" s="152"/>
      <c r="S993" s="152"/>
      <c r="T993" s="152"/>
      <c r="U993" s="152"/>
      <c r="V993" s="152"/>
      <c r="W993" s="152"/>
    </row>
    <row r="994">
      <c r="A994" s="152"/>
      <c r="B994" s="152"/>
      <c r="C994" s="152"/>
      <c r="D994" s="152"/>
      <c r="E994" s="152"/>
      <c r="F994" s="152"/>
      <c r="G994" s="152"/>
      <c r="H994" s="152"/>
      <c r="I994" s="152"/>
      <c r="J994" s="152"/>
      <c r="K994" s="445"/>
      <c r="L994" s="445"/>
      <c r="M994" s="152"/>
      <c r="N994" s="152"/>
      <c r="O994" s="152"/>
      <c r="P994" s="152"/>
      <c r="Q994" s="152"/>
      <c r="R994" s="152"/>
      <c r="S994" s="152"/>
      <c r="T994" s="152"/>
      <c r="U994" s="152"/>
      <c r="V994" s="152"/>
      <c r="W994" s="152"/>
    </row>
    <row r="995">
      <c r="A995" s="152"/>
      <c r="B995" s="152"/>
      <c r="C995" s="152"/>
      <c r="D995" s="152"/>
      <c r="E995" s="152"/>
      <c r="F995" s="152"/>
      <c r="G995" s="152"/>
      <c r="H995" s="152"/>
      <c r="I995" s="152"/>
      <c r="J995" s="152"/>
      <c r="K995" s="445"/>
      <c r="L995" s="445"/>
      <c r="M995" s="152"/>
      <c r="N995" s="152"/>
      <c r="O995" s="152"/>
      <c r="P995" s="152"/>
      <c r="Q995" s="152"/>
      <c r="R995" s="152"/>
      <c r="S995" s="152"/>
      <c r="T995" s="152"/>
      <c r="U995" s="152"/>
      <c r="V995" s="152"/>
      <c r="W995" s="152"/>
    </row>
    <row r="996">
      <c r="A996" s="152"/>
      <c r="B996" s="152"/>
      <c r="C996" s="152"/>
      <c r="D996" s="152"/>
      <c r="E996" s="152"/>
      <c r="F996" s="152"/>
      <c r="G996" s="152"/>
      <c r="H996" s="152"/>
      <c r="I996" s="152"/>
      <c r="J996" s="152"/>
      <c r="K996" s="445"/>
      <c r="L996" s="445"/>
      <c r="M996" s="152"/>
      <c r="N996" s="152"/>
      <c r="O996" s="152"/>
      <c r="P996" s="152"/>
      <c r="Q996" s="152"/>
      <c r="R996" s="152"/>
      <c r="S996" s="152"/>
      <c r="T996" s="152"/>
      <c r="U996" s="152"/>
      <c r="V996" s="152"/>
      <c r="W996" s="152"/>
    </row>
    <row r="997">
      <c r="A997" s="152"/>
      <c r="B997" s="152"/>
      <c r="C997" s="152"/>
      <c r="D997" s="152"/>
      <c r="E997" s="152"/>
      <c r="F997" s="152"/>
      <c r="G997" s="152"/>
      <c r="H997" s="152"/>
      <c r="I997" s="152"/>
      <c r="J997" s="152"/>
      <c r="K997" s="445"/>
      <c r="L997" s="445"/>
      <c r="M997" s="152"/>
      <c r="N997" s="152"/>
      <c r="O997" s="152"/>
      <c r="P997" s="152"/>
      <c r="Q997" s="152"/>
      <c r="R997" s="152"/>
      <c r="S997" s="152"/>
      <c r="T997" s="152"/>
      <c r="U997" s="152"/>
      <c r="V997" s="152"/>
      <c r="W997" s="152"/>
    </row>
    <row r="998">
      <c r="A998" s="152"/>
      <c r="B998" s="152"/>
      <c r="C998" s="152"/>
      <c r="D998" s="152"/>
      <c r="E998" s="152"/>
      <c r="F998" s="152"/>
      <c r="G998" s="152"/>
      <c r="H998" s="152"/>
      <c r="I998" s="152"/>
      <c r="J998" s="152"/>
      <c r="K998" s="445"/>
      <c r="L998" s="445"/>
      <c r="M998" s="152"/>
      <c r="N998" s="152"/>
      <c r="O998" s="152"/>
      <c r="P998" s="152"/>
      <c r="Q998" s="152"/>
      <c r="R998" s="152"/>
      <c r="S998" s="152"/>
      <c r="T998" s="152"/>
      <c r="U998" s="152"/>
      <c r="V998" s="152"/>
      <c r="W998" s="152"/>
    </row>
    <row r="999">
      <c r="A999" s="152"/>
      <c r="B999" s="152"/>
      <c r="C999" s="152"/>
      <c r="D999" s="152"/>
      <c r="E999" s="152"/>
      <c r="F999" s="152"/>
      <c r="G999" s="152"/>
      <c r="H999" s="152"/>
      <c r="I999" s="152"/>
      <c r="J999" s="152"/>
      <c r="K999" s="445"/>
      <c r="L999" s="445"/>
      <c r="M999" s="152"/>
      <c r="N999" s="152"/>
      <c r="O999" s="152"/>
      <c r="P999" s="152"/>
      <c r="Q999" s="152"/>
      <c r="R999" s="152"/>
      <c r="S999" s="152"/>
      <c r="T999" s="152"/>
      <c r="U999" s="152"/>
      <c r="V999" s="152"/>
      <c r="W999" s="152"/>
    </row>
    <row r="1000">
      <c r="A1000" s="152"/>
      <c r="B1000" s="152"/>
      <c r="C1000" s="152"/>
      <c r="D1000" s="152"/>
      <c r="E1000" s="152"/>
      <c r="F1000" s="152"/>
      <c r="G1000" s="152"/>
      <c r="H1000" s="152"/>
      <c r="I1000" s="152"/>
      <c r="J1000" s="152"/>
      <c r="K1000" s="445"/>
      <c r="L1000" s="445"/>
      <c r="M1000" s="152"/>
      <c r="N1000" s="152"/>
      <c r="O1000" s="152"/>
      <c r="P1000" s="152"/>
      <c r="Q1000" s="152"/>
      <c r="R1000" s="152"/>
      <c r="S1000" s="152"/>
      <c r="T1000" s="152"/>
      <c r="U1000" s="152"/>
      <c r="V1000" s="152"/>
      <c r="W1000" s="152"/>
    </row>
    <row r="1001">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c r="V1001" s="152"/>
      <c r="W1001" s="152"/>
    </row>
    <row r="1002">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c r="V1002" s="152"/>
      <c r="W1002" s="152"/>
    </row>
    <row r="1003">
      <c r="A1003" s="152"/>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c r="V1003" s="152"/>
      <c r="W1003" s="152"/>
    </row>
    <row r="1004">
      <c r="A1004" s="152"/>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c r="V1004" s="152"/>
      <c r="W1004" s="152"/>
    </row>
    <row r="1005">
      <c r="A1005" s="152"/>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c r="V1005" s="152"/>
      <c r="W1005" s="152"/>
    </row>
    <row r="1006">
      <c r="A1006" s="152"/>
      <c r="B1006" s="152"/>
      <c r="C1006" s="152"/>
      <c r="D1006" s="152"/>
      <c r="E1006" s="152"/>
      <c r="F1006" s="152"/>
      <c r="G1006" s="152"/>
      <c r="H1006" s="152"/>
      <c r="I1006" s="152"/>
      <c r="J1006" s="152"/>
      <c r="K1006" s="152"/>
      <c r="L1006" s="152"/>
      <c r="M1006" s="152"/>
      <c r="N1006" s="152"/>
      <c r="O1006" s="152"/>
      <c r="P1006" s="152"/>
      <c r="Q1006" s="152"/>
      <c r="R1006" s="152"/>
      <c r="S1006" s="152"/>
      <c r="T1006" s="152"/>
      <c r="U1006" s="152"/>
      <c r="V1006" s="152"/>
      <c r="W1006" s="152"/>
    </row>
    <row r="1007">
      <c r="A1007" s="152"/>
      <c r="B1007" s="152"/>
      <c r="C1007" s="152"/>
      <c r="D1007" s="152"/>
      <c r="E1007" s="152"/>
      <c r="F1007" s="152"/>
      <c r="G1007" s="152"/>
      <c r="H1007" s="152"/>
      <c r="I1007" s="152"/>
      <c r="J1007" s="152"/>
      <c r="K1007" s="152"/>
      <c r="L1007" s="152"/>
      <c r="M1007" s="152"/>
      <c r="N1007" s="152"/>
      <c r="O1007" s="152"/>
      <c r="P1007" s="152"/>
      <c r="Q1007" s="152"/>
      <c r="R1007" s="152"/>
      <c r="S1007" s="152"/>
      <c r="T1007" s="152"/>
      <c r="U1007" s="152"/>
      <c r="V1007" s="152"/>
      <c r="W1007" s="152"/>
    </row>
    <row r="1008">
      <c r="A1008" s="152"/>
      <c r="B1008" s="152"/>
      <c r="C1008" s="152"/>
      <c r="D1008" s="152"/>
      <c r="E1008" s="152"/>
      <c r="F1008" s="152"/>
      <c r="G1008" s="152"/>
      <c r="H1008" s="152"/>
      <c r="I1008" s="152"/>
      <c r="J1008" s="152"/>
      <c r="K1008" s="152"/>
      <c r="L1008" s="152"/>
      <c r="M1008" s="152"/>
      <c r="N1008" s="152"/>
      <c r="O1008" s="152"/>
      <c r="P1008" s="152"/>
      <c r="Q1008" s="152"/>
      <c r="R1008" s="152"/>
      <c r="S1008" s="152"/>
      <c r="T1008" s="152"/>
      <c r="U1008" s="152"/>
      <c r="V1008" s="152"/>
      <c r="W1008" s="152"/>
    </row>
    <row r="1009">
      <c r="A1009" s="152"/>
      <c r="B1009" s="152"/>
      <c r="C1009" s="152"/>
      <c r="D1009" s="152"/>
      <c r="E1009" s="152"/>
      <c r="F1009" s="152"/>
      <c r="G1009" s="152"/>
      <c r="H1009" s="152"/>
      <c r="I1009" s="152"/>
      <c r="J1009" s="152"/>
      <c r="K1009" s="152"/>
      <c r="L1009" s="152"/>
      <c r="M1009" s="152"/>
      <c r="N1009" s="152"/>
      <c r="O1009" s="152"/>
      <c r="P1009" s="152"/>
      <c r="Q1009" s="152"/>
      <c r="R1009" s="152"/>
      <c r="S1009" s="152"/>
      <c r="T1009" s="152"/>
      <c r="U1009" s="152"/>
      <c r="V1009" s="152"/>
      <c r="W1009" s="152"/>
    </row>
    <row r="1010">
      <c r="A1010" s="152"/>
      <c r="B1010" s="152"/>
      <c r="C1010" s="152"/>
      <c r="D1010" s="152"/>
      <c r="E1010" s="152"/>
      <c r="F1010" s="152"/>
      <c r="G1010" s="152"/>
      <c r="H1010" s="152"/>
      <c r="I1010" s="152"/>
      <c r="J1010" s="152"/>
      <c r="K1010" s="152"/>
      <c r="L1010" s="152"/>
      <c r="M1010" s="152"/>
      <c r="N1010" s="152"/>
      <c r="O1010" s="152"/>
      <c r="P1010" s="152"/>
      <c r="Q1010" s="152"/>
      <c r="R1010" s="152"/>
      <c r="S1010" s="152"/>
      <c r="T1010" s="152"/>
      <c r="U1010" s="152"/>
      <c r="V1010" s="152"/>
      <c r="W1010" s="152"/>
    </row>
    <row r="1011">
      <c r="A1011" s="152"/>
      <c r="B1011" s="152"/>
      <c r="C1011" s="152"/>
      <c r="D1011" s="152"/>
      <c r="E1011" s="152"/>
      <c r="F1011" s="152"/>
      <c r="G1011" s="152"/>
      <c r="H1011" s="152"/>
      <c r="I1011" s="152"/>
      <c r="J1011" s="152"/>
      <c r="K1011" s="152"/>
      <c r="L1011" s="152"/>
      <c r="M1011" s="152"/>
      <c r="N1011" s="152"/>
      <c r="O1011" s="152"/>
      <c r="P1011" s="152"/>
      <c r="Q1011" s="152"/>
      <c r="R1011" s="152"/>
      <c r="S1011" s="152"/>
      <c r="T1011" s="152"/>
      <c r="U1011" s="152"/>
      <c r="V1011" s="152"/>
      <c r="W1011" s="152"/>
    </row>
    <row r="1012">
      <c r="A1012" s="152"/>
      <c r="B1012" s="152"/>
      <c r="C1012" s="152"/>
      <c r="D1012" s="152"/>
      <c r="E1012" s="152"/>
      <c r="F1012" s="152"/>
      <c r="G1012" s="152"/>
      <c r="H1012" s="152"/>
      <c r="I1012" s="152"/>
      <c r="J1012" s="152"/>
      <c r="K1012" s="152"/>
      <c r="L1012" s="152"/>
      <c r="M1012" s="152"/>
      <c r="N1012" s="152"/>
      <c r="O1012" s="152"/>
      <c r="P1012" s="152"/>
      <c r="Q1012" s="152"/>
      <c r="R1012" s="152"/>
      <c r="S1012" s="152"/>
      <c r="T1012" s="152"/>
      <c r="U1012" s="152"/>
      <c r="V1012" s="152"/>
      <c r="W1012" s="152"/>
    </row>
    <row r="1013">
      <c r="A1013" s="152"/>
      <c r="B1013" s="152"/>
      <c r="C1013" s="152"/>
      <c r="D1013" s="152"/>
      <c r="E1013" s="152"/>
      <c r="F1013" s="152"/>
      <c r="G1013" s="152"/>
      <c r="H1013" s="152"/>
      <c r="I1013" s="152"/>
      <c r="J1013" s="152"/>
      <c r="K1013" s="152"/>
      <c r="L1013" s="152"/>
      <c r="M1013" s="152"/>
      <c r="N1013" s="152"/>
      <c r="O1013" s="152"/>
      <c r="P1013" s="152"/>
      <c r="Q1013" s="152"/>
      <c r="R1013" s="152"/>
      <c r="S1013" s="152"/>
      <c r="T1013" s="152"/>
      <c r="U1013" s="152"/>
      <c r="V1013" s="152"/>
      <c r="W1013" s="152"/>
    </row>
    <row r="1014">
      <c r="A1014" s="152"/>
      <c r="B1014" s="152"/>
      <c r="C1014" s="152"/>
      <c r="D1014" s="152"/>
      <c r="E1014" s="152"/>
      <c r="F1014" s="152"/>
      <c r="G1014" s="152"/>
      <c r="H1014" s="152"/>
      <c r="I1014" s="152"/>
      <c r="J1014" s="152"/>
      <c r="K1014" s="152"/>
      <c r="L1014" s="152"/>
      <c r="M1014" s="152"/>
      <c r="N1014" s="152"/>
      <c r="O1014" s="152"/>
      <c r="P1014" s="152"/>
      <c r="Q1014" s="152"/>
      <c r="R1014" s="152"/>
      <c r="S1014" s="152"/>
      <c r="T1014" s="152"/>
      <c r="U1014" s="152"/>
      <c r="V1014" s="152"/>
      <c r="W1014" s="152"/>
    </row>
    <row r="1015">
      <c r="A1015" s="152"/>
      <c r="B1015" s="152"/>
      <c r="C1015" s="152"/>
      <c r="D1015" s="152"/>
      <c r="E1015" s="152"/>
      <c r="F1015" s="152"/>
      <c r="G1015" s="152"/>
      <c r="H1015" s="152"/>
      <c r="I1015" s="152"/>
      <c r="J1015" s="152"/>
      <c r="K1015" s="152"/>
      <c r="L1015" s="152"/>
      <c r="M1015" s="152"/>
      <c r="N1015" s="152"/>
      <c r="O1015" s="152"/>
      <c r="P1015" s="152"/>
      <c r="Q1015" s="152"/>
      <c r="R1015" s="152"/>
      <c r="S1015" s="152"/>
      <c r="T1015" s="152"/>
      <c r="U1015" s="152"/>
      <c r="V1015" s="152"/>
      <c r="W1015" s="152"/>
    </row>
    <row r="1016">
      <c r="A1016" s="152"/>
      <c r="B1016" s="152"/>
      <c r="C1016" s="152"/>
      <c r="D1016" s="152"/>
      <c r="E1016" s="152"/>
      <c r="F1016" s="152"/>
      <c r="G1016" s="152"/>
      <c r="H1016" s="152"/>
      <c r="I1016" s="152"/>
      <c r="J1016" s="152"/>
      <c r="K1016" s="152"/>
      <c r="L1016" s="152"/>
      <c r="M1016" s="152"/>
      <c r="N1016" s="152"/>
      <c r="O1016" s="152"/>
      <c r="P1016" s="152"/>
      <c r="Q1016" s="152"/>
      <c r="R1016" s="152"/>
      <c r="S1016" s="152"/>
      <c r="T1016" s="152"/>
      <c r="U1016" s="152"/>
      <c r="V1016" s="152"/>
      <c r="W1016" s="152"/>
    </row>
    <row r="1017">
      <c r="A1017" s="152"/>
      <c r="B1017" s="152"/>
      <c r="C1017" s="152"/>
      <c r="D1017" s="152"/>
      <c r="E1017" s="152"/>
      <c r="F1017" s="152"/>
      <c r="G1017" s="152"/>
      <c r="H1017" s="152"/>
      <c r="I1017" s="152"/>
      <c r="J1017" s="152"/>
      <c r="K1017" s="152"/>
      <c r="L1017" s="152"/>
      <c r="M1017" s="152"/>
      <c r="N1017" s="152"/>
      <c r="O1017" s="152"/>
      <c r="P1017" s="152"/>
      <c r="Q1017" s="152"/>
      <c r="R1017" s="152"/>
      <c r="S1017" s="152"/>
      <c r="T1017" s="152"/>
      <c r="U1017" s="152"/>
      <c r="V1017" s="152"/>
      <c r="W1017" s="152"/>
    </row>
    <row r="1018">
      <c r="A1018" s="152"/>
      <c r="B1018" s="152"/>
      <c r="C1018" s="152"/>
      <c r="D1018" s="152"/>
      <c r="E1018" s="152"/>
      <c r="F1018" s="152"/>
      <c r="G1018" s="152"/>
      <c r="H1018" s="152"/>
      <c r="I1018" s="152"/>
      <c r="J1018" s="152"/>
      <c r="K1018" s="152"/>
      <c r="L1018" s="152"/>
      <c r="M1018" s="152"/>
      <c r="N1018" s="152"/>
      <c r="O1018" s="152"/>
      <c r="P1018" s="152"/>
      <c r="Q1018" s="152"/>
      <c r="R1018" s="152"/>
      <c r="S1018" s="152"/>
      <c r="T1018" s="152"/>
      <c r="U1018" s="152"/>
      <c r="V1018" s="152"/>
      <c r="W1018" s="152"/>
    </row>
    <row r="1019">
      <c r="A1019" s="152"/>
      <c r="B1019" s="152"/>
      <c r="C1019" s="152"/>
      <c r="D1019" s="152"/>
      <c r="E1019" s="152"/>
      <c r="F1019" s="152"/>
      <c r="G1019" s="152"/>
      <c r="H1019" s="152"/>
      <c r="I1019" s="152"/>
      <c r="J1019" s="152"/>
      <c r="K1019" s="152"/>
      <c r="L1019" s="152"/>
      <c r="M1019" s="152"/>
      <c r="N1019" s="152"/>
      <c r="O1019" s="152"/>
      <c r="P1019" s="152"/>
      <c r="Q1019" s="152"/>
      <c r="R1019" s="152"/>
      <c r="S1019" s="152"/>
      <c r="T1019" s="152"/>
      <c r="U1019" s="152"/>
      <c r="V1019" s="152"/>
      <c r="W1019" s="152"/>
    </row>
    <row r="1020">
      <c r="A1020" s="152"/>
      <c r="B1020" s="152"/>
      <c r="C1020" s="152"/>
      <c r="D1020" s="152"/>
      <c r="E1020" s="152"/>
      <c r="F1020" s="152"/>
      <c r="G1020" s="152"/>
      <c r="H1020" s="152"/>
      <c r="I1020" s="152"/>
      <c r="J1020" s="152"/>
      <c r="K1020" s="152"/>
      <c r="L1020" s="152"/>
      <c r="M1020" s="152"/>
      <c r="N1020" s="152"/>
      <c r="O1020" s="152"/>
      <c r="P1020" s="152"/>
      <c r="Q1020" s="152"/>
      <c r="R1020" s="152"/>
      <c r="S1020" s="152"/>
      <c r="T1020" s="152"/>
      <c r="U1020" s="152"/>
      <c r="V1020" s="152"/>
      <c r="W1020" s="152"/>
    </row>
    <row r="1021">
      <c r="A1021" s="152"/>
      <c r="B1021" s="152"/>
      <c r="C1021" s="152"/>
      <c r="D1021" s="152"/>
      <c r="E1021" s="152"/>
      <c r="F1021" s="152"/>
      <c r="G1021" s="152"/>
      <c r="H1021" s="152"/>
      <c r="I1021" s="152"/>
      <c r="J1021" s="152"/>
      <c r="K1021" s="152"/>
      <c r="L1021" s="152"/>
      <c r="M1021" s="152"/>
      <c r="N1021" s="152"/>
      <c r="O1021" s="152"/>
      <c r="P1021" s="152"/>
      <c r="Q1021" s="152"/>
      <c r="R1021" s="152"/>
      <c r="S1021" s="152"/>
      <c r="T1021" s="152"/>
      <c r="U1021" s="152"/>
      <c r="V1021" s="152"/>
      <c r="W1021" s="152"/>
    </row>
    <row r="1022">
      <c r="A1022" s="152"/>
      <c r="B1022" s="152"/>
      <c r="C1022" s="152"/>
      <c r="D1022" s="152"/>
      <c r="E1022" s="152"/>
      <c r="F1022" s="152"/>
      <c r="G1022" s="152"/>
      <c r="H1022" s="152"/>
      <c r="I1022" s="152"/>
      <c r="J1022" s="152"/>
      <c r="K1022" s="152"/>
      <c r="L1022" s="152"/>
      <c r="M1022" s="152"/>
      <c r="N1022" s="152"/>
      <c r="O1022" s="152"/>
      <c r="P1022" s="152"/>
      <c r="Q1022" s="152"/>
      <c r="R1022" s="152"/>
      <c r="S1022" s="152"/>
      <c r="T1022" s="152"/>
      <c r="U1022" s="152"/>
      <c r="V1022" s="152"/>
      <c r="W1022" s="152"/>
    </row>
    <row r="1023">
      <c r="A1023" s="152"/>
      <c r="B1023" s="152"/>
      <c r="C1023" s="152"/>
      <c r="D1023" s="152"/>
      <c r="E1023" s="152"/>
      <c r="F1023" s="152"/>
      <c r="G1023" s="152"/>
      <c r="H1023" s="152"/>
      <c r="I1023" s="152"/>
      <c r="J1023" s="152"/>
      <c r="K1023" s="152"/>
      <c r="L1023" s="152"/>
      <c r="M1023" s="152"/>
      <c r="N1023" s="152"/>
      <c r="O1023" s="152"/>
      <c r="P1023" s="152"/>
      <c r="Q1023" s="152"/>
      <c r="R1023" s="152"/>
      <c r="S1023" s="152"/>
      <c r="T1023" s="152"/>
      <c r="U1023" s="152"/>
      <c r="V1023" s="152"/>
      <c r="W1023" s="152"/>
    </row>
    <row r="1024">
      <c r="A1024" s="152"/>
      <c r="B1024" s="152"/>
      <c r="C1024" s="152"/>
      <c r="D1024" s="152"/>
      <c r="E1024" s="152"/>
      <c r="F1024" s="152"/>
      <c r="G1024" s="152"/>
      <c r="H1024" s="152"/>
      <c r="I1024" s="152"/>
      <c r="J1024" s="152"/>
      <c r="K1024" s="152"/>
      <c r="L1024" s="152"/>
      <c r="M1024" s="152"/>
      <c r="N1024" s="152"/>
      <c r="O1024" s="152"/>
      <c r="P1024" s="152"/>
      <c r="Q1024" s="152"/>
      <c r="R1024" s="152"/>
      <c r="S1024" s="152"/>
      <c r="T1024" s="152"/>
      <c r="U1024" s="152"/>
      <c r="V1024" s="152"/>
      <c r="W1024" s="152"/>
    </row>
    <row r="1025">
      <c r="A1025" s="152"/>
      <c r="B1025" s="152"/>
      <c r="C1025" s="152"/>
      <c r="D1025" s="152"/>
      <c r="E1025" s="152"/>
      <c r="F1025" s="152"/>
      <c r="G1025" s="152"/>
      <c r="H1025" s="152"/>
      <c r="I1025" s="152"/>
      <c r="J1025" s="152"/>
      <c r="K1025" s="152"/>
      <c r="L1025" s="152"/>
      <c r="M1025" s="152"/>
      <c r="N1025" s="152"/>
      <c r="O1025" s="152"/>
      <c r="P1025" s="152"/>
      <c r="Q1025" s="152"/>
      <c r="R1025" s="152"/>
      <c r="S1025" s="152"/>
      <c r="T1025" s="152"/>
      <c r="U1025" s="152"/>
      <c r="V1025" s="152"/>
      <c r="W1025" s="152"/>
    </row>
    <row r="1026">
      <c r="A1026" s="152"/>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row>
  </sheetData>
  <hyperlinks>
    <hyperlink r:id="rId1" ref="B10"/>
    <hyperlink r:id="rId2" ref="D10"/>
    <hyperlink r:id="rId3" ref="F10"/>
    <hyperlink r:id="rId4" ref="H10"/>
    <hyperlink r:id="rId5" ref="J10"/>
  </hyperlinks>
  <drawing r:id="rId6"/>
</worksheet>
</file>